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South Kentucky Electric Cooperative/Staff DR/"/>
    </mc:Choice>
  </mc:AlternateContent>
  <xr:revisionPtr revIDLastSave="911" documentId="8_{D7435700-E602-4209-8063-4FF65CB61FF6}" xr6:coauthVersionLast="47" xr6:coauthVersionMax="47" xr10:uidLastSave="{ADED11A7-CC5D-4F51-9948-393EFD4C6BEF}"/>
  <bookViews>
    <workbookView xWindow="28680" yWindow="-120" windowWidth="29040" windowHeight="15840" firstSheet="3" activeTab="8" xr2:uid="{00000000-000D-0000-FFFF-FFFF00000000}"/>
  </bookViews>
  <sheets>
    <sheet name="Functional Assignment" sheetId="1" r:id="rId1"/>
    <sheet name="Allocation ProForma" sheetId="2" r:id="rId2"/>
    <sheet name="Summary of Returns" sheetId="4" r:id="rId3"/>
    <sheet name="Billing Det (Proforma)" sheetId="10" r:id="rId4"/>
    <sheet name="Purchased Power" sheetId="6" r:id="rId5"/>
    <sheet name="Proforma Purchased Power" sheetId="12" r:id="rId6"/>
    <sheet name="Meters" sheetId="7" r:id="rId7"/>
    <sheet name="Services" sheetId="8" r:id="rId8"/>
    <sheet name="Customer Charge Comparison" sheetId="14" r:id="rId9"/>
  </sheets>
  <externalReferences>
    <externalReference r:id="rId10"/>
  </externalReferences>
  <definedNames>
    <definedName name="_xlnm.Print_Area" localSheetId="1">'Allocation ProForma'!$A$1:$N$923</definedName>
    <definedName name="_xlnm.Print_Area" localSheetId="3">'Billing Det (Proforma)'!$A$30:$P$103</definedName>
    <definedName name="_xlnm.Print_Area" localSheetId="0">'Functional Assignment'!$A$1:$AO$493</definedName>
    <definedName name="_xlnm.Print_Area" localSheetId="4">'Purchased Power'!$A$1:$BL$117</definedName>
    <definedName name="_xlnm.Print_Titles" localSheetId="1">'Allocation ProForma'!$A:$D,'Allocation ProForma'!$1:$3</definedName>
    <definedName name="_xlnm.Print_Titles" localSheetId="3">'Billing Det (Proforma)'!$A:$A,'Billing Det (Proforma)'!$30:$31</definedName>
    <definedName name="_xlnm.Print_Titles" localSheetId="0">'Functional Assignment'!$A:$E,'Functional Assignment'!$1:$3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26" i="2" l="1"/>
  <c r="E827" i="2"/>
  <c r="E828" i="2"/>
  <c r="E829" i="2"/>
  <c r="E830" i="2"/>
  <c r="E831" i="2"/>
  <c r="M806" i="2" l="1"/>
  <c r="L806" i="2"/>
  <c r="K806" i="2"/>
  <c r="E545" i="2" l="1"/>
  <c r="BL125" i="12"/>
  <c r="BH97" i="12"/>
  <c r="BC97" i="12"/>
  <c r="BH91" i="12"/>
  <c r="BC91" i="12"/>
  <c r="BH85" i="12"/>
  <c r="BC85" i="12"/>
  <c r="BH71" i="12"/>
  <c r="BC71" i="12"/>
  <c r="BH64" i="12"/>
  <c r="BC64" i="12"/>
  <c r="BH57" i="12"/>
  <c r="BC57" i="12"/>
  <c r="BH49" i="12"/>
  <c r="BC49" i="12"/>
  <c r="BH42" i="12"/>
  <c r="BC42" i="12"/>
  <c r="BH35" i="12"/>
  <c r="BC35" i="12"/>
  <c r="BH28" i="12"/>
  <c r="BC28" i="12"/>
  <c r="BH21" i="12"/>
  <c r="BC21" i="12"/>
  <c r="AX21" i="12"/>
  <c r="AX28" i="12"/>
  <c r="AX35" i="12"/>
  <c r="AX42" i="12"/>
  <c r="AX49" i="12"/>
  <c r="AX57" i="12"/>
  <c r="AX64" i="12"/>
  <c r="AX71" i="12"/>
  <c r="AX85" i="12"/>
  <c r="AX91" i="12"/>
  <c r="AX97" i="12"/>
  <c r="AS97" i="12"/>
  <c r="AS91" i="12"/>
  <c r="AS85" i="12"/>
  <c r="AS71" i="12"/>
  <c r="AS64" i="12"/>
  <c r="AS57" i="12"/>
  <c r="AS49" i="12"/>
  <c r="AS42" i="12"/>
  <c r="AS35" i="12"/>
  <c r="AS28" i="12"/>
  <c r="AS21" i="12"/>
  <c r="BH110" i="12"/>
  <c r="BC110" i="12"/>
  <c r="AX110" i="12"/>
  <c r="AS110" i="12"/>
  <c r="AN110" i="12"/>
  <c r="AN97" i="12"/>
  <c r="AN91" i="12"/>
  <c r="AN85" i="12"/>
  <c r="AN71" i="12"/>
  <c r="AN64" i="12"/>
  <c r="AN57" i="12"/>
  <c r="AN49" i="12"/>
  <c r="AN42" i="12"/>
  <c r="AN35" i="12"/>
  <c r="AN28" i="12"/>
  <c r="AN21" i="12"/>
  <c r="AI21" i="12"/>
  <c r="AI28" i="12"/>
  <c r="AI35" i="12"/>
  <c r="AI42" i="12"/>
  <c r="AI49" i="12"/>
  <c r="AI57" i="12"/>
  <c r="AI64" i="12"/>
  <c r="AI71" i="12"/>
  <c r="AI85" i="12"/>
  <c r="AI91" i="12"/>
  <c r="AI97" i="12"/>
  <c r="AI110" i="12"/>
  <c r="AD110" i="12"/>
  <c r="AD97" i="12"/>
  <c r="AD91" i="12"/>
  <c r="AD85" i="12"/>
  <c r="AD71" i="12"/>
  <c r="AD64" i="12"/>
  <c r="AD57" i="12"/>
  <c r="AD49" i="12"/>
  <c r="AD42" i="12"/>
  <c r="AD35" i="12"/>
  <c r="AD28" i="12"/>
  <c r="AD21" i="12"/>
  <c r="Y21" i="12"/>
  <c r="Y28" i="12"/>
  <c r="Y35" i="12"/>
  <c r="Y42" i="12"/>
  <c r="Y49" i="12"/>
  <c r="Y57" i="12"/>
  <c r="Y64" i="12"/>
  <c r="Y71" i="12"/>
  <c r="Y85" i="12"/>
  <c r="Y91" i="12"/>
  <c r="Y97" i="12"/>
  <c r="Y110" i="12"/>
  <c r="T110" i="12"/>
  <c r="T97" i="12"/>
  <c r="T91" i="12"/>
  <c r="T85" i="12"/>
  <c r="T71" i="12"/>
  <c r="T64" i="12"/>
  <c r="T57" i="12"/>
  <c r="T49" i="12"/>
  <c r="T42" i="12"/>
  <c r="T35" i="12"/>
  <c r="T28" i="12"/>
  <c r="T21" i="12"/>
  <c r="C106" i="12"/>
  <c r="E110" i="12" s="1"/>
  <c r="E85" i="12"/>
  <c r="E91" i="12"/>
  <c r="E97" i="12"/>
  <c r="E71" i="12"/>
  <c r="E64" i="12"/>
  <c r="E57" i="12"/>
  <c r="E49" i="12"/>
  <c r="E42" i="12"/>
  <c r="E35" i="12"/>
  <c r="E28" i="12"/>
  <c r="E21" i="12"/>
  <c r="N96" i="6"/>
  <c r="I96" i="6"/>
  <c r="N90" i="6"/>
  <c r="I90" i="6"/>
  <c r="N84" i="6"/>
  <c r="I84" i="6"/>
  <c r="N70" i="6"/>
  <c r="I70" i="6"/>
  <c r="N63" i="6"/>
  <c r="I63" i="6"/>
  <c r="N56" i="6"/>
  <c r="I56" i="6"/>
  <c r="N48" i="6"/>
  <c r="I48" i="6"/>
  <c r="N41" i="6"/>
  <c r="I41" i="6"/>
  <c r="N34" i="6"/>
  <c r="I34" i="6"/>
  <c r="N27" i="6"/>
  <c r="I27" i="6"/>
  <c r="N20" i="6"/>
  <c r="I20" i="6"/>
  <c r="BG56" i="12"/>
  <c r="BB56" i="12"/>
  <c r="AW56" i="12"/>
  <c r="AR56" i="12"/>
  <c r="AM56" i="12"/>
  <c r="AH56" i="12"/>
  <c r="AC56" i="12"/>
  <c r="X56" i="12"/>
  <c r="S56" i="12"/>
  <c r="N56" i="12"/>
  <c r="I56" i="12"/>
  <c r="BL14" i="12"/>
  <c r="BL14" i="6"/>
  <c r="BL103" i="12"/>
  <c r="BH73" i="12"/>
  <c r="E529" i="2"/>
  <c r="E527" i="2"/>
  <c r="E526" i="2"/>
  <c r="E525" i="2"/>
  <c r="E798" i="2" l="1"/>
  <c r="E784" i="2" l="1"/>
  <c r="E777" i="2"/>
  <c r="M771" i="2"/>
  <c r="L771" i="2"/>
  <c r="K771" i="2"/>
  <c r="P769" i="2"/>
  <c r="Q769" i="2"/>
  <c r="S769" i="2"/>
  <c r="T769" i="2"/>
  <c r="V769" i="2"/>
  <c r="W769" i="2"/>
  <c r="X769" i="2"/>
  <c r="E770" i="2"/>
  <c r="BG96" i="12"/>
  <c r="BG90" i="12"/>
  <c r="BG84" i="12"/>
  <c r="BG70" i="12"/>
  <c r="BG63" i="12"/>
  <c r="BH63" i="12" s="1"/>
  <c r="BH56" i="12"/>
  <c r="BG48" i="12"/>
  <c r="BH48" i="12" s="1"/>
  <c r="BG41" i="12"/>
  <c r="BG34" i="12"/>
  <c r="BG27" i="12"/>
  <c r="BG20" i="12"/>
  <c r="BB96" i="12"/>
  <c r="BB90" i="12"/>
  <c r="BB84" i="12"/>
  <c r="BB70" i="12"/>
  <c r="BC70" i="12" s="1"/>
  <c r="BB63" i="12"/>
  <c r="BC63" i="12" s="1"/>
  <c r="BC56" i="12"/>
  <c r="BB48" i="12"/>
  <c r="BB41" i="12"/>
  <c r="BB34" i="12"/>
  <c r="BB27" i="12"/>
  <c r="BB20" i="12"/>
  <c r="AW96" i="12"/>
  <c r="AW90" i="12"/>
  <c r="AW84" i="12"/>
  <c r="AW70" i="12"/>
  <c r="AW63" i="12"/>
  <c r="AX56" i="12"/>
  <c r="AW48" i="12"/>
  <c r="AX48" i="12" s="1"/>
  <c r="AW41" i="12"/>
  <c r="AW34" i="12"/>
  <c r="AW27" i="12"/>
  <c r="AW20" i="12"/>
  <c r="AR96" i="12"/>
  <c r="AR90" i="12"/>
  <c r="AR84" i="12"/>
  <c r="AR70" i="12"/>
  <c r="AR63" i="12"/>
  <c r="AS56" i="12"/>
  <c r="AR48" i="12"/>
  <c r="AR41" i="12"/>
  <c r="AS41" i="12" s="1"/>
  <c r="AR34" i="12"/>
  <c r="AR27" i="12"/>
  <c r="AR20" i="12"/>
  <c r="AM96" i="12"/>
  <c r="AM90" i="12"/>
  <c r="AM84" i="12"/>
  <c r="AM70" i="12"/>
  <c r="AM63" i="12"/>
  <c r="AN56" i="12"/>
  <c r="AM48" i="12"/>
  <c r="AN48" i="12" s="1"/>
  <c r="AM41" i="12"/>
  <c r="AM34" i="12"/>
  <c r="AM27" i="12"/>
  <c r="AM20" i="12"/>
  <c r="AH96" i="12"/>
  <c r="AH90" i="12"/>
  <c r="AH84" i="12"/>
  <c r="AH70" i="12"/>
  <c r="AH63" i="12"/>
  <c r="AI55" i="12"/>
  <c r="AH48" i="12"/>
  <c r="AI48" i="12" s="1"/>
  <c r="AH41" i="12"/>
  <c r="AH34" i="12"/>
  <c r="AH27" i="12"/>
  <c r="AH20" i="12"/>
  <c r="AC96" i="12"/>
  <c r="AC90" i="12"/>
  <c r="AC84" i="12"/>
  <c r="AC70" i="12"/>
  <c r="AC63" i="12"/>
  <c r="AD56" i="12"/>
  <c r="AD55" i="12"/>
  <c r="AC48" i="12"/>
  <c r="AD48" i="12" s="1"/>
  <c r="AC41" i="12"/>
  <c r="AC34" i="12"/>
  <c r="AC27" i="12"/>
  <c r="AC20" i="12"/>
  <c r="X96" i="12"/>
  <c r="X90" i="12"/>
  <c r="X84" i="12"/>
  <c r="X70" i="12"/>
  <c r="X63" i="12"/>
  <c r="Y63" i="12" s="1"/>
  <c r="Y56" i="12"/>
  <c r="X48" i="12"/>
  <c r="X41" i="12"/>
  <c r="X34" i="12"/>
  <c r="X27" i="12"/>
  <c r="X20" i="12"/>
  <c r="S96" i="12"/>
  <c r="S90" i="12"/>
  <c r="S84" i="12"/>
  <c r="S70" i="12"/>
  <c r="S63" i="12"/>
  <c r="T55" i="12"/>
  <c r="S48" i="12"/>
  <c r="T48" i="12" s="1"/>
  <c r="S41" i="12"/>
  <c r="S34" i="12"/>
  <c r="S27" i="12"/>
  <c r="S20" i="12"/>
  <c r="N96" i="12"/>
  <c r="N90" i="12"/>
  <c r="N84" i="12"/>
  <c r="N70" i="12"/>
  <c r="N63" i="12"/>
  <c r="O56" i="12"/>
  <c r="N48" i="12"/>
  <c r="O48" i="12" s="1"/>
  <c r="N41" i="12"/>
  <c r="N34" i="12"/>
  <c r="N27" i="12"/>
  <c r="N20" i="12"/>
  <c r="I96" i="12"/>
  <c r="I90" i="12"/>
  <c r="I84" i="12"/>
  <c r="I70" i="12"/>
  <c r="I63" i="12"/>
  <c r="J63" i="12" s="1"/>
  <c r="J56" i="12"/>
  <c r="I48" i="12"/>
  <c r="J48" i="12" s="1"/>
  <c r="I41" i="12"/>
  <c r="I34" i="12"/>
  <c r="J34" i="12" s="1"/>
  <c r="I27" i="12"/>
  <c r="I20" i="12"/>
  <c r="D96" i="12"/>
  <c r="D90" i="12"/>
  <c r="D84" i="12"/>
  <c r="D70" i="12"/>
  <c r="D63" i="12"/>
  <c r="D56" i="12"/>
  <c r="E56" i="12" s="1"/>
  <c r="D48" i="12"/>
  <c r="D41" i="12"/>
  <c r="D34" i="12"/>
  <c r="D27" i="12"/>
  <c r="D20" i="12"/>
  <c r="BH70" i="12"/>
  <c r="BH55" i="12"/>
  <c r="BH41" i="12"/>
  <c r="AX70" i="12"/>
  <c r="AS70" i="12"/>
  <c r="AS63" i="12"/>
  <c r="AS48" i="12"/>
  <c r="AN55" i="12"/>
  <c r="AI84" i="12"/>
  <c r="AI70" i="12"/>
  <c r="AI63" i="12"/>
  <c r="AI41" i="12"/>
  <c r="AI34" i="12"/>
  <c r="AD70" i="12"/>
  <c r="AD63" i="12"/>
  <c r="Y70" i="12"/>
  <c r="Y34" i="12"/>
  <c r="T70" i="12"/>
  <c r="O70" i="12"/>
  <c r="O63" i="12"/>
  <c r="O34" i="12"/>
  <c r="O27" i="12"/>
  <c r="J41" i="12"/>
  <c r="E70" i="12"/>
  <c r="E63" i="12"/>
  <c r="E41" i="12"/>
  <c r="E27" i="12"/>
  <c r="BH119" i="12"/>
  <c r="BC119" i="12"/>
  <c r="AX119" i="12"/>
  <c r="AS119" i="12"/>
  <c r="AN119" i="12"/>
  <c r="AI119" i="12"/>
  <c r="AD119" i="12"/>
  <c r="Y119" i="12"/>
  <c r="T119" i="12"/>
  <c r="O119" i="12"/>
  <c r="J119" i="12"/>
  <c r="E119" i="12"/>
  <c r="BL118" i="12"/>
  <c r="BL117" i="12"/>
  <c r="BK117" i="12"/>
  <c r="BL116" i="12"/>
  <c r="BL115" i="12"/>
  <c r="BL111" i="12"/>
  <c r="BL110" i="12"/>
  <c r="E528" i="2" s="1"/>
  <c r="BL109" i="12"/>
  <c r="BL108" i="12"/>
  <c r="E103" i="12"/>
  <c r="BF101" i="12"/>
  <c r="BA101" i="12"/>
  <c r="AV101" i="12"/>
  <c r="AQ101" i="12"/>
  <c r="AL101" i="12"/>
  <c r="AG101" i="12"/>
  <c r="AB101" i="12"/>
  <c r="W101" i="12"/>
  <c r="R101" i="12"/>
  <c r="M101" i="12"/>
  <c r="H101" i="12"/>
  <c r="C101" i="12"/>
  <c r="BF100" i="12"/>
  <c r="BA100" i="12"/>
  <c r="AV100" i="12"/>
  <c r="AQ100" i="12"/>
  <c r="AL100" i="12"/>
  <c r="AG100" i="12"/>
  <c r="AB100" i="12"/>
  <c r="W100" i="12"/>
  <c r="R100" i="12"/>
  <c r="M100" i="12"/>
  <c r="H100" i="12"/>
  <c r="C100" i="12"/>
  <c r="BL97" i="12"/>
  <c r="BF96" i="12"/>
  <c r="BA96" i="12"/>
  <c r="BC96" i="12" s="1"/>
  <c r="AV96" i="12"/>
  <c r="AX96" i="12" s="1"/>
  <c r="AQ96" i="12"/>
  <c r="AS96" i="12" s="1"/>
  <c r="AL96" i="12"/>
  <c r="AG96" i="12"/>
  <c r="AI96" i="12" s="1"/>
  <c r="AB96" i="12"/>
  <c r="W96" i="12"/>
  <c r="Y96" i="12" s="1"/>
  <c r="R96" i="12"/>
  <c r="T96" i="12" s="1"/>
  <c r="M96" i="12"/>
  <c r="O96" i="12" s="1"/>
  <c r="H96" i="12"/>
  <c r="J96" i="12" s="1"/>
  <c r="C96" i="12"/>
  <c r="BK95" i="12"/>
  <c r="BH95" i="12"/>
  <c r="BC95" i="12"/>
  <c r="AX95" i="12"/>
  <c r="AS95" i="12"/>
  <c r="AN95" i="12"/>
  <c r="AI95" i="12"/>
  <c r="AD95" i="12"/>
  <c r="Y95" i="12"/>
  <c r="T95" i="12"/>
  <c r="O95" i="12"/>
  <c r="J95" i="12"/>
  <c r="E95" i="12"/>
  <c r="BK94" i="12"/>
  <c r="BH94" i="12"/>
  <c r="BC94" i="12"/>
  <c r="AX94" i="12"/>
  <c r="AS94" i="12"/>
  <c r="AN94" i="12"/>
  <c r="AI94" i="12"/>
  <c r="AD94" i="12"/>
  <c r="Y94" i="12"/>
  <c r="T94" i="12"/>
  <c r="O94" i="12"/>
  <c r="J94" i="12"/>
  <c r="E94" i="12"/>
  <c r="BL91" i="12"/>
  <c r="K792" i="2" s="1"/>
  <c r="BF90" i="12"/>
  <c r="BA90" i="12"/>
  <c r="AV90" i="12"/>
  <c r="AX90" i="12" s="1"/>
  <c r="AQ90" i="12"/>
  <c r="AL90" i="12"/>
  <c r="AN90" i="12" s="1"/>
  <c r="AG90" i="12"/>
  <c r="AD90" i="12"/>
  <c r="AB90" i="12"/>
  <c r="W90" i="12"/>
  <c r="R90" i="12"/>
  <c r="T90" i="12" s="1"/>
  <c r="M90" i="12"/>
  <c r="H90" i="12"/>
  <c r="C90" i="12"/>
  <c r="BK89" i="12"/>
  <c r="BH89" i="12"/>
  <c r="BC89" i="12"/>
  <c r="AX89" i="12"/>
  <c r="AS89" i="12"/>
  <c r="AN89" i="12"/>
  <c r="AI89" i="12"/>
  <c r="AD89" i="12"/>
  <c r="Y89" i="12"/>
  <c r="T89" i="12"/>
  <c r="O89" i="12"/>
  <c r="J89" i="12"/>
  <c r="E89" i="12"/>
  <c r="BK88" i="12"/>
  <c r="BH88" i="12"/>
  <c r="BC88" i="12"/>
  <c r="AX88" i="12"/>
  <c r="AS88" i="12"/>
  <c r="AN88" i="12"/>
  <c r="AI88" i="12"/>
  <c r="AD88" i="12"/>
  <c r="Y88" i="12"/>
  <c r="T88" i="12"/>
  <c r="O88" i="12"/>
  <c r="J88" i="12"/>
  <c r="E88" i="12"/>
  <c r="BL85" i="12"/>
  <c r="BF84" i="12"/>
  <c r="BA84" i="12"/>
  <c r="BC84" i="12" s="1"/>
  <c r="AV84" i="12"/>
  <c r="AX84" i="12" s="1"/>
  <c r="AQ84" i="12"/>
  <c r="AL84" i="12"/>
  <c r="AL102" i="12" s="1"/>
  <c r="AG84" i="12"/>
  <c r="AB84" i="12"/>
  <c r="AB102" i="12" s="1"/>
  <c r="W84" i="12"/>
  <c r="R84" i="12"/>
  <c r="M84" i="12"/>
  <c r="H84" i="12"/>
  <c r="J84" i="12" s="1"/>
  <c r="C84" i="12"/>
  <c r="BK83" i="12"/>
  <c r="BH83" i="12"/>
  <c r="BC83" i="12"/>
  <c r="AX83" i="12"/>
  <c r="AS83" i="12"/>
  <c r="AN83" i="12"/>
  <c r="AN101" i="12" s="1"/>
  <c r="AI83" i="12"/>
  <c r="AD83" i="12"/>
  <c r="Y83" i="12"/>
  <c r="T83" i="12"/>
  <c r="O83" i="12"/>
  <c r="J83" i="12"/>
  <c r="E83" i="12"/>
  <c r="BK82" i="12"/>
  <c r="BH82" i="12"/>
  <c r="BC82" i="12"/>
  <c r="AX82" i="12"/>
  <c r="AS82" i="12"/>
  <c r="AN82" i="12"/>
  <c r="AI82" i="12"/>
  <c r="AD82" i="12"/>
  <c r="Y82" i="12"/>
  <c r="T82" i="12"/>
  <c r="O82" i="12"/>
  <c r="J82" i="12"/>
  <c r="E82" i="12"/>
  <c r="E78" i="12"/>
  <c r="C77" i="12"/>
  <c r="BF76" i="12"/>
  <c r="BA76" i="12"/>
  <c r="AV76" i="12"/>
  <c r="AQ76" i="12"/>
  <c r="AL76" i="12"/>
  <c r="AG76" i="12"/>
  <c r="AB76" i="12"/>
  <c r="W76" i="12"/>
  <c r="R76" i="12"/>
  <c r="M76" i="12"/>
  <c r="H76" i="12"/>
  <c r="C76" i="12"/>
  <c r="BH75" i="12"/>
  <c r="BC75" i="12"/>
  <c r="AX75" i="12"/>
  <c r="AS75" i="12"/>
  <c r="AN75" i="12"/>
  <c r="AI75" i="12"/>
  <c r="AD75" i="12"/>
  <c r="Y75" i="12"/>
  <c r="T75" i="12"/>
  <c r="O75" i="12"/>
  <c r="J75" i="12"/>
  <c r="E75" i="12"/>
  <c r="BL75" i="12" s="1"/>
  <c r="BF73" i="12"/>
  <c r="BA73" i="12"/>
  <c r="AV73" i="12"/>
  <c r="AQ73" i="12"/>
  <c r="AL73" i="12"/>
  <c r="AG73" i="12"/>
  <c r="AB73" i="12"/>
  <c r="W73" i="12"/>
  <c r="R73" i="12"/>
  <c r="M73" i="12"/>
  <c r="H73" i="12"/>
  <c r="C73" i="12"/>
  <c r="BL71" i="12"/>
  <c r="BK70" i="12"/>
  <c r="AN70" i="12"/>
  <c r="J70" i="12"/>
  <c r="BK69" i="12"/>
  <c r="BH69" i="12"/>
  <c r="BC69" i="12"/>
  <c r="AX69" i="12"/>
  <c r="AS69" i="12"/>
  <c r="AN69" i="12"/>
  <c r="AI69" i="12"/>
  <c r="AD69" i="12"/>
  <c r="Y69" i="12"/>
  <c r="T69" i="12"/>
  <c r="O69" i="12"/>
  <c r="J69" i="12"/>
  <c r="E69" i="12"/>
  <c r="BF68" i="12"/>
  <c r="BH68" i="12" s="1"/>
  <c r="BA68" i="12"/>
  <c r="BC68" i="12" s="1"/>
  <c r="AV68" i="12"/>
  <c r="AX68" i="12" s="1"/>
  <c r="AQ68" i="12"/>
  <c r="AS68" i="12" s="1"/>
  <c r="AL68" i="12"/>
  <c r="AN68" i="12" s="1"/>
  <c r="AG68" i="12"/>
  <c r="AI68" i="12" s="1"/>
  <c r="AB68" i="12"/>
  <c r="AD68" i="12" s="1"/>
  <c r="W68" i="12"/>
  <c r="Y68" i="12" s="1"/>
  <c r="R68" i="12"/>
  <c r="T68" i="12" s="1"/>
  <c r="M68" i="12"/>
  <c r="O68" i="12" s="1"/>
  <c r="H68" i="12"/>
  <c r="J68" i="12" s="1"/>
  <c r="C68" i="12"/>
  <c r="E68" i="12" s="1"/>
  <c r="BK67" i="12"/>
  <c r="BH67" i="12"/>
  <c r="BC67" i="12"/>
  <c r="AX67" i="12"/>
  <c r="AS67" i="12"/>
  <c r="AN67" i="12"/>
  <c r="AI67" i="12"/>
  <c r="AD67" i="12"/>
  <c r="Y67" i="12"/>
  <c r="T67" i="12"/>
  <c r="O67" i="12"/>
  <c r="J67" i="12"/>
  <c r="E67" i="12"/>
  <c r="BL64" i="12"/>
  <c r="BK63" i="12"/>
  <c r="AX63" i="12"/>
  <c r="AN63" i="12"/>
  <c r="T63" i="12"/>
  <c r="BK62" i="12"/>
  <c r="BH62" i="12"/>
  <c r="BC62" i="12"/>
  <c r="AX62" i="12"/>
  <c r="AS62" i="12"/>
  <c r="AN62" i="12"/>
  <c r="AI62" i="12"/>
  <c r="AD62" i="12"/>
  <c r="Y62" i="12"/>
  <c r="T62" i="12"/>
  <c r="O62" i="12"/>
  <c r="J62" i="12"/>
  <c r="E62" i="12"/>
  <c r="BK61" i="12"/>
  <c r="BH61" i="12"/>
  <c r="BC61" i="12"/>
  <c r="AX61" i="12"/>
  <c r="AS61" i="12"/>
  <c r="AN61" i="12"/>
  <c r="AI61" i="12"/>
  <c r="AD61" i="12"/>
  <c r="Y61" i="12"/>
  <c r="T61" i="12"/>
  <c r="O61" i="12"/>
  <c r="J61" i="12"/>
  <c r="E61" i="12"/>
  <c r="BK60" i="12"/>
  <c r="BH60" i="12"/>
  <c r="BC60" i="12"/>
  <c r="AX60" i="12"/>
  <c r="AS60" i="12"/>
  <c r="AN60" i="12"/>
  <c r="AI60" i="12"/>
  <c r="AD60" i="12"/>
  <c r="Y60" i="12"/>
  <c r="T60" i="12"/>
  <c r="O60" i="12"/>
  <c r="J60" i="12"/>
  <c r="E60" i="12"/>
  <c r="BL57" i="12"/>
  <c r="BK56" i="12"/>
  <c r="BK55" i="12"/>
  <c r="BC55" i="12"/>
  <c r="AX55" i="12"/>
  <c r="AS55" i="12"/>
  <c r="Y55" i="12"/>
  <c r="O55" i="12"/>
  <c r="J55" i="12"/>
  <c r="E55" i="12"/>
  <c r="BL54" i="12"/>
  <c r="BK54" i="12"/>
  <c r="BF53" i="12"/>
  <c r="BH53" i="12" s="1"/>
  <c r="BA53" i="12"/>
  <c r="BC53" i="12" s="1"/>
  <c r="AV53" i="12"/>
  <c r="AX53" i="12" s="1"/>
  <c r="AQ53" i="12"/>
  <c r="AS53" i="12" s="1"/>
  <c r="AL53" i="12"/>
  <c r="AN53" i="12" s="1"/>
  <c r="AG53" i="12"/>
  <c r="AI53" i="12" s="1"/>
  <c r="AB53" i="12"/>
  <c r="AD53" i="12" s="1"/>
  <c r="W53" i="12"/>
  <c r="Y53" i="12" s="1"/>
  <c r="T53" i="12"/>
  <c r="O53" i="12"/>
  <c r="J53" i="12"/>
  <c r="E53" i="12"/>
  <c r="BK52" i="12"/>
  <c r="BH52" i="12"/>
  <c r="BC52" i="12"/>
  <c r="AX52" i="12"/>
  <c r="AS52" i="12"/>
  <c r="AN52" i="12"/>
  <c r="AI52" i="12"/>
  <c r="AD52" i="12"/>
  <c r="Y52" i="12"/>
  <c r="T52" i="12"/>
  <c r="O52" i="12"/>
  <c r="J52" i="12"/>
  <c r="E52" i="12"/>
  <c r="BL49" i="12"/>
  <c r="BK48" i="12"/>
  <c r="BC48" i="12"/>
  <c r="Y48" i="12"/>
  <c r="E48" i="12"/>
  <c r="BK47" i="12"/>
  <c r="BH47" i="12"/>
  <c r="BC47" i="12"/>
  <c r="AX47" i="12"/>
  <c r="AS47" i="12"/>
  <c r="AN47" i="12"/>
  <c r="AI47" i="12"/>
  <c r="AD47" i="12"/>
  <c r="Y47" i="12"/>
  <c r="T47" i="12"/>
  <c r="O47" i="12"/>
  <c r="J47" i="12"/>
  <c r="E47" i="12"/>
  <c r="BK46" i="12"/>
  <c r="BH46" i="12"/>
  <c r="BC46" i="12"/>
  <c r="AX46" i="12"/>
  <c r="AS46" i="12"/>
  <c r="AN46" i="12"/>
  <c r="AI46" i="12"/>
  <c r="AD46" i="12"/>
  <c r="Y46" i="12"/>
  <c r="T46" i="12"/>
  <c r="O46" i="12"/>
  <c r="J46" i="12"/>
  <c r="E46" i="12"/>
  <c r="BK45" i="12"/>
  <c r="BH45" i="12"/>
  <c r="BC45" i="12"/>
  <c r="AX45" i="12"/>
  <c r="AS45" i="12"/>
  <c r="AN45" i="12"/>
  <c r="AI45" i="12"/>
  <c r="AD45" i="12"/>
  <c r="Y45" i="12"/>
  <c r="T45" i="12"/>
  <c r="O45" i="12"/>
  <c r="J45" i="12"/>
  <c r="E45" i="12"/>
  <c r="BL42" i="12"/>
  <c r="BK41" i="12"/>
  <c r="BC41" i="12"/>
  <c r="AX41" i="12"/>
  <c r="AN41" i="12"/>
  <c r="AD41" i="12"/>
  <c r="Y41" i="12"/>
  <c r="T41" i="12"/>
  <c r="O41" i="12"/>
  <c r="BK40" i="12"/>
  <c r="BH40" i="12"/>
  <c r="BC40" i="12"/>
  <c r="AX40" i="12"/>
  <c r="AS40" i="12"/>
  <c r="AN40" i="12"/>
  <c r="AI40" i="12"/>
  <c r="AD40" i="12"/>
  <c r="Y40" i="12"/>
  <c r="T40" i="12"/>
  <c r="O40" i="12"/>
  <c r="J40" i="12"/>
  <c r="E40" i="12"/>
  <c r="BF39" i="12"/>
  <c r="BH39" i="12" s="1"/>
  <c r="BA39" i="12"/>
  <c r="BC39" i="12" s="1"/>
  <c r="AV39" i="12"/>
  <c r="AX39" i="12" s="1"/>
  <c r="AQ39" i="12"/>
  <c r="AS39" i="12" s="1"/>
  <c r="AL39" i="12"/>
  <c r="AN39" i="12" s="1"/>
  <c r="AG39" i="12"/>
  <c r="AI39" i="12" s="1"/>
  <c r="AB39" i="12"/>
  <c r="AD39" i="12" s="1"/>
  <c r="W39" i="12"/>
  <c r="Y39" i="12" s="1"/>
  <c r="R39" i="12"/>
  <c r="T39" i="12" s="1"/>
  <c r="M39" i="12"/>
  <c r="O39" i="12" s="1"/>
  <c r="H39" i="12"/>
  <c r="J39" i="12" s="1"/>
  <c r="C39" i="12"/>
  <c r="BK38" i="12"/>
  <c r="BH38" i="12"/>
  <c r="BC38" i="12"/>
  <c r="AX38" i="12"/>
  <c r="AS38" i="12"/>
  <c r="AN38" i="12"/>
  <c r="AI38" i="12"/>
  <c r="AD38" i="12"/>
  <c r="Y38" i="12"/>
  <c r="T38" i="12"/>
  <c r="O38" i="12"/>
  <c r="J38" i="12"/>
  <c r="E38" i="12"/>
  <c r="BL35" i="12"/>
  <c r="BF34" i="12"/>
  <c r="BA34" i="12"/>
  <c r="BC34" i="12" s="1"/>
  <c r="AX34" i="12"/>
  <c r="AS34" i="12"/>
  <c r="AN34" i="12"/>
  <c r="AD34" i="12"/>
  <c r="T34" i="12"/>
  <c r="E34" i="12"/>
  <c r="BK33" i="12"/>
  <c r="BH33" i="12"/>
  <c r="BC33" i="12"/>
  <c r="AX33" i="12"/>
  <c r="AS33" i="12"/>
  <c r="AN33" i="12"/>
  <c r="AI33" i="12"/>
  <c r="AD33" i="12"/>
  <c r="Y33" i="12"/>
  <c r="T33" i="12"/>
  <c r="O33" i="12"/>
  <c r="J33" i="12"/>
  <c r="E33" i="12"/>
  <c r="BK32" i="12"/>
  <c r="BH32" i="12"/>
  <c r="BC32" i="12"/>
  <c r="AX32" i="12"/>
  <c r="AS32" i="12"/>
  <c r="AN32" i="12"/>
  <c r="AI32" i="12"/>
  <c r="AD32" i="12"/>
  <c r="Y32" i="12"/>
  <c r="T32" i="12"/>
  <c r="O32" i="12"/>
  <c r="J32" i="12"/>
  <c r="E32" i="12"/>
  <c r="BK31" i="12"/>
  <c r="BH31" i="12"/>
  <c r="BC31" i="12"/>
  <c r="AX31" i="12"/>
  <c r="AS31" i="12"/>
  <c r="AN31" i="12"/>
  <c r="AI31" i="12"/>
  <c r="AD31" i="12"/>
  <c r="Y31" i="12"/>
  <c r="T31" i="12"/>
  <c r="O31" i="12"/>
  <c r="J31" i="12"/>
  <c r="E31" i="12"/>
  <c r="BL28" i="12"/>
  <c r="BH27" i="12"/>
  <c r="BF27" i="12"/>
  <c r="BA27" i="12"/>
  <c r="AV27" i="12"/>
  <c r="AX27" i="12" s="1"/>
  <c r="AQ27" i="12"/>
  <c r="AS27" i="12" s="1"/>
  <c r="AL27" i="12"/>
  <c r="AN27" i="12" s="1"/>
  <c r="AG27" i="12"/>
  <c r="AB27" i="12"/>
  <c r="AD27" i="12" s="1"/>
  <c r="W27" i="12"/>
  <c r="R27" i="12"/>
  <c r="T27" i="12" s="1"/>
  <c r="J27" i="12"/>
  <c r="BK26" i="12"/>
  <c r="BH26" i="12"/>
  <c r="BC26" i="12"/>
  <c r="AX26" i="12"/>
  <c r="AS26" i="12"/>
  <c r="AN26" i="12"/>
  <c r="AI26" i="12"/>
  <c r="AD26" i="12"/>
  <c r="Y26" i="12"/>
  <c r="T26" i="12"/>
  <c r="O26" i="12"/>
  <c r="J26" i="12"/>
  <c r="E26" i="12"/>
  <c r="BF25" i="12"/>
  <c r="BH25" i="12" s="1"/>
  <c r="BA25" i="12"/>
  <c r="BC25" i="12" s="1"/>
  <c r="AX25" i="12"/>
  <c r="AV25" i="12"/>
  <c r="AQ25" i="12"/>
  <c r="AS25" i="12" s="1"/>
  <c r="AL25" i="12"/>
  <c r="AN25" i="12" s="1"/>
  <c r="AG25" i="12"/>
  <c r="AI25" i="12" s="1"/>
  <c r="AB25" i="12"/>
  <c r="AD25" i="12" s="1"/>
  <c r="W25" i="12"/>
  <c r="Y25" i="12" s="1"/>
  <c r="R25" i="12"/>
  <c r="T25" i="12" s="1"/>
  <c r="M25" i="12"/>
  <c r="O25" i="12" s="1"/>
  <c r="H25" i="12"/>
  <c r="J25" i="12" s="1"/>
  <c r="C25" i="12"/>
  <c r="BK24" i="12"/>
  <c r="BH24" i="12"/>
  <c r="BC24" i="12"/>
  <c r="AX24" i="12"/>
  <c r="AS24" i="12"/>
  <c r="AN24" i="12"/>
  <c r="AI24" i="12"/>
  <c r="AD24" i="12"/>
  <c r="Y24" i="12"/>
  <c r="T24" i="12"/>
  <c r="O24" i="12"/>
  <c r="J24" i="12"/>
  <c r="E24" i="12"/>
  <c r="BL21" i="12"/>
  <c r="BF20" i="12"/>
  <c r="BH20" i="12" s="1"/>
  <c r="BA20" i="12"/>
  <c r="AV20" i="12"/>
  <c r="AQ20" i="12"/>
  <c r="AL20" i="12"/>
  <c r="AN20" i="12" s="1"/>
  <c r="AG20" i="12"/>
  <c r="AB20" i="12"/>
  <c r="AB77" i="12" s="1"/>
  <c r="W20" i="12"/>
  <c r="R20" i="12"/>
  <c r="T20" i="12" s="1"/>
  <c r="M20" i="12"/>
  <c r="O20" i="12" s="1"/>
  <c r="H20" i="12"/>
  <c r="H77" i="12" s="1"/>
  <c r="E20" i="12"/>
  <c r="BK19" i="12"/>
  <c r="BH19" i="12"/>
  <c r="BC19" i="12"/>
  <c r="AX19" i="12"/>
  <c r="AS19" i="12"/>
  <c r="AN19" i="12"/>
  <c r="AI19" i="12"/>
  <c r="AD19" i="12"/>
  <c r="Y19" i="12"/>
  <c r="T19" i="12"/>
  <c r="O19" i="12"/>
  <c r="J19" i="12"/>
  <c r="E19" i="12"/>
  <c r="BF18" i="12"/>
  <c r="BA18" i="12"/>
  <c r="BC18" i="12" s="1"/>
  <c r="AV18" i="12"/>
  <c r="AQ18" i="12"/>
  <c r="AQ74" i="12" s="1"/>
  <c r="AL18" i="12"/>
  <c r="AG18" i="12"/>
  <c r="AB18" i="12"/>
  <c r="AD18" i="12" s="1"/>
  <c r="W18" i="12"/>
  <c r="Y18" i="12" s="1"/>
  <c r="R18" i="12"/>
  <c r="M18" i="12"/>
  <c r="H18" i="12"/>
  <c r="C18" i="12"/>
  <c r="C74" i="12" s="1"/>
  <c r="BK17" i="12"/>
  <c r="BH17" i="12"/>
  <c r="BC17" i="12"/>
  <c r="AX17" i="12"/>
  <c r="AS17" i="12"/>
  <c r="AN17" i="12"/>
  <c r="AI17" i="12"/>
  <c r="AD17" i="12"/>
  <c r="Y17" i="12"/>
  <c r="T17" i="12"/>
  <c r="O17" i="12"/>
  <c r="J17" i="12"/>
  <c r="E17" i="12"/>
  <c r="BK13" i="12"/>
  <c r="BH13" i="12"/>
  <c r="BC13" i="12"/>
  <c r="AX13" i="12"/>
  <c r="AS13" i="12"/>
  <c r="AN13" i="12"/>
  <c r="AI13" i="12"/>
  <c r="AD13" i="12"/>
  <c r="Y13" i="12"/>
  <c r="T13" i="12"/>
  <c r="O13" i="12"/>
  <c r="J13" i="12"/>
  <c r="E13" i="12"/>
  <c r="BK12" i="12"/>
  <c r="BH12" i="12"/>
  <c r="BC12" i="12"/>
  <c r="AX12" i="12"/>
  <c r="AS12" i="12"/>
  <c r="AN12" i="12"/>
  <c r="AI12" i="12"/>
  <c r="AD12" i="12"/>
  <c r="Y12" i="12"/>
  <c r="T12" i="12"/>
  <c r="O12" i="12"/>
  <c r="J12" i="12"/>
  <c r="E12" i="12"/>
  <c r="BK11" i="12"/>
  <c r="BH11" i="12"/>
  <c r="BC11" i="12"/>
  <c r="AX11" i="12"/>
  <c r="AS11" i="12"/>
  <c r="AN11" i="12"/>
  <c r="AI11" i="12"/>
  <c r="AD11" i="12"/>
  <c r="Y11" i="12"/>
  <c r="T11" i="12"/>
  <c r="O11" i="12"/>
  <c r="J11" i="12"/>
  <c r="E11" i="12"/>
  <c r="E791" i="2" l="1"/>
  <c r="L792" i="2"/>
  <c r="M792" i="2"/>
  <c r="AI56" i="12"/>
  <c r="Y100" i="12"/>
  <c r="Y84" i="12"/>
  <c r="T56" i="12"/>
  <c r="J90" i="12"/>
  <c r="R74" i="12"/>
  <c r="AV77" i="12"/>
  <c r="BC27" i="12"/>
  <c r="BF102" i="12"/>
  <c r="BK90" i="12"/>
  <c r="AI90" i="12"/>
  <c r="BA102" i="12"/>
  <c r="BF74" i="12"/>
  <c r="BF105" i="12" s="1"/>
  <c r="T101" i="12"/>
  <c r="BH101" i="12"/>
  <c r="AD96" i="12"/>
  <c r="AI27" i="12"/>
  <c r="BK84" i="12"/>
  <c r="Y101" i="12"/>
  <c r="AN96" i="12"/>
  <c r="AL74" i="12"/>
  <c r="AL105" i="12" s="1"/>
  <c r="T100" i="12"/>
  <c r="AI101" i="12"/>
  <c r="AN84" i="12"/>
  <c r="O84" i="12"/>
  <c r="AS84" i="12"/>
  <c r="T76" i="12"/>
  <c r="H74" i="12"/>
  <c r="AV74" i="12"/>
  <c r="AV105" i="12" s="1"/>
  <c r="R102" i="12"/>
  <c r="AQ102" i="12"/>
  <c r="T18" i="12"/>
  <c r="T74" i="12" s="1"/>
  <c r="AN18" i="12"/>
  <c r="BH18" i="12"/>
  <c r="J20" i="12"/>
  <c r="AS20" i="12"/>
  <c r="R77" i="12"/>
  <c r="R106" i="12" s="1"/>
  <c r="E18" i="12"/>
  <c r="AS18" i="12"/>
  <c r="AS74" i="12" s="1"/>
  <c r="AX20" i="12"/>
  <c r="AX77" i="12" s="1"/>
  <c r="AQ77" i="12"/>
  <c r="E90" i="12"/>
  <c r="AG102" i="12"/>
  <c r="AL77" i="12"/>
  <c r="AL106" i="12" s="1"/>
  <c r="O76" i="12"/>
  <c r="BK20" i="12"/>
  <c r="BA77" i="12"/>
  <c r="AD73" i="12"/>
  <c r="BK25" i="12"/>
  <c r="BK34" i="12"/>
  <c r="BK39" i="12"/>
  <c r="BK73" i="12"/>
  <c r="BK76" i="12"/>
  <c r="BF77" i="12"/>
  <c r="BL119" i="12"/>
  <c r="AS73" i="12"/>
  <c r="J18" i="12"/>
  <c r="J74" i="12" s="1"/>
  <c r="AX18" i="12"/>
  <c r="AI73" i="12"/>
  <c r="E25" i="12"/>
  <c r="BH34" i="12"/>
  <c r="BH77" i="12" s="1"/>
  <c r="AN100" i="12"/>
  <c r="BK96" i="12"/>
  <c r="W74" i="12"/>
  <c r="M74" i="12"/>
  <c r="M105" i="12" s="1"/>
  <c r="AG74" i="12"/>
  <c r="AG105" i="12" s="1"/>
  <c r="BA74" i="12"/>
  <c r="AD20" i="12"/>
  <c r="AD77" i="12" s="1"/>
  <c r="BK27" i="12"/>
  <c r="E101" i="12"/>
  <c r="M102" i="12"/>
  <c r="E96" i="12"/>
  <c r="BL96" i="12" s="1"/>
  <c r="BK100" i="12"/>
  <c r="C102" i="12"/>
  <c r="BK101" i="12"/>
  <c r="AB74" i="12"/>
  <c r="BN13" i="12"/>
  <c r="O18" i="12"/>
  <c r="BL18" i="12" s="1"/>
  <c r="AI18" i="12"/>
  <c r="AD76" i="12"/>
  <c r="AI20" i="12"/>
  <c r="AI77" i="12" s="1"/>
  <c r="BF106" i="12"/>
  <c r="AX100" i="12"/>
  <c r="BH100" i="12"/>
  <c r="BH90" i="12"/>
  <c r="BH76" i="12"/>
  <c r="BH96" i="12"/>
  <c r="BC73" i="12"/>
  <c r="BC100" i="12"/>
  <c r="BC76" i="12"/>
  <c r="BC101" i="12"/>
  <c r="AX76" i="12"/>
  <c r="AX73" i="12"/>
  <c r="AX101" i="12"/>
  <c r="AS100" i="12"/>
  <c r="AS76" i="12"/>
  <c r="AS90" i="12"/>
  <c r="AS101" i="12"/>
  <c r="AN73" i="12"/>
  <c r="BL45" i="12"/>
  <c r="AN76" i="12"/>
  <c r="AI100" i="12"/>
  <c r="AI76" i="12"/>
  <c r="AI102" i="12"/>
  <c r="AD100" i="12"/>
  <c r="AD74" i="12"/>
  <c r="AD105" i="12" s="1"/>
  <c r="BL40" i="12"/>
  <c r="Y73" i="12"/>
  <c r="Y76" i="12"/>
  <c r="BL83" i="12"/>
  <c r="BL38" i="12"/>
  <c r="T73" i="12"/>
  <c r="O73" i="12"/>
  <c r="O101" i="12"/>
  <c r="BL26" i="12"/>
  <c r="BL94" i="12"/>
  <c r="O77" i="12"/>
  <c r="BL31" i="12"/>
  <c r="BL69" i="12"/>
  <c r="O100" i="12"/>
  <c r="BL88" i="12"/>
  <c r="BL48" i="12"/>
  <c r="BL52" i="12"/>
  <c r="J101" i="12"/>
  <c r="BL25" i="12"/>
  <c r="BL11" i="12"/>
  <c r="BL46" i="12"/>
  <c r="BL55" i="12"/>
  <c r="BL62" i="12"/>
  <c r="BL67" i="12"/>
  <c r="J100" i="12"/>
  <c r="BL63" i="12"/>
  <c r="BL13" i="12"/>
  <c r="BL95" i="12"/>
  <c r="E100" i="12"/>
  <c r="BL61" i="12"/>
  <c r="BL60" i="12"/>
  <c r="BL47" i="12"/>
  <c r="E76" i="12"/>
  <c r="BL32" i="12"/>
  <c r="BL33" i="12"/>
  <c r="E73" i="12"/>
  <c r="BL19" i="12"/>
  <c r="BL17" i="12"/>
  <c r="R105" i="12"/>
  <c r="BA105" i="12"/>
  <c r="BA106" i="12"/>
  <c r="J77" i="12"/>
  <c r="W105" i="12"/>
  <c r="BL41" i="12"/>
  <c r="AB105" i="12"/>
  <c r="AN74" i="12"/>
  <c r="BH74" i="12"/>
  <c r="AB106" i="12"/>
  <c r="AS102" i="12"/>
  <c r="AX74" i="12"/>
  <c r="AX105" i="12" s="1"/>
  <c r="AN77" i="12"/>
  <c r="J102" i="12"/>
  <c r="Y74" i="12"/>
  <c r="BL68" i="12"/>
  <c r="AQ105" i="12"/>
  <c r="AX102" i="12"/>
  <c r="O74" i="12"/>
  <c r="AI74" i="12"/>
  <c r="BC74" i="12"/>
  <c r="AS77" i="12"/>
  <c r="BL53" i="12"/>
  <c r="BL70" i="12"/>
  <c r="H105" i="12"/>
  <c r="Y20" i="12"/>
  <c r="W77" i="12"/>
  <c r="AD84" i="12"/>
  <c r="AD102" i="12" s="1"/>
  <c r="W102" i="12"/>
  <c r="E39" i="12"/>
  <c r="BL39" i="12" s="1"/>
  <c r="J76" i="12"/>
  <c r="E77" i="12"/>
  <c r="E84" i="12"/>
  <c r="BL89" i="12"/>
  <c r="AD101" i="12"/>
  <c r="J73" i="12"/>
  <c r="BL82" i="12"/>
  <c r="Y90" i="12"/>
  <c r="Y102" i="12" s="1"/>
  <c r="Y27" i="12"/>
  <c r="BK68" i="12"/>
  <c r="T84" i="12"/>
  <c r="T102" i="12" s="1"/>
  <c r="BH84" i="12"/>
  <c r="O90" i="12"/>
  <c r="BC90" i="12"/>
  <c r="BC102" i="12" s="1"/>
  <c r="H102" i="12"/>
  <c r="AV102" i="12"/>
  <c r="AV106" i="12" s="1"/>
  <c r="BC20" i="12"/>
  <c r="BC77" i="12" s="1"/>
  <c r="BK53" i="12"/>
  <c r="BL12" i="12"/>
  <c r="BK18" i="12"/>
  <c r="C105" i="12"/>
  <c r="M77" i="12"/>
  <c r="M106" i="12" s="1"/>
  <c r="AG77" i="12"/>
  <c r="AG106" i="12" s="1"/>
  <c r="BL24" i="12"/>
  <c r="BM12" i="12"/>
  <c r="BM13" i="12" s="1"/>
  <c r="AI106" i="12" l="1"/>
  <c r="AI113" i="12" s="1"/>
  <c r="AI121" i="12" s="1"/>
  <c r="BH102" i="12"/>
  <c r="BL56" i="12"/>
  <c r="BL27" i="12"/>
  <c r="T77" i="12"/>
  <c r="J105" i="12"/>
  <c r="BL101" i="12"/>
  <c r="BL34" i="12"/>
  <c r="AQ106" i="12"/>
  <c r="T105" i="12"/>
  <c r="AN102" i="12"/>
  <c r="AN106" i="12" s="1"/>
  <c r="BK102" i="12"/>
  <c r="E74" i="12"/>
  <c r="BK74" i="12"/>
  <c r="AI105" i="12"/>
  <c r="W106" i="12"/>
  <c r="AS105" i="12"/>
  <c r="BL20" i="12"/>
  <c r="BH105" i="12"/>
  <c r="O105" i="12"/>
  <c r="T106" i="12"/>
  <c r="AD106" i="12"/>
  <c r="AD113" i="12" s="1"/>
  <c r="AD121" i="12" s="1"/>
  <c r="BH106" i="12"/>
  <c r="BC105" i="12"/>
  <c r="BL90" i="12"/>
  <c r="AX106" i="12"/>
  <c r="AS106" i="12"/>
  <c r="AN105" i="12"/>
  <c r="BL74" i="12"/>
  <c r="BL100" i="12"/>
  <c r="Y105" i="12"/>
  <c r="BL76" i="12"/>
  <c r="BC106" i="12"/>
  <c r="AX113" i="12"/>
  <c r="AX121" i="12" s="1"/>
  <c r="BK77" i="12"/>
  <c r="H106" i="12"/>
  <c r="Y77" i="12"/>
  <c r="Y106" i="12" s="1"/>
  <c r="O102" i="12"/>
  <c r="O106" i="12" s="1"/>
  <c r="J106" i="12"/>
  <c r="BL84" i="12"/>
  <c r="E102" i="12"/>
  <c r="BL102" i="12" s="1"/>
  <c r="BL73" i="12"/>
  <c r="BK105" i="12"/>
  <c r="E105" i="12"/>
  <c r="T113" i="12" l="1"/>
  <c r="T121" i="12" s="1"/>
  <c r="AS113" i="12"/>
  <c r="AS121" i="12" s="1"/>
  <c r="AN113" i="12"/>
  <c r="AN121" i="12" s="1"/>
  <c r="J113" i="12"/>
  <c r="J121" i="12" s="1"/>
  <c r="BK106" i="12"/>
  <c r="BL77" i="12"/>
  <c r="BL78" i="12" s="1"/>
  <c r="O113" i="12"/>
  <c r="O121" i="12" s="1"/>
  <c r="BH113" i="12"/>
  <c r="BH121" i="12" s="1"/>
  <c r="BC113" i="12"/>
  <c r="BC121" i="12" s="1"/>
  <c r="Y113" i="12"/>
  <c r="Y121" i="12" s="1"/>
  <c r="E106" i="12"/>
  <c r="BL106" i="12" s="1"/>
  <c r="BL105" i="12"/>
  <c r="E530" i="2" l="1"/>
  <c r="E805" i="2"/>
  <c r="E113" i="12"/>
  <c r="C523" i="2" l="1"/>
  <c r="E121" i="12"/>
  <c r="BL113" i="12"/>
  <c r="BL121" i="12" l="1"/>
  <c r="BL123" i="12" s="1"/>
  <c r="Z473" i="1" l="1"/>
  <c r="Y473" i="1"/>
  <c r="W473" i="1"/>
  <c r="V473" i="1"/>
  <c r="V472" i="1"/>
  <c r="W472" i="1"/>
  <c r="Y472" i="1"/>
  <c r="Z472" i="1"/>
  <c r="Z471" i="1"/>
  <c r="Y471" i="1"/>
  <c r="W471" i="1"/>
  <c r="V471" i="1"/>
  <c r="G715" i="2" l="1"/>
  <c r="F715" i="2"/>
  <c r="L667" i="2" l="1"/>
  <c r="L660" i="2"/>
  <c r="L29" i="10" l="1"/>
  <c r="L16" i="10"/>
  <c r="L14" i="10"/>
  <c r="L12" i="10"/>
  <c r="L10" i="10"/>
  <c r="L8" i="10"/>
  <c r="R24" i="10"/>
  <c r="Q24" i="10"/>
  <c r="R16" i="10"/>
  <c r="R14" i="10"/>
  <c r="R12" i="10"/>
  <c r="R10" i="10"/>
  <c r="R8" i="10"/>
  <c r="A10" i="10" l="1"/>
  <c r="Y827" i="2" l="1"/>
  <c r="Z827" i="2"/>
  <c r="AA827" i="2"/>
  <c r="AB827" i="2"/>
  <c r="AC827" i="2"/>
  <c r="AD827" i="2"/>
  <c r="AE827" i="2"/>
  <c r="AF827" i="2"/>
  <c r="Y828" i="2"/>
  <c r="Z828" i="2"/>
  <c r="AA828" i="2"/>
  <c r="AB828" i="2"/>
  <c r="AC828" i="2"/>
  <c r="AD828" i="2"/>
  <c r="AE828" i="2"/>
  <c r="AF828" i="2"/>
  <c r="Z10" i="10" l="1"/>
  <c r="Z12" i="10"/>
  <c r="Z14" i="10"/>
  <c r="Z16" i="10"/>
  <c r="Z8" i="10"/>
  <c r="Y10" i="10"/>
  <c r="Y12" i="10"/>
  <c r="Y14" i="10"/>
  <c r="Y16" i="10"/>
  <c r="Y8" i="10"/>
  <c r="U24" i="10"/>
  <c r="W24" i="10" s="1"/>
  <c r="AE24" i="10" l="1"/>
  <c r="M695" i="2" l="1"/>
  <c r="M688" i="2"/>
  <c r="BM12" i="6" l="1"/>
  <c r="BN13" i="6"/>
  <c r="E26" i="7" l="1"/>
  <c r="M624" i="2" l="1"/>
  <c r="L624" i="2"/>
  <c r="K624" i="2"/>
  <c r="E624" i="2"/>
  <c r="AG467" i="2"/>
  <c r="AH467" i="2" s="1"/>
  <c r="N26" i="10"/>
  <c r="Q25" i="10"/>
  <c r="R25" i="10"/>
  <c r="P25" i="10"/>
  <c r="Y25" i="10" l="1"/>
  <c r="Z25" i="10"/>
  <c r="P26" i="10"/>
  <c r="N632" i="2"/>
  <c r="M632" i="2"/>
  <c r="L632" i="2"/>
  <c r="K632" i="2"/>
  <c r="J632" i="2"/>
  <c r="J633" i="2" s="1"/>
  <c r="I632" i="2"/>
  <c r="I633" i="2" s="1"/>
  <c r="H632" i="2"/>
  <c r="H633" i="2" s="1"/>
  <c r="G632" i="2"/>
  <c r="G633" i="2" s="1"/>
  <c r="F632" i="2"/>
  <c r="F633" i="2" s="1"/>
  <c r="C25" i="10"/>
  <c r="AB10" i="10" l="1"/>
  <c r="AB12" i="10"/>
  <c r="AB14" i="10"/>
  <c r="AB16" i="10"/>
  <c r="Y27" i="10"/>
  <c r="AB8" i="10"/>
  <c r="F634" i="2"/>
  <c r="J634" i="2"/>
  <c r="G634" i="2"/>
  <c r="I634" i="2"/>
  <c r="H634" i="2"/>
  <c r="BM13" i="6"/>
  <c r="M728" i="2" l="1"/>
  <c r="M749" i="2"/>
  <c r="L749" i="2"/>
  <c r="K749" i="2"/>
  <c r="L728" i="2"/>
  <c r="K728" i="2" l="1"/>
  <c r="BL131" i="6"/>
  <c r="L484" i="1"/>
  <c r="K484" i="1"/>
  <c r="J484" i="1"/>
  <c r="I484" i="1"/>
  <c r="H484" i="1"/>
  <c r="BL97" i="6"/>
  <c r="BL91" i="6"/>
  <c r="BL85" i="6"/>
  <c r="BL71" i="6"/>
  <c r="BL64" i="6"/>
  <c r="BL57" i="6"/>
  <c r="BL49" i="6"/>
  <c r="BL42" i="6"/>
  <c r="BL35" i="6"/>
  <c r="BL28" i="6"/>
  <c r="BL21" i="6"/>
  <c r="E110" i="6"/>
  <c r="E103" i="6"/>
  <c r="E78" i="6"/>
  <c r="BF76" i="6"/>
  <c r="BH75" i="6"/>
  <c r="BF73" i="6"/>
  <c r="BA76" i="6"/>
  <c r="BC75" i="6"/>
  <c r="BA73" i="6"/>
  <c r="AV76" i="6"/>
  <c r="AX75" i="6"/>
  <c r="AV73" i="6"/>
  <c r="AQ76" i="6"/>
  <c r="AS75" i="6"/>
  <c r="AQ73" i="6"/>
  <c r="AL76" i="6"/>
  <c r="AN75" i="6"/>
  <c r="AL73" i="6"/>
  <c r="AG76" i="6"/>
  <c r="AI75" i="6"/>
  <c r="AG73" i="6"/>
  <c r="AB76" i="6"/>
  <c r="AD75" i="6"/>
  <c r="AB73" i="6"/>
  <c r="W76" i="6"/>
  <c r="Y75" i="6"/>
  <c r="W73" i="6"/>
  <c r="R76" i="6"/>
  <c r="T75" i="6"/>
  <c r="R73" i="6"/>
  <c r="M76" i="6"/>
  <c r="O75" i="6"/>
  <c r="M73" i="6"/>
  <c r="H76" i="6"/>
  <c r="J75" i="6"/>
  <c r="H73" i="6"/>
  <c r="E75" i="6"/>
  <c r="C77" i="6"/>
  <c r="C76" i="6"/>
  <c r="C73" i="6"/>
  <c r="BF101" i="6"/>
  <c r="BF100" i="6"/>
  <c r="BA101" i="6"/>
  <c r="BA100" i="6"/>
  <c r="AV101" i="6"/>
  <c r="AV100" i="6"/>
  <c r="AQ101" i="6"/>
  <c r="AQ100" i="6"/>
  <c r="AL101" i="6"/>
  <c r="AL100" i="6"/>
  <c r="AG101" i="6"/>
  <c r="AG100" i="6"/>
  <c r="AB101" i="6"/>
  <c r="AB100" i="6"/>
  <c r="W101" i="6"/>
  <c r="W100" i="6"/>
  <c r="R101" i="6"/>
  <c r="R100" i="6"/>
  <c r="M101" i="6"/>
  <c r="M100" i="6"/>
  <c r="H101" i="6"/>
  <c r="H100" i="6"/>
  <c r="C101" i="6"/>
  <c r="C100" i="6"/>
  <c r="AQ96" i="6"/>
  <c r="AQ90" i="6"/>
  <c r="AQ84" i="6"/>
  <c r="AV96" i="6"/>
  <c r="AV90" i="6"/>
  <c r="AV84" i="6"/>
  <c r="BA96" i="6"/>
  <c r="BA90" i="6"/>
  <c r="BA84" i="6"/>
  <c r="BK95" i="6"/>
  <c r="BK94" i="6"/>
  <c r="BK89" i="6"/>
  <c r="BK88" i="6"/>
  <c r="BK83" i="6"/>
  <c r="BK82" i="6"/>
  <c r="BK69" i="6"/>
  <c r="BK70" i="6"/>
  <c r="BK67" i="6"/>
  <c r="BK61" i="6"/>
  <c r="BK62" i="6"/>
  <c r="BK63" i="6"/>
  <c r="BK60" i="6"/>
  <c r="BK54" i="6"/>
  <c r="BL54" i="6"/>
  <c r="BK55" i="6"/>
  <c r="BK56" i="6"/>
  <c r="BK52" i="6"/>
  <c r="BK46" i="6"/>
  <c r="BK47" i="6"/>
  <c r="BK48" i="6"/>
  <c r="BK45" i="6"/>
  <c r="BK40" i="6"/>
  <c r="BK41" i="6"/>
  <c r="BK38" i="6"/>
  <c r="BK32" i="6"/>
  <c r="BK33" i="6"/>
  <c r="BK31" i="6"/>
  <c r="BK26" i="6"/>
  <c r="BK24" i="6"/>
  <c r="BK19" i="6"/>
  <c r="BK17" i="6"/>
  <c r="BF84" i="6"/>
  <c r="BF90" i="6"/>
  <c r="BF96" i="6"/>
  <c r="BF68" i="6"/>
  <c r="BH68" i="6" s="1"/>
  <c r="BF34" i="6"/>
  <c r="BF27" i="6"/>
  <c r="BF25" i="6"/>
  <c r="BH25" i="6" s="1"/>
  <c r="BF20" i="6"/>
  <c r="BF18" i="6"/>
  <c r="BG96" i="6"/>
  <c r="BH95" i="6"/>
  <c r="BH94" i="6"/>
  <c r="BG90" i="6"/>
  <c r="BH89" i="6"/>
  <c r="BH88" i="6"/>
  <c r="BG84" i="6"/>
  <c r="BH83" i="6"/>
  <c r="BH82" i="6"/>
  <c r="BG70" i="6"/>
  <c r="BH70" i="6" s="1"/>
  <c r="BH69" i="6"/>
  <c r="BH67" i="6"/>
  <c r="BG63" i="6"/>
  <c r="BH63" i="6" s="1"/>
  <c r="BH62" i="6"/>
  <c r="BH61" i="6"/>
  <c r="BH60" i="6"/>
  <c r="BG56" i="6"/>
  <c r="BH56" i="6" s="1"/>
  <c r="BH55" i="6"/>
  <c r="BF53" i="6"/>
  <c r="BH53" i="6" s="1"/>
  <c r="BH52" i="6"/>
  <c r="BG48" i="6"/>
  <c r="BH48" i="6" s="1"/>
  <c r="BH47" i="6"/>
  <c r="BH46" i="6"/>
  <c r="BH45" i="6"/>
  <c r="BG41" i="6"/>
  <c r="BH41" i="6" s="1"/>
  <c r="BH40" i="6"/>
  <c r="BF39" i="6"/>
  <c r="BH39" i="6" s="1"/>
  <c r="BH38" i="6"/>
  <c r="BG34" i="6"/>
  <c r="BH33" i="6"/>
  <c r="BH32" i="6"/>
  <c r="BH31" i="6"/>
  <c r="BG27" i="6"/>
  <c r="BH27" i="6" s="1"/>
  <c r="BH26" i="6"/>
  <c r="BH24" i="6"/>
  <c r="BG20" i="6"/>
  <c r="BH19" i="6"/>
  <c r="BH17" i="6"/>
  <c r="BA53" i="6"/>
  <c r="BC53" i="6" s="1"/>
  <c r="BA68" i="6"/>
  <c r="BC68" i="6" s="1"/>
  <c r="BA39" i="6"/>
  <c r="BC39" i="6" s="1"/>
  <c r="BA34" i="6"/>
  <c r="BA27" i="6"/>
  <c r="BA20" i="6"/>
  <c r="BA18" i="6"/>
  <c r="BC18" i="6" s="1"/>
  <c r="BB96" i="6"/>
  <c r="BC95" i="6"/>
  <c r="BC94" i="6"/>
  <c r="BB90" i="6"/>
  <c r="BC89" i="6"/>
  <c r="BC88" i="6"/>
  <c r="BB84" i="6"/>
  <c r="BC83" i="6"/>
  <c r="BC82" i="6"/>
  <c r="BB70" i="6"/>
  <c r="BC70" i="6" s="1"/>
  <c r="BC69" i="6"/>
  <c r="BC67" i="6"/>
  <c r="BB63" i="6"/>
  <c r="BC63" i="6" s="1"/>
  <c r="BC62" i="6"/>
  <c r="BC61" i="6"/>
  <c r="BC60" i="6"/>
  <c r="BB56" i="6"/>
  <c r="BC56" i="6" s="1"/>
  <c r="BC55" i="6"/>
  <c r="BC52" i="6"/>
  <c r="BB48" i="6"/>
  <c r="BC48" i="6" s="1"/>
  <c r="BC47" i="6"/>
  <c r="BC46" i="6"/>
  <c r="BC45" i="6"/>
  <c r="BB41" i="6"/>
  <c r="BC41" i="6" s="1"/>
  <c r="BC40" i="6"/>
  <c r="BC38" i="6"/>
  <c r="BB34" i="6"/>
  <c r="BC33" i="6"/>
  <c r="BC32" i="6"/>
  <c r="BC31" i="6"/>
  <c r="BB27" i="6"/>
  <c r="BC26" i="6"/>
  <c r="BA25" i="6"/>
  <c r="BC25" i="6" s="1"/>
  <c r="BC24" i="6"/>
  <c r="BB20" i="6"/>
  <c r="BC19" i="6"/>
  <c r="BC17" i="6"/>
  <c r="AV68" i="6"/>
  <c r="AX68" i="6" s="1"/>
  <c r="AV53" i="6"/>
  <c r="AX53" i="6" s="1"/>
  <c r="AV39" i="6"/>
  <c r="AX39" i="6" s="1"/>
  <c r="AV27" i="6"/>
  <c r="AV20" i="6"/>
  <c r="AV18" i="6"/>
  <c r="AX18" i="6" s="1"/>
  <c r="AW96" i="6"/>
  <c r="AX95" i="6"/>
  <c r="AX94" i="6"/>
  <c r="AW90" i="6"/>
  <c r="AX89" i="6"/>
  <c r="AX88" i="6"/>
  <c r="AW84" i="6"/>
  <c r="AX83" i="6"/>
  <c r="AX82" i="6"/>
  <c r="AW70" i="6"/>
  <c r="AX70" i="6" s="1"/>
  <c r="AX69" i="6"/>
  <c r="AX67" i="6"/>
  <c r="AW63" i="6"/>
  <c r="AX63" i="6" s="1"/>
  <c r="AX62" i="6"/>
  <c r="AX61" i="6"/>
  <c r="AX60" i="6"/>
  <c r="AW56" i="6"/>
  <c r="AX56" i="6" s="1"/>
  <c r="AX55" i="6"/>
  <c r="AX52" i="6"/>
  <c r="AW48" i="6"/>
  <c r="AX48" i="6" s="1"/>
  <c r="AX47" i="6"/>
  <c r="AX46" i="6"/>
  <c r="AX45" i="6"/>
  <c r="AW41" i="6"/>
  <c r="AX41" i="6" s="1"/>
  <c r="AX40" i="6"/>
  <c r="AX38" i="6"/>
  <c r="AW34" i="6"/>
  <c r="AX34" i="6" s="1"/>
  <c r="AX33" i="6"/>
  <c r="AX32" i="6"/>
  <c r="AX31" i="6"/>
  <c r="AW27" i="6"/>
  <c r="AX26" i="6"/>
  <c r="AV25" i="6"/>
  <c r="AX25" i="6" s="1"/>
  <c r="AX24" i="6"/>
  <c r="AW20" i="6"/>
  <c r="AX19" i="6"/>
  <c r="AX17" i="6"/>
  <c r="AQ68" i="6"/>
  <c r="AS68" i="6" s="1"/>
  <c r="AQ53" i="6"/>
  <c r="AS53" i="6" s="1"/>
  <c r="AQ39" i="6"/>
  <c r="AS39" i="6" s="1"/>
  <c r="AQ27" i="6"/>
  <c r="AQ20" i="6"/>
  <c r="AR96" i="6"/>
  <c r="AS95" i="6"/>
  <c r="AS94" i="6"/>
  <c r="AR90" i="6"/>
  <c r="AS89" i="6"/>
  <c r="AS88" i="6"/>
  <c r="AR84" i="6"/>
  <c r="AS83" i="6"/>
  <c r="AS82" i="6"/>
  <c r="AR70" i="6"/>
  <c r="AS70" i="6" s="1"/>
  <c r="AS69" i="6"/>
  <c r="AS67" i="6"/>
  <c r="AR63" i="6"/>
  <c r="AS63" i="6" s="1"/>
  <c r="AS62" i="6"/>
  <c r="AS61" i="6"/>
  <c r="AS60" i="6"/>
  <c r="AR56" i="6"/>
  <c r="AS56" i="6" s="1"/>
  <c r="AS55" i="6"/>
  <c r="AS52" i="6"/>
  <c r="AR48" i="6"/>
  <c r="AS48" i="6" s="1"/>
  <c r="AS47" i="6"/>
  <c r="AS46" i="6"/>
  <c r="AS45" i="6"/>
  <c r="AR41" i="6"/>
  <c r="AS41" i="6" s="1"/>
  <c r="AS40" i="6"/>
  <c r="AS38" i="6"/>
  <c r="AR34" i="6"/>
  <c r="AS34" i="6" s="1"/>
  <c r="AS33" i="6"/>
  <c r="AS32" i="6"/>
  <c r="AS31" i="6"/>
  <c r="AR27" i="6"/>
  <c r="AS26" i="6"/>
  <c r="AQ25" i="6"/>
  <c r="AS25" i="6" s="1"/>
  <c r="AS24" i="6"/>
  <c r="AR20" i="6"/>
  <c r="AS19" i="6"/>
  <c r="AQ18" i="6"/>
  <c r="AS18" i="6" s="1"/>
  <c r="AS17" i="6"/>
  <c r="AL84" i="6"/>
  <c r="AL90" i="6"/>
  <c r="AL96" i="6"/>
  <c r="AL68" i="6"/>
  <c r="AN68" i="6" s="1"/>
  <c r="AL53" i="6"/>
  <c r="AN53" i="6" s="1"/>
  <c r="AL39" i="6"/>
  <c r="AN39" i="6" s="1"/>
  <c r="AL27" i="6"/>
  <c r="AL20" i="6"/>
  <c r="AL18" i="6"/>
  <c r="AN18" i="6" s="1"/>
  <c r="AM96" i="6"/>
  <c r="AN95" i="6"/>
  <c r="AN94" i="6"/>
  <c r="AM90" i="6"/>
  <c r="AN89" i="6"/>
  <c r="AN88" i="6"/>
  <c r="AM84" i="6"/>
  <c r="AN83" i="6"/>
  <c r="AN82" i="6"/>
  <c r="AM70" i="6"/>
  <c r="AN70" i="6" s="1"/>
  <c r="AN69" i="6"/>
  <c r="AN67" i="6"/>
  <c r="AM63" i="6"/>
  <c r="AN63" i="6" s="1"/>
  <c r="AN62" i="6"/>
  <c r="AN61" i="6"/>
  <c r="AN60" i="6"/>
  <c r="AM56" i="6"/>
  <c r="AN56" i="6" s="1"/>
  <c r="AN55" i="6"/>
  <c r="AN52" i="6"/>
  <c r="AM48" i="6"/>
  <c r="AN48" i="6" s="1"/>
  <c r="AN47" i="6"/>
  <c r="AN46" i="6"/>
  <c r="AN45" i="6"/>
  <c r="AM41" i="6"/>
  <c r="AN41" i="6" s="1"/>
  <c r="AN40" i="6"/>
  <c r="AN38" i="6"/>
  <c r="AM34" i="6"/>
  <c r="AN34" i="6" s="1"/>
  <c r="AN33" i="6"/>
  <c r="AN32" i="6"/>
  <c r="AN31" i="6"/>
  <c r="AM27" i="6"/>
  <c r="AN26" i="6"/>
  <c r="AL25" i="6"/>
  <c r="AN25" i="6" s="1"/>
  <c r="AN24" i="6"/>
  <c r="AM20" i="6"/>
  <c r="AN19" i="6"/>
  <c r="AN17" i="6"/>
  <c r="AG84" i="6"/>
  <c r="AG90" i="6"/>
  <c r="AG96" i="6"/>
  <c r="AG68" i="6"/>
  <c r="AI68" i="6" s="1"/>
  <c r="AG53" i="6"/>
  <c r="AI53" i="6" s="1"/>
  <c r="AG39" i="6"/>
  <c r="AI39" i="6" s="1"/>
  <c r="AG27" i="6"/>
  <c r="AG20" i="6"/>
  <c r="AG18" i="6"/>
  <c r="AI18" i="6" s="1"/>
  <c r="AH96" i="6"/>
  <c r="AI95" i="6"/>
  <c r="AI94" i="6"/>
  <c r="AH90" i="6"/>
  <c r="AI89" i="6"/>
  <c r="AI88" i="6"/>
  <c r="AH84" i="6"/>
  <c r="AI83" i="6"/>
  <c r="AI82" i="6"/>
  <c r="AH70" i="6"/>
  <c r="AI70" i="6" s="1"/>
  <c r="AI69" i="6"/>
  <c r="AI67" i="6"/>
  <c r="AH63" i="6"/>
  <c r="AI63" i="6" s="1"/>
  <c r="AI62" i="6"/>
  <c r="AI61" i="6"/>
  <c r="AI60" i="6"/>
  <c r="AH56" i="6"/>
  <c r="AI56" i="6" s="1"/>
  <c r="AI55" i="6"/>
  <c r="AI52" i="6"/>
  <c r="AH48" i="6"/>
  <c r="AI48" i="6" s="1"/>
  <c r="AI47" i="6"/>
  <c r="AI46" i="6"/>
  <c r="AI45" i="6"/>
  <c r="AH41" i="6"/>
  <c r="AI41" i="6" s="1"/>
  <c r="AI40" i="6"/>
  <c r="AI38" i="6"/>
  <c r="AH34" i="6"/>
  <c r="AI34" i="6" s="1"/>
  <c r="AI33" i="6"/>
  <c r="AI32" i="6"/>
  <c r="AI31" i="6"/>
  <c r="AH27" i="6"/>
  <c r="AI26" i="6"/>
  <c r="AG25" i="6"/>
  <c r="AI25" i="6" s="1"/>
  <c r="AI24" i="6"/>
  <c r="AH20" i="6"/>
  <c r="AI19" i="6"/>
  <c r="AI17" i="6"/>
  <c r="AB84" i="6"/>
  <c r="AB90" i="6"/>
  <c r="AB96" i="6"/>
  <c r="AB68" i="6"/>
  <c r="AD68" i="6" s="1"/>
  <c r="AB53" i="6"/>
  <c r="AD53" i="6" s="1"/>
  <c r="AB39" i="6"/>
  <c r="AD39" i="6" s="1"/>
  <c r="AB27" i="6"/>
  <c r="AB20" i="6"/>
  <c r="AC96" i="6"/>
  <c r="AD95" i="6"/>
  <c r="AD94" i="6"/>
  <c r="AC90" i="6"/>
  <c r="AD89" i="6"/>
  <c r="AD88" i="6"/>
  <c r="AC84" i="6"/>
  <c r="AD83" i="6"/>
  <c r="AD82" i="6"/>
  <c r="AC70" i="6"/>
  <c r="AD70" i="6" s="1"/>
  <c r="AD69" i="6"/>
  <c r="AD67" i="6"/>
  <c r="AC63" i="6"/>
  <c r="AD63" i="6" s="1"/>
  <c r="AD62" i="6"/>
  <c r="AD61" i="6"/>
  <c r="AD60" i="6"/>
  <c r="AC56" i="6"/>
  <c r="AD56" i="6" s="1"/>
  <c r="AD55" i="6"/>
  <c r="AD52" i="6"/>
  <c r="AC48" i="6"/>
  <c r="AD48" i="6" s="1"/>
  <c r="AD47" i="6"/>
  <c r="AD46" i="6"/>
  <c r="AD45" i="6"/>
  <c r="AC41" i="6"/>
  <c r="AD41" i="6" s="1"/>
  <c r="AD40" i="6"/>
  <c r="AD38" i="6"/>
  <c r="AC34" i="6"/>
  <c r="AD34" i="6" s="1"/>
  <c r="AD33" i="6"/>
  <c r="AD32" i="6"/>
  <c r="AD31" i="6"/>
  <c r="AC27" i="6"/>
  <c r="AD26" i="6"/>
  <c r="AB25" i="6"/>
  <c r="AD25" i="6" s="1"/>
  <c r="AD24" i="6"/>
  <c r="AC20" i="6"/>
  <c r="AD19" i="6"/>
  <c r="AB18" i="6"/>
  <c r="AD18" i="6" s="1"/>
  <c r="AD17" i="6"/>
  <c r="W84" i="6"/>
  <c r="W90" i="6"/>
  <c r="W96" i="6"/>
  <c r="W68" i="6"/>
  <c r="Y68" i="6" s="1"/>
  <c r="W53" i="6"/>
  <c r="Y53" i="6" s="1"/>
  <c r="W27" i="6"/>
  <c r="W20" i="6"/>
  <c r="X96" i="6"/>
  <c r="Y95" i="6"/>
  <c r="Y94" i="6"/>
  <c r="X90" i="6"/>
  <c r="Y89" i="6"/>
  <c r="Y88" i="6"/>
  <c r="X84" i="6"/>
  <c r="Y83" i="6"/>
  <c r="Y82" i="6"/>
  <c r="X70" i="6"/>
  <c r="Y70" i="6" s="1"/>
  <c r="Y69" i="6"/>
  <c r="Y67" i="6"/>
  <c r="X63" i="6"/>
  <c r="Y63" i="6" s="1"/>
  <c r="Y62" i="6"/>
  <c r="Y61" i="6"/>
  <c r="Y60" i="6"/>
  <c r="X56" i="6"/>
  <c r="Y56" i="6" s="1"/>
  <c r="Y55" i="6"/>
  <c r="Y52" i="6"/>
  <c r="X48" i="6"/>
  <c r="Y48" i="6" s="1"/>
  <c r="Y47" i="6"/>
  <c r="Y46" i="6"/>
  <c r="Y45" i="6"/>
  <c r="X41" i="6"/>
  <c r="Y41" i="6" s="1"/>
  <c r="Y40" i="6"/>
  <c r="W39" i="6"/>
  <c r="Y39" i="6" s="1"/>
  <c r="Y38" i="6"/>
  <c r="X34" i="6"/>
  <c r="Y34" i="6" s="1"/>
  <c r="Y33" i="6"/>
  <c r="Y32" i="6"/>
  <c r="Y31" i="6"/>
  <c r="X27" i="6"/>
  <c r="Y26" i="6"/>
  <c r="W25" i="6"/>
  <c r="Y24" i="6"/>
  <c r="X20" i="6"/>
  <c r="Y19" i="6"/>
  <c r="W18" i="6"/>
  <c r="Y18" i="6" s="1"/>
  <c r="Y17" i="6"/>
  <c r="R96" i="6"/>
  <c r="R84" i="6"/>
  <c r="R39" i="6"/>
  <c r="T39" i="6" s="1"/>
  <c r="R68" i="6"/>
  <c r="T68" i="6" s="1"/>
  <c r="R27" i="6"/>
  <c r="R20" i="6"/>
  <c r="S96" i="6"/>
  <c r="T95" i="6"/>
  <c r="T94" i="6"/>
  <c r="S90" i="6"/>
  <c r="R90" i="6"/>
  <c r="T89" i="6"/>
  <c r="T88" i="6"/>
  <c r="S84" i="6"/>
  <c r="T83" i="6"/>
  <c r="T82" i="6"/>
  <c r="S70" i="6"/>
  <c r="T70" i="6" s="1"/>
  <c r="T69" i="6"/>
  <c r="T67" i="6"/>
  <c r="S63" i="6"/>
  <c r="T63" i="6" s="1"/>
  <c r="T62" i="6"/>
  <c r="T61" i="6"/>
  <c r="T60" i="6"/>
  <c r="S56" i="6"/>
  <c r="T56" i="6" s="1"/>
  <c r="T55" i="6"/>
  <c r="T53" i="6"/>
  <c r="T52" i="6"/>
  <c r="S48" i="6"/>
  <c r="T48" i="6" s="1"/>
  <c r="T47" i="6"/>
  <c r="T46" i="6"/>
  <c r="T45" i="6"/>
  <c r="S41" i="6"/>
  <c r="T41" i="6" s="1"/>
  <c r="T40" i="6"/>
  <c r="T38" i="6"/>
  <c r="S34" i="6"/>
  <c r="T34" i="6" s="1"/>
  <c r="T33" i="6"/>
  <c r="T32" i="6"/>
  <c r="T31" i="6"/>
  <c r="S27" i="6"/>
  <c r="T26" i="6"/>
  <c r="R25" i="6"/>
  <c r="T25" i="6" s="1"/>
  <c r="T24" i="6"/>
  <c r="S20" i="6"/>
  <c r="T19" i="6"/>
  <c r="R18" i="6"/>
  <c r="T18" i="6" s="1"/>
  <c r="T17" i="6"/>
  <c r="M96" i="6"/>
  <c r="O95" i="6"/>
  <c r="O94" i="6"/>
  <c r="M90" i="6"/>
  <c r="O89" i="6"/>
  <c r="O88" i="6"/>
  <c r="M84" i="6"/>
  <c r="O83" i="6"/>
  <c r="O82" i="6"/>
  <c r="O70" i="6"/>
  <c r="O69" i="6"/>
  <c r="M68" i="6"/>
  <c r="O68" i="6" s="1"/>
  <c r="O67" i="6"/>
  <c r="O63" i="6"/>
  <c r="O62" i="6"/>
  <c r="O61" i="6"/>
  <c r="O60" i="6"/>
  <c r="O56" i="6"/>
  <c r="O55" i="6"/>
  <c r="O53" i="6"/>
  <c r="O52" i="6"/>
  <c r="O48" i="6"/>
  <c r="O47" i="6"/>
  <c r="O46" i="6"/>
  <c r="O45" i="6"/>
  <c r="O41" i="6"/>
  <c r="O40" i="6"/>
  <c r="M39" i="6"/>
  <c r="O39" i="6" s="1"/>
  <c r="O38" i="6"/>
  <c r="O34" i="6"/>
  <c r="O33" i="6"/>
  <c r="O32" i="6"/>
  <c r="O31" i="6"/>
  <c r="O27" i="6"/>
  <c r="O26" i="6"/>
  <c r="M25" i="6"/>
  <c r="O25" i="6" s="1"/>
  <c r="O24" i="6"/>
  <c r="M20" i="6"/>
  <c r="M77" i="6" s="1"/>
  <c r="O19" i="6"/>
  <c r="M18" i="6"/>
  <c r="O18" i="6" s="1"/>
  <c r="O17" i="6"/>
  <c r="H96" i="6"/>
  <c r="H68" i="6"/>
  <c r="J68" i="6" s="1"/>
  <c r="H39" i="6"/>
  <c r="J39" i="6" s="1"/>
  <c r="H25" i="6"/>
  <c r="J25" i="6" s="1"/>
  <c r="H20" i="6"/>
  <c r="H77" i="6" s="1"/>
  <c r="H18" i="6"/>
  <c r="J18" i="6" s="1"/>
  <c r="J95" i="6"/>
  <c r="J94" i="6"/>
  <c r="H90" i="6"/>
  <c r="J89" i="6"/>
  <c r="J88" i="6"/>
  <c r="H84" i="6"/>
  <c r="J83" i="6"/>
  <c r="J82" i="6"/>
  <c r="C96" i="6"/>
  <c r="D96" i="6"/>
  <c r="E95" i="6"/>
  <c r="E94" i="6"/>
  <c r="C90" i="6"/>
  <c r="D90" i="6"/>
  <c r="E89" i="6"/>
  <c r="E88" i="6"/>
  <c r="C84" i="6"/>
  <c r="D84" i="6"/>
  <c r="E83" i="6"/>
  <c r="E82" i="6"/>
  <c r="J70" i="6"/>
  <c r="J69" i="6"/>
  <c r="J67" i="6"/>
  <c r="J63" i="6"/>
  <c r="J62" i="6"/>
  <c r="J61" i="6"/>
  <c r="J60" i="6"/>
  <c r="J56" i="6"/>
  <c r="J55" i="6"/>
  <c r="J53" i="6"/>
  <c r="J52" i="6"/>
  <c r="J48" i="6"/>
  <c r="J47" i="6"/>
  <c r="J46" i="6"/>
  <c r="J45" i="6"/>
  <c r="J41" i="6"/>
  <c r="J40" i="6"/>
  <c r="J38" i="6"/>
  <c r="J34" i="6"/>
  <c r="J33" i="6"/>
  <c r="J32" i="6"/>
  <c r="J31" i="6"/>
  <c r="J27" i="6"/>
  <c r="J26" i="6"/>
  <c r="J24" i="6"/>
  <c r="J19" i="6"/>
  <c r="J17" i="6"/>
  <c r="C68" i="6"/>
  <c r="E68" i="6" s="1"/>
  <c r="D70" i="6"/>
  <c r="E70" i="6" s="1"/>
  <c r="E69" i="6"/>
  <c r="E67" i="6"/>
  <c r="D63" i="6"/>
  <c r="E63" i="6" s="1"/>
  <c r="E62" i="6"/>
  <c r="E61" i="6"/>
  <c r="E60" i="6"/>
  <c r="D56" i="6"/>
  <c r="E56" i="6" s="1"/>
  <c r="E55" i="6"/>
  <c r="E53" i="6"/>
  <c r="E52" i="6"/>
  <c r="D48" i="6"/>
  <c r="E48" i="6" s="1"/>
  <c r="E47" i="6"/>
  <c r="E46" i="6"/>
  <c r="E45" i="6"/>
  <c r="C39" i="6"/>
  <c r="E39" i="6" s="1"/>
  <c r="D41" i="6"/>
  <c r="E41" i="6" s="1"/>
  <c r="E40" i="6"/>
  <c r="E38" i="6"/>
  <c r="D34" i="6"/>
  <c r="E34" i="6" s="1"/>
  <c r="E33" i="6"/>
  <c r="E32" i="6"/>
  <c r="E31" i="6"/>
  <c r="C25" i="6"/>
  <c r="E25" i="6" s="1"/>
  <c r="D27" i="6"/>
  <c r="E27" i="6" s="1"/>
  <c r="E26" i="6"/>
  <c r="E24" i="6"/>
  <c r="E19" i="6"/>
  <c r="E17" i="6"/>
  <c r="D20" i="6"/>
  <c r="E20" i="6" s="1"/>
  <c r="C18" i="6"/>
  <c r="E18" i="6" s="1"/>
  <c r="BK34" i="6" l="1"/>
  <c r="BC20" i="6"/>
  <c r="Y96" i="6"/>
  <c r="BC96" i="6"/>
  <c r="BF77" i="6"/>
  <c r="R77" i="6"/>
  <c r="J101" i="6"/>
  <c r="T96" i="6"/>
  <c r="AQ77" i="6"/>
  <c r="AB102" i="6"/>
  <c r="AN76" i="6"/>
  <c r="AS76" i="6"/>
  <c r="E74" i="6"/>
  <c r="AS73" i="6"/>
  <c r="O100" i="6"/>
  <c r="R102" i="6"/>
  <c r="BA77" i="6"/>
  <c r="AN73" i="6"/>
  <c r="W77" i="6"/>
  <c r="AG102" i="6"/>
  <c r="AN84" i="6"/>
  <c r="AX74" i="6"/>
  <c r="E77" i="6"/>
  <c r="J76" i="6"/>
  <c r="O73" i="6"/>
  <c r="AD76" i="6"/>
  <c r="AB77" i="6"/>
  <c r="AI73" i="6"/>
  <c r="AX84" i="6"/>
  <c r="AV77" i="6"/>
  <c r="BC73" i="6"/>
  <c r="BH76" i="6"/>
  <c r="O74" i="6"/>
  <c r="Y76" i="6"/>
  <c r="Y100" i="6"/>
  <c r="W102" i="6"/>
  <c r="AI76" i="6"/>
  <c r="AI74" i="6"/>
  <c r="AX73" i="6"/>
  <c r="BC100" i="6"/>
  <c r="BH100" i="6"/>
  <c r="AQ102" i="6"/>
  <c r="E73" i="6"/>
  <c r="H102" i="6"/>
  <c r="E76" i="6"/>
  <c r="J73" i="6"/>
  <c r="J74" i="6"/>
  <c r="O76" i="6"/>
  <c r="O101" i="6"/>
  <c r="T76" i="6"/>
  <c r="Y101" i="6"/>
  <c r="AD73" i="6"/>
  <c r="AN74" i="6"/>
  <c r="AS74" i="6"/>
  <c r="AX76" i="6"/>
  <c r="BH73" i="6"/>
  <c r="BF74" i="6"/>
  <c r="E100" i="6"/>
  <c r="AD74" i="6"/>
  <c r="BC74" i="6"/>
  <c r="M102" i="6"/>
  <c r="Y73" i="6"/>
  <c r="BA102" i="6"/>
  <c r="T73" i="6"/>
  <c r="AL77" i="6"/>
  <c r="BH20" i="6"/>
  <c r="C74" i="6"/>
  <c r="T74" i="6"/>
  <c r="AG77" i="6"/>
  <c r="BC76" i="6"/>
  <c r="T100" i="6"/>
  <c r="AS100" i="6"/>
  <c r="BC101" i="6"/>
  <c r="BH101" i="6"/>
  <c r="BF102" i="6"/>
  <c r="H74" i="6"/>
  <c r="AV74" i="6"/>
  <c r="BL53" i="6"/>
  <c r="E101" i="6"/>
  <c r="T101" i="6"/>
  <c r="AI100" i="6"/>
  <c r="AN101" i="6"/>
  <c r="AL102" i="6"/>
  <c r="AS101" i="6"/>
  <c r="BH84" i="6"/>
  <c r="M74" i="6"/>
  <c r="BA74" i="6"/>
  <c r="AQ74" i="6"/>
  <c r="AN100" i="6"/>
  <c r="AD96" i="6"/>
  <c r="AI101" i="6"/>
  <c r="AS84" i="6"/>
  <c r="R74" i="6"/>
  <c r="C102" i="6"/>
  <c r="Y90" i="6"/>
  <c r="AX100" i="6"/>
  <c r="BH34" i="6"/>
  <c r="W74" i="6"/>
  <c r="J100" i="6"/>
  <c r="O90" i="6"/>
  <c r="AD100" i="6"/>
  <c r="AX101" i="6"/>
  <c r="AV102" i="6"/>
  <c r="AB74" i="6"/>
  <c r="T90" i="6"/>
  <c r="AD101" i="6"/>
  <c r="AG74" i="6"/>
  <c r="AL74" i="6"/>
  <c r="BL31" i="6"/>
  <c r="BL45" i="6"/>
  <c r="BL60" i="6"/>
  <c r="BL61" i="6"/>
  <c r="BL17" i="6"/>
  <c r="BL47" i="6"/>
  <c r="AS96" i="6"/>
  <c r="BL38" i="6"/>
  <c r="BL52" i="6"/>
  <c r="Y84" i="6"/>
  <c r="AD27" i="6"/>
  <c r="BL32" i="6"/>
  <c r="BL46" i="6"/>
  <c r="AI84" i="6"/>
  <c r="AN96" i="6"/>
  <c r="AN90" i="6"/>
  <c r="BL33" i="6"/>
  <c r="AI27" i="6"/>
  <c r="BC27" i="6"/>
  <c r="BH90" i="6"/>
  <c r="BL48" i="6"/>
  <c r="BL63" i="6"/>
  <c r="BL88" i="6"/>
  <c r="AN20" i="6"/>
  <c r="AS90" i="6"/>
  <c r="BL24" i="6"/>
  <c r="BL67" i="6"/>
  <c r="O84" i="6"/>
  <c r="BL26" i="6"/>
  <c r="BL40" i="6"/>
  <c r="BL69" i="6"/>
  <c r="BK27" i="6"/>
  <c r="BL41" i="6"/>
  <c r="BL55" i="6"/>
  <c r="BL70" i="6"/>
  <c r="BL19" i="6"/>
  <c r="AD20" i="6"/>
  <c r="BL62" i="6"/>
  <c r="BL39" i="6"/>
  <c r="BL56" i="6"/>
  <c r="BL68" i="6"/>
  <c r="AN27" i="6"/>
  <c r="AX20" i="6"/>
  <c r="BK25" i="6"/>
  <c r="BK39" i="6"/>
  <c r="O20" i="6"/>
  <c r="O77" i="6" s="1"/>
  <c r="AI90" i="6"/>
  <c r="AX27" i="6"/>
  <c r="AD90" i="6"/>
  <c r="BC34" i="6"/>
  <c r="BK20" i="6"/>
  <c r="BK53" i="6"/>
  <c r="BK68" i="6"/>
  <c r="AX90" i="6"/>
  <c r="BK18" i="6"/>
  <c r="O96" i="6"/>
  <c r="T27" i="6"/>
  <c r="BL94" i="6"/>
  <c r="BL89" i="6"/>
  <c r="AX96" i="6"/>
  <c r="BL95" i="6"/>
  <c r="BK90" i="6"/>
  <c r="BK84" i="6"/>
  <c r="BK96" i="6"/>
  <c r="BC90" i="6"/>
  <c r="BL83" i="6"/>
  <c r="BC84" i="6"/>
  <c r="BL82" i="6"/>
  <c r="BH96" i="6"/>
  <c r="BH18" i="6"/>
  <c r="BH74" i="6" s="1"/>
  <c r="AS27" i="6"/>
  <c r="AS20" i="6"/>
  <c r="AI96" i="6"/>
  <c r="AI20" i="6"/>
  <c r="AI77" i="6" s="1"/>
  <c r="AD84" i="6"/>
  <c r="Y27" i="6"/>
  <c r="Y20" i="6"/>
  <c r="Y25" i="6"/>
  <c r="T84" i="6"/>
  <c r="T20" i="6"/>
  <c r="J90" i="6"/>
  <c r="J84" i="6"/>
  <c r="J96" i="6"/>
  <c r="J20" i="6"/>
  <c r="J77" i="6" s="1"/>
  <c r="E84" i="6"/>
  <c r="E96" i="6"/>
  <c r="E90" i="6"/>
  <c r="AG469" i="2"/>
  <c r="AH469" i="2" s="1"/>
  <c r="AG470" i="2"/>
  <c r="AH470" i="2" s="1"/>
  <c r="BL34" i="6" l="1"/>
  <c r="T102" i="6"/>
  <c r="Y102" i="6"/>
  <c r="BH77" i="6"/>
  <c r="AX102" i="6"/>
  <c r="Y77" i="6"/>
  <c r="AX77" i="6"/>
  <c r="AS102" i="6"/>
  <c r="T77" i="6"/>
  <c r="AS77" i="6"/>
  <c r="AN77" i="6"/>
  <c r="AN102" i="6"/>
  <c r="E102" i="6"/>
  <c r="AD77" i="6"/>
  <c r="BL25" i="6"/>
  <c r="Y74" i="6"/>
  <c r="BH102" i="6"/>
  <c r="BC77" i="6"/>
  <c r="AD102" i="6"/>
  <c r="BC102" i="6"/>
  <c r="O102" i="6"/>
  <c r="J102" i="6"/>
  <c r="AI102" i="6"/>
  <c r="BL27" i="6"/>
  <c r="BL18" i="6"/>
  <c r="BL84" i="6"/>
  <c r="L763" i="2" s="1"/>
  <c r="BL96" i="6"/>
  <c r="BL90" i="6"/>
  <c r="K763" i="2" s="1"/>
  <c r="BL20" i="6"/>
  <c r="AF468" i="2"/>
  <c r="AE468" i="2"/>
  <c r="AD468" i="2"/>
  <c r="AC468" i="2"/>
  <c r="AB468" i="2"/>
  <c r="AA468" i="2"/>
  <c r="Z468" i="2"/>
  <c r="Y468" i="2"/>
  <c r="X468" i="2"/>
  <c r="W468" i="2"/>
  <c r="V468" i="2"/>
  <c r="U468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AG466" i="2"/>
  <c r="AH466" i="2" s="1"/>
  <c r="E8" i="10"/>
  <c r="E10" i="10"/>
  <c r="AG468" i="2" l="1"/>
  <c r="AH468" i="2" s="1"/>
  <c r="M623" i="2"/>
  <c r="M804" i="2" s="1"/>
  <c r="L623" i="2"/>
  <c r="L804" i="2" s="1"/>
  <c r="K623" i="2"/>
  <c r="K804" i="2" s="1"/>
  <c r="M622" i="2"/>
  <c r="M797" i="2" s="1"/>
  <c r="L622" i="2"/>
  <c r="L797" i="2" s="1"/>
  <c r="K622" i="2"/>
  <c r="K797" i="2" s="1"/>
  <c r="N620" i="2"/>
  <c r="M620" i="2"/>
  <c r="B24" i="10" l="1"/>
  <c r="B22" i="10"/>
  <c r="B20" i="10"/>
  <c r="C22" i="8" s="1"/>
  <c r="E22" i="8" s="1"/>
  <c r="B18" i="10"/>
  <c r="C20" i="8" s="1"/>
  <c r="E20" i="8" s="1"/>
  <c r="B16" i="10"/>
  <c r="C18" i="8" s="1"/>
  <c r="E18" i="8" s="1"/>
  <c r="B14" i="10"/>
  <c r="C16" i="8" s="1"/>
  <c r="E16" i="8" s="1"/>
  <c r="B12" i="10"/>
  <c r="C14" i="8" s="1"/>
  <c r="E14" i="8" s="1"/>
  <c r="B10" i="10"/>
  <c r="C12" i="8" s="1"/>
  <c r="E12" i="8" s="1"/>
  <c r="B8" i="10"/>
  <c r="C10" i="8" s="1"/>
  <c r="A22" i="10"/>
  <c r="C99" i="10"/>
  <c r="D99" i="10"/>
  <c r="E99" i="10"/>
  <c r="F99" i="10"/>
  <c r="G99" i="10"/>
  <c r="H99" i="10"/>
  <c r="I99" i="10"/>
  <c r="J99" i="10"/>
  <c r="K99" i="10"/>
  <c r="L99" i="10"/>
  <c r="M99" i="10"/>
  <c r="B99" i="10"/>
  <c r="E10" i="8" l="1"/>
  <c r="M627" i="2"/>
  <c r="C24" i="7"/>
  <c r="C24" i="8"/>
  <c r="E24" i="8" s="1"/>
  <c r="N627" i="2"/>
  <c r="C26" i="8"/>
  <c r="E26" i="8" s="1"/>
  <c r="C90" i="10"/>
  <c r="D90" i="10"/>
  <c r="E90" i="10"/>
  <c r="F90" i="10"/>
  <c r="G90" i="10"/>
  <c r="H90" i="10"/>
  <c r="I90" i="10"/>
  <c r="J90" i="10"/>
  <c r="K90" i="10"/>
  <c r="L90" i="10"/>
  <c r="M90" i="10"/>
  <c r="B90" i="10"/>
  <c r="C27" i="8" l="1"/>
  <c r="E27" i="8"/>
  <c r="F10" i="8"/>
  <c r="F26" i="8"/>
  <c r="N612" i="2" s="1"/>
  <c r="C81" i="10"/>
  <c r="D81" i="10"/>
  <c r="E81" i="10"/>
  <c r="F81" i="10"/>
  <c r="G81" i="10"/>
  <c r="H81" i="10"/>
  <c r="I81" i="10"/>
  <c r="J81" i="10"/>
  <c r="K81" i="10"/>
  <c r="L81" i="10"/>
  <c r="M81" i="10"/>
  <c r="B81" i="10"/>
  <c r="F12" i="8" l="1"/>
  <c r="F27" i="8" s="1"/>
  <c r="F20" i="8"/>
  <c r="F16" i="8"/>
  <c r="F14" i="8"/>
  <c r="F22" i="8"/>
  <c r="F18" i="8"/>
  <c r="F24" i="8"/>
  <c r="P102" i="10"/>
  <c r="K22" i="10" s="1"/>
  <c r="M637" i="2" s="1"/>
  <c r="N102" i="10"/>
  <c r="O102" i="10" s="1"/>
  <c r="M96" i="10"/>
  <c r="L96" i="10"/>
  <c r="L97" i="10" s="1"/>
  <c r="K96" i="10"/>
  <c r="K97" i="10" s="1"/>
  <c r="J96" i="10"/>
  <c r="I96" i="10"/>
  <c r="I97" i="10" s="1"/>
  <c r="H96" i="10"/>
  <c r="G96" i="10"/>
  <c r="F96" i="10"/>
  <c r="E96" i="10"/>
  <c r="D96" i="10"/>
  <c r="D97" i="10" s="1"/>
  <c r="C96" i="10"/>
  <c r="B96" i="10"/>
  <c r="N95" i="10"/>
  <c r="C101" i="10" l="1"/>
  <c r="C97" i="10"/>
  <c r="E101" i="10"/>
  <c r="E97" i="10"/>
  <c r="I101" i="10"/>
  <c r="O95" i="10"/>
  <c r="D22" i="10"/>
  <c r="M621" i="2" s="1"/>
  <c r="B101" i="10"/>
  <c r="B97" i="10"/>
  <c r="F101" i="10"/>
  <c r="F97" i="10"/>
  <c r="G101" i="10"/>
  <c r="G97" i="10"/>
  <c r="K101" i="10"/>
  <c r="J101" i="10"/>
  <c r="J97" i="10"/>
  <c r="M101" i="10"/>
  <c r="M97" i="10"/>
  <c r="H101" i="10"/>
  <c r="H97" i="10"/>
  <c r="D101" i="10"/>
  <c r="L101" i="10"/>
  <c r="Q100" i="10"/>
  <c r="G22" i="10" s="1"/>
  <c r="M641" i="2" s="1"/>
  <c r="P98" i="10" l="1"/>
  <c r="J22" i="10" s="1"/>
  <c r="M638" i="2" s="1"/>
  <c r="N98" i="10"/>
  <c r="N100" i="10"/>
  <c r="F22" i="10" s="1"/>
  <c r="M640" i="2" s="1"/>
  <c r="M658" i="2" l="1"/>
  <c r="M776" i="2"/>
  <c r="M733" i="2"/>
  <c r="O100" i="10"/>
  <c r="N99" i="10"/>
  <c r="O98" i="10"/>
  <c r="I22" i="10" s="1"/>
  <c r="N97" i="10"/>
  <c r="R100" i="10"/>
  <c r="H22" i="10" s="1"/>
  <c r="M642" i="2" s="1"/>
  <c r="C72" i="10" l="1"/>
  <c r="D72" i="10"/>
  <c r="E72" i="10"/>
  <c r="F72" i="10"/>
  <c r="G72" i="10"/>
  <c r="H72" i="10"/>
  <c r="I72" i="10"/>
  <c r="J72" i="10"/>
  <c r="K72" i="10"/>
  <c r="L72" i="10"/>
  <c r="M72" i="10"/>
  <c r="B72" i="10"/>
  <c r="C63" i="10"/>
  <c r="D63" i="10"/>
  <c r="E63" i="10"/>
  <c r="F63" i="10"/>
  <c r="G63" i="10"/>
  <c r="H63" i="10"/>
  <c r="I63" i="10"/>
  <c r="J63" i="10"/>
  <c r="K63" i="10"/>
  <c r="L63" i="10"/>
  <c r="M63" i="10"/>
  <c r="B63" i="10"/>
  <c r="C54" i="10"/>
  <c r="D54" i="10"/>
  <c r="E54" i="10"/>
  <c r="F54" i="10"/>
  <c r="G54" i="10"/>
  <c r="H54" i="10"/>
  <c r="I54" i="10"/>
  <c r="J54" i="10"/>
  <c r="K54" i="10"/>
  <c r="L54" i="10"/>
  <c r="M54" i="10"/>
  <c r="B54" i="10"/>
  <c r="C45" i="10"/>
  <c r="D45" i="10"/>
  <c r="E45" i="10"/>
  <c r="F45" i="10"/>
  <c r="G45" i="10"/>
  <c r="H45" i="10"/>
  <c r="I45" i="10"/>
  <c r="J45" i="10"/>
  <c r="K45" i="10"/>
  <c r="L45" i="10"/>
  <c r="M45" i="10"/>
  <c r="B45" i="10"/>
  <c r="B36" i="10"/>
  <c r="N32" i="10" l="1"/>
  <c r="BL123" i="6" l="1"/>
  <c r="BL129" i="6" s="1"/>
  <c r="BL75" i="6"/>
  <c r="BL108" i="6"/>
  <c r="BL109" i="6"/>
  <c r="BL110" i="6"/>
  <c r="BL111" i="6"/>
  <c r="BL115" i="6"/>
  <c r="BL116" i="6"/>
  <c r="BL117" i="6"/>
  <c r="BL118" i="6"/>
  <c r="BK73" i="6"/>
  <c r="BK76" i="6"/>
  <c r="BK100" i="6"/>
  <c r="BK101" i="6"/>
  <c r="BK117" i="6"/>
  <c r="BK12" i="6"/>
  <c r="BK13" i="6"/>
  <c r="BF105" i="6"/>
  <c r="BH119" i="6"/>
  <c r="BH13" i="6"/>
  <c r="BH12" i="6"/>
  <c r="BH11" i="6"/>
  <c r="BC119" i="6"/>
  <c r="BC13" i="6"/>
  <c r="BC12" i="6"/>
  <c r="BC11" i="6"/>
  <c r="AX119" i="6"/>
  <c r="AX13" i="6"/>
  <c r="AX12" i="6"/>
  <c r="AX11" i="6"/>
  <c r="AS119" i="6"/>
  <c r="AS13" i="6"/>
  <c r="AS12" i="6"/>
  <c r="AS11" i="6"/>
  <c r="AL105" i="6"/>
  <c r="AN119" i="6"/>
  <c r="AN13" i="6"/>
  <c r="AN12" i="6"/>
  <c r="AN11" i="6"/>
  <c r="AG105" i="6"/>
  <c r="AI119" i="6"/>
  <c r="AI13" i="6"/>
  <c r="AI12" i="6"/>
  <c r="AI11" i="6"/>
  <c r="AB105" i="6"/>
  <c r="AD119" i="6"/>
  <c r="AD13" i="6"/>
  <c r="AD12" i="6"/>
  <c r="AD11" i="6"/>
  <c r="W105" i="6"/>
  <c r="Y119" i="6"/>
  <c r="Y13" i="6"/>
  <c r="Y12" i="6"/>
  <c r="Y11" i="6"/>
  <c r="H105" i="6"/>
  <c r="M105" i="6"/>
  <c r="R106" i="6" l="1"/>
  <c r="BA106" i="6"/>
  <c r="BH105" i="6"/>
  <c r="M106" i="6"/>
  <c r="BF106" i="6"/>
  <c r="BH106" i="6"/>
  <c r="BC105" i="6"/>
  <c r="BA105" i="6"/>
  <c r="AV106" i="6"/>
  <c r="AX105" i="6"/>
  <c r="AV105" i="6"/>
  <c r="AQ106" i="6"/>
  <c r="AS105" i="6"/>
  <c r="AQ105" i="6"/>
  <c r="AL106" i="6"/>
  <c r="AN105" i="6"/>
  <c r="AG106" i="6"/>
  <c r="AI105" i="6"/>
  <c r="AB106" i="6"/>
  <c r="AD105" i="6"/>
  <c r="W106" i="6"/>
  <c r="Y105" i="6"/>
  <c r="AX106" i="6" l="1"/>
  <c r="AX113" i="6" s="1"/>
  <c r="AX121" i="6" s="1"/>
  <c r="AX125" i="6" s="1"/>
  <c r="BH113" i="6"/>
  <c r="BH121" i="6" s="1"/>
  <c r="BH125" i="6" s="1"/>
  <c r="BC106" i="6"/>
  <c r="BC113" i="6" s="1"/>
  <c r="BC121" i="6" s="1"/>
  <c r="BC125" i="6" s="1"/>
  <c r="AD106" i="6"/>
  <c r="AD113" i="6" s="1"/>
  <c r="AD121" i="6" s="1"/>
  <c r="AD125" i="6" s="1"/>
  <c r="Y106" i="6"/>
  <c r="Y113" i="6" s="1"/>
  <c r="Y121" i="6" s="1"/>
  <c r="Y125" i="6" s="1"/>
  <c r="AN106" i="6"/>
  <c r="AN113" i="6" s="1"/>
  <c r="AN121" i="6" s="1"/>
  <c r="AN125" i="6" s="1"/>
  <c r="AS106" i="6"/>
  <c r="AS113" i="6" s="1"/>
  <c r="AS121" i="6" s="1"/>
  <c r="AS125" i="6" s="1"/>
  <c r="AI106" i="6"/>
  <c r="AI113" i="6" s="1"/>
  <c r="AI121" i="6" s="1"/>
  <c r="AI125" i="6" s="1"/>
  <c r="BL77" i="6" l="1"/>
  <c r="BL78" i="6" s="1"/>
  <c r="BK77" i="6"/>
  <c r="H106" i="6"/>
  <c r="BL102" i="6"/>
  <c r="BL103" i="6" s="1"/>
  <c r="BK102" i="6"/>
  <c r="C106" i="6"/>
  <c r="BK106" i="6" l="1"/>
  <c r="F202" i="1"/>
  <c r="F200" i="1"/>
  <c r="F182" i="1"/>
  <c r="R105" i="6" l="1"/>
  <c r="T119" i="6" l="1"/>
  <c r="T13" i="6"/>
  <c r="T12" i="6"/>
  <c r="T11" i="6"/>
  <c r="O119" i="6"/>
  <c r="J119" i="6"/>
  <c r="E119" i="6"/>
  <c r="O13" i="6"/>
  <c r="O12" i="6"/>
  <c r="O11" i="6"/>
  <c r="J13" i="6"/>
  <c r="J12" i="6"/>
  <c r="J11" i="6"/>
  <c r="E12" i="6"/>
  <c r="BL76" i="6" l="1"/>
  <c r="M763" i="2" s="1"/>
  <c r="BL100" i="6"/>
  <c r="BL101" i="6"/>
  <c r="BL12" i="6"/>
  <c r="BL73" i="6"/>
  <c r="BL119" i="6"/>
  <c r="T106" i="6"/>
  <c r="T105" i="6"/>
  <c r="O106" i="6"/>
  <c r="J105" i="6"/>
  <c r="C105" i="6"/>
  <c r="BK105" i="6" s="1"/>
  <c r="BK74" i="6"/>
  <c r="J106" i="6"/>
  <c r="O105" i="6"/>
  <c r="BL74" i="6"/>
  <c r="J113" i="6" l="1"/>
  <c r="J121" i="6" s="1"/>
  <c r="J125" i="6" s="1"/>
  <c r="O113" i="6"/>
  <c r="O121" i="6" s="1"/>
  <c r="O125" i="6" s="1"/>
  <c r="T113" i="6"/>
  <c r="T121" i="6" s="1"/>
  <c r="T125" i="6" s="1"/>
  <c r="F400" i="1" l="1"/>
  <c r="F396" i="1"/>
  <c r="F348" i="1" l="1"/>
  <c r="F346" i="1"/>
  <c r="F343" i="1"/>
  <c r="F329" i="1"/>
  <c r="H47" i="1" l="1"/>
  <c r="I47" i="1"/>
  <c r="J47" i="1"/>
  <c r="K47" i="1"/>
  <c r="L47" i="1"/>
  <c r="M47" i="1"/>
  <c r="N47" i="1"/>
  <c r="P47" i="1"/>
  <c r="R47" i="1"/>
  <c r="T47" i="1"/>
  <c r="V47" i="1"/>
  <c r="W47" i="1"/>
  <c r="Y47" i="1"/>
  <c r="Z47" i="1"/>
  <c r="AB47" i="1"/>
  <c r="AC47" i="1"/>
  <c r="AE47" i="1"/>
  <c r="AF47" i="1"/>
  <c r="AH47" i="1"/>
  <c r="AJ47" i="1"/>
  <c r="AL47" i="1"/>
  <c r="AN47" i="1"/>
  <c r="H48" i="1"/>
  <c r="I48" i="1"/>
  <c r="J48" i="1"/>
  <c r="K48" i="1"/>
  <c r="L48" i="1"/>
  <c r="M48" i="1"/>
  <c r="N48" i="1"/>
  <c r="P48" i="1"/>
  <c r="R48" i="1"/>
  <c r="T48" i="1"/>
  <c r="V48" i="1"/>
  <c r="W48" i="1"/>
  <c r="Y48" i="1"/>
  <c r="Z48" i="1"/>
  <c r="AB48" i="1"/>
  <c r="AC48" i="1"/>
  <c r="AE48" i="1"/>
  <c r="AF48" i="1"/>
  <c r="AH48" i="1"/>
  <c r="AJ48" i="1"/>
  <c r="AL48" i="1"/>
  <c r="AN48" i="1"/>
  <c r="AO48" i="1" l="1"/>
  <c r="AP48" i="1" s="1"/>
  <c r="AO47" i="1"/>
  <c r="AP47" i="1" s="1"/>
  <c r="L620" i="2"/>
  <c r="K620" i="2"/>
  <c r="J620" i="2"/>
  <c r="I620" i="2"/>
  <c r="I799" i="2" l="1"/>
  <c r="I785" i="2"/>
  <c r="L627" i="2" l="1"/>
  <c r="A20" i="10"/>
  <c r="K627" i="2"/>
  <c r="J627" i="2"/>
  <c r="E13" i="6" l="1"/>
  <c r="BK11" i="6"/>
  <c r="E11" i="6"/>
  <c r="E105" i="6" s="1"/>
  <c r="BL105" i="6" s="1"/>
  <c r="E106" i="6" l="1"/>
  <c r="BL106" i="6" s="1"/>
  <c r="BL13" i="6"/>
  <c r="BL11" i="6"/>
  <c r="E113" i="6" l="1"/>
  <c r="E121" i="6" s="1"/>
  <c r="E125" i="6" s="1"/>
  <c r="BL113" i="6" l="1"/>
  <c r="BL121" i="6"/>
  <c r="BL125" i="6" s="1"/>
  <c r="M484" i="1" s="1"/>
  <c r="AG576" i="2"/>
  <c r="J785" i="2" l="1"/>
  <c r="J806" i="2" l="1"/>
  <c r="AG763" i="2"/>
  <c r="N496" i="1"/>
  <c r="C22" i="7" l="1"/>
  <c r="E22" i="7" s="1"/>
  <c r="E24" i="7" l="1"/>
  <c r="C20" i="7"/>
  <c r="E20" i="7" s="1"/>
  <c r="C18" i="7"/>
  <c r="E18" i="7" s="1"/>
  <c r="C14" i="7"/>
  <c r="E14" i="7" s="1"/>
  <c r="C12" i="7"/>
  <c r="E12" i="7" s="1"/>
  <c r="C10" i="7"/>
  <c r="M105" i="10"/>
  <c r="M111" i="10" s="1"/>
  <c r="L105" i="10"/>
  <c r="L107" i="10" s="1"/>
  <c r="L109" i="10" s="1"/>
  <c r="K105" i="10"/>
  <c r="K107" i="10" s="1"/>
  <c r="K109" i="10" s="1"/>
  <c r="J105" i="10"/>
  <c r="J107" i="10" s="1"/>
  <c r="J109" i="10" s="1"/>
  <c r="I105" i="10"/>
  <c r="I107" i="10" s="1"/>
  <c r="I109" i="10" s="1"/>
  <c r="H105" i="10"/>
  <c r="H107" i="10" s="1"/>
  <c r="H109" i="10" s="1"/>
  <c r="G105" i="10"/>
  <c r="G107" i="10" s="1"/>
  <c r="G109" i="10" s="1"/>
  <c r="F105" i="10"/>
  <c r="F111" i="10" s="1"/>
  <c r="E105" i="10"/>
  <c r="E111" i="10" s="1"/>
  <c r="D105" i="10"/>
  <c r="D107" i="10" s="1"/>
  <c r="D109" i="10" s="1"/>
  <c r="C105" i="10"/>
  <c r="C107" i="10" s="1"/>
  <c r="C109" i="10" s="1"/>
  <c r="B105" i="10"/>
  <c r="B107" i="10" s="1"/>
  <c r="N104" i="10"/>
  <c r="O104" i="10" s="1"/>
  <c r="M87" i="10"/>
  <c r="L87" i="10"/>
  <c r="K87" i="10"/>
  <c r="J87" i="10"/>
  <c r="I87" i="10"/>
  <c r="H87" i="10"/>
  <c r="G87" i="10"/>
  <c r="F87" i="10"/>
  <c r="E87" i="10"/>
  <c r="D87" i="10"/>
  <c r="C87" i="10"/>
  <c r="B87" i="10"/>
  <c r="N86" i="10"/>
  <c r="D20" i="10" s="1"/>
  <c r="L621" i="2" s="1"/>
  <c r="P84" i="10"/>
  <c r="K18" i="10" s="1"/>
  <c r="K637" i="2" s="1"/>
  <c r="N84" i="10"/>
  <c r="O84" i="10" s="1"/>
  <c r="M78" i="10"/>
  <c r="M79" i="10" s="1"/>
  <c r="L78" i="10"/>
  <c r="K78" i="10"/>
  <c r="J78" i="10"/>
  <c r="J79" i="10" s="1"/>
  <c r="I78" i="10"/>
  <c r="I79" i="10" s="1"/>
  <c r="H78" i="10"/>
  <c r="H79" i="10" s="1"/>
  <c r="G78" i="10"/>
  <c r="G79" i="10" s="1"/>
  <c r="F78" i="10"/>
  <c r="F79" i="10" s="1"/>
  <c r="E78" i="10"/>
  <c r="E79" i="10" s="1"/>
  <c r="D78" i="10"/>
  <c r="C78" i="10"/>
  <c r="B78" i="10"/>
  <c r="B79" i="10" s="1"/>
  <c r="N77" i="10"/>
  <c r="O77" i="10" s="1"/>
  <c r="P75" i="10"/>
  <c r="N75" i="10"/>
  <c r="O75" i="10" s="1"/>
  <c r="M69" i="10"/>
  <c r="M70" i="10" s="1"/>
  <c r="L69" i="10"/>
  <c r="K69" i="10"/>
  <c r="J69" i="10"/>
  <c r="J70" i="10" s="1"/>
  <c r="I69" i="10"/>
  <c r="I70" i="10" s="1"/>
  <c r="H69" i="10"/>
  <c r="H70" i="10" s="1"/>
  <c r="G69" i="10"/>
  <c r="G70" i="10" s="1"/>
  <c r="F69" i="10"/>
  <c r="F70" i="10" s="1"/>
  <c r="E69" i="10"/>
  <c r="E70" i="10" s="1"/>
  <c r="D69" i="10"/>
  <c r="C69" i="10"/>
  <c r="B69" i="10"/>
  <c r="B70" i="10" s="1"/>
  <c r="N68" i="10"/>
  <c r="O68" i="10" s="1"/>
  <c r="P66" i="10"/>
  <c r="K14" i="10" s="1"/>
  <c r="I637" i="2" s="1"/>
  <c r="N66" i="10"/>
  <c r="O66" i="10" s="1"/>
  <c r="M60" i="10"/>
  <c r="L60" i="10"/>
  <c r="K60" i="10"/>
  <c r="J60" i="10"/>
  <c r="I60" i="10"/>
  <c r="H60" i="10"/>
  <c r="G60" i="10"/>
  <c r="F60" i="10"/>
  <c r="E60" i="10"/>
  <c r="D60" i="10"/>
  <c r="C60" i="10"/>
  <c r="B60" i="10"/>
  <c r="N59" i="10"/>
  <c r="O59" i="10" s="1"/>
  <c r="M51" i="10"/>
  <c r="L51" i="10"/>
  <c r="K51" i="10"/>
  <c r="J51" i="10"/>
  <c r="I51" i="10"/>
  <c r="I52" i="10" s="1"/>
  <c r="H51" i="10"/>
  <c r="G51" i="10"/>
  <c r="F51" i="10"/>
  <c r="E51" i="10"/>
  <c r="D51" i="10"/>
  <c r="C51" i="10"/>
  <c r="B51" i="10"/>
  <c r="N50" i="10"/>
  <c r="O50" i="10" s="1"/>
  <c r="M42" i="10"/>
  <c r="L42" i="10"/>
  <c r="K42" i="10"/>
  <c r="J42" i="10"/>
  <c r="I42" i="10"/>
  <c r="H42" i="10"/>
  <c r="G42" i="10"/>
  <c r="F42" i="10"/>
  <c r="E42" i="10"/>
  <c r="D42" i="10"/>
  <c r="C42" i="10"/>
  <c r="B42" i="10"/>
  <c r="N41" i="10"/>
  <c r="D10" i="10" s="1"/>
  <c r="M33" i="10"/>
  <c r="L33" i="10"/>
  <c r="K33" i="10"/>
  <c r="J33" i="10"/>
  <c r="I33" i="10"/>
  <c r="H33" i="10"/>
  <c r="G33" i="10"/>
  <c r="F33" i="10"/>
  <c r="E33" i="10"/>
  <c r="D33" i="10"/>
  <c r="C33" i="10"/>
  <c r="B33" i="10"/>
  <c r="E25" i="10"/>
  <c r="A24" i="10"/>
  <c r="A18" i="10"/>
  <c r="K16" i="10"/>
  <c r="J637" i="2" s="1"/>
  <c r="A16" i="10"/>
  <c r="I627" i="2"/>
  <c r="I628" i="2" s="1"/>
  <c r="A14" i="10"/>
  <c r="A12" i="10"/>
  <c r="D8" i="10"/>
  <c r="A8" i="10"/>
  <c r="AF920" i="2"/>
  <c r="AE920" i="2"/>
  <c r="AD920" i="2"/>
  <c r="AC920" i="2"/>
  <c r="AB920" i="2"/>
  <c r="AA920" i="2"/>
  <c r="AF902" i="2"/>
  <c r="AE902" i="2"/>
  <c r="AD902" i="2"/>
  <c r="AC902" i="2"/>
  <c r="AB902" i="2"/>
  <c r="AA902" i="2"/>
  <c r="AF897" i="2"/>
  <c r="AF915" i="2" s="1"/>
  <c r="AE897" i="2"/>
  <c r="AE915" i="2" s="1"/>
  <c r="AD897" i="2"/>
  <c r="AD915" i="2" s="1"/>
  <c r="AC897" i="2"/>
  <c r="AC915" i="2" s="1"/>
  <c r="AB897" i="2"/>
  <c r="AB915" i="2" s="1"/>
  <c r="AA897" i="2"/>
  <c r="AA915" i="2" s="1"/>
  <c r="AF892" i="2"/>
  <c r="AF910" i="2" s="1"/>
  <c r="AE892" i="2"/>
  <c r="AE910" i="2" s="1"/>
  <c r="AD892" i="2"/>
  <c r="AD910" i="2" s="1"/>
  <c r="AC892" i="2"/>
  <c r="AC910" i="2" s="1"/>
  <c r="AB892" i="2"/>
  <c r="AB910" i="2" s="1"/>
  <c r="AA892" i="2"/>
  <c r="AA910" i="2" s="1"/>
  <c r="AF884" i="2"/>
  <c r="AE884" i="2"/>
  <c r="AD884" i="2"/>
  <c r="AC884" i="2"/>
  <c r="AB884" i="2"/>
  <c r="AA884" i="2"/>
  <c r="AF879" i="2"/>
  <c r="AE879" i="2"/>
  <c r="AD879" i="2"/>
  <c r="AC879" i="2"/>
  <c r="AB879" i="2"/>
  <c r="AA879" i="2"/>
  <c r="AF874" i="2"/>
  <c r="AE874" i="2"/>
  <c r="AD874" i="2"/>
  <c r="AC874" i="2"/>
  <c r="AB874" i="2"/>
  <c r="AA874" i="2"/>
  <c r="AG806" i="2"/>
  <c r="E807" i="2"/>
  <c r="AF804" i="2"/>
  <c r="AE804" i="2"/>
  <c r="AD804" i="2"/>
  <c r="AC804" i="2"/>
  <c r="AB804" i="2"/>
  <c r="AA804" i="2"/>
  <c r="Z804" i="2"/>
  <c r="Y804" i="2"/>
  <c r="X804" i="2"/>
  <c r="W804" i="2"/>
  <c r="V804" i="2"/>
  <c r="U804" i="2"/>
  <c r="T804" i="2"/>
  <c r="S804" i="2"/>
  <c r="R804" i="2"/>
  <c r="Q804" i="2"/>
  <c r="P804" i="2"/>
  <c r="O804" i="2"/>
  <c r="AG799" i="2"/>
  <c r="AG798" i="2"/>
  <c r="AH798" i="2" s="1"/>
  <c r="AF797" i="2"/>
  <c r="AE797" i="2"/>
  <c r="AD797" i="2"/>
  <c r="AC797" i="2"/>
  <c r="AB797" i="2"/>
  <c r="AA797" i="2"/>
  <c r="Z797" i="2"/>
  <c r="Y797" i="2"/>
  <c r="X797" i="2"/>
  <c r="W797" i="2"/>
  <c r="V797" i="2"/>
  <c r="U797" i="2"/>
  <c r="T797" i="2"/>
  <c r="S797" i="2"/>
  <c r="R797" i="2"/>
  <c r="Q797" i="2"/>
  <c r="P797" i="2"/>
  <c r="O797" i="2"/>
  <c r="AG792" i="2"/>
  <c r="AH792" i="2" s="1"/>
  <c r="AG791" i="2"/>
  <c r="AH791" i="2" s="1"/>
  <c r="AF790" i="2"/>
  <c r="AE790" i="2"/>
  <c r="AD790" i="2"/>
  <c r="AC790" i="2"/>
  <c r="AB790" i="2"/>
  <c r="AA790" i="2"/>
  <c r="Z790" i="2"/>
  <c r="Y790" i="2"/>
  <c r="X790" i="2"/>
  <c r="W790" i="2"/>
  <c r="V790" i="2"/>
  <c r="T790" i="2"/>
  <c r="S790" i="2"/>
  <c r="Q790" i="2"/>
  <c r="P790" i="2"/>
  <c r="AG785" i="2"/>
  <c r="AH785" i="2" s="1"/>
  <c r="E786" i="2"/>
  <c r="AF780" i="2"/>
  <c r="AE780" i="2"/>
  <c r="AD780" i="2"/>
  <c r="AC780" i="2"/>
  <c r="AB780" i="2"/>
  <c r="AA780" i="2"/>
  <c r="Z780" i="2"/>
  <c r="Y780" i="2"/>
  <c r="AG778" i="2"/>
  <c r="AH778" i="2" s="1"/>
  <c r="E779" i="2"/>
  <c r="AF776" i="2"/>
  <c r="AE776" i="2"/>
  <c r="AD776" i="2"/>
  <c r="AC776" i="2"/>
  <c r="AB776" i="2"/>
  <c r="AA776" i="2"/>
  <c r="Z776" i="2"/>
  <c r="Y776" i="2"/>
  <c r="X776" i="2"/>
  <c r="W776" i="2"/>
  <c r="V776" i="2"/>
  <c r="T776" i="2"/>
  <c r="S776" i="2"/>
  <c r="Q776" i="2"/>
  <c r="P776" i="2"/>
  <c r="O776" i="2"/>
  <c r="AF773" i="2"/>
  <c r="AE773" i="2"/>
  <c r="AD773" i="2"/>
  <c r="AC773" i="2"/>
  <c r="AB773" i="2"/>
  <c r="AA773" i="2"/>
  <c r="Z773" i="2"/>
  <c r="Y773" i="2"/>
  <c r="AG771" i="2"/>
  <c r="AH771" i="2" s="1"/>
  <c r="E772" i="2"/>
  <c r="AH763" i="2"/>
  <c r="AF761" i="2"/>
  <c r="AE761" i="2"/>
  <c r="AD761" i="2"/>
  <c r="AC761" i="2"/>
  <c r="AB761" i="2"/>
  <c r="AA761" i="2"/>
  <c r="Z761" i="2"/>
  <c r="Y761" i="2"/>
  <c r="O761" i="2"/>
  <c r="AG756" i="2"/>
  <c r="AH756" i="2" s="1"/>
  <c r="AF754" i="2"/>
  <c r="AE754" i="2"/>
  <c r="AD754" i="2"/>
  <c r="AC754" i="2"/>
  <c r="AB754" i="2"/>
  <c r="AA754" i="2"/>
  <c r="Z754" i="2"/>
  <c r="Y754" i="2"/>
  <c r="X754" i="2"/>
  <c r="W754" i="2"/>
  <c r="V754" i="2"/>
  <c r="T754" i="2"/>
  <c r="S754" i="2"/>
  <c r="Q754" i="2"/>
  <c r="P754" i="2"/>
  <c r="O754" i="2"/>
  <c r="AF751" i="2"/>
  <c r="AE751" i="2"/>
  <c r="AD751" i="2"/>
  <c r="AC751" i="2"/>
  <c r="AB751" i="2"/>
  <c r="AA751" i="2"/>
  <c r="Z751" i="2"/>
  <c r="Y751" i="2"/>
  <c r="AG749" i="2"/>
  <c r="AH749" i="2" s="1"/>
  <c r="AF747" i="2"/>
  <c r="AE747" i="2"/>
  <c r="AD747" i="2"/>
  <c r="AC747" i="2"/>
  <c r="AB747" i="2"/>
  <c r="AA747" i="2"/>
  <c r="Z747" i="2"/>
  <c r="Y747" i="2"/>
  <c r="X747" i="2"/>
  <c r="W747" i="2"/>
  <c r="V747" i="2"/>
  <c r="T747" i="2"/>
  <c r="S747" i="2"/>
  <c r="Q747" i="2"/>
  <c r="P747" i="2"/>
  <c r="O747" i="2"/>
  <c r="AF744" i="2"/>
  <c r="AE744" i="2"/>
  <c r="AD744" i="2"/>
  <c r="AC744" i="2"/>
  <c r="AB744" i="2"/>
  <c r="AA744" i="2"/>
  <c r="Z744" i="2"/>
  <c r="Y744" i="2"/>
  <c r="AG742" i="2"/>
  <c r="AH742" i="2" s="1"/>
  <c r="AF740" i="2"/>
  <c r="AE740" i="2"/>
  <c r="AD740" i="2"/>
  <c r="AC740" i="2"/>
  <c r="AB740" i="2"/>
  <c r="AA740" i="2"/>
  <c r="Z740" i="2"/>
  <c r="Y740" i="2"/>
  <c r="AF737" i="2"/>
  <c r="AE737" i="2"/>
  <c r="AD737" i="2"/>
  <c r="AC737" i="2"/>
  <c r="AB737" i="2"/>
  <c r="AA737" i="2"/>
  <c r="Z737" i="2"/>
  <c r="Y737" i="2"/>
  <c r="AG735" i="2"/>
  <c r="AH735" i="2" s="1"/>
  <c r="AF733" i="2"/>
  <c r="AE733" i="2"/>
  <c r="AD733" i="2"/>
  <c r="AC733" i="2"/>
  <c r="AB733" i="2"/>
  <c r="AA733" i="2"/>
  <c r="Z733" i="2"/>
  <c r="Y733" i="2"/>
  <c r="X733" i="2"/>
  <c r="W733" i="2"/>
  <c r="V733" i="2"/>
  <c r="T733" i="2"/>
  <c r="S733" i="2"/>
  <c r="Q733" i="2"/>
  <c r="P733" i="2"/>
  <c r="O733" i="2"/>
  <c r="AF730" i="2"/>
  <c r="AE730" i="2"/>
  <c r="AD730" i="2"/>
  <c r="AC730" i="2"/>
  <c r="AB730" i="2"/>
  <c r="AA730" i="2"/>
  <c r="Z730" i="2"/>
  <c r="Y730" i="2"/>
  <c r="AG728" i="2"/>
  <c r="AH728" i="2" s="1"/>
  <c r="AF726" i="2"/>
  <c r="AE726" i="2"/>
  <c r="AD726" i="2"/>
  <c r="AC726" i="2"/>
  <c r="AB726" i="2"/>
  <c r="AA726" i="2"/>
  <c r="Z726" i="2"/>
  <c r="Y726" i="2"/>
  <c r="X726" i="2"/>
  <c r="W726" i="2"/>
  <c r="V726" i="2"/>
  <c r="T726" i="2"/>
  <c r="S726" i="2"/>
  <c r="Q726" i="2"/>
  <c r="P726" i="2"/>
  <c r="O726" i="2"/>
  <c r="AF714" i="2"/>
  <c r="AE714" i="2"/>
  <c r="AD714" i="2"/>
  <c r="AC714" i="2"/>
  <c r="AB714" i="2"/>
  <c r="AA714" i="2"/>
  <c r="Z714" i="2"/>
  <c r="Y714" i="2"/>
  <c r="O714" i="2"/>
  <c r="E707" i="2"/>
  <c r="E701" i="2"/>
  <c r="E703" i="2" s="1"/>
  <c r="AF700" i="2"/>
  <c r="AF707" i="2" s="1"/>
  <c r="AE700" i="2"/>
  <c r="AE707" i="2" s="1"/>
  <c r="AE717" i="2" s="1"/>
  <c r="AD700" i="2"/>
  <c r="AD707" i="2" s="1"/>
  <c r="AD717" i="2" s="1"/>
  <c r="AC700" i="2"/>
  <c r="AC707" i="2" s="1"/>
  <c r="AC717" i="2" s="1"/>
  <c r="AB700" i="2"/>
  <c r="AB707" i="2" s="1"/>
  <c r="AB717" i="2" s="1"/>
  <c r="AA700" i="2"/>
  <c r="AA707" i="2" s="1"/>
  <c r="AA717" i="2" s="1"/>
  <c r="Z700" i="2"/>
  <c r="Z707" i="2" s="1"/>
  <c r="Z717" i="2" s="1"/>
  <c r="Y700" i="2"/>
  <c r="Y707" i="2" s="1"/>
  <c r="O700" i="2"/>
  <c r="O707" i="2" s="1"/>
  <c r="O695" i="2"/>
  <c r="E693" i="2"/>
  <c r="E687" i="2"/>
  <c r="E689" i="2" s="1"/>
  <c r="AF686" i="2"/>
  <c r="AF693" i="2" s="1"/>
  <c r="AE686" i="2"/>
  <c r="AE693" i="2" s="1"/>
  <c r="AD686" i="2"/>
  <c r="AD693" i="2" s="1"/>
  <c r="AC686" i="2"/>
  <c r="AC693" i="2" s="1"/>
  <c r="AB686" i="2"/>
  <c r="AB693" i="2" s="1"/>
  <c r="AA686" i="2"/>
  <c r="AA693" i="2" s="1"/>
  <c r="Z686" i="2"/>
  <c r="Z693" i="2" s="1"/>
  <c r="Y686" i="2"/>
  <c r="Y693" i="2" s="1"/>
  <c r="O686" i="2"/>
  <c r="O693" i="2" s="1"/>
  <c r="O681" i="2"/>
  <c r="E679" i="2"/>
  <c r="E673" i="2"/>
  <c r="E675" i="2" s="1"/>
  <c r="AF672" i="2"/>
  <c r="AF679" i="2" s="1"/>
  <c r="AE672" i="2"/>
  <c r="AE679" i="2" s="1"/>
  <c r="AD672" i="2"/>
  <c r="AD679" i="2" s="1"/>
  <c r="AC672" i="2"/>
  <c r="AC679" i="2" s="1"/>
  <c r="AB672" i="2"/>
  <c r="AB679" i="2" s="1"/>
  <c r="AA672" i="2"/>
  <c r="AA679" i="2" s="1"/>
  <c r="Z672" i="2"/>
  <c r="Z679" i="2" s="1"/>
  <c r="Y672" i="2"/>
  <c r="Y679" i="2" s="1"/>
  <c r="O672" i="2"/>
  <c r="O679" i="2" s="1"/>
  <c r="O667" i="2"/>
  <c r="E665" i="2"/>
  <c r="E659" i="2"/>
  <c r="E666" i="2" s="1"/>
  <c r="AF658" i="2"/>
  <c r="AF665" i="2" s="1"/>
  <c r="AE658" i="2"/>
  <c r="AE665" i="2" s="1"/>
  <c r="AD658" i="2"/>
  <c r="AD665" i="2" s="1"/>
  <c r="AC658" i="2"/>
  <c r="AC665" i="2" s="1"/>
  <c r="AB658" i="2"/>
  <c r="AB665" i="2" s="1"/>
  <c r="AA658" i="2"/>
  <c r="AA665" i="2" s="1"/>
  <c r="Z658" i="2"/>
  <c r="Z665" i="2" s="1"/>
  <c r="Y658" i="2"/>
  <c r="Y665" i="2" s="1"/>
  <c r="O658" i="2"/>
  <c r="O665" i="2" s="1"/>
  <c r="AF651" i="2"/>
  <c r="E651" i="2"/>
  <c r="E645" i="2"/>
  <c r="E652" i="2" s="1"/>
  <c r="AE644" i="2"/>
  <c r="AE651" i="2" s="1"/>
  <c r="AD644" i="2"/>
  <c r="AD651" i="2" s="1"/>
  <c r="AC644" i="2"/>
  <c r="AC651" i="2" s="1"/>
  <c r="AB644" i="2"/>
  <c r="AB651" i="2" s="1"/>
  <c r="AA644" i="2"/>
  <c r="AA651" i="2" s="1"/>
  <c r="Z644" i="2"/>
  <c r="Z651" i="2" s="1"/>
  <c r="Y644" i="2"/>
  <c r="Y651" i="2" s="1"/>
  <c r="O644" i="2"/>
  <c r="O651" i="2" s="1"/>
  <c r="Z635" i="2"/>
  <c r="Y635" i="2"/>
  <c r="Z630" i="2"/>
  <c r="Z634" i="2" s="1"/>
  <c r="Y630" i="2"/>
  <c r="Y634" i="2" s="1"/>
  <c r="AF628" i="2"/>
  <c r="AF629" i="2" s="1"/>
  <c r="AE628" i="2"/>
  <c r="AE629" i="2" s="1"/>
  <c r="AD628" i="2"/>
  <c r="AD629" i="2" s="1"/>
  <c r="AC628" i="2"/>
  <c r="AC629" i="2" s="1"/>
  <c r="AB628" i="2"/>
  <c r="AB629" i="2" s="1"/>
  <c r="AA628" i="2"/>
  <c r="AA629" i="2" s="1"/>
  <c r="O628" i="2"/>
  <c r="O629" i="2" s="1"/>
  <c r="N628" i="2"/>
  <c r="N629" i="2" s="1"/>
  <c r="N630" i="2" s="1"/>
  <c r="M628" i="2"/>
  <c r="M629" i="2" s="1"/>
  <c r="M630" i="2" s="1"/>
  <c r="L628" i="2"/>
  <c r="L629" i="2" s="1"/>
  <c r="L630" i="2" s="1"/>
  <c r="K628" i="2"/>
  <c r="K629" i="2" s="1"/>
  <c r="J628" i="2"/>
  <c r="J629" i="2" s="1"/>
  <c r="H627" i="2"/>
  <c r="H628" i="2" s="1"/>
  <c r="H629" i="2" s="1"/>
  <c r="H630" i="2" s="1"/>
  <c r="G627" i="2"/>
  <c r="G628" i="2" s="1"/>
  <c r="G629" i="2" s="1"/>
  <c r="G630" i="2" s="1"/>
  <c r="F627" i="2"/>
  <c r="F628" i="2" s="1"/>
  <c r="F629" i="2" s="1"/>
  <c r="X626" i="2"/>
  <c r="X761" i="2" s="1"/>
  <c r="W626" i="2"/>
  <c r="W761" i="2" s="1"/>
  <c r="V626" i="2"/>
  <c r="V761" i="2" s="1"/>
  <c r="U626" i="2"/>
  <c r="U628" i="2" s="1"/>
  <c r="U629" i="2" s="1"/>
  <c r="T626" i="2"/>
  <c r="T628" i="2" s="1"/>
  <c r="S626" i="2"/>
  <c r="S628" i="2" s="1"/>
  <c r="R626" i="2"/>
  <c r="R628" i="2" s="1"/>
  <c r="Q626" i="2"/>
  <c r="Q761" i="2" s="1"/>
  <c r="P626" i="2"/>
  <c r="P761" i="2" s="1"/>
  <c r="O626" i="2"/>
  <c r="H620" i="2"/>
  <c r="G620" i="2"/>
  <c r="F620" i="2"/>
  <c r="AG619" i="2"/>
  <c r="AH619" i="2" s="1"/>
  <c r="AG513" i="2"/>
  <c r="AH513" i="2" s="1"/>
  <c r="AF496" i="2"/>
  <c r="AE496" i="2"/>
  <c r="AD496" i="2"/>
  <c r="AC496" i="2"/>
  <c r="AB496" i="2"/>
  <c r="AA496" i="2"/>
  <c r="Z496" i="2"/>
  <c r="Y496" i="2"/>
  <c r="X496" i="2"/>
  <c r="W496" i="2"/>
  <c r="V496" i="2"/>
  <c r="U496" i="2"/>
  <c r="T496" i="2"/>
  <c r="S496" i="2"/>
  <c r="R496" i="2"/>
  <c r="Q496" i="2"/>
  <c r="P496" i="2"/>
  <c r="O496" i="2"/>
  <c r="AF495" i="2"/>
  <c r="AE495" i="2"/>
  <c r="AD495" i="2"/>
  <c r="AC495" i="2"/>
  <c r="AB495" i="2"/>
  <c r="AA495" i="2"/>
  <c r="Z495" i="2"/>
  <c r="Y495" i="2"/>
  <c r="X495" i="2"/>
  <c r="W495" i="2"/>
  <c r="V495" i="2"/>
  <c r="U495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Z494" i="2"/>
  <c r="Y494" i="2"/>
  <c r="E494" i="2"/>
  <c r="E481" i="2"/>
  <c r="AO489" i="1"/>
  <c r="AP489" i="1" s="1"/>
  <c r="AO488" i="1"/>
  <c r="AP488" i="1" s="1"/>
  <c r="AO487" i="1"/>
  <c r="AP487" i="1" s="1"/>
  <c r="AO486" i="1"/>
  <c r="AP486" i="1" s="1"/>
  <c r="I302" i="1"/>
  <c r="H302" i="1"/>
  <c r="AO481" i="1"/>
  <c r="AP481" i="1" s="1"/>
  <c r="AP480" i="1"/>
  <c r="AO480" i="1"/>
  <c r="AO479" i="1"/>
  <c r="AP479" i="1" s="1"/>
  <c r="AO478" i="1"/>
  <c r="AP478" i="1" s="1"/>
  <c r="AO477" i="1"/>
  <c r="AP477" i="1" s="1"/>
  <c r="AO476" i="1"/>
  <c r="AP476" i="1" s="1"/>
  <c r="AO475" i="1"/>
  <c r="AP475" i="1" s="1"/>
  <c r="AO474" i="1"/>
  <c r="AP474" i="1" s="1"/>
  <c r="AO473" i="1"/>
  <c r="AP473" i="1" s="1"/>
  <c r="AO472" i="1"/>
  <c r="AP472" i="1" s="1"/>
  <c r="AO471" i="1"/>
  <c r="AP471" i="1" s="1"/>
  <c r="AO470" i="1"/>
  <c r="AP470" i="1" s="1"/>
  <c r="AM452" i="1"/>
  <c r="AM454" i="1" s="1"/>
  <c r="AK452" i="1"/>
  <c r="AK454" i="1" s="1"/>
  <c r="AI452" i="1"/>
  <c r="AI454" i="1" s="1"/>
  <c r="AG452" i="1"/>
  <c r="AG454" i="1" s="1"/>
  <c r="AD452" i="1"/>
  <c r="AD454" i="1" s="1"/>
  <c r="G452" i="1"/>
  <c r="G454" i="1" s="1"/>
  <c r="F440" i="1"/>
  <c r="F452" i="1" s="1"/>
  <c r="R438" i="1"/>
  <c r="R434" i="1"/>
  <c r="G409" i="1"/>
  <c r="G405" i="1"/>
  <c r="F405" i="1"/>
  <c r="G380" i="1"/>
  <c r="F380" i="1"/>
  <c r="AN378" i="1"/>
  <c r="AL378" i="1"/>
  <c r="AJ378" i="1"/>
  <c r="AH378" i="1"/>
  <c r="AF378" i="1"/>
  <c r="AE378" i="1"/>
  <c r="AC378" i="1"/>
  <c r="AB378" i="1"/>
  <c r="Z378" i="1"/>
  <c r="Y378" i="1"/>
  <c r="W378" i="1"/>
  <c r="V378" i="1"/>
  <c r="T378" i="1"/>
  <c r="R378" i="1"/>
  <c r="P378" i="1"/>
  <c r="N378" i="1"/>
  <c r="M378" i="1"/>
  <c r="L378" i="1"/>
  <c r="K378" i="1"/>
  <c r="J378" i="1"/>
  <c r="I378" i="1"/>
  <c r="H378" i="1"/>
  <c r="AN377" i="1"/>
  <c r="AL377" i="1"/>
  <c r="AJ377" i="1"/>
  <c r="AH377" i="1"/>
  <c r="AF377" i="1"/>
  <c r="AE377" i="1"/>
  <c r="AC377" i="1"/>
  <c r="AB377" i="1"/>
  <c r="Z377" i="1"/>
  <c r="Y377" i="1"/>
  <c r="W377" i="1"/>
  <c r="V377" i="1"/>
  <c r="T377" i="1"/>
  <c r="R377" i="1"/>
  <c r="P377" i="1"/>
  <c r="N377" i="1"/>
  <c r="M377" i="1"/>
  <c r="L377" i="1"/>
  <c r="K377" i="1"/>
  <c r="J377" i="1"/>
  <c r="I377" i="1"/>
  <c r="H377" i="1"/>
  <c r="AN376" i="1"/>
  <c r="AL376" i="1"/>
  <c r="AJ376" i="1"/>
  <c r="AH376" i="1"/>
  <c r="AF376" i="1"/>
  <c r="AE376" i="1"/>
  <c r="AC376" i="1"/>
  <c r="AB376" i="1"/>
  <c r="Z376" i="1"/>
  <c r="Y376" i="1"/>
  <c r="W376" i="1"/>
  <c r="V376" i="1"/>
  <c r="T376" i="1"/>
  <c r="R376" i="1"/>
  <c r="P376" i="1"/>
  <c r="N376" i="1"/>
  <c r="M376" i="1"/>
  <c r="L376" i="1"/>
  <c r="K376" i="1"/>
  <c r="J376" i="1"/>
  <c r="I376" i="1"/>
  <c r="H376" i="1"/>
  <c r="AN375" i="1"/>
  <c r="AL375" i="1"/>
  <c r="AJ375" i="1"/>
  <c r="AH375" i="1"/>
  <c r="AF375" i="1"/>
  <c r="AE375" i="1"/>
  <c r="AC375" i="1"/>
  <c r="AB375" i="1"/>
  <c r="Z375" i="1"/>
  <c r="Y375" i="1"/>
  <c r="W375" i="1"/>
  <c r="V375" i="1"/>
  <c r="T375" i="1"/>
  <c r="R375" i="1"/>
  <c r="P375" i="1"/>
  <c r="N375" i="1"/>
  <c r="M375" i="1"/>
  <c r="L375" i="1"/>
  <c r="K375" i="1"/>
  <c r="J375" i="1"/>
  <c r="I375" i="1"/>
  <c r="H375" i="1"/>
  <c r="AN374" i="1"/>
  <c r="AL374" i="1"/>
  <c r="AJ374" i="1"/>
  <c r="AH374" i="1"/>
  <c r="AF374" i="1"/>
  <c r="AE374" i="1"/>
  <c r="AC374" i="1"/>
  <c r="AB374" i="1"/>
  <c r="Z374" i="1"/>
  <c r="Y374" i="1"/>
  <c r="W374" i="1"/>
  <c r="V374" i="1"/>
  <c r="T374" i="1"/>
  <c r="R374" i="1"/>
  <c r="P374" i="1"/>
  <c r="N374" i="1"/>
  <c r="M374" i="1"/>
  <c r="L374" i="1"/>
  <c r="K374" i="1"/>
  <c r="J374" i="1"/>
  <c r="I374" i="1"/>
  <c r="H374" i="1"/>
  <c r="AN373" i="1"/>
  <c r="AL373" i="1"/>
  <c r="AJ373" i="1"/>
  <c r="AH373" i="1"/>
  <c r="AF373" i="1"/>
  <c r="AE373" i="1"/>
  <c r="AC373" i="1"/>
  <c r="AB373" i="1"/>
  <c r="Z373" i="1"/>
  <c r="Y373" i="1"/>
  <c r="W373" i="1"/>
  <c r="V373" i="1"/>
  <c r="T373" i="1"/>
  <c r="R373" i="1"/>
  <c r="P373" i="1"/>
  <c r="N373" i="1"/>
  <c r="M373" i="1"/>
  <c r="L373" i="1"/>
  <c r="K373" i="1"/>
  <c r="J373" i="1"/>
  <c r="I373" i="1"/>
  <c r="H373" i="1"/>
  <c r="AN372" i="1"/>
  <c r="AL372" i="1"/>
  <c r="AJ372" i="1"/>
  <c r="AH372" i="1"/>
  <c r="AF372" i="1"/>
  <c r="AE372" i="1"/>
  <c r="AC372" i="1"/>
  <c r="AB372" i="1"/>
  <c r="Z372" i="1"/>
  <c r="Y372" i="1"/>
  <c r="W372" i="1"/>
  <c r="V372" i="1"/>
  <c r="T372" i="1"/>
  <c r="R372" i="1"/>
  <c r="P372" i="1"/>
  <c r="N372" i="1"/>
  <c r="M372" i="1"/>
  <c r="L372" i="1"/>
  <c r="K372" i="1"/>
  <c r="J372" i="1"/>
  <c r="I372" i="1"/>
  <c r="H372" i="1"/>
  <c r="AN371" i="1"/>
  <c r="AL371" i="1"/>
  <c r="AJ371" i="1"/>
  <c r="AH371" i="1"/>
  <c r="AF371" i="1"/>
  <c r="AE371" i="1"/>
  <c r="AC371" i="1"/>
  <c r="AB371" i="1"/>
  <c r="Z371" i="1"/>
  <c r="Y371" i="1"/>
  <c r="W371" i="1"/>
  <c r="V371" i="1"/>
  <c r="T371" i="1"/>
  <c r="R371" i="1"/>
  <c r="P371" i="1"/>
  <c r="N371" i="1"/>
  <c r="M371" i="1"/>
  <c r="L371" i="1"/>
  <c r="K371" i="1"/>
  <c r="J371" i="1"/>
  <c r="I371" i="1"/>
  <c r="H371" i="1"/>
  <c r="AN370" i="1"/>
  <c r="AL370" i="1"/>
  <c r="AJ370" i="1"/>
  <c r="AH370" i="1"/>
  <c r="AF370" i="1"/>
  <c r="AE370" i="1"/>
  <c r="AC370" i="1"/>
  <c r="AB370" i="1"/>
  <c r="Z370" i="1"/>
  <c r="Y370" i="1"/>
  <c r="W370" i="1"/>
  <c r="V370" i="1"/>
  <c r="T370" i="1"/>
  <c r="R370" i="1"/>
  <c r="P370" i="1"/>
  <c r="N370" i="1"/>
  <c r="M370" i="1"/>
  <c r="L370" i="1"/>
  <c r="K370" i="1"/>
  <c r="J370" i="1"/>
  <c r="I370" i="1"/>
  <c r="H370" i="1"/>
  <c r="AN369" i="1"/>
  <c r="AL369" i="1"/>
  <c r="AJ369" i="1"/>
  <c r="AH369" i="1"/>
  <c r="AF369" i="1"/>
  <c r="AE369" i="1"/>
  <c r="AC369" i="1"/>
  <c r="AB369" i="1"/>
  <c r="Z369" i="1"/>
  <c r="Y369" i="1"/>
  <c r="W369" i="1"/>
  <c r="V369" i="1"/>
  <c r="T369" i="1"/>
  <c r="R369" i="1"/>
  <c r="P369" i="1"/>
  <c r="N369" i="1"/>
  <c r="M369" i="1"/>
  <c r="L369" i="1"/>
  <c r="K369" i="1"/>
  <c r="J369" i="1"/>
  <c r="I369" i="1"/>
  <c r="H369" i="1"/>
  <c r="AN368" i="1"/>
  <c r="AL368" i="1"/>
  <c r="AJ368" i="1"/>
  <c r="AH368" i="1"/>
  <c r="AF368" i="1"/>
  <c r="AE368" i="1"/>
  <c r="AC368" i="1"/>
  <c r="AB368" i="1"/>
  <c r="Z368" i="1"/>
  <c r="Y368" i="1"/>
  <c r="W368" i="1"/>
  <c r="V368" i="1"/>
  <c r="T368" i="1"/>
  <c r="R368" i="1"/>
  <c r="P368" i="1"/>
  <c r="N368" i="1"/>
  <c r="M368" i="1"/>
  <c r="L368" i="1"/>
  <c r="K368" i="1"/>
  <c r="J368" i="1"/>
  <c r="I368" i="1"/>
  <c r="H368" i="1"/>
  <c r="G365" i="1"/>
  <c r="F365" i="1"/>
  <c r="AN363" i="1"/>
  <c r="AL363" i="1"/>
  <c r="AJ363" i="1"/>
  <c r="AH363" i="1"/>
  <c r="AF363" i="1"/>
  <c r="AE363" i="1"/>
  <c r="AC363" i="1"/>
  <c r="AB363" i="1"/>
  <c r="Z363" i="1"/>
  <c r="Y363" i="1"/>
  <c r="W363" i="1"/>
  <c r="V363" i="1"/>
  <c r="T363" i="1"/>
  <c r="R363" i="1"/>
  <c r="P363" i="1"/>
  <c r="N363" i="1"/>
  <c r="M363" i="1"/>
  <c r="L363" i="1"/>
  <c r="K363" i="1"/>
  <c r="J363" i="1"/>
  <c r="I363" i="1"/>
  <c r="H363" i="1"/>
  <c r="AN362" i="1"/>
  <c r="AL362" i="1"/>
  <c r="AJ362" i="1"/>
  <c r="AH362" i="1"/>
  <c r="AF362" i="1"/>
  <c r="AE362" i="1"/>
  <c r="AC362" i="1"/>
  <c r="AB362" i="1"/>
  <c r="Z362" i="1"/>
  <c r="Y362" i="1"/>
  <c r="W362" i="1"/>
  <c r="V362" i="1"/>
  <c r="T362" i="1"/>
  <c r="R362" i="1"/>
  <c r="P362" i="1"/>
  <c r="N362" i="1"/>
  <c r="M362" i="1"/>
  <c r="L362" i="1"/>
  <c r="K362" i="1"/>
  <c r="J362" i="1"/>
  <c r="I362" i="1"/>
  <c r="H362" i="1"/>
  <c r="AN361" i="1"/>
  <c r="AL361" i="1"/>
  <c r="AJ361" i="1"/>
  <c r="AH361" i="1"/>
  <c r="AF361" i="1"/>
  <c r="AE361" i="1"/>
  <c r="AC361" i="1"/>
  <c r="AB361" i="1"/>
  <c r="Z361" i="1"/>
  <c r="Y361" i="1"/>
  <c r="W361" i="1"/>
  <c r="V361" i="1"/>
  <c r="T361" i="1"/>
  <c r="R361" i="1"/>
  <c r="P361" i="1"/>
  <c r="N361" i="1"/>
  <c r="M361" i="1"/>
  <c r="L361" i="1"/>
  <c r="K361" i="1"/>
  <c r="J361" i="1"/>
  <c r="I361" i="1"/>
  <c r="H361" i="1"/>
  <c r="AN360" i="1"/>
  <c r="AL360" i="1"/>
  <c r="AJ360" i="1"/>
  <c r="AH360" i="1"/>
  <c r="AF360" i="1"/>
  <c r="AE360" i="1"/>
  <c r="AC360" i="1"/>
  <c r="AB360" i="1"/>
  <c r="Z360" i="1"/>
  <c r="Y360" i="1"/>
  <c r="W360" i="1"/>
  <c r="V360" i="1"/>
  <c r="T360" i="1"/>
  <c r="R360" i="1"/>
  <c r="P360" i="1"/>
  <c r="N360" i="1"/>
  <c r="M360" i="1"/>
  <c r="L360" i="1"/>
  <c r="K360" i="1"/>
  <c r="J360" i="1"/>
  <c r="I360" i="1"/>
  <c r="H360" i="1"/>
  <c r="AN359" i="1"/>
  <c r="AL359" i="1"/>
  <c r="AJ359" i="1"/>
  <c r="AH359" i="1"/>
  <c r="AF359" i="1"/>
  <c r="AE359" i="1"/>
  <c r="AC359" i="1"/>
  <c r="AB359" i="1"/>
  <c r="Z359" i="1"/>
  <c r="Y359" i="1"/>
  <c r="W359" i="1"/>
  <c r="V359" i="1"/>
  <c r="T359" i="1"/>
  <c r="R359" i="1"/>
  <c r="P359" i="1"/>
  <c r="N359" i="1"/>
  <c r="M359" i="1"/>
  <c r="L359" i="1"/>
  <c r="K359" i="1"/>
  <c r="J359" i="1"/>
  <c r="I359" i="1"/>
  <c r="H359" i="1"/>
  <c r="G350" i="1"/>
  <c r="F350" i="1"/>
  <c r="R348" i="1"/>
  <c r="R341" i="1"/>
  <c r="G332" i="1"/>
  <c r="F332" i="1"/>
  <c r="R330" i="1"/>
  <c r="R329" i="1"/>
  <c r="AN327" i="1"/>
  <c r="AL327" i="1"/>
  <c r="AJ327" i="1"/>
  <c r="AH327" i="1"/>
  <c r="AF327" i="1"/>
  <c r="AE327" i="1"/>
  <c r="AC327" i="1"/>
  <c r="AB327" i="1"/>
  <c r="Z327" i="1"/>
  <c r="Y327" i="1"/>
  <c r="W327" i="1"/>
  <c r="V327" i="1"/>
  <c r="T327" i="1"/>
  <c r="R327" i="1"/>
  <c r="P327" i="1"/>
  <c r="N327" i="1"/>
  <c r="M327" i="1"/>
  <c r="L327" i="1"/>
  <c r="K327" i="1"/>
  <c r="J327" i="1"/>
  <c r="I327" i="1"/>
  <c r="H327" i="1"/>
  <c r="R320" i="1"/>
  <c r="G317" i="1"/>
  <c r="F317" i="1"/>
  <c r="F305" i="1"/>
  <c r="AN303" i="1"/>
  <c r="AL303" i="1"/>
  <c r="AJ303" i="1"/>
  <c r="AH303" i="1"/>
  <c r="AF303" i="1"/>
  <c r="AE303" i="1"/>
  <c r="AC303" i="1"/>
  <c r="AB303" i="1"/>
  <c r="Z303" i="1"/>
  <c r="Y303" i="1"/>
  <c r="W303" i="1"/>
  <c r="V303" i="1"/>
  <c r="T303" i="1"/>
  <c r="R303" i="1"/>
  <c r="P303" i="1"/>
  <c r="N303" i="1"/>
  <c r="M303" i="1"/>
  <c r="L303" i="1"/>
  <c r="K303" i="1"/>
  <c r="J303" i="1"/>
  <c r="AN302" i="1"/>
  <c r="AL302" i="1"/>
  <c r="AJ302" i="1"/>
  <c r="AH302" i="1"/>
  <c r="AF302" i="1"/>
  <c r="AE302" i="1"/>
  <c r="AC302" i="1"/>
  <c r="AB302" i="1"/>
  <c r="Z302" i="1"/>
  <c r="Y302" i="1"/>
  <c r="W302" i="1"/>
  <c r="V302" i="1"/>
  <c r="T302" i="1"/>
  <c r="R302" i="1"/>
  <c r="P302" i="1"/>
  <c r="N302" i="1"/>
  <c r="M302" i="1"/>
  <c r="L302" i="1"/>
  <c r="K302" i="1"/>
  <c r="J302" i="1"/>
  <c r="F299" i="1"/>
  <c r="G266" i="1"/>
  <c r="G262" i="1"/>
  <c r="F262" i="1"/>
  <c r="G238" i="1"/>
  <c r="F238" i="1"/>
  <c r="AN236" i="1"/>
  <c r="AL236" i="1"/>
  <c r="AJ236" i="1"/>
  <c r="AH236" i="1"/>
  <c r="AF236" i="1"/>
  <c r="AE236" i="1"/>
  <c r="AC236" i="1"/>
  <c r="AB236" i="1"/>
  <c r="Z236" i="1"/>
  <c r="Y236" i="1"/>
  <c r="W236" i="1"/>
  <c r="V236" i="1"/>
  <c r="T236" i="1"/>
  <c r="R236" i="1"/>
  <c r="P236" i="1"/>
  <c r="N236" i="1"/>
  <c r="M236" i="1"/>
  <c r="L236" i="1"/>
  <c r="K236" i="1"/>
  <c r="J236" i="1"/>
  <c r="I236" i="1"/>
  <c r="H236" i="1"/>
  <c r="AN235" i="1"/>
  <c r="AL235" i="1"/>
  <c r="AJ235" i="1"/>
  <c r="AH235" i="1"/>
  <c r="AF235" i="1"/>
  <c r="AE235" i="1"/>
  <c r="AC235" i="1"/>
  <c r="AB235" i="1"/>
  <c r="Z235" i="1"/>
  <c r="Y235" i="1"/>
  <c r="W235" i="1"/>
  <c r="V235" i="1"/>
  <c r="T235" i="1"/>
  <c r="R235" i="1"/>
  <c r="P235" i="1"/>
  <c r="N235" i="1"/>
  <c r="M235" i="1"/>
  <c r="L235" i="1"/>
  <c r="K235" i="1"/>
  <c r="J235" i="1"/>
  <c r="I235" i="1"/>
  <c r="H235" i="1"/>
  <c r="AN234" i="1"/>
  <c r="AL234" i="1"/>
  <c r="AJ234" i="1"/>
  <c r="AH234" i="1"/>
  <c r="AF234" i="1"/>
  <c r="AE234" i="1"/>
  <c r="AC234" i="1"/>
  <c r="AB234" i="1"/>
  <c r="Z234" i="1"/>
  <c r="Y234" i="1"/>
  <c r="W234" i="1"/>
  <c r="V234" i="1"/>
  <c r="T234" i="1"/>
  <c r="R234" i="1"/>
  <c r="P234" i="1"/>
  <c r="N234" i="1"/>
  <c r="M234" i="1"/>
  <c r="L234" i="1"/>
  <c r="K234" i="1"/>
  <c r="J234" i="1"/>
  <c r="I234" i="1"/>
  <c r="H234" i="1"/>
  <c r="AN233" i="1"/>
  <c r="AL233" i="1"/>
  <c r="AJ233" i="1"/>
  <c r="AH233" i="1"/>
  <c r="AF233" i="1"/>
  <c r="AE233" i="1"/>
  <c r="AC233" i="1"/>
  <c r="AB233" i="1"/>
  <c r="Z233" i="1"/>
  <c r="Y233" i="1"/>
  <c r="W233" i="1"/>
  <c r="V233" i="1"/>
  <c r="T233" i="1"/>
  <c r="R233" i="1"/>
  <c r="P233" i="1"/>
  <c r="N233" i="1"/>
  <c r="M233" i="1"/>
  <c r="L233" i="1"/>
  <c r="K233" i="1"/>
  <c r="J233" i="1"/>
  <c r="I233" i="1"/>
  <c r="H233" i="1"/>
  <c r="AN232" i="1"/>
  <c r="AL232" i="1"/>
  <c r="AJ232" i="1"/>
  <c r="AH232" i="1"/>
  <c r="AF232" i="1"/>
  <c r="AE232" i="1"/>
  <c r="AC232" i="1"/>
  <c r="AB232" i="1"/>
  <c r="Z232" i="1"/>
  <c r="Y232" i="1"/>
  <c r="W232" i="1"/>
  <c r="V232" i="1"/>
  <c r="T232" i="1"/>
  <c r="R232" i="1"/>
  <c r="P232" i="1"/>
  <c r="N232" i="1"/>
  <c r="M232" i="1"/>
  <c r="L232" i="1"/>
  <c r="K232" i="1"/>
  <c r="J232" i="1"/>
  <c r="I232" i="1"/>
  <c r="H232" i="1"/>
  <c r="AN231" i="1"/>
  <c r="AL231" i="1"/>
  <c r="AJ231" i="1"/>
  <c r="AH231" i="1"/>
  <c r="AF231" i="1"/>
  <c r="AE231" i="1"/>
  <c r="AC231" i="1"/>
  <c r="AB231" i="1"/>
  <c r="Z231" i="1"/>
  <c r="Y231" i="1"/>
  <c r="W231" i="1"/>
  <c r="V231" i="1"/>
  <c r="T231" i="1"/>
  <c r="R231" i="1"/>
  <c r="P231" i="1"/>
  <c r="N231" i="1"/>
  <c r="M231" i="1"/>
  <c r="L231" i="1"/>
  <c r="K231" i="1"/>
  <c r="J231" i="1"/>
  <c r="I231" i="1"/>
  <c r="H231" i="1"/>
  <c r="AN230" i="1"/>
  <c r="AL230" i="1"/>
  <c r="AJ230" i="1"/>
  <c r="AH230" i="1"/>
  <c r="AF230" i="1"/>
  <c r="AE230" i="1"/>
  <c r="AC230" i="1"/>
  <c r="AB230" i="1"/>
  <c r="Z230" i="1"/>
  <c r="Y230" i="1"/>
  <c r="W230" i="1"/>
  <c r="V230" i="1"/>
  <c r="T230" i="1"/>
  <c r="R230" i="1"/>
  <c r="P230" i="1"/>
  <c r="N230" i="1"/>
  <c r="M230" i="1"/>
  <c r="L230" i="1"/>
  <c r="K230" i="1"/>
  <c r="J230" i="1"/>
  <c r="I230" i="1"/>
  <c r="H230" i="1"/>
  <c r="AN229" i="1"/>
  <c r="AL229" i="1"/>
  <c r="AJ229" i="1"/>
  <c r="AH229" i="1"/>
  <c r="AF229" i="1"/>
  <c r="AE229" i="1"/>
  <c r="AC229" i="1"/>
  <c r="AB229" i="1"/>
  <c r="Z229" i="1"/>
  <c r="Y229" i="1"/>
  <c r="W229" i="1"/>
  <c r="V229" i="1"/>
  <c r="T229" i="1"/>
  <c r="R229" i="1"/>
  <c r="P229" i="1"/>
  <c r="N229" i="1"/>
  <c r="M229" i="1"/>
  <c r="L229" i="1"/>
  <c r="K229" i="1"/>
  <c r="J229" i="1"/>
  <c r="I229" i="1"/>
  <c r="H229" i="1"/>
  <c r="AN228" i="1"/>
  <c r="AL228" i="1"/>
  <c r="AJ228" i="1"/>
  <c r="AH228" i="1"/>
  <c r="AF228" i="1"/>
  <c r="AE228" i="1"/>
  <c r="AC228" i="1"/>
  <c r="AB228" i="1"/>
  <c r="Z228" i="1"/>
  <c r="Y228" i="1"/>
  <c r="W228" i="1"/>
  <c r="V228" i="1"/>
  <c r="T228" i="1"/>
  <c r="R228" i="1"/>
  <c r="P228" i="1"/>
  <c r="N228" i="1"/>
  <c r="M228" i="1"/>
  <c r="L228" i="1"/>
  <c r="K228" i="1"/>
  <c r="J228" i="1"/>
  <c r="I228" i="1"/>
  <c r="H228" i="1"/>
  <c r="AN227" i="1"/>
  <c r="AL227" i="1"/>
  <c r="AJ227" i="1"/>
  <c r="AH227" i="1"/>
  <c r="AF227" i="1"/>
  <c r="AE227" i="1"/>
  <c r="AC227" i="1"/>
  <c r="AB227" i="1"/>
  <c r="Z227" i="1"/>
  <c r="Y227" i="1"/>
  <c r="W227" i="1"/>
  <c r="V227" i="1"/>
  <c r="T227" i="1"/>
  <c r="R227" i="1"/>
  <c r="P227" i="1"/>
  <c r="N227" i="1"/>
  <c r="M227" i="1"/>
  <c r="L227" i="1"/>
  <c r="K227" i="1"/>
  <c r="J227" i="1"/>
  <c r="I227" i="1"/>
  <c r="H227" i="1"/>
  <c r="AN226" i="1"/>
  <c r="AL226" i="1"/>
  <c r="AJ226" i="1"/>
  <c r="AH226" i="1"/>
  <c r="AF226" i="1"/>
  <c r="AE226" i="1"/>
  <c r="AC226" i="1"/>
  <c r="AB226" i="1"/>
  <c r="Z226" i="1"/>
  <c r="Y226" i="1"/>
  <c r="W226" i="1"/>
  <c r="V226" i="1"/>
  <c r="T226" i="1"/>
  <c r="R226" i="1"/>
  <c r="P226" i="1"/>
  <c r="N226" i="1"/>
  <c r="M226" i="1"/>
  <c r="L226" i="1"/>
  <c r="K226" i="1"/>
  <c r="J226" i="1"/>
  <c r="I226" i="1"/>
  <c r="H226" i="1"/>
  <c r="G223" i="1"/>
  <c r="F223" i="1"/>
  <c r="AN221" i="1"/>
  <c r="AL221" i="1"/>
  <c r="AJ221" i="1"/>
  <c r="AH221" i="1"/>
  <c r="AF221" i="1"/>
  <c r="AE221" i="1"/>
  <c r="AC221" i="1"/>
  <c r="AB221" i="1"/>
  <c r="Z221" i="1"/>
  <c r="Y221" i="1"/>
  <c r="W221" i="1"/>
  <c r="V221" i="1"/>
  <c r="T221" i="1"/>
  <c r="R221" i="1"/>
  <c r="P221" i="1"/>
  <c r="N221" i="1"/>
  <c r="M221" i="1"/>
  <c r="L221" i="1"/>
  <c r="K221" i="1"/>
  <c r="J221" i="1"/>
  <c r="I221" i="1"/>
  <c r="H221" i="1"/>
  <c r="AN220" i="1"/>
  <c r="AL220" i="1"/>
  <c r="AJ220" i="1"/>
  <c r="AH220" i="1"/>
  <c r="AF220" i="1"/>
  <c r="AE220" i="1"/>
  <c r="AC220" i="1"/>
  <c r="AB220" i="1"/>
  <c r="Z220" i="1"/>
  <c r="Y220" i="1"/>
  <c r="W220" i="1"/>
  <c r="V220" i="1"/>
  <c r="T220" i="1"/>
  <c r="R220" i="1"/>
  <c r="P220" i="1"/>
  <c r="N220" i="1"/>
  <c r="M220" i="1"/>
  <c r="L220" i="1"/>
  <c r="K220" i="1"/>
  <c r="J220" i="1"/>
  <c r="I220" i="1"/>
  <c r="H220" i="1"/>
  <c r="AN219" i="1"/>
  <c r="AL219" i="1"/>
  <c r="AJ219" i="1"/>
  <c r="AH219" i="1"/>
  <c r="AF219" i="1"/>
  <c r="AE219" i="1"/>
  <c r="AC219" i="1"/>
  <c r="AB219" i="1"/>
  <c r="Z219" i="1"/>
  <c r="Y219" i="1"/>
  <c r="W219" i="1"/>
  <c r="V219" i="1"/>
  <c r="T219" i="1"/>
  <c r="R219" i="1"/>
  <c r="P219" i="1"/>
  <c r="N219" i="1"/>
  <c r="M219" i="1"/>
  <c r="L219" i="1"/>
  <c r="K219" i="1"/>
  <c r="J219" i="1"/>
  <c r="I219" i="1"/>
  <c r="H219" i="1"/>
  <c r="AN218" i="1"/>
  <c r="AL218" i="1"/>
  <c r="AJ218" i="1"/>
  <c r="AH218" i="1"/>
  <c r="AF218" i="1"/>
  <c r="AE218" i="1"/>
  <c r="AC218" i="1"/>
  <c r="AB218" i="1"/>
  <c r="Z218" i="1"/>
  <c r="Y218" i="1"/>
  <c r="W218" i="1"/>
  <c r="V218" i="1"/>
  <c r="T218" i="1"/>
  <c r="R218" i="1"/>
  <c r="P218" i="1"/>
  <c r="N218" i="1"/>
  <c r="M218" i="1"/>
  <c r="L218" i="1"/>
  <c r="K218" i="1"/>
  <c r="J218" i="1"/>
  <c r="I218" i="1"/>
  <c r="H218" i="1"/>
  <c r="AN217" i="1"/>
  <c r="AL217" i="1"/>
  <c r="AJ217" i="1"/>
  <c r="AH217" i="1"/>
  <c r="AF217" i="1"/>
  <c r="AE217" i="1"/>
  <c r="AC217" i="1"/>
  <c r="AB217" i="1"/>
  <c r="Z217" i="1"/>
  <c r="Y217" i="1"/>
  <c r="W217" i="1"/>
  <c r="V217" i="1"/>
  <c r="T217" i="1"/>
  <c r="R217" i="1"/>
  <c r="P217" i="1"/>
  <c r="N217" i="1"/>
  <c r="M217" i="1"/>
  <c r="L217" i="1"/>
  <c r="K217" i="1"/>
  <c r="J217" i="1"/>
  <c r="I217" i="1"/>
  <c r="H217" i="1"/>
  <c r="G210" i="1"/>
  <c r="G208" i="1"/>
  <c r="F208" i="1"/>
  <c r="R198" i="1"/>
  <c r="G192" i="1"/>
  <c r="F192" i="1"/>
  <c r="R190" i="1"/>
  <c r="R189" i="1"/>
  <c r="R188" i="1"/>
  <c r="AN186" i="1"/>
  <c r="AL186" i="1"/>
  <c r="AJ186" i="1"/>
  <c r="AH186" i="1"/>
  <c r="AF186" i="1"/>
  <c r="AE186" i="1"/>
  <c r="AC186" i="1"/>
  <c r="AB186" i="1"/>
  <c r="Z186" i="1"/>
  <c r="Y186" i="1"/>
  <c r="W186" i="1"/>
  <c r="V186" i="1"/>
  <c r="T186" i="1"/>
  <c r="R186" i="1"/>
  <c r="P186" i="1"/>
  <c r="N186" i="1"/>
  <c r="M186" i="1"/>
  <c r="L186" i="1"/>
  <c r="K186" i="1"/>
  <c r="J186" i="1"/>
  <c r="I186" i="1"/>
  <c r="H186" i="1"/>
  <c r="R179" i="1"/>
  <c r="G176" i="1"/>
  <c r="F176" i="1"/>
  <c r="F164" i="1"/>
  <c r="AN162" i="1"/>
  <c r="AL162" i="1"/>
  <c r="AJ162" i="1"/>
  <c r="AH162" i="1"/>
  <c r="AF162" i="1"/>
  <c r="AE162" i="1"/>
  <c r="AC162" i="1"/>
  <c r="AB162" i="1"/>
  <c r="Z162" i="1"/>
  <c r="Y162" i="1"/>
  <c r="W162" i="1"/>
  <c r="V162" i="1"/>
  <c r="T162" i="1"/>
  <c r="R162" i="1"/>
  <c r="P162" i="1"/>
  <c r="N162" i="1"/>
  <c r="M162" i="1"/>
  <c r="L162" i="1"/>
  <c r="K162" i="1"/>
  <c r="J162" i="1"/>
  <c r="AN161" i="1"/>
  <c r="AL161" i="1"/>
  <c r="AJ161" i="1"/>
  <c r="AH161" i="1"/>
  <c r="AF161" i="1"/>
  <c r="AE161" i="1"/>
  <c r="AC161" i="1"/>
  <c r="AB161" i="1"/>
  <c r="Z161" i="1"/>
  <c r="Y161" i="1"/>
  <c r="W161" i="1"/>
  <c r="V161" i="1"/>
  <c r="T161" i="1"/>
  <c r="R161" i="1"/>
  <c r="P161" i="1"/>
  <c r="N161" i="1"/>
  <c r="M161" i="1"/>
  <c r="L161" i="1"/>
  <c r="K161" i="1"/>
  <c r="J161" i="1"/>
  <c r="F157" i="1"/>
  <c r="G144" i="1"/>
  <c r="F144" i="1"/>
  <c r="G138" i="1"/>
  <c r="G129" i="1"/>
  <c r="F129" i="1"/>
  <c r="R126" i="1"/>
  <c r="G90" i="1"/>
  <c r="G107" i="1" s="1"/>
  <c r="G109" i="1" s="1"/>
  <c r="F90" i="1"/>
  <c r="F107" i="1" s="1"/>
  <c r="AN88" i="1"/>
  <c r="AL88" i="1"/>
  <c r="AJ88" i="1"/>
  <c r="AH88" i="1"/>
  <c r="AF88" i="1"/>
  <c r="AE88" i="1"/>
  <c r="AC88" i="1"/>
  <c r="AB88" i="1"/>
  <c r="Z88" i="1"/>
  <c r="Y88" i="1"/>
  <c r="W88" i="1"/>
  <c r="V88" i="1"/>
  <c r="T88" i="1"/>
  <c r="R88" i="1"/>
  <c r="P88" i="1"/>
  <c r="N88" i="1"/>
  <c r="M88" i="1"/>
  <c r="L88" i="1"/>
  <c r="K88" i="1"/>
  <c r="J88" i="1"/>
  <c r="I88" i="1"/>
  <c r="H88" i="1"/>
  <c r="AN87" i="1"/>
  <c r="AL87" i="1"/>
  <c r="AJ87" i="1"/>
  <c r="AH87" i="1"/>
  <c r="AF87" i="1"/>
  <c r="AE87" i="1"/>
  <c r="AC87" i="1"/>
  <c r="AB87" i="1"/>
  <c r="Z87" i="1"/>
  <c r="Y87" i="1"/>
  <c r="W87" i="1"/>
  <c r="V87" i="1"/>
  <c r="T87" i="1"/>
  <c r="R87" i="1"/>
  <c r="P87" i="1"/>
  <c r="N87" i="1"/>
  <c r="M87" i="1"/>
  <c r="L87" i="1"/>
  <c r="K87" i="1"/>
  <c r="J87" i="1"/>
  <c r="I87" i="1"/>
  <c r="H87" i="1"/>
  <c r="AN86" i="1"/>
  <c r="AL86" i="1"/>
  <c r="AJ86" i="1"/>
  <c r="AH86" i="1"/>
  <c r="AF86" i="1"/>
  <c r="AE86" i="1"/>
  <c r="AC86" i="1"/>
  <c r="AB86" i="1"/>
  <c r="Z86" i="1"/>
  <c r="Y86" i="1"/>
  <c r="W86" i="1"/>
  <c r="V86" i="1"/>
  <c r="T86" i="1"/>
  <c r="R86" i="1"/>
  <c r="P86" i="1"/>
  <c r="N86" i="1"/>
  <c r="M86" i="1"/>
  <c r="L86" i="1"/>
  <c r="K86" i="1"/>
  <c r="J86" i="1"/>
  <c r="I86" i="1"/>
  <c r="H86" i="1"/>
  <c r="R85" i="1"/>
  <c r="AN84" i="1"/>
  <c r="AL84" i="1"/>
  <c r="AJ84" i="1"/>
  <c r="AH84" i="1"/>
  <c r="AF84" i="1"/>
  <c r="AE84" i="1"/>
  <c r="AC84" i="1"/>
  <c r="AB84" i="1"/>
  <c r="Z84" i="1"/>
  <c r="Y84" i="1"/>
  <c r="W84" i="1"/>
  <c r="V84" i="1"/>
  <c r="T84" i="1"/>
  <c r="R84" i="1"/>
  <c r="P84" i="1"/>
  <c r="N84" i="1"/>
  <c r="M84" i="1"/>
  <c r="L84" i="1"/>
  <c r="K84" i="1"/>
  <c r="J84" i="1"/>
  <c r="I84" i="1"/>
  <c r="H84" i="1"/>
  <c r="AN77" i="1"/>
  <c r="AL77" i="1"/>
  <c r="AJ77" i="1"/>
  <c r="V77" i="1"/>
  <c r="T77" i="1"/>
  <c r="R77" i="1"/>
  <c r="R75" i="1"/>
  <c r="G72" i="1"/>
  <c r="F72" i="1"/>
  <c r="AN70" i="1"/>
  <c r="AL70" i="1"/>
  <c r="AJ70" i="1"/>
  <c r="AH70" i="1"/>
  <c r="AF70" i="1"/>
  <c r="AE70" i="1"/>
  <c r="AC70" i="1"/>
  <c r="AB70" i="1"/>
  <c r="Z70" i="1"/>
  <c r="Y70" i="1"/>
  <c r="W70" i="1"/>
  <c r="V70" i="1"/>
  <c r="T70" i="1"/>
  <c r="R70" i="1"/>
  <c r="P70" i="1"/>
  <c r="N70" i="1"/>
  <c r="M70" i="1"/>
  <c r="L70" i="1"/>
  <c r="K70" i="1"/>
  <c r="J70" i="1"/>
  <c r="I70" i="1"/>
  <c r="H70" i="1"/>
  <c r="G50" i="1"/>
  <c r="F50" i="1"/>
  <c r="AN46" i="1"/>
  <c r="AN125" i="1" s="1"/>
  <c r="AL46" i="1"/>
  <c r="AJ46" i="1"/>
  <c r="AH46" i="1"/>
  <c r="AF46" i="1"/>
  <c r="AE46" i="1"/>
  <c r="AC46" i="1"/>
  <c r="AB46" i="1"/>
  <c r="Z46" i="1"/>
  <c r="Z125" i="1" s="1"/>
  <c r="Y46" i="1"/>
  <c r="W46" i="1"/>
  <c r="V46" i="1"/>
  <c r="T46" i="1"/>
  <c r="R46" i="1"/>
  <c r="P46" i="1"/>
  <c r="N46" i="1"/>
  <c r="M46" i="1"/>
  <c r="M125" i="1" s="1"/>
  <c r="L46" i="1"/>
  <c r="K46" i="1"/>
  <c r="J46" i="1"/>
  <c r="I46" i="1"/>
  <c r="H46" i="1"/>
  <c r="AN45" i="1"/>
  <c r="AL45" i="1"/>
  <c r="AJ45" i="1"/>
  <c r="AH45" i="1"/>
  <c r="AF45" i="1"/>
  <c r="AE45" i="1"/>
  <c r="AC45" i="1"/>
  <c r="AB45" i="1"/>
  <c r="Z45" i="1"/>
  <c r="Y45" i="1"/>
  <c r="W45" i="1"/>
  <c r="V45" i="1"/>
  <c r="T45" i="1"/>
  <c r="R45" i="1"/>
  <c r="P45" i="1"/>
  <c r="N45" i="1"/>
  <c r="M45" i="1"/>
  <c r="L45" i="1"/>
  <c r="K45" i="1"/>
  <c r="J45" i="1"/>
  <c r="I45" i="1"/>
  <c r="H45" i="1"/>
  <c r="AN44" i="1"/>
  <c r="AN124" i="1" s="1"/>
  <c r="AL44" i="1"/>
  <c r="AJ44" i="1"/>
  <c r="AH44" i="1"/>
  <c r="AF44" i="1"/>
  <c r="AE44" i="1"/>
  <c r="AC44" i="1"/>
  <c r="AB44" i="1"/>
  <c r="Z44" i="1"/>
  <c r="Z124" i="1" s="1"/>
  <c r="Y44" i="1"/>
  <c r="W44" i="1"/>
  <c r="V44" i="1"/>
  <c r="T44" i="1"/>
  <c r="R44" i="1"/>
  <c r="P44" i="1"/>
  <c r="N44" i="1"/>
  <c r="N187" i="1" s="1"/>
  <c r="M44" i="1"/>
  <c r="L44" i="1"/>
  <c r="K44" i="1"/>
  <c r="J44" i="1"/>
  <c r="I44" i="1"/>
  <c r="H44" i="1"/>
  <c r="AN43" i="1"/>
  <c r="AL43" i="1"/>
  <c r="AJ43" i="1"/>
  <c r="AH43" i="1"/>
  <c r="AF43" i="1"/>
  <c r="AE43" i="1"/>
  <c r="AC43" i="1"/>
  <c r="AB43" i="1"/>
  <c r="Z43" i="1"/>
  <c r="Z123" i="1" s="1"/>
  <c r="Y43" i="1"/>
  <c r="W43" i="1"/>
  <c r="V43" i="1"/>
  <c r="T43" i="1"/>
  <c r="R43" i="1"/>
  <c r="P43" i="1"/>
  <c r="N43" i="1"/>
  <c r="M43" i="1"/>
  <c r="M123" i="1" s="1"/>
  <c r="L43" i="1"/>
  <c r="K43" i="1"/>
  <c r="J43" i="1"/>
  <c r="I43" i="1"/>
  <c r="H43" i="1"/>
  <c r="AN42" i="1"/>
  <c r="AN122" i="1" s="1"/>
  <c r="AL42" i="1"/>
  <c r="AJ42" i="1"/>
  <c r="AH42" i="1"/>
  <c r="AF42" i="1"/>
  <c r="AE42" i="1"/>
  <c r="AC42" i="1"/>
  <c r="AB42" i="1"/>
  <c r="Z42" i="1"/>
  <c r="Z122" i="1" s="1"/>
  <c r="Y42" i="1"/>
  <c r="W42" i="1"/>
  <c r="V42" i="1"/>
  <c r="T42" i="1"/>
  <c r="R42" i="1"/>
  <c r="P42" i="1"/>
  <c r="N42" i="1"/>
  <c r="M42" i="1"/>
  <c r="M122" i="1" s="1"/>
  <c r="L42" i="1"/>
  <c r="K42" i="1"/>
  <c r="J42" i="1"/>
  <c r="I42" i="1"/>
  <c r="H42" i="1"/>
  <c r="AN41" i="1"/>
  <c r="AN121" i="1" s="1"/>
  <c r="AL41" i="1"/>
  <c r="AJ41" i="1"/>
  <c r="AH41" i="1"/>
  <c r="AF41" i="1"/>
  <c r="AE41" i="1"/>
  <c r="AC41" i="1"/>
  <c r="AB41" i="1"/>
  <c r="Z41" i="1"/>
  <c r="Y41" i="1"/>
  <c r="W41" i="1"/>
  <c r="V41" i="1"/>
  <c r="T41" i="1"/>
  <c r="R41" i="1"/>
  <c r="P41" i="1"/>
  <c r="N41" i="1"/>
  <c r="M41" i="1"/>
  <c r="L41" i="1"/>
  <c r="K41" i="1"/>
  <c r="J41" i="1"/>
  <c r="I41" i="1"/>
  <c r="H41" i="1"/>
  <c r="AN40" i="1"/>
  <c r="AN120" i="1" s="1"/>
  <c r="AL40" i="1"/>
  <c r="AJ40" i="1"/>
  <c r="AH40" i="1"/>
  <c r="AF40" i="1"/>
  <c r="AE40" i="1"/>
  <c r="AC40" i="1"/>
  <c r="AB40" i="1"/>
  <c r="Z40" i="1"/>
  <c r="Z120" i="1" s="1"/>
  <c r="Y40" i="1"/>
  <c r="W40" i="1"/>
  <c r="V40" i="1"/>
  <c r="T40" i="1"/>
  <c r="R40" i="1"/>
  <c r="P40" i="1"/>
  <c r="N40" i="1"/>
  <c r="M40" i="1"/>
  <c r="M120" i="1" s="1"/>
  <c r="L40" i="1"/>
  <c r="K40" i="1"/>
  <c r="J40" i="1"/>
  <c r="I40" i="1"/>
  <c r="H40" i="1"/>
  <c r="AN39" i="1"/>
  <c r="AN427" i="1" s="1"/>
  <c r="AL39" i="1"/>
  <c r="AJ39" i="1"/>
  <c r="AH39" i="1"/>
  <c r="AF39" i="1"/>
  <c r="AE39" i="1"/>
  <c r="AC39" i="1"/>
  <c r="AB39" i="1"/>
  <c r="Z39" i="1"/>
  <c r="Z427" i="1" s="1"/>
  <c r="Y39" i="1"/>
  <c r="W39" i="1"/>
  <c r="V39" i="1"/>
  <c r="T39" i="1"/>
  <c r="R39" i="1"/>
  <c r="P39" i="1"/>
  <c r="N39" i="1"/>
  <c r="M39" i="1"/>
  <c r="M427" i="1" s="1"/>
  <c r="L39" i="1"/>
  <c r="K39" i="1"/>
  <c r="J39" i="1"/>
  <c r="I39" i="1"/>
  <c r="H39" i="1"/>
  <c r="AN38" i="1"/>
  <c r="AL38" i="1"/>
  <c r="AJ38" i="1"/>
  <c r="AH38" i="1"/>
  <c r="AF38" i="1"/>
  <c r="AF393" i="1" s="1"/>
  <c r="AE38" i="1"/>
  <c r="AC38" i="1"/>
  <c r="AB38" i="1"/>
  <c r="Z38" i="1"/>
  <c r="Y38" i="1"/>
  <c r="W38" i="1"/>
  <c r="V38" i="1"/>
  <c r="T38" i="1"/>
  <c r="R38" i="1"/>
  <c r="P38" i="1"/>
  <c r="N38" i="1"/>
  <c r="M38" i="1"/>
  <c r="M393" i="1" s="1"/>
  <c r="L38" i="1"/>
  <c r="K38" i="1"/>
  <c r="J38" i="1"/>
  <c r="I38" i="1"/>
  <c r="I393" i="1" s="1"/>
  <c r="H38" i="1"/>
  <c r="AN37" i="1"/>
  <c r="AN425" i="1" s="1"/>
  <c r="AL37" i="1"/>
  <c r="AJ37" i="1"/>
  <c r="AH37" i="1"/>
  <c r="AF37" i="1"/>
  <c r="AE37" i="1"/>
  <c r="AC37" i="1"/>
  <c r="AB37" i="1"/>
  <c r="Z37" i="1"/>
  <c r="Z425" i="1" s="1"/>
  <c r="Y37" i="1"/>
  <c r="W37" i="1"/>
  <c r="V37" i="1"/>
  <c r="T37" i="1"/>
  <c r="R37" i="1"/>
  <c r="P37" i="1"/>
  <c r="N37" i="1"/>
  <c r="M37" i="1"/>
  <c r="M425" i="1" s="1"/>
  <c r="L37" i="1"/>
  <c r="K37" i="1"/>
  <c r="J37" i="1"/>
  <c r="I37" i="1"/>
  <c r="H37" i="1"/>
  <c r="AN36" i="1"/>
  <c r="AN116" i="1" s="1"/>
  <c r="AL36" i="1"/>
  <c r="AJ36" i="1"/>
  <c r="AH36" i="1"/>
  <c r="AF36" i="1"/>
  <c r="AE36" i="1"/>
  <c r="AC36" i="1"/>
  <c r="AB36" i="1"/>
  <c r="Z36" i="1"/>
  <c r="Z116" i="1" s="1"/>
  <c r="Y36" i="1"/>
  <c r="W36" i="1"/>
  <c r="V36" i="1"/>
  <c r="T36" i="1"/>
  <c r="R36" i="1"/>
  <c r="P36" i="1"/>
  <c r="N36" i="1"/>
  <c r="N180" i="1" s="1"/>
  <c r="M36" i="1"/>
  <c r="L36" i="1"/>
  <c r="K36" i="1"/>
  <c r="J36" i="1"/>
  <c r="I36" i="1"/>
  <c r="H36" i="1"/>
  <c r="AN35" i="1"/>
  <c r="AN423" i="1" s="1"/>
  <c r="AL35" i="1"/>
  <c r="AJ35" i="1"/>
  <c r="AH35" i="1"/>
  <c r="AF35" i="1"/>
  <c r="AE35" i="1"/>
  <c r="AC35" i="1"/>
  <c r="AB35" i="1"/>
  <c r="Z35" i="1"/>
  <c r="Z423" i="1" s="1"/>
  <c r="Y35" i="1"/>
  <c r="W35" i="1"/>
  <c r="V35" i="1"/>
  <c r="T35" i="1"/>
  <c r="R35" i="1"/>
  <c r="P35" i="1"/>
  <c r="N35" i="1"/>
  <c r="M35" i="1"/>
  <c r="M423" i="1" s="1"/>
  <c r="L35" i="1"/>
  <c r="K35" i="1"/>
  <c r="J35" i="1"/>
  <c r="I35" i="1"/>
  <c r="H35" i="1"/>
  <c r="AN34" i="1"/>
  <c r="AL34" i="1"/>
  <c r="AJ34" i="1"/>
  <c r="AH34" i="1"/>
  <c r="AF34" i="1"/>
  <c r="AE34" i="1"/>
  <c r="AC34" i="1"/>
  <c r="AB34" i="1"/>
  <c r="Z34" i="1"/>
  <c r="Y34" i="1"/>
  <c r="W34" i="1"/>
  <c r="V34" i="1"/>
  <c r="T34" i="1"/>
  <c r="R34" i="1"/>
  <c r="P34" i="1"/>
  <c r="N34" i="1"/>
  <c r="M34" i="1"/>
  <c r="L34" i="1"/>
  <c r="K34" i="1"/>
  <c r="J34" i="1"/>
  <c r="I34" i="1"/>
  <c r="H34" i="1"/>
  <c r="G31" i="1"/>
  <c r="G52" i="1" s="1"/>
  <c r="F31" i="1"/>
  <c r="AN29" i="1"/>
  <c r="AL29" i="1"/>
  <c r="AJ29" i="1"/>
  <c r="AH29" i="1"/>
  <c r="AF29" i="1"/>
  <c r="AE29" i="1"/>
  <c r="AC29" i="1"/>
  <c r="AB29" i="1"/>
  <c r="Z29" i="1"/>
  <c r="Y29" i="1"/>
  <c r="W29" i="1"/>
  <c r="V29" i="1"/>
  <c r="T29" i="1"/>
  <c r="R29" i="1"/>
  <c r="P29" i="1"/>
  <c r="N29" i="1"/>
  <c r="M29" i="1"/>
  <c r="L29" i="1"/>
  <c r="K29" i="1"/>
  <c r="J29" i="1"/>
  <c r="I29" i="1"/>
  <c r="H29" i="1"/>
  <c r="AN28" i="1"/>
  <c r="AL28" i="1"/>
  <c r="AJ28" i="1"/>
  <c r="AH28" i="1"/>
  <c r="AF28" i="1"/>
  <c r="AE28" i="1"/>
  <c r="AC28" i="1"/>
  <c r="AB28" i="1"/>
  <c r="Z28" i="1"/>
  <c r="Y28" i="1"/>
  <c r="W28" i="1"/>
  <c r="V28" i="1"/>
  <c r="T28" i="1"/>
  <c r="R28" i="1"/>
  <c r="P28" i="1"/>
  <c r="N28" i="1"/>
  <c r="M28" i="1"/>
  <c r="L28" i="1"/>
  <c r="K28" i="1"/>
  <c r="J28" i="1"/>
  <c r="I28" i="1"/>
  <c r="H28" i="1"/>
  <c r="AN27" i="1"/>
  <c r="AL27" i="1"/>
  <c r="AJ27" i="1"/>
  <c r="AH27" i="1"/>
  <c r="AF27" i="1"/>
  <c r="AE27" i="1"/>
  <c r="AC27" i="1"/>
  <c r="AB27" i="1"/>
  <c r="Z27" i="1"/>
  <c r="Y27" i="1"/>
  <c r="W27" i="1"/>
  <c r="V27" i="1"/>
  <c r="T27" i="1"/>
  <c r="R27" i="1"/>
  <c r="P27" i="1"/>
  <c r="N27" i="1"/>
  <c r="M27" i="1"/>
  <c r="L27" i="1"/>
  <c r="K27" i="1"/>
  <c r="J27" i="1"/>
  <c r="I27" i="1"/>
  <c r="H27" i="1"/>
  <c r="AN26" i="1"/>
  <c r="AL26" i="1"/>
  <c r="AJ26" i="1"/>
  <c r="AH26" i="1"/>
  <c r="AF26" i="1"/>
  <c r="AE26" i="1"/>
  <c r="AC26" i="1"/>
  <c r="AB26" i="1"/>
  <c r="Z26" i="1"/>
  <c r="Y26" i="1"/>
  <c r="W26" i="1"/>
  <c r="V26" i="1"/>
  <c r="T26" i="1"/>
  <c r="R26" i="1"/>
  <c r="P26" i="1"/>
  <c r="N26" i="1"/>
  <c r="M26" i="1"/>
  <c r="L26" i="1"/>
  <c r="K26" i="1"/>
  <c r="J26" i="1"/>
  <c r="I26" i="1"/>
  <c r="H26" i="1"/>
  <c r="AN25" i="1"/>
  <c r="AL25" i="1"/>
  <c r="AJ25" i="1"/>
  <c r="AH25" i="1"/>
  <c r="AF25" i="1"/>
  <c r="AE25" i="1"/>
  <c r="AC25" i="1"/>
  <c r="AB25" i="1"/>
  <c r="Z25" i="1"/>
  <c r="Y25" i="1"/>
  <c r="W25" i="1"/>
  <c r="V25" i="1"/>
  <c r="T25" i="1"/>
  <c r="R25" i="1"/>
  <c r="P25" i="1"/>
  <c r="N25" i="1"/>
  <c r="M25" i="1"/>
  <c r="L25" i="1"/>
  <c r="K25" i="1"/>
  <c r="J25" i="1"/>
  <c r="I25" i="1"/>
  <c r="H25" i="1"/>
  <c r="AN24" i="1"/>
  <c r="AL24" i="1"/>
  <c r="AJ24" i="1"/>
  <c r="AH24" i="1"/>
  <c r="AF24" i="1"/>
  <c r="AE24" i="1"/>
  <c r="AC24" i="1"/>
  <c r="AB24" i="1"/>
  <c r="Z24" i="1"/>
  <c r="Y24" i="1"/>
  <c r="W24" i="1"/>
  <c r="V24" i="1"/>
  <c r="T24" i="1"/>
  <c r="R24" i="1"/>
  <c r="P24" i="1"/>
  <c r="N24" i="1"/>
  <c r="M24" i="1"/>
  <c r="L24" i="1"/>
  <c r="K24" i="1"/>
  <c r="J24" i="1"/>
  <c r="I24" i="1"/>
  <c r="H24" i="1"/>
  <c r="AN23" i="1"/>
  <c r="AL23" i="1"/>
  <c r="AJ23" i="1"/>
  <c r="AH23" i="1"/>
  <c r="AF23" i="1"/>
  <c r="AE23" i="1"/>
  <c r="AC23" i="1"/>
  <c r="AB23" i="1"/>
  <c r="Z23" i="1"/>
  <c r="Y23" i="1"/>
  <c r="W23" i="1"/>
  <c r="V23" i="1"/>
  <c r="T23" i="1"/>
  <c r="R23" i="1"/>
  <c r="P23" i="1"/>
  <c r="N23" i="1"/>
  <c r="M23" i="1"/>
  <c r="L23" i="1"/>
  <c r="K23" i="1"/>
  <c r="J23" i="1"/>
  <c r="I23" i="1"/>
  <c r="H23" i="1"/>
  <c r="G20" i="1"/>
  <c r="F20" i="1"/>
  <c r="AN18" i="1"/>
  <c r="AL18" i="1"/>
  <c r="AJ18" i="1"/>
  <c r="AH18" i="1"/>
  <c r="AF18" i="1"/>
  <c r="AE18" i="1"/>
  <c r="AC18" i="1"/>
  <c r="AB18" i="1"/>
  <c r="Z18" i="1"/>
  <c r="Y18" i="1"/>
  <c r="W18" i="1"/>
  <c r="V18" i="1"/>
  <c r="T18" i="1"/>
  <c r="R18" i="1"/>
  <c r="P18" i="1"/>
  <c r="N18" i="1"/>
  <c r="M18" i="1"/>
  <c r="L18" i="1"/>
  <c r="K18" i="1"/>
  <c r="J18" i="1"/>
  <c r="I18" i="1"/>
  <c r="H18" i="1"/>
  <c r="AN17" i="1"/>
  <c r="AL17" i="1"/>
  <c r="AJ17" i="1"/>
  <c r="AH17" i="1"/>
  <c r="AF17" i="1"/>
  <c r="AE17" i="1"/>
  <c r="AC17" i="1"/>
  <c r="AB17" i="1"/>
  <c r="Z17" i="1"/>
  <c r="Y17" i="1"/>
  <c r="W17" i="1"/>
  <c r="V17" i="1"/>
  <c r="T17" i="1"/>
  <c r="R17" i="1"/>
  <c r="P17" i="1"/>
  <c r="N17" i="1"/>
  <c r="M17" i="1"/>
  <c r="L17" i="1"/>
  <c r="K17" i="1"/>
  <c r="J17" i="1"/>
  <c r="I17" i="1"/>
  <c r="H17" i="1"/>
  <c r="AN16" i="1"/>
  <c r="AL16" i="1"/>
  <c r="AJ16" i="1"/>
  <c r="AH16" i="1"/>
  <c r="AF16" i="1"/>
  <c r="AE16" i="1"/>
  <c r="AC16" i="1"/>
  <c r="AB16" i="1"/>
  <c r="Z16" i="1"/>
  <c r="Y16" i="1"/>
  <c r="W16" i="1"/>
  <c r="V16" i="1"/>
  <c r="T16" i="1"/>
  <c r="R16" i="1"/>
  <c r="P16" i="1"/>
  <c r="N16" i="1"/>
  <c r="M16" i="1"/>
  <c r="L16" i="1"/>
  <c r="K16" i="1"/>
  <c r="J16" i="1"/>
  <c r="I16" i="1"/>
  <c r="H16" i="1"/>
  <c r="AN15" i="1"/>
  <c r="AL15" i="1"/>
  <c r="AJ15" i="1"/>
  <c r="AH15" i="1"/>
  <c r="AF15" i="1"/>
  <c r="AE15" i="1"/>
  <c r="AC15" i="1"/>
  <c r="AB15" i="1"/>
  <c r="Z15" i="1"/>
  <c r="Y15" i="1"/>
  <c r="W15" i="1"/>
  <c r="V15" i="1"/>
  <c r="T15" i="1"/>
  <c r="R15" i="1"/>
  <c r="P15" i="1"/>
  <c r="N15" i="1"/>
  <c r="M15" i="1"/>
  <c r="L15" i="1"/>
  <c r="K15" i="1"/>
  <c r="J15" i="1"/>
  <c r="I15" i="1"/>
  <c r="H15" i="1"/>
  <c r="AN14" i="1"/>
  <c r="AL14" i="1"/>
  <c r="AJ14" i="1"/>
  <c r="AH14" i="1"/>
  <c r="AF14" i="1"/>
  <c r="AE14" i="1"/>
  <c r="AC14" i="1"/>
  <c r="AB14" i="1"/>
  <c r="Z14" i="1"/>
  <c r="Y14" i="1"/>
  <c r="W14" i="1"/>
  <c r="V14" i="1"/>
  <c r="T14" i="1"/>
  <c r="R14" i="1"/>
  <c r="P14" i="1"/>
  <c r="N14" i="1"/>
  <c r="M14" i="1"/>
  <c r="L14" i="1"/>
  <c r="K14" i="1"/>
  <c r="J14" i="1"/>
  <c r="I14" i="1"/>
  <c r="H14" i="1"/>
  <c r="G11" i="1"/>
  <c r="G79" i="1" s="1"/>
  <c r="G92" i="1" s="1"/>
  <c r="F11" i="1"/>
  <c r="E10" i="7" l="1"/>
  <c r="I686" i="2"/>
  <c r="I672" i="2"/>
  <c r="X628" i="2"/>
  <c r="X629" i="2" s="1"/>
  <c r="X494" i="2" s="1"/>
  <c r="J686" i="2"/>
  <c r="J693" i="2" s="1"/>
  <c r="J672" i="2"/>
  <c r="J679" i="2" s="1"/>
  <c r="I92" i="10"/>
  <c r="I88" i="10"/>
  <c r="G621" i="2"/>
  <c r="B92" i="10"/>
  <c r="B88" i="10"/>
  <c r="J92" i="10"/>
  <c r="J88" i="10"/>
  <c r="C83" i="10"/>
  <c r="C79" i="10"/>
  <c r="K83" i="10"/>
  <c r="K79" i="10"/>
  <c r="D92" i="10"/>
  <c r="D88" i="10"/>
  <c r="L92" i="10"/>
  <c r="L88" i="10"/>
  <c r="K92" i="10"/>
  <c r="K88" i="10"/>
  <c r="F621" i="2"/>
  <c r="D83" i="10"/>
  <c r="D79" i="10"/>
  <c r="L83" i="10"/>
  <c r="L79" i="10"/>
  <c r="E92" i="10"/>
  <c r="E88" i="10"/>
  <c r="M92" i="10"/>
  <c r="M88" i="10"/>
  <c r="F92" i="10"/>
  <c r="F88" i="10"/>
  <c r="G92" i="10"/>
  <c r="G88" i="10"/>
  <c r="C92" i="10"/>
  <c r="C88" i="10"/>
  <c r="H92" i="10"/>
  <c r="H88" i="10"/>
  <c r="N634" i="2"/>
  <c r="N633" i="2"/>
  <c r="H34" i="10"/>
  <c r="H38" i="10"/>
  <c r="C47" i="10"/>
  <c r="C43" i="10"/>
  <c r="K47" i="10"/>
  <c r="K43" i="10"/>
  <c r="F56" i="10"/>
  <c r="F52" i="10"/>
  <c r="I65" i="10"/>
  <c r="I61" i="10"/>
  <c r="I34" i="10"/>
  <c r="I38" i="10"/>
  <c r="D47" i="10"/>
  <c r="D43" i="10"/>
  <c r="L47" i="10"/>
  <c r="L43" i="10"/>
  <c r="G56" i="10"/>
  <c r="G52" i="10"/>
  <c r="B65" i="10"/>
  <c r="B61" i="10"/>
  <c r="J65" i="10"/>
  <c r="J61" i="10"/>
  <c r="C74" i="10"/>
  <c r="C70" i="10"/>
  <c r="K74" i="10"/>
  <c r="K70" i="10"/>
  <c r="B38" i="10"/>
  <c r="B34" i="10"/>
  <c r="J34" i="10"/>
  <c r="J38" i="10"/>
  <c r="E47" i="10"/>
  <c r="E43" i="10"/>
  <c r="M47" i="10"/>
  <c r="M43" i="10"/>
  <c r="H56" i="10"/>
  <c r="H52" i="10"/>
  <c r="C65" i="10"/>
  <c r="C61" i="10"/>
  <c r="K65" i="10"/>
  <c r="K61" i="10"/>
  <c r="D74" i="10"/>
  <c r="D70" i="10"/>
  <c r="L74" i="10"/>
  <c r="L70" i="10"/>
  <c r="C38" i="10"/>
  <c r="C34" i="10"/>
  <c r="K38" i="10"/>
  <c r="K34" i="10"/>
  <c r="F47" i="10"/>
  <c r="F43" i="10"/>
  <c r="D65" i="10"/>
  <c r="D61" i="10"/>
  <c r="L65" i="10"/>
  <c r="L61" i="10"/>
  <c r="D34" i="10"/>
  <c r="D38" i="10"/>
  <c r="L34" i="10"/>
  <c r="L38" i="10"/>
  <c r="G43" i="10"/>
  <c r="G47" i="10"/>
  <c r="B56" i="10"/>
  <c r="B52" i="10"/>
  <c r="J56" i="10"/>
  <c r="J52" i="10"/>
  <c r="E65" i="10"/>
  <c r="E61" i="10"/>
  <c r="M65" i="10"/>
  <c r="M61" i="10"/>
  <c r="E38" i="10"/>
  <c r="E34" i="10"/>
  <c r="M38" i="10"/>
  <c r="M34" i="10"/>
  <c r="H47" i="10"/>
  <c r="H43" i="10"/>
  <c r="C56" i="10"/>
  <c r="C52" i="10"/>
  <c r="K56" i="10"/>
  <c r="K52" i="10"/>
  <c r="F65" i="10"/>
  <c r="F61" i="10"/>
  <c r="F38" i="10"/>
  <c r="F34" i="10"/>
  <c r="I47" i="10"/>
  <c r="I43" i="10"/>
  <c r="D56" i="10"/>
  <c r="D52" i="10"/>
  <c r="L56" i="10"/>
  <c r="L52" i="10"/>
  <c r="G65" i="10"/>
  <c r="G61" i="10"/>
  <c r="G38" i="10"/>
  <c r="G34" i="10"/>
  <c r="B43" i="10"/>
  <c r="B47" i="10"/>
  <c r="J47" i="10"/>
  <c r="J43" i="10"/>
  <c r="E56" i="10"/>
  <c r="E52" i="10"/>
  <c r="M56" i="10"/>
  <c r="M52" i="10"/>
  <c r="H65" i="10"/>
  <c r="H61" i="10"/>
  <c r="D18" i="10"/>
  <c r="K621" i="2" s="1"/>
  <c r="K494" i="2" s="1"/>
  <c r="D16" i="10"/>
  <c r="G352" i="1"/>
  <c r="G354" i="1"/>
  <c r="G111" i="10"/>
  <c r="G212" i="1"/>
  <c r="G240" i="1" s="1"/>
  <c r="G382" i="1"/>
  <c r="G356" i="1"/>
  <c r="G131" i="1"/>
  <c r="G147" i="1"/>
  <c r="G214" i="1"/>
  <c r="D24" i="10"/>
  <c r="K679" i="2"/>
  <c r="AA630" i="2"/>
  <c r="AA634" i="2" s="1"/>
  <c r="AA494" i="2"/>
  <c r="W628" i="2"/>
  <c r="W629" i="2" s="1"/>
  <c r="W494" i="2" s="1"/>
  <c r="AH576" i="2"/>
  <c r="S761" i="2"/>
  <c r="AB630" i="2"/>
  <c r="AB633" i="2" s="1"/>
  <c r="AB494" i="2"/>
  <c r="AB635" i="2"/>
  <c r="T761" i="2"/>
  <c r="P628" i="2"/>
  <c r="P629" i="2" s="1"/>
  <c r="P494" i="2" s="1"/>
  <c r="V628" i="2"/>
  <c r="V629" i="2" s="1"/>
  <c r="AA635" i="2"/>
  <c r="X630" i="2"/>
  <c r="X631" i="2" s="1"/>
  <c r="R629" i="2"/>
  <c r="R630" i="2" s="1"/>
  <c r="AC630" i="2"/>
  <c r="AC494" i="2"/>
  <c r="AC635" i="2"/>
  <c r="S629" i="2"/>
  <c r="S630" i="2" s="1"/>
  <c r="AD630" i="2"/>
  <c r="AD494" i="2"/>
  <c r="AD635" i="2"/>
  <c r="T629" i="2"/>
  <c r="T630" i="2" s="1"/>
  <c r="U494" i="2"/>
  <c r="AE494" i="2"/>
  <c r="AE635" i="2"/>
  <c r="AE630" i="2"/>
  <c r="AF635" i="2"/>
  <c r="AF630" i="2"/>
  <c r="AF494" i="2"/>
  <c r="Q628" i="2"/>
  <c r="Y633" i="2"/>
  <c r="Z633" i="2"/>
  <c r="U630" i="2"/>
  <c r="R250" i="1"/>
  <c r="R393" i="1"/>
  <c r="T250" i="1"/>
  <c r="T393" i="1"/>
  <c r="J250" i="1"/>
  <c r="J393" i="1"/>
  <c r="V250" i="1"/>
  <c r="V393" i="1"/>
  <c r="AH250" i="1"/>
  <c r="AH393" i="1"/>
  <c r="K250" i="1"/>
  <c r="K393" i="1"/>
  <c r="W250" i="1"/>
  <c r="W393" i="1"/>
  <c r="AJ250" i="1"/>
  <c r="AJ393" i="1"/>
  <c r="L250" i="1"/>
  <c r="L393" i="1"/>
  <c r="Y250" i="1"/>
  <c r="Y393" i="1"/>
  <c r="AL250" i="1"/>
  <c r="AL393" i="1"/>
  <c r="AE250" i="1"/>
  <c r="AE393" i="1"/>
  <c r="Z250" i="1"/>
  <c r="Z393" i="1"/>
  <c r="AN250" i="1"/>
  <c r="AN393" i="1"/>
  <c r="N250" i="1"/>
  <c r="N393" i="1"/>
  <c r="AB250" i="1"/>
  <c r="AB393" i="1"/>
  <c r="H250" i="1"/>
  <c r="H393" i="1"/>
  <c r="P250" i="1"/>
  <c r="P393" i="1"/>
  <c r="AC250" i="1"/>
  <c r="AC393" i="1"/>
  <c r="I250" i="1"/>
  <c r="AF182" i="1"/>
  <c r="AF250" i="1"/>
  <c r="M118" i="1"/>
  <c r="M250" i="1"/>
  <c r="E492" i="2"/>
  <c r="E476" i="2"/>
  <c r="E509" i="2" s="1"/>
  <c r="E107" i="10"/>
  <c r="E109" i="10" s="1"/>
  <c r="O635" i="2"/>
  <c r="O630" i="2"/>
  <c r="O86" i="10"/>
  <c r="H111" i="10"/>
  <c r="C16" i="7"/>
  <c r="E16" i="7" s="1"/>
  <c r="F107" i="10"/>
  <c r="F109" i="10" s="1"/>
  <c r="B25" i="10"/>
  <c r="M107" i="10"/>
  <c r="M109" i="10" s="1"/>
  <c r="N33" i="10"/>
  <c r="D12" i="10"/>
  <c r="I56" i="10"/>
  <c r="Q109" i="10"/>
  <c r="G24" i="10" s="1"/>
  <c r="X641" i="2" s="1"/>
  <c r="X783" i="2" s="1"/>
  <c r="B109" i="10"/>
  <c r="I111" i="10"/>
  <c r="B111" i="10"/>
  <c r="J111" i="10"/>
  <c r="C111" i="10"/>
  <c r="K111" i="10"/>
  <c r="D111" i="10"/>
  <c r="L111" i="10"/>
  <c r="P93" i="10"/>
  <c r="K20" i="10" s="1"/>
  <c r="L637" i="2" s="1"/>
  <c r="N93" i="10"/>
  <c r="O93" i="10" s="1"/>
  <c r="E83" i="10"/>
  <c r="M83" i="10"/>
  <c r="F83" i="10"/>
  <c r="G83" i="10"/>
  <c r="H83" i="10"/>
  <c r="I83" i="10"/>
  <c r="B83" i="10"/>
  <c r="J83" i="10"/>
  <c r="E74" i="10"/>
  <c r="M74" i="10"/>
  <c r="F74" i="10"/>
  <c r="G74" i="10"/>
  <c r="H74" i="10"/>
  <c r="I74" i="10"/>
  <c r="B74" i="10"/>
  <c r="J74" i="10"/>
  <c r="D14" i="10"/>
  <c r="N57" i="10"/>
  <c r="O57" i="10" s="1"/>
  <c r="G494" i="2"/>
  <c r="O41" i="10"/>
  <c r="O32" i="10"/>
  <c r="F352" i="1"/>
  <c r="F354" i="1" s="1"/>
  <c r="F382" i="1" s="1"/>
  <c r="I200" i="1"/>
  <c r="H162" i="1"/>
  <c r="H303" i="1"/>
  <c r="H305" i="1" s="1"/>
  <c r="H161" i="1"/>
  <c r="F210" i="1"/>
  <c r="F212" i="1" s="1"/>
  <c r="F214" i="1" s="1"/>
  <c r="F264" i="1" s="1"/>
  <c r="F266" i="1" s="1"/>
  <c r="F79" i="1"/>
  <c r="F92" i="1" s="1"/>
  <c r="F52" i="1"/>
  <c r="AO484" i="1"/>
  <c r="P164" i="1"/>
  <c r="I162" i="1"/>
  <c r="I303" i="1"/>
  <c r="I161" i="1"/>
  <c r="F630" i="2"/>
  <c r="G624" i="2"/>
  <c r="H635" i="2"/>
  <c r="G635" i="2"/>
  <c r="M635" i="2"/>
  <c r="L635" i="2"/>
  <c r="AG673" i="2"/>
  <c r="AH673" i="2" s="1"/>
  <c r="N635" i="2"/>
  <c r="AG627" i="2"/>
  <c r="AH627" i="2" s="1"/>
  <c r="E647" i="2"/>
  <c r="AG645" i="2"/>
  <c r="AH645" i="2" s="1"/>
  <c r="E661" i="2"/>
  <c r="E676" i="2"/>
  <c r="E690" i="2"/>
  <c r="E668" i="2"/>
  <c r="AG666" i="2"/>
  <c r="AH666" i="2" s="1"/>
  <c r="E704" i="2"/>
  <c r="E654" i="2"/>
  <c r="AG659" i="2"/>
  <c r="AH659" i="2" s="1"/>
  <c r="E680" i="2"/>
  <c r="AG687" i="2"/>
  <c r="AH687" i="2" s="1"/>
  <c r="AG701" i="2"/>
  <c r="AH701" i="2" s="1"/>
  <c r="AG652" i="2"/>
  <c r="AH652" i="2" s="1"/>
  <c r="E694" i="2"/>
  <c r="E708" i="2"/>
  <c r="E808" i="2"/>
  <c r="AG777" i="2"/>
  <c r="AH777" i="2" s="1"/>
  <c r="E780" i="2"/>
  <c r="E793" i="2"/>
  <c r="AG784" i="2"/>
  <c r="AH784" i="2" s="1"/>
  <c r="AG805" i="2"/>
  <c r="AH805" i="2" s="1"/>
  <c r="AH799" i="2"/>
  <c r="E800" i="2"/>
  <c r="AH806" i="2"/>
  <c r="E773" i="2"/>
  <c r="AG770" i="2"/>
  <c r="AH770" i="2" s="1"/>
  <c r="E787" i="2"/>
  <c r="I50" i="1"/>
  <c r="I434" i="1" s="1"/>
  <c r="T50" i="1"/>
  <c r="T348" i="1" s="1"/>
  <c r="AF50" i="1"/>
  <c r="AF320" i="1" s="1"/>
  <c r="AE50" i="1"/>
  <c r="AE434" i="1" s="1"/>
  <c r="N164" i="1"/>
  <c r="AB164" i="1"/>
  <c r="J238" i="1"/>
  <c r="V238" i="1"/>
  <c r="AH238" i="1"/>
  <c r="M223" i="1"/>
  <c r="Z223" i="1"/>
  <c r="AN223" i="1"/>
  <c r="J164" i="1"/>
  <c r="V164" i="1"/>
  <c r="AH164" i="1"/>
  <c r="T305" i="1"/>
  <c r="AF305" i="1"/>
  <c r="M50" i="1"/>
  <c r="M329" i="1" s="1"/>
  <c r="H380" i="1"/>
  <c r="R380" i="1"/>
  <c r="AE380" i="1"/>
  <c r="I238" i="1"/>
  <c r="T238" i="1"/>
  <c r="AF238" i="1"/>
  <c r="L305" i="1"/>
  <c r="Y305" i="1"/>
  <c r="AL305" i="1"/>
  <c r="N305" i="1"/>
  <c r="AB305" i="1"/>
  <c r="P31" i="1"/>
  <c r="AC31" i="1"/>
  <c r="AC310" i="1" s="1"/>
  <c r="AO28" i="1"/>
  <c r="AP28" i="1" s="1"/>
  <c r="T164" i="1"/>
  <c r="AF164" i="1"/>
  <c r="P305" i="1"/>
  <c r="AC305" i="1"/>
  <c r="I20" i="1"/>
  <c r="I295" i="1" s="1"/>
  <c r="N223" i="1"/>
  <c r="AB223" i="1"/>
  <c r="N238" i="1"/>
  <c r="P365" i="1"/>
  <c r="AC365" i="1"/>
  <c r="AF20" i="1"/>
  <c r="AF296" i="1" s="1"/>
  <c r="J20" i="1"/>
  <c r="J153" i="1" s="1"/>
  <c r="V20" i="1"/>
  <c r="V297" i="1" s="1"/>
  <c r="AH20" i="1"/>
  <c r="AH153" i="1" s="1"/>
  <c r="AO18" i="1"/>
  <c r="AP18" i="1" s="1"/>
  <c r="P223" i="1"/>
  <c r="AC223" i="1"/>
  <c r="J305" i="1"/>
  <c r="V305" i="1"/>
  <c r="AH305" i="1"/>
  <c r="R365" i="1"/>
  <c r="AE365" i="1"/>
  <c r="AO363" i="1"/>
  <c r="AP363" i="1" s="1"/>
  <c r="T20" i="1"/>
  <c r="T297" i="1" s="1"/>
  <c r="M164" i="1"/>
  <c r="Z164" i="1"/>
  <c r="AN164" i="1"/>
  <c r="R238" i="1"/>
  <c r="AE238" i="1"/>
  <c r="K305" i="1"/>
  <c r="W305" i="1"/>
  <c r="AJ305" i="1"/>
  <c r="P380" i="1"/>
  <c r="AC380" i="1"/>
  <c r="N31" i="1"/>
  <c r="N314" i="1" s="1"/>
  <c r="AB31" i="1"/>
  <c r="AB313" i="1" s="1"/>
  <c r="J50" i="1"/>
  <c r="J329" i="1" s="1"/>
  <c r="V50" i="1"/>
  <c r="V329" i="1" s="1"/>
  <c r="AH50" i="1"/>
  <c r="AH438" i="1" s="1"/>
  <c r="AB50" i="1"/>
  <c r="AB330" i="1" s="1"/>
  <c r="R305" i="1"/>
  <c r="AE305" i="1"/>
  <c r="L365" i="1"/>
  <c r="Y365" i="1"/>
  <c r="AL365" i="1"/>
  <c r="W20" i="1"/>
  <c r="W153" i="1" s="1"/>
  <c r="AE31" i="1"/>
  <c r="AE308" i="1" s="1"/>
  <c r="L20" i="1"/>
  <c r="L296" i="1" s="1"/>
  <c r="AL20" i="1"/>
  <c r="AL422" i="1" s="1"/>
  <c r="AO17" i="1"/>
  <c r="AP17" i="1" s="1"/>
  <c r="I31" i="1"/>
  <c r="I312" i="1" s="1"/>
  <c r="AF31" i="1"/>
  <c r="AF312" i="1" s="1"/>
  <c r="M20" i="1"/>
  <c r="M153" i="1" s="1"/>
  <c r="Z20" i="1"/>
  <c r="Z155" i="1" s="1"/>
  <c r="AN20" i="1"/>
  <c r="AN297" i="1" s="1"/>
  <c r="J31" i="1"/>
  <c r="J308" i="1" s="1"/>
  <c r="V31" i="1"/>
  <c r="V314" i="1" s="1"/>
  <c r="AH31" i="1"/>
  <c r="AH311" i="1" s="1"/>
  <c r="AO26" i="1"/>
  <c r="AP26" i="1" s="1"/>
  <c r="L50" i="1"/>
  <c r="L320" i="1" s="1"/>
  <c r="Y50" i="1"/>
  <c r="Y330" i="1" s="1"/>
  <c r="AL50" i="1"/>
  <c r="AL329" i="1" s="1"/>
  <c r="AO88" i="1"/>
  <c r="AP88" i="1" s="1"/>
  <c r="L164" i="1"/>
  <c r="Y164" i="1"/>
  <c r="AL164" i="1"/>
  <c r="T223" i="1"/>
  <c r="AF223" i="1"/>
  <c r="AO221" i="1"/>
  <c r="AP221" i="1" s="1"/>
  <c r="L238" i="1"/>
  <c r="Y238" i="1"/>
  <c r="AL238" i="1"/>
  <c r="K365" i="1"/>
  <c r="W365" i="1"/>
  <c r="AJ365" i="1"/>
  <c r="N380" i="1"/>
  <c r="AB380" i="1"/>
  <c r="AO374" i="1"/>
  <c r="AP374" i="1" s="1"/>
  <c r="AO378" i="1"/>
  <c r="AP378" i="1" s="1"/>
  <c r="AO15" i="1"/>
  <c r="AP15" i="1" s="1"/>
  <c r="W31" i="1"/>
  <c r="W314" i="1" s="1"/>
  <c r="Z50" i="1"/>
  <c r="Z198" i="1" s="1"/>
  <c r="AN50" i="1"/>
  <c r="AN434" i="1" s="1"/>
  <c r="AO84" i="1"/>
  <c r="AP84" i="1" s="1"/>
  <c r="AO86" i="1"/>
  <c r="AP86" i="1" s="1"/>
  <c r="J223" i="1"/>
  <c r="V223" i="1"/>
  <c r="AH223" i="1"/>
  <c r="M238" i="1"/>
  <c r="Z238" i="1"/>
  <c r="AN238" i="1"/>
  <c r="AO361" i="1"/>
  <c r="AP361" i="1" s="1"/>
  <c r="N20" i="1"/>
  <c r="N422" i="1" s="1"/>
  <c r="AO16" i="1"/>
  <c r="AP16" i="1" s="1"/>
  <c r="K31" i="1"/>
  <c r="K315" i="1" s="1"/>
  <c r="AJ31" i="1"/>
  <c r="AJ311" i="1" s="1"/>
  <c r="P20" i="1"/>
  <c r="P154" i="1" s="1"/>
  <c r="AC20" i="1"/>
  <c r="AC296" i="1" s="1"/>
  <c r="L31" i="1"/>
  <c r="L312" i="1" s="1"/>
  <c r="Y31" i="1"/>
  <c r="Y311" i="1" s="1"/>
  <c r="AL31" i="1"/>
  <c r="AL315" i="1" s="1"/>
  <c r="AO25" i="1"/>
  <c r="AP25" i="1" s="1"/>
  <c r="N50" i="1"/>
  <c r="N320" i="1" s="1"/>
  <c r="AO87" i="1"/>
  <c r="AP87" i="1" s="1"/>
  <c r="I182" i="1"/>
  <c r="K223" i="1"/>
  <c r="W223" i="1"/>
  <c r="AJ223" i="1"/>
  <c r="AO220" i="1"/>
  <c r="AP220" i="1" s="1"/>
  <c r="AB238" i="1"/>
  <c r="AO231" i="1"/>
  <c r="AP231" i="1" s="1"/>
  <c r="AO302" i="1"/>
  <c r="AP302" i="1" s="1"/>
  <c r="M365" i="1"/>
  <c r="Z365" i="1"/>
  <c r="AN365" i="1"/>
  <c r="AO370" i="1"/>
  <c r="AP370" i="1" s="1"/>
  <c r="AO373" i="1"/>
  <c r="AP373" i="1" s="1"/>
  <c r="AO377" i="1"/>
  <c r="AP377" i="1" s="1"/>
  <c r="AB20" i="1"/>
  <c r="AB295" i="1" s="1"/>
  <c r="H20" i="1"/>
  <c r="H114" i="1" s="1"/>
  <c r="R20" i="1"/>
  <c r="R153" i="1" s="1"/>
  <c r="AE20" i="1"/>
  <c r="AE155" i="1" s="1"/>
  <c r="M31" i="1"/>
  <c r="M311" i="1" s="1"/>
  <c r="Z31" i="1"/>
  <c r="Z310" i="1" s="1"/>
  <c r="AN31" i="1"/>
  <c r="AN315" i="1" s="1"/>
  <c r="AO29" i="1"/>
  <c r="AP29" i="1" s="1"/>
  <c r="P50" i="1"/>
  <c r="P438" i="1" s="1"/>
  <c r="AC50" i="1"/>
  <c r="AC434" i="1" s="1"/>
  <c r="AO70" i="1"/>
  <c r="AP70" i="1" s="1"/>
  <c r="AC164" i="1"/>
  <c r="L223" i="1"/>
  <c r="Y223" i="1"/>
  <c r="AL223" i="1"/>
  <c r="N365" i="1"/>
  <c r="AB365" i="1"/>
  <c r="I380" i="1"/>
  <c r="T380" i="1"/>
  <c r="AF380" i="1"/>
  <c r="AO24" i="1"/>
  <c r="AP24" i="1" s="1"/>
  <c r="AO34" i="1"/>
  <c r="AP34" i="1" s="1"/>
  <c r="M119" i="1"/>
  <c r="AO219" i="1"/>
  <c r="AP219" i="1" s="1"/>
  <c r="AO369" i="1"/>
  <c r="AP369" i="1" s="1"/>
  <c r="R31" i="1"/>
  <c r="R308" i="1" s="1"/>
  <c r="AO27" i="1"/>
  <c r="AP27" i="1" s="1"/>
  <c r="AO218" i="1"/>
  <c r="AP218" i="1" s="1"/>
  <c r="AO233" i="1"/>
  <c r="AP233" i="1" s="1"/>
  <c r="AO327" i="1"/>
  <c r="AP327" i="1" s="1"/>
  <c r="I365" i="1"/>
  <c r="T365" i="1"/>
  <c r="AF365" i="1"/>
  <c r="L380" i="1"/>
  <c r="Y380" i="1"/>
  <c r="AL380" i="1"/>
  <c r="K20" i="1"/>
  <c r="K155" i="1" s="1"/>
  <c r="AJ20" i="1"/>
  <c r="AJ153" i="1" s="1"/>
  <c r="AO23" i="1"/>
  <c r="AP23" i="1" s="1"/>
  <c r="Y20" i="1"/>
  <c r="Y422" i="1" s="1"/>
  <c r="T31" i="1"/>
  <c r="T311" i="1" s="1"/>
  <c r="K50" i="1"/>
  <c r="K198" i="1" s="1"/>
  <c r="W50" i="1"/>
  <c r="W438" i="1" s="1"/>
  <c r="AJ50" i="1"/>
  <c r="AJ75" i="1" s="1"/>
  <c r="AO45" i="1"/>
  <c r="AP45" i="1" s="1"/>
  <c r="K164" i="1"/>
  <c r="W164" i="1"/>
  <c r="AJ164" i="1"/>
  <c r="H223" i="1"/>
  <c r="R223" i="1"/>
  <c r="AE223" i="1"/>
  <c r="K238" i="1"/>
  <c r="W238" i="1"/>
  <c r="AJ238" i="1"/>
  <c r="M305" i="1"/>
  <c r="Z305" i="1"/>
  <c r="AN305" i="1"/>
  <c r="J365" i="1"/>
  <c r="V365" i="1"/>
  <c r="AH365" i="1"/>
  <c r="AO362" i="1"/>
  <c r="AP362" i="1" s="1"/>
  <c r="M380" i="1"/>
  <c r="Z380" i="1"/>
  <c r="AN380" i="1"/>
  <c r="AC429" i="1"/>
  <c r="AC345" i="1"/>
  <c r="AC202" i="1"/>
  <c r="AC121" i="1"/>
  <c r="AC432" i="1"/>
  <c r="AC325" i="1"/>
  <c r="AC206" i="1"/>
  <c r="AC205" i="1"/>
  <c r="AC187" i="1"/>
  <c r="AC184" i="1"/>
  <c r="AC124" i="1"/>
  <c r="H31" i="1"/>
  <c r="H423" i="1"/>
  <c r="H115" i="1"/>
  <c r="R423" i="1"/>
  <c r="R115" i="1"/>
  <c r="AE423" i="1"/>
  <c r="AE115" i="1"/>
  <c r="H424" i="1"/>
  <c r="H342" i="1"/>
  <c r="H322" i="1"/>
  <c r="H321" i="1"/>
  <c r="H199" i="1"/>
  <c r="H180" i="1"/>
  <c r="H181" i="1"/>
  <c r="H116" i="1"/>
  <c r="R424" i="1"/>
  <c r="R342" i="1"/>
  <c r="R322" i="1"/>
  <c r="R321" i="1"/>
  <c r="R199" i="1"/>
  <c r="R181" i="1"/>
  <c r="R116" i="1"/>
  <c r="R180" i="1"/>
  <c r="AE424" i="1"/>
  <c r="AE342" i="1"/>
  <c r="AE322" i="1"/>
  <c r="AE321" i="1"/>
  <c r="AE199" i="1"/>
  <c r="AE180" i="1"/>
  <c r="AE181" i="1"/>
  <c r="AE116" i="1"/>
  <c r="H425" i="1"/>
  <c r="H117" i="1"/>
  <c r="R425" i="1"/>
  <c r="R117" i="1"/>
  <c r="AE425" i="1"/>
  <c r="AE117" i="1"/>
  <c r="H426" i="1"/>
  <c r="H343" i="1"/>
  <c r="H323" i="1"/>
  <c r="H200" i="1"/>
  <c r="H182" i="1"/>
  <c r="H118" i="1"/>
  <c r="R426" i="1"/>
  <c r="R323" i="1"/>
  <c r="R343" i="1"/>
  <c r="R200" i="1"/>
  <c r="R182" i="1"/>
  <c r="R118" i="1"/>
  <c r="AE426" i="1"/>
  <c r="AE343" i="1"/>
  <c r="AE323" i="1"/>
  <c r="AE200" i="1"/>
  <c r="AE182" i="1"/>
  <c r="AE118" i="1"/>
  <c r="H427" i="1"/>
  <c r="H119" i="1"/>
  <c r="R427" i="1"/>
  <c r="R119" i="1"/>
  <c r="AE427" i="1"/>
  <c r="AE119" i="1"/>
  <c r="H428" i="1"/>
  <c r="H344" i="1"/>
  <c r="H324" i="1"/>
  <c r="H201" i="1"/>
  <c r="H183" i="1"/>
  <c r="H120" i="1"/>
  <c r="R428" i="1"/>
  <c r="R344" i="1"/>
  <c r="R324" i="1"/>
  <c r="R201" i="1"/>
  <c r="R183" i="1"/>
  <c r="R120" i="1"/>
  <c r="AE428" i="1"/>
  <c r="AE344" i="1"/>
  <c r="AE201" i="1"/>
  <c r="AE183" i="1"/>
  <c r="AE120" i="1"/>
  <c r="AE324" i="1"/>
  <c r="H429" i="1"/>
  <c r="H345" i="1"/>
  <c r="H202" i="1"/>
  <c r="H121" i="1"/>
  <c r="R429" i="1"/>
  <c r="R345" i="1"/>
  <c r="R202" i="1"/>
  <c r="R121" i="1"/>
  <c r="AE429" i="1"/>
  <c r="AE345" i="1"/>
  <c r="AE202" i="1"/>
  <c r="AE121" i="1"/>
  <c r="H430" i="1"/>
  <c r="H328" i="1"/>
  <c r="H122" i="1"/>
  <c r="R430" i="1"/>
  <c r="R328" i="1"/>
  <c r="R122" i="1"/>
  <c r="AE430" i="1"/>
  <c r="AE328" i="1"/>
  <c r="AE122" i="1"/>
  <c r="H431" i="1"/>
  <c r="H347" i="1"/>
  <c r="H326" i="1"/>
  <c r="H204" i="1"/>
  <c r="H185" i="1"/>
  <c r="H123" i="1"/>
  <c r="R431" i="1"/>
  <c r="R326" i="1"/>
  <c r="R347" i="1"/>
  <c r="R204" i="1"/>
  <c r="R185" i="1"/>
  <c r="R123" i="1"/>
  <c r="AE431" i="1"/>
  <c r="AE347" i="1"/>
  <c r="AE326" i="1"/>
  <c r="AE204" i="1"/>
  <c r="AE185" i="1"/>
  <c r="AE123" i="1"/>
  <c r="H432" i="1"/>
  <c r="H325" i="1"/>
  <c r="H206" i="1"/>
  <c r="H205" i="1"/>
  <c r="H187" i="1"/>
  <c r="H184" i="1"/>
  <c r="H124" i="1"/>
  <c r="R432" i="1"/>
  <c r="R325" i="1"/>
  <c r="R206" i="1"/>
  <c r="R205" i="1"/>
  <c r="R187" i="1"/>
  <c r="R184" i="1"/>
  <c r="R124" i="1"/>
  <c r="AE432" i="1"/>
  <c r="AE325" i="1"/>
  <c r="AE206" i="1"/>
  <c r="AE205" i="1"/>
  <c r="AE187" i="1"/>
  <c r="AE184" i="1"/>
  <c r="AE124" i="1"/>
  <c r="H433" i="1"/>
  <c r="H346" i="1"/>
  <c r="H203" i="1"/>
  <c r="H125" i="1"/>
  <c r="R433" i="1"/>
  <c r="R346" i="1"/>
  <c r="R203" i="1"/>
  <c r="R125" i="1"/>
  <c r="AE433" i="1"/>
  <c r="AE346" i="1"/>
  <c r="AE203" i="1"/>
  <c r="AE125" i="1"/>
  <c r="Z119" i="1"/>
  <c r="P424" i="1"/>
  <c r="P342" i="1"/>
  <c r="P322" i="1"/>
  <c r="P321" i="1"/>
  <c r="P199" i="1"/>
  <c r="P181" i="1"/>
  <c r="P180" i="1"/>
  <c r="P116" i="1"/>
  <c r="AC427" i="1"/>
  <c r="AC119" i="1"/>
  <c r="AC430" i="1"/>
  <c r="AC328" i="1"/>
  <c r="AC122" i="1"/>
  <c r="I423" i="1"/>
  <c r="I115" i="1"/>
  <c r="T423" i="1"/>
  <c r="T115" i="1"/>
  <c r="AF423" i="1"/>
  <c r="AF115" i="1"/>
  <c r="I424" i="1"/>
  <c r="I321" i="1"/>
  <c r="I342" i="1"/>
  <c r="I322" i="1"/>
  <c r="I180" i="1"/>
  <c r="I181" i="1"/>
  <c r="I116" i="1"/>
  <c r="I199" i="1"/>
  <c r="T322" i="1"/>
  <c r="T424" i="1"/>
  <c r="T342" i="1"/>
  <c r="T321" i="1"/>
  <c r="T199" i="1"/>
  <c r="T116" i="1"/>
  <c r="T180" i="1"/>
  <c r="AF424" i="1"/>
  <c r="AF322" i="1"/>
  <c r="AF342" i="1"/>
  <c r="AF321" i="1"/>
  <c r="AF180" i="1"/>
  <c r="AF199" i="1"/>
  <c r="AF181" i="1"/>
  <c r="AF116" i="1"/>
  <c r="I425" i="1"/>
  <c r="I117" i="1"/>
  <c r="T425" i="1"/>
  <c r="T117" i="1"/>
  <c r="AF425" i="1"/>
  <c r="AF117" i="1"/>
  <c r="I426" i="1"/>
  <c r="I343" i="1"/>
  <c r="I323" i="1"/>
  <c r="I118" i="1"/>
  <c r="T426" i="1"/>
  <c r="T343" i="1"/>
  <c r="T323" i="1"/>
  <c r="T182" i="1"/>
  <c r="T118" i="1"/>
  <c r="T200" i="1"/>
  <c r="AF426" i="1"/>
  <c r="AF343" i="1"/>
  <c r="AF323" i="1"/>
  <c r="AF200" i="1"/>
  <c r="AF118" i="1"/>
  <c r="I427" i="1"/>
  <c r="I119" i="1"/>
  <c r="T427" i="1"/>
  <c r="T119" i="1"/>
  <c r="AF427" i="1"/>
  <c r="AF119" i="1"/>
  <c r="I428" i="1"/>
  <c r="I344" i="1"/>
  <c r="I324" i="1"/>
  <c r="I201" i="1"/>
  <c r="I183" i="1"/>
  <c r="I120" i="1"/>
  <c r="T428" i="1"/>
  <c r="T344" i="1"/>
  <c r="T324" i="1"/>
  <c r="T120" i="1"/>
  <c r="AF428" i="1"/>
  <c r="AF344" i="1"/>
  <c r="AF324" i="1"/>
  <c r="AF183" i="1"/>
  <c r="AF120" i="1"/>
  <c r="AF201" i="1"/>
  <c r="I429" i="1"/>
  <c r="I345" i="1"/>
  <c r="I202" i="1"/>
  <c r="I121" i="1"/>
  <c r="T429" i="1"/>
  <c r="T345" i="1"/>
  <c r="T202" i="1"/>
  <c r="T121" i="1"/>
  <c r="AF429" i="1"/>
  <c r="AF345" i="1"/>
  <c r="AF202" i="1"/>
  <c r="AF121" i="1"/>
  <c r="I430" i="1"/>
  <c r="I328" i="1"/>
  <c r="I122" i="1"/>
  <c r="T430" i="1"/>
  <c r="T328" i="1"/>
  <c r="T122" i="1"/>
  <c r="AF430" i="1"/>
  <c r="AF328" i="1"/>
  <c r="AF122" i="1"/>
  <c r="I431" i="1"/>
  <c r="I326" i="1"/>
  <c r="I347" i="1"/>
  <c r="I185" i="1"/>
  <c r="I123" i="1"/>
  <c r="I204" i="1"/>
  <c r="T431" i="1"/>
  <c r="T326" i="1"/>
  <c r="T347" i="1"/>
  <c r="T123" i="1"/>
  <c r="T204" i="1"/>
  <c r="AF431" i="1"/>
  <c r="AF326" i="1"/>
  <c r="AF347" i="1"/>
  <c r="AF204" i="1"/>
  <c r="AF185" i="1"/>
  <c r="AF123" i="1"/>
  <c r="I432" i="1"/>
  <c r="I325" i="1"/>
  <c r="I187" i="1"/>
  <c r="I205" i="1"/>
  <c r="I124" i="1"/>
  <c r="T432" i="1"/>
  <c r="T325" i="1"/>
  <c r="T205" i="1"/>
  <c r="T184" i="1"/>
  <c r="T124" i="1"/>
  <c r="T206" i="1"/>
  <c r="T187" i="1"/>
  <c r="AF432" i="1"/>
  <c r="AF325" i="1"/>
  <c r="AF205" i="1"/>
  <c r="AF187" i="1"/>
  <c r="AF124" i="1"/>
  <c r="AF206" i="1"/>
  <c r="I433" i="1"/>
  <c r="I346" i="1"/>
  <c r="I203" i="1"/>
  <c r="I125" i="1"/>
  <c r="T433" i="1"/>
  <c r="T346" i="1"/>
  <c r="T125" i="1"/>
  <c r="AF433" i="1"/>
  <c r="AF346" i="1"/>
  <c r="AF125" i="1"/>
  <c r="AF203" i="1"/>
  <c r="M117" i="1"/>
  <c r="AN119" i="1"/>
  <c r="T183" i="1"/>
  <c r="T201" i="1"/>
  <c r="AC238" i="1"/>
  <c r="P425" i="1"/>
  <c r="P117" i="1"/>
  <c r="P428" i="1"/>
  <c r="P344" i="1"/>
  <c r="P324" i="1"/>
  <c r="P201" i="1"/>
  <c r="P183" i="1"/>
  <c r="P120" i="1"/>
  <c r="AC431" i="1"/>
  <c r="AC347" i="1"/>
  <c r="AC326" i="1"/>
  <c r="AC204" i="1"/>
  <c r="AC185" i="1"/>
  <c r="AC123" i="1"/>
  <c r="P433" i="1"/>
  <c r="P346" i="1"/>
  <c r="P203" i="1"/>
  <c r="P125" i="1"/>
  <c r="AO14" i="1"/>
  <c r="AP14" i="1" s="1"/>
  <c r="J423" i="1"/>
  <c r="J115" i="1"/>
  <c r="V423" i="1"/>
  <c r="V115" i="1"/>
  <c r="AH423" i="1"/>
  <c r="AH115" i="1"/>
  <c r="J424" i="1"/>
  <c r="J342" i="1"/>
  <c r="J321" i="1"/>
  <c r="J322" i="1"/>
  <c r="J181" i="1"/>
  <c r="J180" i="1"/>
  <c r="J199" i="1"/>
  <c r="J116" i="1"/>
  <c r="V424" i="1"/>
  <c r="V342" i="1"/>
  <c r="V321" i="1"/>
  <c r="V181" i="1"/>
  <c r="V180" i="1"/>
  <c r="V322" i="1"/>
  <c r="V199" i="1"/>
  <c r="V116" i="1"/>
  <c r="AH424" i="1"/>
  <c r="AH342" i="1"/>
  <c r="AH322" i="1"/>
  <c r="AH321" i="1"/>
  <c r="AH181" i="1"/>
  <c r="AH180" i="1"/>
  <c r="AH199" i="1"/>
  <c r="AH116" i="1"/>
  <c r="J425" i="1"/>
  <c r="J117" i="1"/>
  <c r="V425" i="1"/>
  <c r="V117" i="1"/>
  <c r="AH425" i="1"/>
  <c r="AH117" i="1"/>
  <c r="J426" i="1"/>
  <c r="J323" i="1"/>
  <c r="J182" i="1"/>
  <c r="J343" i="1"/>
  <c r="J200" i="1"/>
  <c r="J118" i="1"/>
  <c r="V426" i="1"/>
  <c r="V323" i="1"/>
  <c r="V343" i="1"/>
  <c r="V182" i="1"/>
  <c r="V200" i="1"/>
  <c r="V118" i="1"/>
  <c r="AH426" i="1"/>
  <c r="AH323" i="1"/>
  <c r="AH343" i="1"/>
  <c r="AH182" i="1"/>
  <c r="AH200" i="1"/>
  <c r="AH118" i="1"/>
  <c r="J427" i="1"/>
  <c r="J119" i="1"/>
  <c r="V427" i="1"/>
  <c r="V119" i="1"/>
  <c r="AH427" i="1"/>
  <c r="AH119" i="1"/>
  <c r="J428" i="1"/>
  <c r="J324" i="1"/>
  <c r="J344" i="1"/>
  <c r="J183" i="1"/>
  <c r="J201" i="1"/>
  <c r="J120" i="1"/>
  <c r="V428" i="1"/>
  <c r="V324" i="1"/>
  <c r="V183" i="1"/>
  <c r="V201" i="1"/>
  <c r="V120" i="1"/>
  <c r="V344" i="1"/>
  <c r="AH428" i="1"/>
  <c r="AH324" i="1"/>
  <c r="AH344" i="1"/>
  <c r="AH183" i="1"/>
  <c r="AH201" i="1"/>
  <c r="AH120" i="1"/>
  <c r="J429" i="1"/>
  <c r="J345" i="1"/>
  <c r="J202" i="1"/>
  <c r="J121" i="1"/>
  <c r="V429" i="1"/>
  <c r="V345" i="1"/>
  <c r="V202" i="1"/>
  <c r="V121" i="1"/>
  <c r="AH429" i="1"/>
  <c r="AH345" i="1"/>
  <c r="AH202" i="1"/>
  <c r="AH121" i="1"/>
  <c r="J430" i="1"/>
  <c r="J328" i="1"/>
  <c r="J122" i="1"/>
  <c r="V430" i="1"/>
  <c r="V328" i="1"/>
  <c r="V122" i="1"/>
  <c r="AH430" i="1"/>
  <c r="AH328" i="1"/>
  <c r="AH122" i="1"/>
  <c r="J431" i="1"/>
  <c r="J326" i="1"/>
  <c r="J185" i="1"/>
  <c r="J347" i="1"/>
  <c r="J204" i="1"/>
  <c r="J123" i="1"/>
  <c r="V431" i="1"/>
  <c r="V326" i="1"/>
  <c r="V347" i="1"/>
  <c r="V185" i="1"/>
  <c r="V204" i="1"/>
  <c r="V123" i="1"/>
  <c r="AH431" i="1"/>
  <c r="AH326" i="1"/>
  <c r="AH185" i="1"/>
  <c r="AH347" i="1"/>
  <c r="AH204" i="1"/>
  <c r="AH123" i="1"/>
  <c r="J432" i="1"/>
  <c r="J325" i="1"/>
  <c r="J187" i="1"/>
  <c r="J184" i="1"/>
  <c r="J206" i="1"/>
  <c r="J205" i="1"/>
  <c r="J124" i="1"/>
  <c r="V432" i="1"/>
  <c r="V325" i="1"/>
  <c r="V187" i="1"/>
  <c r="V184" i="1"/>
  <c r="V206" i="1"/>
  <c r="V205" i="1"/>
  <c r="V124" i="1"/>
  <c r="AH432" i="1"/>
  <c r="AH325" i="1"/>
  <c r="AH187" i="1"/>
  <c r="AH184" i="1"/>
  <c r="AH206" i="1"/>
  <c r="AH205" i="1"/>
  <c r="AH124" i="1"/>
  <c r="J433" i="1"/>
  <c r="J346" i="1"/>
  <c r="J203" i="1"/>
  <c r="J125" i="1"/>
  <c r="V433" i="1"/>
  <c r="V346" i="1"/>
  <c r="V203" i="1"/>
  <c r="V125" i="1"/>
  <c r="AH433" i="1"/>
  <c r="AH346" i="1"/>
  <c r="AH203" i="1"/>
  <c r="AH125" i="1"/>
  <c r="H50" i="1"/>
  <c r="Z117" i="1"/>
  <c r="I184" i="1"/>
  <c r="T203" i="1"/>
  <c r="P423" i="1"/>
  <c r="P115" i="1"/>
  <c r="AC426" i="1"/>
  <c r="AC343" i="1"/>
  <c r="AC323" i="1"/>
  <c r="AC200" i="1"/>
  <c r="AC182" i="1"/>
  <c r="AC118" i="1"/>
  <c r="P431" i="1"/>
  <c r="P347" i="1"/>
  <c r="P326" i="1"/>
  <c r="P204" i="1"/>
  <c r="P185" i="1"/>
  <c r="P123" i="1"/>
  <c r="K423" i="1"/>
  <c r="K115" i="1"/>
  <c r="W423" i="1"/>
  <c r="W115" i="1"/>
  <c r="AJ423" i="1"/>
  <c r="AJ115" i="1"/>
  <c r="K424" i="1"/>
  <c r="K322" i="1"/>
  <c r="K321" i="1"/>
  <c r="K342" i="1"/>
  <c r="K199" i="1"/>
  <c r="K180" i="1"/>
  <c r="K116" i="1"/>
  <c r="K181" i="1"/>
  <c r="W322" i="1"/>
  <c r="W321" i="1"/>
  <c r="W424" i="1"/>
  <c r="W342" i="1"/>
  <c r="W199" i="1"/>
  <c r="W116" i="1"/>
  <c r="W180" i="1"/>
  <c r="W181" i="1"/>
  <c r="AJ424" i="1"/>
  <c r="AJ322" i="1"/>
  <c r="AJ321" i="1"/>
  <c r="AJ342" i="1"/>
  <c r="AJ199" i="1"/>
  <c r="AJ116" i="1"/>
  <c r="AJ181" i="1"/>
  <c r="K425" i="1"/>
  <c r="K117" i="1"/>
  <c r="W425" i="1"/>
  <c r="W117" i="1"/>
  <c r="AJ425" i="1"/>
  <c r="AJ117" i="1"/>
  <c r="K426" i="1"/>
  <c r="K323" i="1"/>
  <c r="K343" i="1"/>
  <c r="K200" i="1"/>
  <c r="K118" i="1"/>
  <c r="K182" i="1"/>
  <c r="W426" i="1"/>
  <c r="W323" i="1"/>
  <c r="W343" i="1"/>
  <c r="W200" i="1"/>
  <c r="W118" i="1"/>
  <c r="W182" i="1"/>
  <c r="AJ426" i="1"/>
  <c r="AJ323" i="1"/>
  <c r="AJ343" i="1"/>
  <c r="AJ200" i="1"/>
  <c r="AJ118" i="1"/>
  <c r="AJ182" i="1"/>
  <c r="K427" i="1"/>
  <c r="K119" i="1"/>
  <c r="W427" i="1"/>
  <c r="W119" i="1"/>
  <c r="AJ427" i="1"/>
  <c r="AJ119" i="1"/>
  <c r="K344" i="1"/>
  <c r="K428" i="1"/>
  <c r="K324" i="1"/>
  <c r="K201" i="1"/>
  <c r="K120" i="1"/>
  <c r="K183" i="1"/>
  <c r="W428" i="1"/>
  <c r="W324" i="1"/>
  <c r="W344" i="1"/>
  <c r="W201" i="1"/>
  <c r="W120" i="1"/>
  <c r="W183" i="1"/>
  <c r="AJ428" i="1"/>
  <c r="AJ344" i="1"/>
  <c r="AJ324" i="1"/>
  <c r="AJ201" i="1"/>
  <c r="AJ120" i="1"/>
  <c r="AJ183" i="1"/>
  <c r="K429" i="1"/>
  <c r="K345" i="1"/>
  <c r="K202" i="1"/>
  <c r="K121" i="1"/>
  <c r="W429" i="1"/>
  <c r="W345" i="1"/>
  <c r="W202" i="1"/>
  <c r="W121" i="1"/>
  <c r="AJ429" i="1"/>
  <c r="AJ345" i="1"/>
  <c r="AJ202" i="1"/>
  <c r="AJ121" i="1"/>
  <c r="K430" i="1"/>
  <c r="K328" i="1"/>
  <c r="K122" i="1"/>
  <c r="W430" i="1"/>
  <c r="W328" i="1"/>
  <c r="W122" i="1"/>
  <c r="AJ430" i="1"/>
  <c r="AJ328" i="1"/>
  <c r="AJ122" i="1"/>
  <c r="K431" i="1"/>
  <c r="K326" i="1"/>
  <c r="K347" i="1"/>
  <c r="K204" i="1"/>
  <c r="K123" i="1"/>
  <c r="K185" i="1"/>
  <c r="W431" i="1"/>
  <c r="W347" i="1"/>
  <c r="W326" i="1"/>
  <c r="W204" i="1"/>
  <c r="W123" i="1"/>
  <c r="W185" i="1"/>
  <c r="AJ431" i="1"/>
  <c r="AJ326" i="1"/>
  <c r="AJ347" i="1"/>
  <c r="AJ204" i="1"/>
  <c r="AJ123" i="1"/>
  <c r="AJ185" i="1"/>
  <c r="K432" i="1"/>
  <c r="K325" i="1"/>
  <c r="K206" i="1"/>
  <c r="K205" i="1"/>
  <c r="K187" i="1"/>
  <c r="K124" i="1"/>
  <c r="K184" i="1"/>
  <c r="W432" i="1"/>
  <c r="W325" i="1"/>
  <c r="W206" i="1"/>
  <c r="W205" i="1"/>
  <c r="W124" i="1"/>
  <c r="W184" i="1"/>
  <c r="W187" i="1"/>
  <c r="AJ432" i="1"/>
  <c r="AJ325" i="1"/>
  <c r="AJ206" i="1"/>
  <c r="AJ205" i="1"/>
  <c r="AJ124" i="1"/>
  <c r="AJ187" i="1"/>
  <c r="AJ184" i="1"/>
  <c r="K433" i="1"/>
  <c r="K346" i="1"/>
  <c r="K203" i="1"/>
  <c r="K125" i="1"/>
  <c r="W433" i="1"/>
  <c r="W346" i="1"/>
  <c r="W203" i="1"/>
  <c r="W125" i="1"/>
  <c r="AJ433" i="1"/>
  <c r="AJ346" i="1"/>
  <c r="AJ203" i="1"/>
  <c r="AJ125" i="1"/>
  <c r="M115" i="1"/>
  <c r="AN117" i="1"/>
  <c r="R164" i="1"/>
  <c r="AE164" i="1"/>
  <c r="AF184" i="1"/>
  <c r="I206" i="1"/>
  <c r="AC423" i="1"/>
  <c r="AC115" i="1"/>
  <c r="P426" i="1"/>
  <c r="P343" i="1"/>
  <c r="P323" i="1"/>
  <c r="P200" i="1"/>
  <c r="P182" i="1"/>
  <c r="P118" i="1"/>
  <c r="P429" i="1"/>
  <c r="P345" i="1"/>
  <c r="P202" i="1"/>
  <c r="P121" i="1"/>
  <c r="AC433" i="1"/>
  <c r="AC346" i="1"/>
  <c r="AC203" i="1"/>
  <c r="AC125" i="1"/>
  <c r="L423" i="1"/>
  <c r="L115" i="1"/>
  <c r="Y423" i="1"/>
  <c r="Y115" i="1"/>
  <c r="AL423" i="1"/>
  <c r="AL115" i="1"/>
  <c r="L424" i="1"/>
  <c r="L321" i="1"/>
  <c r="L342" i="1"/>
  <c r="L322" i="1"/>
  <c r="L181" i="1"/>
  <c r="L180" i="1"/>
  <c r="L116" i="1"/>
  <c r="L199" i="1"/>
  <c r="Y424" i="1"/>
  <c r="Y321" i="1"/>
  <c r="Y322" i="1"/>
  <c r="Y342" i="1"/>
  <c r="Y181" i="1"/>
  <c r="Y180" i="1"/>
  <c r="Y116" i="1"/>
  <c r="Y199" i="1"/>
  <c r="AL424" i="1"/>
  <c r="AL342" i="1"/>
  <c r="AL321" i="1"/>
  <c r="AL322" i="1"/>
  <c r="AL181" i="1"/>
  <c r="AL180" i="1"/>
  <c r="AL199" i="1"/>
  <c r="AL116" i="1"/>
  <c r="L425" i="1"/>
  <c r="L117" i="1"/>
  <c r="Y425" i="1"/>
  <c r="Y117" i="1"/>
  <c r="AL425" i="1"/>
  <c r="AL117" i="1"/>
  <c r="L343" i="1"/>
  <c r="L426" i="1"/>
  <c r="L323" i="1"/>
  <c r="L182" i="1"/>
  <c r="L118" i="1"/>
  <c r="L200" i="1"/>
  <c r="Y343" i="1"/>
  <c r="Y323" i="1"/>
  <c r="Y426" i="1"/>
  <c r="Y182" i="1"/>
  <c r="Y118" i="1"/>
  <c r="Y200" i="1"/>
  <c r="AL426" i="1"/>
  <c r="AL343" i="1"/>
  <c r="AL323" i="1"/>
  <c r="AL182" i="1"/>
  <c r="AL118" i="1"/>
  <c r="AL200" i="1"/>
  <c r="L427" i="1"/>
  <c r="L119" i="1"/>
  <c r="Y427" i="1"/>
  <c r="Y119" i="1"/>
  <c r="AL427" i="1"/>
  <c r="AL119" i="1"/>
  <c r="L344" i="1"/>
  <c r="L428" i="1"/>
  <c r="L324" i="1"/>
  <c r="L183" i="1"/>
  <c r="L201" i="1"/>
  <c r="L120" i="1"/>
  <c r="Y428" i="1"/>
  <c r="Y344" i="1"/>
  <c r="Y324" i="1"/>
  <c r="Y183" i="1"/>
  <c r="Y120" i="1"/>
  <c r="Y201" i="1"/>
  <c r="AL428" i="1"/>
  <c r="AL344" i="1"/>
  <c r="AL324" i="1"/>
  <c r="AL183" i="1"/>
  <c r="AL120" i="1"/>
  <c r="AL201" i="1"/>
  <c r="L345" i="1"/>
  <c r="L429" i="1"/>
  <c r="L202" i="1"/>
  <c r="L121" i="1"/>
  <c r="Y429" i="1"/>
  <c r="Y345" i="1"/>
  <c r="Y202" i="1"/>
  <c r="Y121" i="1"/>
  <c r="AL345" i="1"/>
  <c r="AL429" i="1"/>
  <c r="AL202" i="1"/>
  <c r="AL121" i="1"/>
  <c r="L328" i="1"/>
  <c r="L430" i="1"/>
  <c r="L122" i="1"/>
  <c r="Y328" i="1"/>
  <c r="Y430" i="1"/>
  <c r="Y122" i="1"/>
  <c r="AL328" i="1"/>
  <c r="AL430" i="1"/>
  <c r="AL122" i="1"/>
  <c r="L431" i="1"/>
  <c r="L347" i="1"/>
  <c r="L326" i="1"/>
  <c r="L204" i="1"/>
  <c r="L185" i="1"/>
  <c r="L123" i="1"/>
  <c r="Y431" i="1"/>
  <c r="Y347" i="1"/>
  <c r="Y326" i="1"/>
  <c r="Y204" i="1"/>
  <c r="Y185" i="1"/>
  <c r="Y123" i="1"/>
  <c r="AL347" i="1"/>
  <c r="AL431" i="1"/>
  <c r="AL326" i="1"/>
  <c r="AL204" i="1"/>
  <c r="AL185" i="1"/>
  <c r="AL123" i="1"/>
  <c r="L432" i="1"/>
  <c r="L325" i="1"/>
  <c r="L206" i="1"/>
  <c r="L205" i="1"/>
  <c r="L187" i="1"/>
  <c r="L184" i="1"/>
  <c r="L124" i="1"/>
  <c r="Y432" i="1"/>
  <c r="Y325" i="1"/>
  <c r="Y206" i="1"/>
  <c r="Y205" i="1"/>
  <c r="Y187" i="1"/>
  <c r="Y184" i="1"/>
  <c r="Y124" i="1"/>
  <c r="AL432" i="1"/>
  <c r="AL325" i="1"/>
  <c r="AL206" i="1"/>
  <c r="AL205" i="1"/>
  <c r="AL187" i="1"/>
  <c r="AL184" i="1"/>
  <c r="AL124" i="1"/>
  <c r="L433" i="1"/>
  <c r="L346" i="1"/>
  <c r="L203" i="1"/>
  <c r="L125" i="1"/>
  <c r="Y346" i="1"/>
  <c r="Y433" i="1"/>
  <c r="Y203" i="1"/>
  <c r="Y125" i="1"/>
  <c r="AL433" i="1"/>
  <c r="AL346" i="1"/>
  <c r="AL203" i="1"/>
  <c r="AL125" i="1"/>
  <c r="R90" i="1"/>
  <c r="R107" i="1" s="1"/>
  <c r="Z115" i="1"/>
  <c r="T185" i="1"/>
  <c r="AC424" i="1"/>
  <c r="AC321" i="1"/>
  <c r="AC322" i="1"/>
  <c r="AC342" i="1"/>
  <c r="AC199" i="1"/>
  <c r="AC181" i="1"/>
  <c r="AC180" i="1"/>
  <c r="AC116" i="1"/>
  <c r="P427" i="1"/>
  <c r="P119" i="1"/>
  <c r="P430" i="1"/>
  <c r="P328" i="1"/>
  <c r="P122" i="1"/>
  <c r="P432" i="1"/>
  <c r="P325" i="1"/>
  <c r="P206" i="1"/>
  <c r="P205" i="1"/>
  <c r="P187" i="1"/>
  <c r="P184" i="1"/>
  <c r="P124" i="1"/>
  <c r="M424" i="1"/>
  <c r="M342" i="1"/>
  <c r="M321" i="1"/>
  <c r="M322" i="1"/>
  <c r="M199" i="1"/>
  <c r="M181" i="1"/>
  <c r="M180" i="1"/>
  <c r="Z342" i="1"/>
  <c r="Z424" i="1"/>
  <c r="Z321" i="1"/>
  <c r="Z322" i="1"/>
  <c r="Z199" i="1"/>
  <c r="Z181" i="1"/>
  <c r="Z180" i="1"/>
  <c r="AN342" i="1"/>
  <c r="AN424" i="1"/>
  <c r="AN321" i="1"/>
  <c r="AN322" i="1"/>
  <c r="AN199" i="1"/>
  <c r="AN181" i="1"/>
  <c r="AN180" i="1"/>
  <c r="M343" i="1"/>
  <c r="M426" i="1"/>
  <c r="M323" i="1"/>
  <c r="M200" i="1"/>
  <c r="M182" i="1"/>
  <c r="Z343" i="1"/>
  <c r="Z426" i="1"/>
  <c r="Z323" i="1"/>
  <c r="Z200" i="1"/>
  <c r="Z182" i="1"/>
  <c r="AN426" i="1"/>
  <c r="AN343" i="1"/>
  <c r="AN323" i="1"/>
  <c r="AN200" i="1"/>
  <c r="AN182" i="1"/>
  <c r="M344" i="1"/>
  <c r="M428" i="1"/>
  <c r="M324" i="1"/>
  <c r="M201" i="1"/>
  <c r="M183" i="1"/>
  <c r="Z428" i="1"/>
  <c r="Z344" i="1"/>
  <c r="Z324" i="1"/>
  <c r="Z201" i="1"/>
  <c r="Z183" i="1"/>
  <c r="AN344" i="1"/>
  <c r="AN428" i="1"/>
  <c r="AN324" i="1"/>
  <c r="AN201" i="1"/>
  <c r="AN183" i="1"/>
  <c r="M345" i="1"/>
  <c r="M429" i="1"/>
  <c r="M202" i="1"/>
  <c r="Z429" i="1"/>
  <c r="Z345" i="1"/>
  <c r="Z202" i="1"/>
  <c r="AN345" i="1"/>
  <c r="AN429" i="1"/>
  <c r="AN202" i="1"/>
  <c r="M430" i="1"/>
  <c r="M328" i="1"/>
  <c r="Z430" i="1"/>
  <c r="Z328" i="1"/>
  <c r="AN430" i="1"/>
  <c r="AN328" i="1"/>
  <c r="M431" i="1"/>
  <c r="M347" i="1"/>
  <c r="M326" i="1"/>
  <c r="M204" i="1"/>
  <c r="M185" i="1"/>
  <c r="Z347" i="1"/>
  <c r="Z326" i="1"/>
  <c r="Z204" i="1"/>
  <c r="Z431" i="1"/>
  <c r="Z185" i="1"/>
  <c r="AN347" i="1"/>
  <c r="AN431" i="1"/>
  <c r="AN326" i="1"/>
  <c r="AN204" i="1"/>
  <c r="AN185" i="1"/>
  <c r="M432" i="1"/>
  <c r="M325" i="1"/>
  <c r="M206" i="1"/>
  <c r="M205" i="1"/>
  <c r="M187" i="1"/>
  <c r="M184" i="1"/>
  <c r="Z432" i="1"/>
  <c r="Z325" i="1"/>
  <c r="Z206" i="1"/>
  <c r="Z205" i="1"/>
  <c r="Z187" i="1"/>
  <c r="Z184" i="1"/>
  <c r="AN432" i="1"/>
  <c r="AN325" i="1"/>
  <c r="AN206" i="1"/>
  <c r="AN205" i="1"/>
  <c r="AN187" i="1"/>
  <c r="AN184" i="1"/>
  <c r="M433" i="1"/>
  <c r="M346" i="1"/>
  <c r="M203" i="1"/>
  <c r="Z346" i="1"/>
  <c r="Z433" i="1"/>
  <c r="Z203" i="1"/>
  <c r="AN433" i="1"/>
  <c r="AN346" i="1"/>
  <c r="AN203" i="1"/>
  <c r="AN115" i="1"/>
  <c r="Z118" i="1"/>
  <c r="M121" i="1"/>
  <c r="AN123" i="1"/>
  <c r="AJ180" i="1"/>
  <c r="AO186" i="1"/>
  <c r="AP186" i="1" s="1"/>
  <c r="AC425" i="1"/>
  <c r="AC117" i="1"/>
  <c r="AC428" i="1"/>
  <c r="AC344" i="1"/>
  <c r="AC324" i="1"/>
  <c r="AC201" i="1"/>
  <c r="AC183" i="1"/>
  <c r="AC120" i="1"/>
  <c r="N423" i="1"/>
  <c r="N115" i="1"/>
  <c r="AB423" i="1"/>
  <c r="AB115" i="1"/>
  <c r="AO35" i="1"/>
  <c r="AP35" i="1" s="1"/>
  <c r="N424" i="1"/>
  <c r="N342" i="1"/>
  <c r="N321" i="1"/>
  <c r="N322" i="1"/>
  <c r="N199" i="1"/>
  <c r="N181" i="1"/>
  <c r="N116" i="1"/>
  <c r="AB342" i="1"/>
  <c r="AB424" i="1"/>
  <c r="AB321" i="1"/>
  <c r="AB322" i="1"/>
  <c r="AB199" i="1"/>
  <c r="AB180" i="1"/>
  <c r="AB181" i="1"/>
  <c r="AB116" i="1"/>
  <c r="AO36" i="1"/>
  <c r="AP36" i="1" s="1"/>
  <c r="N425" i="1"/>
  <c r="N117" i="1"/>
  <c r="AB425" i="1"/>
  <c r="AB117" i="1"/>
  <c r="AO37" i="1"/>
  <c r="AP37" i="1" s="1"/>
  <c r="N426" i="1"/>
  <c r="N343" i="1"/>
  <c r="N323" i="1"/>
  <c r="N200" i="1"/>
  <c r="N182" i="1"/>
  <c r="N118" i="1"/>
  <c r="AB426" i="1"/>
  <c r="AB343" i="1"/>
  <c r="AB323" i="1"/>
  <c r="AB200" i="1"/>
  <c r="AB182" i="1"/>
  <c r="AB118" i="1"/>
  <c r="AO38" i="1"/>
  <c r="AP38" i="1" s="1"/>
  <c r="N427" i="1"/>
  <c r="N119" i="1"/>
  <c r="AB427" i="1"/>
  <c r="AB119" i="1"/>
  <c r="AO39" i="1"/>
  <c r="AP39" i="1" s="1"/>
  <c r="N428" i="1"/>
  <c r="N324" i="1"/>
  <c r="N344" i="1"/>
  <c r="N201" i="1"/>
  <c r="N183" i="1"/>
  <c r="N120" i="1"/>
  <c r="AB428" i="1"/>
  <c r="AB324" i="1"/>
  <c r="AB344" i="1"/>
  <c r="AB201" i="1"/>
  <c r="AB183" i="1"/>
  <c r="AB120" i="1"/>
  <c r="AO40" i="1"/>
  <c r="AP40" i="1" s="1"/>
  <c r="N429" i="1"/>
  <c r="N345" i="1"/>
  <c r="N202" i="1"/>
  <c r="N121" i="1"/>
  <c r="AB429" i="1"/>
  <c r="AB345" i="1"/>
  <c r="AB202" i="1"/>
  <c r="AB121" i="1"/>
  <c r="AO41" i="1"/>
  <c r="AP41" i="1" s="1"/>
  <c r="N430" i="1"/>
  <c r="N328" i="1"/>
  <c r="N122" i="1"/>
  <c r="AB430" i="1"/>
  <c r="AB328" i="1"/>
  <c r="AB122" i="1"/>
  <c r="AO42" i="1"/>
  <c r="AP42" i="1" s="1"/>
  <c r="N431" i="1"/>
  <c r="N347" i="1"/>
  <c r="N326" i="1"/>
  <c r="N204" i="1"/>
  <c r="N185" i="1"/>
  <c r="N123" i="1"/>
  <c r="AB431" i="1"/>
  <c r="AB347" i="1"/>
  <c r="AB326" i="1"/>
  <c r="AB204" i="1"/>
  <c r="AB185" i="1"/>
  <c r="AB123" i="1"/>
  <c r="AO43" i="1"/>
  <c r="AP43" i="1" s="1"/>
  <c r="N432" i="1"/>
  <c r="N325" i="1"/>
  <c r="N206" i="1"/>
  <c r="N205" i="1"/>
  <c r="N184" i="1"/>
  <c r="N124" i="1"/>
  <c r="AB432" i="1"/>
  <c r="AB325" i="1"/>
  <c r="AB206" i="1"/>
  <c r="AB205" i="1"/>
  <c r="AB184" i="1"/>
  <c r="AB187" i="1"/>
  <c r="AB124" i="1"/>
  <c r="AO44" i="1"/>
  <c r="AP44" i="1" s="1"/>
  <c r="N433" i="1"/>
  <c r="N346" i="1"/>
  <c r="N203" i="1"/>
  <c r="N125" i="1"/>
  <c r="AB433" i="1"/>
  <c r="AB346" i="1"/>
  <c r="AB203" i="1"/>
  <c r="AB125" i="1"/>
  <c r="AO46" i="1"/>
  <c r="AP46" i="1" s="1"/>
  <c r="M116" i="1"/>
  <c r="AN118" i="1"/>
  <c r="Z121" i="1"/>
  <c r="M124" i="1"/>
  <c r="T181" i="1"/>
  <c r="AO217" i="1"/>
  <c r="AP217" i="1" s="1"/>
  <c r="I223" i="1"/>
  <c r="AO230" i="1"/>
  <c r="AP230" i="1" s="1"/>
  <c r="AO229" i="1"/>
  <c r="AP229" i="1" s="1"/>
  <c r="AO228" i="1"/>
  <c r="AP228" i="1" s="1"/>
  <c r="AO236" i="1"/>
  <c r="AP236" i="1" s="1"/>
  <c r="P238" i="1"/>
  <c r="AO227" i="1"/>
  <c r="AP227" i="1" s="1"/>
  <c r="AO235" i="1"/>
  <c r="AP235" i="1" s="1"/>
  <c r="AO226" i="1"/>
  <c r="AP226" i="1" s="1"/>
  <c r="AO234" i="1"/>
  <c r="AP234" i="1" s="1"/>
  <c r="AO232" i="1"/>
  <c r="AP232" i="1" s="1"/>
  <c r="H238" i="1"/>
  <c r="H365" i="1"/>
  <c r="AO359" i="1"/>
  <c r="AP359" i="1" s="1"/>
  <c r="AO360" i="1"/>
  <c r="AP360" i="1" s="1"/>
  <c r="J380" i="1"/>
  <c r="V380" i="1"/>
  <c r="AH380" i="1"/>
  <c r="AO372" i="1"/>
  <c r="AP372" i="1" s="1"/>
  <c r="AO376" i="1"/>
  <c r="AP376" i="1" s="1"/>
  <c r="K380" i="1"/>
  <c r="W380" i="1"/>
  <c r="AJ380" i="1"/>
  <c r="AO371" i="1"/>
  <c r="AP371" i="1" s="1"/>
  <c r="AO375" i="1"/>
  <c r="AP375" i="1" s="1"/>
  <c r="AO368" i="1"/>
  <c r="AP368" i="1" s="1"/>
  <c r="L494" i="2"/>
  <c r="K630" i="2"/>
  <c r="J630" i="2"/>
  <c r="I629" i="2"/>
  <c r="AG620" i="2"/>
  <c r="AH620" i="2" s="1"/>
  <c r="F747" i="2" l="1"/>
  <c r="F790" i="2"/>
  <c r="G747" i="2"/>
  <c r="G790" i="2"/>
  <c r="AB632" i="2"/>
  <c r="E27" i="7"/>
  <c r="F26" i="7"/>
  <c r="N613" i="2" s="1"/>
  <c r="C27" i="7"/>
  <c r="F494" i="2"/>
  <c r="N621" i="2"/>
  <c r="I621" i="2"/>
  <c r="F624" i="2"/>
  <c r="J621" i="2"/>
  <c r="W630" i="2"/>
  <c r="W631" i="2" s="1"/>
  <c r="AO303" i="1"/>
  <c r="AP303" i="1" s="1"/>
  <c r="AO162" i="1"/>
  <c r="AP162" i="1" s="1"/>
  <c r="E662" i="2"/>
  <c r="Q641" i="2"/>
  <c r="Q643" i="2" s="1"/>
  <c r="Q644" i="2" s="1"/>
  <c r="AO250" i="1"/>
  <c r="AP250" i="1" s="1"/>
  <c r="V641" i="2"/>
  <c r="P641" i="2"/>
  <c r="P643" i="2" s="1"/>
  <c r="P644" i="2" s="1"/>
  <c r="M494" i="2"/>
  <c r="Z641" i="2"/>
  <c r="AB641" i="2"/>
  <c r="AO161" i="1"/>
  <c r="AP161" i="1" s="1"/>
  <c r="AA632" i="2"/>
  <c r="AA633" i="2"/>
  <c r="AB634" i="2"/>
  <c r="P630" i="2"/>
  <c r="AG628" i="2"/>
  <c r="AH628" i="2" s="1"/>
  <c r="V494" i="2"/>
  <c r="AE634" i="2"/>
  <c r="AE633" i="2"/>
  <c r="AE632" i="2"/>
  <c r="AD634" i="2"/>
  <c r="AD633" i="2"/>
  <c r="AD632" i="2"/>
  <c r="AC632" i="2"/>
  <c r="AC634" i="2"/>
  <c r="AC633" i="2"/>
  <c r="E648" i="2"/>
  <c r="Q629" i="2"/>
  <c r="Q630" i="2" s="1"/>
  <c r="R631" i="2"/>
  <c r="R494" i="2"/>
  <c r="AF634" i="2"/>
  <c r="AF633" i="2"/>
  <c r="AF632" i="2"/>
  <c r="U631" i="2"/>
  <c r="U632" i="2" s="1"/>
  <c r="X632" i="2"/>
  <c r="X633" i="2" s="1"/>
  <c r="V630" i="2"/>
  <c r="T631" i="2"/>
  <c r="T494" i="2"/>
  <c r="S631" i="2"/>
  <c r="S632" i="2" s="1"/>
  <c r="S494" i="2"/>
  <c r="AO393" i="1"/>
  <c r="AP393" i="1" s="1"/>
  <c r="I164" i="1"/>
  <c r="H164" i="1"/>
  <c r="N48" i="10"/>
  <c r="O48" i="10" s="1"/>
  <c r="U641" i="2"/>
  <c r="U643" i="2" s="1"/>
  <c r="U644" i="2" s="1"/>
  <c r="P107" i="10"/>
  <c r="J24" i="10" s="1"/>
  <c r="N638" i="2" s="1"/>
  <c r="Q64" i="10"/>
  <c r="G14" i="10" s="1"/>
  <c r="I641" i="2" s="1"/>
  <c r="N109" i="10"/>
  <c r="O109" i="10" s="1"/>
  <c r="F635" i="2"/>
  <c r="P48" i="10"/>
  <c r="K10" i="10" s="1"/>
  <c r="G637" i="2" s="1"/>
  <c r="T641" i="2"/>
  <c r="N641" i="2"/>
  <c r="N783" i="2" s="1"/>
  <c r="D25" i="10"/>
  <c r="O494" i="2"/>
  <c r="O634" i="2"/>
  <c r="O633" i="2"/>
  <c r="O632" i="2"/>
  <c r="K693" i="2"/>
  <c r="R109" i="10"/>
  <c r="H24" i="10" s="1"/>
  <c r="N642" i="2" s="1"/>
  <c r="AE641" i="2"/>
  <c r="N107" i="10"/>
  <c r="O107" i="10" s="1"/>
  <c r="I24" i="10" s="1"/>
  <c r="Q55" i="10"/>
  <c r="G12" i="10" s="1"/>
  <c r="H641" i="2" s="1"/>
  <c r="H621" i="2"/>
  <c r="H790" i="2" s="1"/>
  <c r="F22" i="7"/>
  <c r="L613" i="2" s="1"/>
  <c r="R46" i="10"/>
  <c r="H10" i="10" s="1"/>
  <c r="G642" i="2" s="1"/>
  <c r="R55" i="10"/>
  <c r="H12" i="10" s="1"/>
  <c r="H642" i="2" s="1"/>
  <c r="F12" i="7"/>
  <c r="G613" i="2" s="1"/>
  <c r="F24" i="7"/>
  <c r="F16" i="7"/>
  <c r="I613" i="2" s="1"/>
  <c r="F14" i="7"/>
  <c r="H613" i="2" s="1"/>
  <c r="F10" i="7"/>
  <c r="F18" i="7"/>
  <c r="J613" i="2" s="1"/>
  <c r="F20" i="7"/>
  <c r="K613" i="2" s="1"/>
  <c r="AC641" i="2"/>
  <c r="AF641" i="2"/>
  <c r="X643" i="2"/>
  <c r="AD641" i="2"/>
  <c r="Y641" i="2"/>
  <c r="S641" i="2"/>
  <c r="O641" i="2"/>
  <c r="O740" i="2" s="1"/>
  <c r="R641" i="2"/>
  <c r="R643" i="2" s="1"/>
  <c r="R644" i="2" s="1"/>
  <c r="AA641" i="2"/>
  <c r="W641" i="2"/>
  <c r="X740" i="2"/>
  <c r="P111" i="10"/>
  <c r="K24" i="10" s="1"/>
  <c r="N637" i="2" s="1"/>
  <c r="N111" i="10"/>
  <c r="O111" i="10" s="1"/>
  <c r="N89" i="10"/>
  <c r="O89" i="10" s="1"/>
  <c r="I20" i="10" s="1"/>
  <c r="Q91" i="10"/>
  <c r="G20" i="10" s="1"/>
  <c r="L641" i="2" s="1"/>
  <c r="N91" i="10"/>
  <c r="P89" i="10"/>
  <c r="J20" i="10" s="1"/>
  <c r="L638" i="2" s="1"/>
  <c r="L776" i="2" s="1"/>
  <c r="R91" i="10"/>
  <c r="H20" i="10" s="1"/>
  <c r="L642" i="2" s="1"/>
  <c r="N73" i="10"/>
  <c r="P71" i="10"/>
  <c r="J16" i="10" s="1"/>
  <c r="J638" i="2" s="1"/>
  <c r="N71" i="10"/>
  <c r="O71" i="10" s="1"/>
  <c r="I16" i="10" s="1"/>
  <c r="Q73" i="10"/>
  <c r="G16" i="10" s="1"/>
  <c r="J641" i="2" s="1"/>
  <c r="P62" i="10"/>
  <c r="J14" i="10" s="1"/>
  <c r="I638" i="2" s="1"/>
  <c r="N62" i="10"/>
  <c r="O62" i="10" s="1"/>
  <c r="I14" i="10" s="1"/>
  <c r="P57" i="10"/>
  <c r="K12" i="10" s="1"/>
  <c r="H637" i="2" s="1"/>
  <c r="N53" i="10"/>
  <c r="O53" i="10" s="1"/>
  <c r="I12" i="10" s="1"/>
  <c r="N55" i="10"/>
  <c r="P53" i="10"/>
  <c r="J12" i="10" s="1"/>
  <c r="H638" i="2" s="1"/>
  <c r="Q46" i="10"/>
  <c r="G10" i="10" s="1"/>
  <c r="G641" i="2" s="1"/>
  <c r="N46" i="10"/>
  <c r="N44" i="10"/>
  <c r="P44" i="10"/>
  <c r="J10" i="10" s="1"/>
  <c r="G638" i="2" s="1"/>
  <c r="R37" i="10"/>
  <c r="H8" i="10" s="1"/>
  <c r="P35" i="10"/>
  <c r="J8" i="10" s="1"/>
  <c r="N35" i="10"/>
  <c r="N34" i="10" s="1"/>
  <c r="Q37" i="10"/>
  <c r="G8" i="10" s="1"/>
  <c r="AP484" i="1"/>
  <c r="AO491" i="1"/>
  <c r="V320" i="1"/>
  <c r="AB75" i="1"/>
  <c r="F356" i="1"/>
  <c r="F407" i="1" s="1"/>
  <c r="F409" i="1" s="1"/>
  <c r="P52" i="1"/>
  <c r="P74" i="1" s="1"/>
  <c r="AB198" i="1"/>
  <c r="AB208" i="1" s="1"/>
  <c r="P172" i="1"/>
  <c r="I154" i="1"/>
  <c r="I296" i="1"/>
  <c r="I297" i="1"/>
  <c r="P168" i="1"/>
  <c r="P310" i="1"/>
  <c r="P167" i="1"/>
  <c r="I155" i="1"/>
  <c r="P313" i="1"/>
  <c r="M126" i="1"/>
  <c r="AC438" i="1"/>
  <c r="P171" i="1"/>
  <c r="P422" i="1"/>
  <c r="M320" i="1"/>
  <c r="I153" i="1"/>
  <c r="P170" i="1"/>
  <c r="M341" i="1"/>
  <c r="M85" i="1"/>
  <c r="M90" i="1" s="1"/>
  <c r="M107" i="1" s="1"/>
  <c r="AL297" i="1"/>
  <c r="M75" i="1"/>
  <c r="AF188" i="1"/>
  <c r="H153" i="1"/>
  <c r="V126" i="1"/>
  <c r="W154" i="1"/>
  <c r="AC167" i="1"/>
  <c r="AH422" i="1"/>
  <c r="AC52" i="1"/>
  <c r="AC68" i="1" s="1"/>
  <c r="AC308" i="1"/>
  <c r="AC312" i="1"/>
  <c r="F240" i="1"/>
  <c r="AC172" i="1"/>
  <c r="Z154" i="1"/>
  <c r="F134" i="1"/>
  <c r="F138" i="1" s="1"/>
  <c r="F454" i="1"/>
  <c r="P312" i="1"/>
  <c r="M348" i="1"/>
  <c r="I114" i="1"/>
  <c r="P174" i="1"/>
  <c r="P315" i="1"/>
  <c r="R315" i="1"/>
  <c r="J75" i="1"/>
  <c r="P75" i="1"/>
  <c r="I422" i="1"/>
  <c r="P308" i="1"/>
  <c r="K320" i="1"/>
  <c r="Z188" i="1"/>
  <c r="AB155" i="1"/>
  <c r="AE190" i="1"/>
  <c r="Y188" i="1"/>
  <c r="P309" i="1"/>
  <c r="K179" i="1"/>
  <c r="R309" i="1"/>
  <c r="AC188" i="1"/>
  <c r="L297" i="1"/>
  <c r="P188" i="1"/>
  <c r="K341" i="1"/>
  <c r="R312" i="1"/>
  <c r="H422" i="1"/>
  <c r="AC341" i="1"/>
  <c r="P297" i="1"/>
  <c r="K329" i="1"/>
  <c r="V170" i="1"/>
  <c r="AH169" i="1"/>
  <c r="AF168" i="1"/>
  <c r="K422" i="1"/>
  <c r="V309" i="1"/>
  <c r="P77" i="1"/>
  <c r="P173" i="1"/>
  <c r="P311" i="1"/>
  <c r="M190" i="1"/>
  <c r="T314" i="1"/>
  <c r="R168" i="1"/>
  <c r="V313" i="1"/>
  <c r="W167" i="1"/>
  <c r="K188" i="1"/>
  <c r="AL296" i="1"/>
  <c r="R174" i="1"/>
  <c r="AC75" i="1"/>
  <c r="W174" i="1"/>
  <c r="K189" i="1"/>
  <c r="R170" i="1"/>
  <c r="AC85" i="1"/>
  <c r="AC90" i="1" s="1"/>
  <c r="AC107" i="1" s="1"/>
  <c r="J348" i="1"/>
  <c r="M170" i="1"/>
  <c r="V114" i="1"/>
  <c r="J434" i="1"/>
  <c r="M168" i="1"/>
  <c r="V422" i="1"/>
  <c r="K153" i="1"/>
  <c r="M310" i="1"/>
  <c r="P169" i="1"/>
  <c r="P314" i="1"/>
  <c r="N77" i="1"/>
  <c r="T309" i="1"/>
  <c r="R171" i="1"/>
  <c r="H296" i="1"/>
  <c r="AC126" i="1"/>
  <c r="W313" i="1"/>
  <c r="J190" i="1"/>
  <c r="M173" i="1"/>
  <c r="Y312" i="1"/>
  <c r="T172" i="1"/>
  <c r="V295" i="1"/>
  <c r="J126" i="1"/>
  <c r="K295" i="1"/>
  <c r="AE330" i="1"/>
  <c r="M312" i="1"/>
  <c r="Z329" i="1"/>
  <c r="P329" i="1"/>
  <c r="J311" i="1"/>
  <c r="AH168" i="1"/>
  <c r="V296" i="1"/>
  <c r="J188" i="1"/>
  <c r="K297" i="1"/>
  <c r="Z315" i="1"/>
  <c r="M315" i="1"/>
  <c r="Z330" i="1"/>
  <c r="AH313" i="1"/>
  <c r="Z348" i="1"/>
  <c r="K348" i="1"/>
  <c r="AL114" i="1"/>
  <c r="J330" i="1"/>
  <c r="R311" i="1"/>
  <c r="M172" i="1"/>
  <c r="H295" i="1"/>
  <c r="V52" i="1"/>
  <c r="V69" i="1" s="1"/>
  <c r="AC329" i="1"/>
  <c r="W308" i="1"/>
  <c r="P153" i="1"/>
  <c r="I320" i="1"/>
  <c r="M77" i="1"/>
  <c r="AE126" i="1"/>
  <c r="M309" i="1"/>
  <c r="Z126" i="1"/>
  <c r="Y75" i="1"/>
  <c r="AH172" i="1"/>
  <c r="Y348" i="1"/>
  <c r="T308" i="1"/>
  <c r="V153" i="1"/>
  <c r="L85" i="1"/>
  <c r="L90" i="1" s="1"/>
  <c r="L107" i="1" s="1"/>
  <c r="J198" i="1"/>
  <c r="J208" i="1" s="1"/>
  <c r="J320" i="1"/>
  <c r="K154" i="1"/>
  <c r="K77" i="1"/>
  <c r="AE341" i="1"/>
  <c r="M169" i="1"/>
  <c r="M313" i="1"/>
  <c r="AC77" i="1"/>
  <c r="K169" i="1"/>
  <c r="P179" i="1"/>
  <c r="AB296" i="1"/>
  <c r="J171" i="1"/>
  <c r="M154" i="1"/>
  <c r="AH314" i="1"/>
  <c r="M52" i="1"/>
  <c r="M437" i="1" s="1"/>
  <c r="V154" i="1"/>
  <c r="J179" i="1"/>
  <c r="J341" i="1"/>
  <c r="K114" i="1"/>
  <c r="I75" i="1"/>
  <c r="AB308" i="1"/>
  <c r="M167" i="1"/>
  <c r="M314" i="1"/>
  <c r="K314" i="1"/>
  <c r="AH174" i="1"/>
  <c r="AH315" i="1"/>
  <c r="W341" i="1"/>
  <c r="K438" i="1"/>
  <c r="AL153" i="1"/>
  <c r="V155" i="1"/>
  <c r="J189" i="1"/>
  <c r="J438" i="1"/>
  <c r="R314" i="1"/>
  <c r="K296" i="1"/>
  <c r="AH77" i="1"/>
  <c r="M174" i="1"/>
  <c r="M308" i="1"/>
  <c r="AE153" i="1"/>
  <c r="Z320" i="1"/>
  <c r="V173" i="1"/>
  <c r="AC198" i="1"/>
  <c r="AC208" i="1" s="1"/>
  <c r="W170" i="1"/>
  <c r="AB77" i="1"/>
  <c r="Y171" i="1"/>
  <c r="AH170" i="1"/>
  <c r="Y189" i="1"/>
  <c r="AF314" i="1"/>
  <c r="J85" i="1"/>
  <c r="J90" i="1" s="1"/>
  <c r="J107" i="1" s="1"/>
  <c r="AE320" i="1"/>
  <c r="M171" i="1"/>
  <c r="Z438" i="1"/>
  <c r="Y434" i="1"/>
  <c r="AH312" i="1"/>
  <c r="AJ52" i="1"/>
  <c r="AJ67" i="1" s="1"/>
  <c r="AH85" i="1"/>
  <c r="AH90" i="1" s="1"/>
  <c r="AH107" i="1" s="1"/>
  <c r="I305" i="1"/>
  <c r="M330" i="1"/>
  <c r="T422" i="1"/>
  <c r="AC311" i="1"/>
  <c r="K126" i="1"/>
  <c r="AF309" i="1"/>
  <c r="T310" i="1"/>
  <c r="Y295" i="1"/>
  <c r="V75" i="1"/>
  <c r="R173" i="1"/>
  <c r="AJ296" i="1"/>
  <c r="I179" i="1"/>
  <c r="AE348" i="1"/>
  <c r="H155" i="1"/>
  <c r="Z189" i="1"/>
  <c r="N153" i="1"/>
  <c r="V312" i="1"/>
  <c r="AC330" i="1"/>
  <c r="P330" i="1"/>
  <c r="W171" i="1"/>
  <c r="N190" i="1"/>
  <c r="AL190" i="1"/>
  <c r="AH308" i="1"/>
  <c r="T168" i="1"/>
  <c r="T126" i="1"/>
  <c r="W296" i="1"/>
  <c r="V168" i="1"/>
  <c r="V315" i="1"/>
  <c r="P434" i="1"/>
  <c r="W309" i="1"/>
  <c r="AJ308" i="1"/>
  <c r="M188" i="1"/>
  <c r="AJ348" i="1"/>
  <c r="T171" i="1"/>
  <c r="AL154" i="1"/>
  <c r="J154" i="1"/>
  <c r="V434" i="1"/>
  <c r="AH114" i="1"/>
  <c r="AE85" i="1"/>
  <c r="AE90" i="1" s="1"/>
  <c r="AE107" i="1" s="1"/>
  <c r="AE438" i="1"/>
  <c r="V174" i="1"/>
  <c r="AN167" i="1"/>
  <c r="W312" i="1"/>
  <c r="F106" i="1"/>
  <c r="F109" i="1" s="1"/>
  <c r="AE171" i="1"/>
  <c r="M179" i="1"/>
  <c r="M198" i="1"/>
  <c r="M208" i="1" s="1"/>
  <c r="AC171" i="1"/>
  <c r="T174" i="1"/>
  <c r="AL155" i="1"/>
  <c r="L330" i="1"/>
  <c r="AE310" i="1"/>
  <c r="AE188" i="1"/>
  <c r="Z308" i="1"/>
  <c r="V172" i="1"/>
  <c r="P85" i="1"/>
  <c r="P90" i="1" s="1"/>
  <c r="P107" i="1" s="1"/>
  <c r="W169" i="1"/>
  <c r="AB154" i="1"/>
  <c r="P295" i="1"/>
  <c r="AB320" i="1"/>
  <c r="T114" i="1"/>
  <c r="AC174" i="1"/>
  <c r="AJ189" i="1"/>
  <c r="AF311" i="1"/>
  <c r="Y296" i="1"/>
  <c r="L422" i="1"/>
  <c r="L198" i="1"/>
  <c r="L208" i="1" s="1"/>
  <c r="Z295" i="1"/>
  <c r="V330" i="1"/>
  <c r="AJ295" i="1"/>
  <c r="AH297" i="1"/>
  <c r="AF190" i="1"/>
  <c r="J77" i="1"/>
  <c r="Z314" i="1"/>
  <c r="K167" i="1"/>
  <c r="N114" i="1"/>
  <c r="J170" i="1"/>
  <c r="J312" i="1"/>
  <c r="N198" i="1"/>
  <c r="N208" i="1" s="1"/>
  <c r="AL320" i="1"/>
  <c r="AB348" i="1"/>
  <c r="T155" i="1"/>
  <c r="AJ126" i="1"/>
  <c r="L155" i="1"/>
  <c r="L188" i="1"/>
  <c r="AF341" i="1"/>
  <c r="K168" i="1"/>
  <c r="J169" i="1"/>
  <c r="J313" i="1"/>
  <c r="N329" i="1"/>
  <c r="L173" i="1"/>
  <c r="AE77" i="1"/>
  <c r="AB126" i="1"/>
  <c r="AB329" i="1"/>
  <c r="M189" i="1"/>
  <c r="M438" i="1"/>
  <c r="T153" i="1"/>
  <c r="AC309" i="1"/>
  <c r="AJ198" i="1"/>
  <c r="AJ208" i="1" s="1"/>
  <c r="K190" i="1"/>
  <c r="K330" i="1"/>
  <c r="T167" i="1"/>
  <c r="T313" i="1"/>
  <c r="Y155" i="1"/>
  <c r="L153" i="1"/>
  <c r="T330" i="1"/>
  <c r="L190" i="1"/>
  <c r="AH330" i="1"/>
  <c r="V438" i="1"/>
  <c r="R169" i="1"/>
  <c r="AJ422" i="1"/>
  <c r="AF85" i="1"/>
  <c r="AF90" i="1" s="1"/>
  <c r="AF107" i="1" s="1"/>
  <c r="AF348" i="1"/>
  <c r="I198" i="1"/>
  <c r="I208" i="1" s="1"/>
  <c r="AE179" i="1"/>
  <c r="AB173" i="1"/>
  <c r="AE295" i="1"/>
  <c r="Z85" i="1"/>
  <c r="Z90" i="1" s="1"/>
  <c r="Z107" i="1" s="1"/>
  <c r="Z434" i="1"/>
  <c r="K308" i="1"/>
  <c r="N295" i="1"/>
  <c r="V310" i="1"/>
  <c r="AC190" i="1"/>
  <c r="P126" i="1"/>
  <c r="AN310" i="1"/>
  <c r="W310" i="1"/>
  <c r="J167" i="1"/>
  <c r="J315" i="1"/>
  <c r="N341" i="1"/>
  <c r="P114" i="1"/>
  <c r="AJ173" i="1"/>
  <c r="AH309" i="1"/>
  <c r="AB188" i="1"/>
  <c r="AB341" i="1"/>
  <c r="T154" i="1"/>
  <c r="Y153" i="1"/>
  <c r="L154" i="1"/>
  <c r="AF189" i="1"/>
  <c r="AF329" i="1"/>
  <c r="K310" i="1"/>
  <c r="J174" i="1"/>
  <c r="N75" i="1"/>
  <c r="N434" i="1"/>
  <c r="AB85" i="1"/>
  <c r="AB90" i="1" s="1"/>
  <c r="AB107" i="1" s="1"/>
  <c r="AB179" i="1"/>
  <c r="AB434" i="1"/>
  <c r="T295" i="1"/>
  <c r="AJ438" i="1"/>
  <c r="AF170" i="1"/>
  <c r="Y154" i="1"/>
  <c r="L114" i="1"/>
  <c r="J114" i="1"/>
  <c r="L329" i="1"/>
  <c r="AF179" i="1"/>
  <c r="AF330" i="1"/>
  <c r="Z52" i="1"/>
  <c r="Z65" i="1" s="1"/>
  <c r="K172" i="1"/>
  <c r="K311" i="1"/>
  <c r="J173" i="1"/>
  <c r="N126" i="1"/>
  <c r="AB190" i="1"/>
  <c r="AB189" i="1"/>
  <c r="AB438" i="1"/>
  <c r="T296" i="1"/>
  <c r="AC169" i="1"/>
  <c r="AC313" i="1"/>
  <c r="AJ329" i="1"/>
  <c r="AF172" i="1"/>
  <c r="Y297" i="1"/>
  <c r="L295" i="1"/>
  <c r="J422" i="1"/>
  <c r="L438" i="1"/>
  <c r="V179" i="1"/>
  <c r="W297" i="1"/>
  <c r="AF75" i="1"/>
  <c r="AF434" i="1"/>
  <c r="I341" i="1"/>
  <c r="Z174" i="1"/>
  <c r="K171" i="1"/>
  <c r="K312" i="1"/>
  <c r="P198" i="1"/>
  <c r="P208" i="1" s="1"/>
  <c r="AB114" i="1"/>
  <c r="J309" i="1"/>
  <c r="N188" i="1"/>
  <c r="AL168" i="1"/>
  <c r="AC168" i="1"/>
  <c r="AC314" i="1"/>
  <c r="AF173" i="1"/>
  <c r="Y114" i="1"/>
  <c r="J295" i="1"/>
  <c r="Z114" i="1"/>
  <c r="V188" i="1"/>
  <c r="AH154" i="1"/>
  <c r="AF126" i="1"/>
  <c r="AF438" i="1"/>
  <c r="I438" i="1"/>
  <c r="Z173" i="1"/>
  <c r="K170" i="1"/>
  <c r="K313" i="1"/>
  <c r="J310" i="1"/>
  <c r="N189" i="1"/>
  <c r="AL170" i="1"/>
  <c r="AC173" i="1"/>
  <c r="AC315" i="1"/>
  <c r="AJ320" i="1"/>
  <c r="K85" i="1"/>
  <c r="K90" i="1" s="1"/>
  <c r="K107" i="1" s="1"/>
  <c r="K434" i="1"/>
  <c r="AF308" i="1"/>
  <c r="T169" i="1"/>
  <c r="T312" i="1"/>
  <c r="AL295" i="1"/>
  <c r="T188" i="1"/>
  <c r="T329" i="1"/>
  <c r="J297" i="1"/>
  <c r="L348" i="1"/>
  <c r="Z422" i="1"/>
  <c r="AH190" i="1"/>
  <c r="Y77" i="1"/>
  <c r="V348" i="1"/>
  <c r="AE172" i="1"/>
  <c r="AE309" i="1"/>
  <c r="R167" i="1"/>
  <c r="R310" i="1"/>
  <c r="AJ155" i="1"/>
  <c r="W295" i="1"/>
  <c r="AH296" i="1"/>
  <c r="I190" i="1"/>
  <c r="I330" i="1"/>
  <c r="AN422" i="1"/>
  <c r="AE198" i="1"/>
  <c r="AE208" i="1" s="1"/>
  <c r="AB172" i="1"/>
  <c r="Z167" i="1"/>
  <c r="Z313" i="1"/>
  <c r="H154" i="1"/>
  <c r="Z179" i="1"/>
  <c r="Z341" i="1"/>
  <c r="Z350" i="1" s="1"/>
  <c r="V169" i="1"/>
  <c r="V308" i="1"/>
  <c r="AF77" i="1"/>
  <c r="AC320" i="1"/>
  <c r="P341" i="1"/>
  <c r="AN168" i="1"/>
  <c r="AN309" i="1"/>
  <c r="W168" i="1"/>
  <c r="W311" i="1"/>
  <c r="AB422" i="1"/>
  <c r="AL167" i="1"/>
  <c r="AL314" i="1"/>
  <c r="P155" i="1"/>
  <c r="AL188" i="1"/>
  <c r="AJ310" i="1"/>
  <c r="AH167" i="1"/>
  <c r="T189" i="1"/>
  <c r="T434" i="1"/>
  <c r="AH75" i="1"/>
  <c r="AH348" i="1"/>
  <c r="AE170" i="1"/>
  <c r="AE311" i="1"/>
  <c r="AN155" i="1"/>
  <c r="AN174" i="1"/>
  <c r="AN311" i="1"/>
  <c r="AH52" i="1"/>
  <c r="AH63" i="1" s="1"/>
  <c r="M434" i="1"/>
  <c r="AC170" i="1"/>
  <c r="AJ190" i="1"/>
  <c r="K75" i="1"/>
  <c r="AF167" i="1"/>
  <c r="AF313" i="1"/>
  <c r="T173" i="1"/>
  <c r="T315" i="1"/>
  <c r="T198" i="1"/>
  <c r="T208" i="1" s="1"/>
  <c r="T438" i="1"/>
  <c r="L179" i="1"/>
  <c r="Z153" i="1"/>
  <c r="AH126" i="1"/>
  <c r="AH320" i="1"/>
  <c r="V198" i="1"/>
  <c r="V208" i="1" s="1"/>
  <c r="V341" i="1"/>
  <c r="AE169" i="1"/>
  <c r="AE312" i="1"/>
  <c r="R172" i="1"/>
  <c r="R313" i="1"/>
  <c r="AJ297" i="1"/>
  <c r="W422" i="1"/>
  <c r="AF198" i="1"/>
  <c r="AF208" i="1" s="1"/>
  <c r="I85" i="1"/>
  <c r="I90" i="1" s="1"/>
  <c r="I107" i="1" s="1"/>
  <c r="I188" i="1"/>
  <c r="AN114" i="1"/>
  <c r="AE75" i="1"/>
  <c r="AE329" i="1"/>
  <c r="AB311" i="1"/>
  <c r="Z172" i="1"/>
  <c r="H297" i="1"/>
  <c r="Z190" i="1"/>
  <c r="K52" i="1"/>
  <c r="K68" i="1" s="1"/>
  <c r="K309" i="1"/>
  <c r="N154" i="1"/>
  <c r="V167" i="1"/>
  <c r="V311" i="1"/>
  <c r="AC179" i="1"/>
  <c r="AC348" i="1"/>
  <c r="P190" i="1"/>
  <c r="AN173" i="1"/>
  <c r="AN312" i="1"/>
  <c r="W173" i="1"/>
  <c r="W315" i="1"/>
  <c r="J168" i="1"/>
  <c r="J314" i="1"/>
  <c r="N330" i="1"/>
  <c r="AL171" i="1"/>
  <c r="L172" i="1"/>
  <c r="P296" i="1"/>
  <c r="AL438" i="1"/>
  <c r="AH173" i="1"/>
  <c r="AH310" i="1"/>
  <c r="W77" i="1"/>
  <c r="T190" i="1"/>
  <c r="AH198" i="1"/>
  <c r="AH208" i="1" s="1"/>
  <c r="AH329" i="1"/>
  <c r="AE168" i="1"/>
  <c r="AE313" i="1"/>
  <c r="AN153" i="1"/>
  <c r="AN172" i="1"/>
  <c r="AN313" i="1"/>
  <c r="AL173" i="1"/>
  <c r="AL348" i="1"/>
  <c r="T52" i="1"/>
  <c r="T64" i="1" s="1"/>
  <c r="T85" i="1"/>
  <c r="T90" i="1" s="1"/>
  <c r="T107" i="1" s="1"/>
  <c r="T341" i="1"/>
  <c r="T350" i="1" s="1"/>
  <c r="AH179" i="1"/>
  <c r="AH341" i="1"/>
  <c r="AE167" i="1"/>
  <c r="AE314" i="1"/>
  <c r="AN154" i="1"/>
  <c r="Z171" i="1"/>
  <c r="Z309" i="1"/>
  <c r="N296" i="1"/>
  <c r="AN171" i="1"/>
  <c r="AN314" i="1"/>
  <c r="AL308" i="1"/>
  <c r="L313" i="1"/>
  <c r="T75" i="1"/>
  <c r="T320" i="1"/>
  <c r="Z296" i="1"/>
  <c r="AH188" i="1"/>
  <c r="AH434" i="1"/>
  <c r="V189" i="1"/>
  <c r="AE173" i="1"/>
  <c r="AE174" i="1"/>
  <c r="AE315" i="1"/>
  <c r="AJ154" i="1"/>
  <c r="W114" i="1"/>
  <c r="AH155" i="1"/>
  <c r="AH157" i="1" s="1"/>
  <c r="I77" i="1"/>
  <c r="I348" i="1"/>
  <c r="AN295" i="1"/>
  <c r="Z170" i="1"/>
  <c r="Z311" i="1"/>
  <c r="N297" i="1"/>
  <c r="AN170" i="1"/>
  <c r="AL309" i="1"/>
  <c r="L314" i="1"/>
  <c r="AL198" i="1"/>
  <c r="AL208" i="1" s="1"/>
  <c r="F131" i="1"/>
  <c r="T179" i="1"/>
  <c r="Z297" i="1"/>
  <c r="AH189" i="1"/>
  <c r="V190" i="1"/>
  <c r="AE52" i="1"/>
  <c r="AE68" i="1" s="1"/>
  <c r="AJ114" i="1"/>
  <c r="W155" i="1"/>
  <c r="AH295" i="1"/>
  <c r="I189" i="1"/>
  <c r="I329" i="1"/>
  <c r="AN296" i="1"/>
  <c r="AB52" i="1"/>
  <c r="AB66" i="1" s="1"/>
  <c r="Z168" i="1"/>
  <c r="Z312" i="1"/>
  <c r="N155" i="1"/>
  <c r="AN308" i="1"/>
  <c r="AL311" i="1"/>
  <c r="AL179" i="1"/>
  <c r="AJ179" i="1"/>
  <c r="AJ341" i="1"/>
  <c r="AF52" i="1"/>
  <c r="AF437" i="1" s="1"/>
  <c r="AF174" i="1"/>
  <c r="AF315" i="1"/>
  <c r="J155" i="1"/>
  <c r="L126" i="1"/>
  <c r="L341" i="1"/>
  <c r="AB314" i="1"/>
  <c r="AB174" i="1"/>
  <c r="N168" i="1"/>
  <c r="AE154" i="1"/>
  <c r="P320" i="1"/>
  <c r="AB153" i="1"/>
  <c r="N179" i="1"/>
  <c r="N348" i="1"/>
  <c r="AL169" i="1"/>
  <c r="AL310" i="1"/>
  <c r="L52" i="1"/>
  <c r="L8" i="1" s="1"/>
  <c r="L174" i="1"/>
  <c r="L315" i="1"/>
  <c r="AL189" i="1"/>
  <c r="AL434" i="1"/>
  <c r="AJ312" i="1"/>
  <c r="AF114" i="1"/>
  <c r="AB167" i="1"/>
  <c r="AB309" i="1"/>
  <c r="N315" i="1"/>
  <c r="AE296" i="1"/>
  <c r="L167" i="1"/>
  <c r="L308" i="1"/>
  <c r="AC114" i="1"/>
  <c r="I52" i="1"/>
  <c r="I65" i="1" s="1"/>
  <c r="AB168" i="1"/>
  <c r="AB312" i="1"/>
  <c r="AE297" i="1"/>
  <c r="AL312" i="1"/>
  <c r="L168" i="1"/>
  <c r="L309" i="1"/>
  <c r="AL75" i="1"/>
  <c r="AL341" i="1"/>
  <c r="AN75" i="1"/>
  <c r="AJ85" i="1"/>
  <c r="AJ90" i="1" s="1"/>
  <c r="AJ107" i="1" s="1"/>
  <c r="AJ434" i="1"/>
  <c r="AF169" i="1"/>
  <c r="AF310" i="1"/>
  <c r="I174" i="1"/>
  <c r="J296" i="1"/>
  <c r="L189" i="1"/>
  <c r="L434" i="1"/>
  <c r="AB169" i="1"/>
  <c r="AB315" i="1"/>
  <c r="AE422" i="1"/>
  <c r="P348" i="1"/>
  <c r="AB297" i="1"/>
  <c r="N438" i="1"/>
  <c r="AL172" i="1"/>
  <c r="AL313" i="1"/>
  <c r="L169" i="1"/>
  <c r="L310" i="1"/>
  <c r="AL85" i="1"/>
  <c r="AL90" i="1" s="1"/>
  <c r="AL107" i="1" s="1"/>
  <c r="AL330" i="1"/>
  <c r="AN329" i="1"/>
  <c r="I315" i="1"/>
  <c r="AB170" i="1"/>
  <c r="AB310" i="1"/>
  <c r="AE114" i="1"/>
  <c r="AO20" i="1"/>
  <c r="AP20" i="1" s="1"/>
  <c r="L170" i="1"/>
  <c r="L311" i="1"/>
  <c r="AJ188" i="1"/>
  <c r="AJ330" i="1"/>
  <c r="AF171" i="1"/>
  <c r="T170" i="1"/>
  <c r="L75" i="1"/>
  <c r="V85" i="1"/>
  <c r="V90" i="1" s="1"/>
  <c r="V107" i="1" s="1"/>
  <c r="R52" i="1"/>
  <c r="R64" i="1" s="1"/>
  <c r="L77" i="1"/>
  <c r="I126" i="1"/>
  <c r="AE189" i="1"/>
  <c r="AB171" i="1"/>
  <c r="Z169" i="1"/>
  <c r="Z75" i="1"/>
  <c r="K173" i="1"/>
  <c r="K174" i="1"/>
  <c r="V171" i="1"/>
  <c r="AC189" i="1"/>
  <c r="P189" i="1"/>
  <c r="AN169" i="1"/>
  <c r="W172" i="1"/>
  <c r="J172" i="1"/>
  <c r="N85" i="1"/>
  <c r="N90" i="1" s="1"/>
  <c r="N107" i="1" s="1"/>
  <c r="AL52" i="1"/>
  <c r="AL65" i="1" s="1"/>
  <c r="AL174" i="1"/>
  <c r="L171" i="1"/>
  <c r="AL126" i="1"/>
  <c r="AJ171" i="1"/>
  <c r="AH171" i="1"/>
  <c r="J52" i="1"/>
  <c r="J66" i="1" s="1"/>
  <c r="W179" i="1"/>
  <c r="R296" i="1"/>
  <c r="J635" i="2"/>
  <c r="K635" i="2"/>
  <c r="E794" i="2"/>
  <c r="AG680" i="2"/>
  <c r="AH680" i="2" s="1"/>
  <c r="E682" i="2"/>
  <c r="E669" i="2"/>
  <c r="E655" i="2"/>
  <c r="E710" i="2"/>
  <c r="AG708" i="2"/>
  <c r="AH708" i="2" s="1"/>
  <c r="E696" i="2"/>
  <c r="AG694" i="2"/>
  <c r="AH694" i="2" s="1"/>
  <c r="E801" i="2"/>
  <c r="R192" i="1"/>
  <c r="Y190" i="1"/>
  <c r="Y172" i="1"/>
  <c r="Y313" i="1"/>
  <c r="M295" i="1"/>
  <c r="Y329" i="1"/>
  <c r="Y173" i="1"/>
  <c r="Y314" i="1"/>
  <c r="M296" i="1"/>
  <c r="Y85" i="1"/>
  <c r="Y90" i="1" s="1"/>
  <c r="Y107" i="1" s="1"/>
  <c r="Y438" i="1"/>
  <c r="Y52" i="1"/>
  <c r="Y62" i="1" s="1"/>
  <c r="Y174" i="1"/>
  <c r="Y315" i="1"/>
  <c r="M297" i="1"/>
  <c r="Y126" i="1"/>
  <c r="Y341" i="1"/>
  <c r="Y167" i="1"/>
  <c r="Y308" i="1"/>
  <c r="M422" i="1"/>
  <c r="Y198" i="1"/>
  <c r="Y208" i="1" s="1"/>
  <c r="Y320" i="1"/>
  <c r="Y168" i="1"/>
  <c r="Y309" i="1"/>
  <c r="M114" i="1"/>
  <c r="Y179" i="1"/>
  <c r="Y169" i="1"/>
  <c r="Y310" i="1"/>
  <c r="M155" i="1"/>
  <c r="Y170" i="1"/>
  <c r="AO223" i="1"/>
  <c r="AP223" i="1" s="1"/>
  <c r="AF297" i="1"/>
  <c r="W75" i="1"/>
  <c r="W198" i="1"/>
  <c r="W208" i="1" s="1"/>
  <c r="I172" i="1"/>
  <c r="I313" i="1"/>
  <c r="N309" i="1"/>
  <c r="N174" i="1"/>
  <c r="R154" i="1"/>
  <c r="AC297" i="1"/>
  <c r="AN198" i="1"/>
  <c r="AN208" i="1" s="1"/>
  <c r="AF422" i="1"/>
  <c r="Z77" i="1"/>
  <c r="W348" i="1"/>
  <c r="I173" i="1"/>
  <c r="I314" i="1"/>
  <c r="N167" i="1"/>
  <c r="N312" i="1"/>
  <c r="R295" i="1"/>
  <c r="AC422" i="1"/>
  <c r="AN126" i="1"/>
  <c r="AN320" i="1"/>
  <c r="AO365" i="1"/>
  <c r="AP365" i="1" s="1"/>
  <c r="AF155" i="1"/>
  <c r="W188" i="1"/>
  <c r="W434" i="1"/>
  <c r="I167" i="1"/>
  <c r="I308" i="1"/>
  <c r="N169" i="1"/>
  <c r="N310" i="1"/>
  <c r="R297" i="1"/>
  <c r="AC155" i="1"/>
  <c r="AN85" i="1"/>
  <c r="AN90" i="1" s="1"/>
  <c r="AN107" i="1" s="1"/>
  <c r="AN330" i="1"/>
  <c r="AF153" i="1"/>
  <c r="W85" i="1"/>
  <c r="W90" i="1" s="1"/>
  <c r="W107" i="1" s="1"/>
  <c r="W320" i="1"/>
  <c r="I168" i="1"/>
  <c r="I309" i="1"/>
  <c r="N170" i="1"/>
  <c r="N313" i="1"/>
  <c r="AN52" i="1"/>
  <c r="AN68" i="1" s="1"/>
  <c r="R422" i="1"/>
  <c r="AC153" i="1"/>
  <c r="AN179" i="1"/>
  <c r="AN341" i="1"/>
  <c r="AF154" i="1"/>
  <c r="W126" i="1"/>
  <c r="W329" i="1"/>
  <c r="I169" i="1"/>
  <c r="I310" i="1"/>
  <c r="N171" i="1"/>
  <c r="N308" i="1"/>
  <c r="R114" i="1"/>
  <c r="AC154" i="1"/>
  <c r="AN188" i="1"/>
  <c r="AN438" i="1"/>
  <c r="AF295" i="1"/>
  <c r="W189" i="1"/>
  <c r="W330" i="1"/>
  <c r="I170" i="1"/>
  <c r="I311" i="1"/>
  <c r="N172" i="1"/>
  <c r="N311" i="1"/>
  <c r="R155" i="1"/>
  <c r="W52" i="1"/>
  <c r="W66" i="1" s="1"/>
  <c r="AC295" i="1"/>
  <c r="AN189" i="1"/>
  <c r="AN348" i="1"/>
  <c r="W190" i="1"/>
  <c r="I171" i="1"/>
  <c r="N52" i="1"/>
  <c r="N65" i="1" s="1"/>
  <c r="N173" i="1"/>
  <c r="AN190" i="1"/>
  <c r="AJ170" i="1"/>
  <c r="AJ313" i="1"/>
  <c r="AJ169" i="1"/>
  <c r="AJ314" i="1"/>
  <c r="AJ167" i="1"/>
  <c r="AJ168" i="1"/>
  <c r="AJ315" i="1"/>
  <c r="AJ174" i="1"/>
  <c r="AJ309" i="1"/>
  <c r="AO305" i="1"/>
  <c r="AP305" i="1" s="1"/>
  <c r="AJ172" i="1"/>
  <c r="AO184" i="1"/>
  <c r="AP184" i="1" s="1"/>
  <c r="R332" i="1"/>
  <c r="R208" i="1"/>
  <c r="AO238" i="1"/>
  <c r="AP238" i="1" s="1"/>
  <c r="AO433" i="1"/>
  <c r="AP433" i="1" s="1"/>
  <c r="AO430" i="1"/>
  <c r="AP430" i="1" s="1"/>
  <c r="AO199" i="1"/>
  <c r="AP199" i="1" s="1"/>
  <c r="AH437" i="1"/>
  <c r="AO380" i="1"/>
  <c r="AP380" i="1" s="1"/>
  <c r="AO187" i="1"/>
  <c r="AP187" i="1" s="1"/>
  <c r="AO121" i="1"/>
  <c r="AP121" i="1" s="1"/>
  <c r="AO120" i="1"/>
  <c r="AP120" i="1" s="1"/>
  <c r="AO118" i="1"/>
  <c r="AP118" i="1" s="1"/>
  <c r="AO321" i="1"/>
  <c r="AP321" i="1" s="1"/>
  <c r="AO115" i="1"/>
  <c r="AP115" i="1" s="1"/>
  <c r="Z208" i="1"/>
  <c r="AO205" i="1"/>
  <c r="AP205" i="1" s="1"/>
  <c r="AO123" i="1"/>
  <c r="AP123" i="1" s="1"/>
  <c r="AO202" i="1"/>
  <c r="AP202" i="1" s="1"/>
  <c r="AO183" i="1"/>
  <c r="AP183" i="1" s="1"/>
  <c r="AO182" i="1"/>
  <c r="AP182" i="1" s="1"/>
  <c r="AO322" i="1"/>
  <c r="AP322" i="1" s="1"/>
  <c r="AO423" i="1"/>
  <c r="AP423" i="1" s="1"/>
  <c r="AO206" i="1"/>
  <c r="AP206" i="1" s="1"/>
  <c r="AO185" i="1"/>
  <c r="AP185" i="1" s="1"/>
  <c r="AO345" i="1"/>
  <c r="AP345" i="1" s="1"/>
  <c r="AO201" i="1"/>
  <c r="AP201" i="1" s="1"/>
  <c r="AO119" i="1"/>
  <c r="AP119" i="1" s="1"/>
  <c r="AO200" i="1"/>
  <c r="AP200" i="1" s="1"/>
  <c r="AO117" i="1"/>
  <c r="AP117" i="1" s="1"/>
  <c r="R350" i="1"/>
  <c r="AO342" i="1"/>
  <c r="AP342" i="1" s="1"/>
  <c r="H315" i="1"/>
  <c r="H314" i="1"/>
  <c r="H313" i="1"/>
  <c r="H312" i="1"/>
  <c r="H311" i="1"/>
  <c r="H310" i="1"/>
  <c r="H309" i="1"/>
  <c r="H308" i="1"/>
  <c r="H172" i="1"/>
  <c r="H173" i="1"/>
  <c r="H174" i="1"/>
  <c r="H168" i="1"/>
  <c r="H167" i="1"/>
  <c r="H169" i="1"/>
  <c r="H170" i="1"/>
  <c r="AO31" i="1"/>
  <c r="AP31" i="1" s="1"/>
  <c r="H171" i="1"/>
  <c r="H52" i="1"/>
  <c r="AO325" i="1"/>
  <c r="AP325" i="1" s="1"/>
  <c r="AO204" i="1"/>
  <c r="AP204" i="1" s="1"/>
  <c r="AO429" i="1"/>
  <c r="AP429" i="1" s="1"/>
  <c r="AO324" i="1"/>
  <c r="AP324" i="1" s="1"/>
  <c r="AO427" i="1"/>
  <c r="AP427" i="1" s="1"/>
  <c r="AO323" i="1"/>
  <c r="AP323" i="1" s="1"/>
  <c r="AO425" i="1"/>
  <c r="AP425" i="1" s="1"/>
  <c r="AO424" i="1"/>
  <c r="AP424" i="1" s="1"/>
  <c r="AO125" i="1"/>
  <c r="AP125" i="1" s="1"/>
  <c r="AO432" i="1"/>
  <c r="AP432" i="1" s="1"/>
  <c r="AO326" i="1"/>
  <c r="AP326" i="1" s="1"/>
  <c r="AO344" i="1"/>
  <c r="AP344" i="1" s="1"/>
  <c r="AO343" i="1"/>
  <c r="AP343" i="1" s="1"/>
  <c r="AO116" i="1"/>
  <c r="AP116" i="1" s="1"/>
  <c r="K208" i="1"/>
  <c r="AC61" i="1"/>
  <c r="AO203" i="1"/>
  <c r="AP203" i="1" s="1"/>
  <c r="AO347" i="1"/>
  <c r="AP347" i="1" s="1"/>
  <c r="AO122" i="1"/>
  <c r="AP122" i="1" s="1"/>
  <c r="AO428" i="1"/>
  <c r="AP428" i="1" s="1"/>
  <c r="AO426" i="1"/>
  <c r="AP426" i="1" s="1"/>
  <c r="AO181" i="1"/>
  <c r="AP181" i="1" s="1"/>
  <c r="H438" i="1"/>
  <c r="H434" i="1"/>
  <c r="H341" i="1"/>
  <c r="H330" i="1"/>
  <c r="H329" i="1"/>
  <c r="H320" i="1"/>
  <c r="H348" i="1"/>
  <c r="H198" i="1"/>
  <c r="H190" i="1"/>
  <c r="H189" i="1"/>
  <c r="H188" i="1"/>
  <c r="H179" i="1"/>
  <c r="H126" i="1"/>
  <c r="H77" i="1"/>
  <c r="H75" i="1"/>
  <c r="H85" i="1"/>
  <c r="AO50" i="1"/>
  <c r="AP50" i="1" s="1"/>
  <c r="AO346" i="1"/>
  <c r="AP346" i="1" s="1"/>
  <c r="AO124" i="1"/>
  <c r="AP124" i="1" s="1"/>
  <c r="AO431" i="1"/>
  <c r="AP431" i="1" s="1"/>
  <c r="AO328" i="1"/>
  <c r="AP328" i="1" s="1"/>
  <c r="AO180" i="1"/>
  <c r="AP180" i="1" s="1"/>
  <c r="L437" i="1"/>
  <c r="L612" i="2"/>
  <c r="G612" i="2"/>
  <c r="H612" i="2"/>
  <c r="I612" i="2"/>
  <c r="K612" i="2"/>
  <c r="J612" i="2"/>
  <c r="I630" i="2"/>
  <c r="I494" i="2"/>
  <c r="N776" i="2" l="1"/>
  <c r="J494" i="2"/>
  <c r="J790" i="2"/>
  <c r="G658" i="2"/>
  <c r="G776" i="2"/>
  <c r="I658" i="2"/>
  <c r="I776" i="2"/>
  <c r="I747" i="2"/>
  <c r="I790" i="2"/>
  <c r="N790" i="2"/>
  <c r="H658" i="2"/>
  <c r="H776" i="2"/>
  <c r="J658" i="2"/>
  <c r="J665" i="2" s="1"/>
  <c r="J776" i="2"/>
  <c r="AG629" i="2"/>
  <c r="AH629" i="2" s="1"/>
  <c r="W632" i="2"/>
  <c r="W633" i="2" s="1"/>
  <c r="P645" i="2"/>
  <c r="P646" i="2" s="1"/>
  <c r="H686" i="2"/>
  <c r="H672" i="2"/>
  <c r="G686" i="2"/>
  <c r="G672" i="2"/>
  <c r="G679" i="2" s="1"/>
  <c r="F613" i="2"/>
  <c r="F27" i="7"/>
  <c r="N700" i="2"/>
  <c r="N707" i="2" s="1"/>
  <c r="N496" i="2"/>
  <c r="J747" i="2"/>
  <c r="J624" i="2"/>
  <c r="P740" i="2"/>
  <c r="N624" i="2"/>
  <c r="N733" i="2"/>
  <c r="N658" i="2"/>
  <c r="P783" i="2"/>
  <c r="N747" i="2"/>
  <c r="N494" i="2"/>
  <c r="G733" i="2"/>
  <c r="H747" i="2"/>
  <c r="I733" i="2"/>
  <c r="I665" i="2"/>
  <c r="L733" i="2"/>
  <c r="J733" i="2"/>
  <c r="H733" i="2"/>
  <c r="M350" i="1"/>
  <c r="M66" i="1"/>
  <c r="AH8" i="1"/>
  <c r="AH64" i="1"/>
  <c r="AH65" i="1"/>
  <c r="AH61" i="1"/>
  <c r="AH68" i="1"/>
  <c r="M157" i="1"/>
  <c r="AH69" i="1"/>
  <c r="AH60" i="1"/>
  <c r="Y350" i="1"/>
  <c r="Q645" i="2"/>
  <c r="Q646" i="2" s="1"/>
  <c r="Q740" i="2"/>
  <c r="F24" i="10"/>
  <c r="N640" i="2" s="1"/>
  <c r="N726" i="2" s="1"/>
  <c r="Q783" i="2"/>
  <c r="P157" i="1"/>
  <c r="L68" i="1"/>
  <c r="AF350" i="1"/>
  <c r="AF65" i="1"/>
  <c r="V332" i="1"/>
  <c r="AE62" i="1"/>
  <c r="AE69" i="1"/>
  <c r="L66" i="1"/>
  <c r="AE74" i="1"/>
  <c r="L9" i="1"/>
  <c r="L11" i="1" s="1"/>
  <c r="AE61" i="1"/>
  <c r="AB350" i="1"/>
  <c r="AH9" i="1"/>
  <c r="AH66" i="1"/>
  <c r="AH74" i="1"/>
  <c r="AH67" i="1"/>
  <c r="AH62" i="1"/>
  <c r="AE350" i="1"/>
  <c r="M68" i="1"/>
  <c r="AC63" i="1"/>
  <c r="P350" i="1"/>
  <c r="P437" i="1"/>
  <c r="AB9" i="1"/>
  <c r="AJ68" i="1"/>
  <c r="AJ64" i="1"/>
  <c r="I9" i="1"/>
  <c r="Y332" i="1"/>
  <c r="I64" i="1"/>
  <c r="T65" i="1"/>
  <c r="I67" i="1"/>
  <c r="AB68" i="1"/>
  <c r="K350" i="1"/>
  <c r="AO164" i="1"/>
  <c r="AP164" i="1" s="1"/>
  <c r="AL67" i="1"/>
  <c r="V64" i="1"/>
  <c r="AL350" i="1"/>
  <c r="AF64" i="1"/>
  <c r="P63" i="1"/>
  <c r="AC350" i="1"/>
  <c r="AC62" i="1"/>
  <c r="M192" i="1"/>
  <c r="M210" i="1" s="1"/>
  <c r="N88" i="10"/>
  <c r="AC69" i="1"/>
  <c r="AB60" i="1"/>
  <c r="AC8" i="1"/>
  <c r="AB61" i="1"/>
  <c r="F147" i="1"/>
  <c r="M60" i="1"/>
  <c r="AC9" i="1"/>
  <c r="AB67" i="1"/>
  <c r="M67" i="1"/>
  <c r="AB69" i="1"/>
  <c r="AJ66" i="1"/>
  <c r="I8" i="1"/>
  <c r="I66" i="1"/>
  <c r="V783" i="2"/>
  <c r="V740" i="2"/>
  <c r="V643" i="2"/>
  <c r="V644" i="2" s="1"/>
  <c r="N64" i="10"/>
  <c r="F14" i="10" s="1"/>
  <c r="I640" i="2" s="1"/>
  <c r="I68" i="1"/>
  <c r="AJ74" i="1"/>
  <c r="I60" i="1"/>
  <c r="AJ8" i="1"/>
  <c r="I61" i="1"/>
  <c r="I69" i="1"/>
  <c r="M679" i="2"/>
  <c r="AJ60" i="1"/>
  <c r="I62" i="1"/>
  <c r="I74" i="1"/>
  <c r="M665" i="2"/>
  <c r="M612" i="2"/>
  <c r="AJ63" i="1"/>
  <c r="I63" i="1"/>
  <c r="I437" i="1"/>
  <c r="L693" i="2"/>
  <c r="AJ65" i="1"/>
  <c r="K61" i="1"/>
  <c r="M613" i="2"/>
  <c r="L679" i="2"/>
  <c r="J157" i="1"/>
  <c r="I157" i="1"/>
  <c r="P64" i="1"/>
  <c r="Z66" i="1"/>
  <c r="P65" i="1"/>
  <c r="P8" i="1"/>
  <c r="P66" i="1"/>
  <c r="P9" i="1"/>
  <c r="P67" i="1"/>
  <c r="P61" i="1"/>
  <c r="P69" i="1"/>
  <c r="P60" i="1"/>
  <c r="P68" i="1"/>
  <c r="P62" i="1"/>
  <c r="L192" i="1"/>
  <c r="L210" i="1" s="1"/>
  <c r="L332" i="1"/>
  <c r="V60" i="1"/>
  <c r="V62" i="1"/>
  <c r="V437" i="1"/>
  <c r="V68" i="1"/>
  <c r="AL74" i="1"/>
  <c r="V63" i="1"/>
  <c r="V74" i="1"/>
  <c r="V65" i="1"/>
  <c r="V8" i="1"/>
  <c r="V66" i="1"/>
  <c r="V9" i="1"/>
  <c r="V67" i="1"/>
  <c r="R65" i="1"/>
  <c r="V61" i="1"/>
  <c r="Z157" i="1"/>
  <c r="U645" i="2"/>
  <c r="U646" i="2" s="1"/>
  <c r="P631" i="2"/>
  <c r="P632" i="2" s="1"/>
  <c r="P633" i="2" s="1"/>
  <c r="T632" i="2"/>
  <c r="T633" i="2" s="1"/>
  <c r="Q631" i="2"/>
  <c r="Q632" i="2" s="1"/>
  <c r="Q494" i="2"/>
  <c r="V631" i="2"/>
  <c r="X634" i="2"/>
  <c r="X635" i="2" s="1"/>
  <c r="R632" i="2"/>
  <c r="R633" i="2" s="1"/>
  <c r="S633" i="2"/>
  <c r="U633" i="2"/>
  <c r="U634" i="2" s="1"/>
  <c r="L299" i="1"/>
  <c r="M332" i="1"/>
  <c r="Q82" i="10"/>
  <c r="G18" i="10" s="1"/>
  <c r="G25" i="10" s="1"/>
  <c r="N82" i="10"/>
  <c r="P80" i="10"/>
  <c r="J18" i="10" s="1"/>
  <c r="K638" i="2" s="1"/>
  <c r="K776" i="2" s="1"/>
  <c r="N80" i="10"/>
  <c r="O80" i="10" s="1"/>
  <c r="I18" i="10" s="1"/>
  <c r="T643" i="2"/>
  <c r="T644" i="2" s="1"/>
  <c r="T783" i="2"/>
  <c r="T740" i="2"/>
  <c r="R73" i="10"/>
  <c r="H16" i="10" s="1"/>
  <c r="H494" i="2"/>
  <c r="H624" i="2"/>
  <c r="W157" i="1"/>
  <c r="N192" i="1"/>
  <c r="N210" i="1" s="1"/>
  <c r="R645" i="2"/>
  <c r="R646" i="2" s="1"/>
  <c r="R647" i="2" s="1"/>
  <c r="S643" i="2"/>
  <c r="S740" i="2"/>
  <c r="S783" i="2"/>
  <c r="X644" i="2"/>
  <c r="X645" i="2" s="1"/>
  <c r="W643" i="2"/>
  <c r="W644" i="2" s="1"/>
  <c r="W783" i="2"/>
  <c r="W740" i="2"/>
  <c r="N672" i="2"/>
  <c r="N686" i="2"/>
  <c r="M693" i="2"/>
  <c r="N90" i="10"/>
  <c r="O91" i="10"/>
  <c r="F20" i="10"/>
  <c r="L640" i="2" s="1"/>
  <c r="R82" i="10"/>
  <c r="H18" i="10" s="1"/>
  <c r="K642" i="2" s="1"/>
  <c r="L700" i="2"/>
  <c r="L496" i="2"/>
  <c r="F16" i="10"/>
  <c r="J640" i="2" s="1"/>
  <c r="O73" i="10"/>
  <c r="R64" i="10"/>
  <c r="H14" i="10" s="1"/>
  <c r="I642" i="2" s="1"/>
  <c r="J700" i="2"/>
  <c r="N63" i="10"/>
  <c r="J496" i="2"/>
  <c r="I679" i="2"/>
  <c r="I693" i="2"/>
  <c r="I624" i="2"/>
  <c r="I496" i="2"/>
  <c r="AG621" i="2"/>
  <c r="AH621" i="2" s="1"/>
  <c r="I700" i="2"/>
  <c r="H496" i="2"/>
  <c r="H700" i="2"/>
  <c r="O55" i="10"/>
  <c r="F12" i="10"/>
  <c r="H640" i="2" s="1"/>
  <c r="H769" i="2" s="1"/>
  <c r="G496" i="2"/>
  <c r="G700" i="2"/>
  <c r="O44" i="10"/>
  <c r="I10" i="10" s="1"/>
  <c r="N43" i="10"/>
  <c r="N45" i="10"/>
  <c r="O46" i="10"/>
  <c r="F10" i="10"/>
  <c r="G640" i="2" s="1"/>
  <c r="G769" i="2" s="1"/>
  <c r="O35" i="10"/>
  <c r="I8" i="10" s="1"/>
  <c r="F638" i="2"/>
  <c r="F658" i="2" s="1"/>
  <c r="N37" i="10"/>
  <c r="F642" i="2"/>
  <c r="F641" i="2"/>
  <c r="AJ350" i="1"/>
  <c r="P299" i="1"/>
  <c r="AF317" i="1"/>
  <c r="Y157" i="1"/>
  <c r="AL332" i="1"/>
  <c r="Y299" i="1"/>
  <c r="J350" i="1"/>
  <c r="I299" i="1"/>
  <c r="AC64" i="1"/>
  <c r="M69" i="1"/>
  <c r="AC74" i="1"/>
  <c r="AB62" i="1"/>
  <c r="AB74" i="1"/>
  <c r="M62" i="1"/>
  <c r="AC65" i="1"/>
  <c r="AB437" i="1"/>
  <c r="L350" i="1"/>
  <c r="M74" i="1"/>
  <c r="AC437" i="1"/>
  <c r="AB63" i="1"/>
  <c r="M63" i="1"/>
  <c r="M9" i="1"/>
  <c r="AC66" i="1"/>
  <c r="AB64" i="1"/>
  <c r="M61" i="1"/>
  <c r="M64" i="1"/>
  <c r="M8" i="1"/>
  <c r="AC67" i="1"/>
  <c r="AB65" i="1"/>
  <c r="M65" i="1"/>
  <c r="AC60" i="1"/>
  <c r="AB8" i="1"/>
  <c r="J60" i="1"/>
  <c r="J67" i="1"/>
  <c r="J68" i="1"/>
  <c r="J9" i="1"/>
  <c r="AN332" i="1"/>
  <c r="Y68" i="1"/>
  <c r="Y437" i="1"/>
  <c r="Y66" i="1"/>
  <c r="Y61" i="1"/>
  <c r="Y63" i="1"/>
  <c r="AJ157" i="1"/>
  <c r="AF192" i="1"/>
  <c r="AF210" i="1" s="1"/>
  <c r="AH192" i="1"/>
  <c r="AH210" i="1" s="1"/>
  <c r="P317" i="1"/>
  <c r="K332" i="1"/>
  <c r="P176" i="1"/>
  <c r="W68" i="1"/>
  <c r="AN299" i="1"/>
  <c r="AJ299" i="1"/>
  <c r="H157" i="1"/>
  <c r="P192" i="1"/>
  <c r="P210" i="1" s="1"/>
  <c r="J299" i="1"/>
  <c r="Y65" i="1"/>
  <c r="Y8" i="1"/>
  <c r="N350" i="1"/>
  <c r="Y9" i="1"/>
  <c r="N157" i="1"/>
  <c r="I350" i="1"/>
  <c r="AL299" i="1"/>
  <c r="W69" i="1"/>
  <c r="K192" i="1"/>
  <c r="K210" i="1" s="1"/>
  <c r="K157" i="1"/>
  <c r="W60" i="1"/>
  <c r="Y317" i="1"/>
  <c r="W61" i="1"/>
  <c r="W63" i="1"/>
  <c r="W64" i="1"/>
  <c r="AE192" i="1"/>
  <c r="AE210" i="1" s="1"/>
  <c r="W9" i="1"/>
  <c r="W67" i="1"/>
  <c r="AH350" i="1"/>
  <c r="N299" i="1"/>
  <c r="V157" i="1"/>
  <c r="J332" i="1"/>
  <c r="K299" i="1"/>
  <c r="AL317" i="1"/>
  <c r="AC192" i="1"/>
  <c r="AC210" i="1" s="1"/>
  <c r="W176" i="1"/>
  <c r="T192" i="1"/>
  <c r="T210" i="1" s="1"/>
  <c r="L157" i="1"/>
  <c r="AB332" i="1"/>
  <c r="AB299" i="1"/>
  <c r="V299" i="1"/>
  <c r="R176" i="1"/>
  <c r="AL66" i="1"/>
  <c r="R8" i="1"/>
  <c r="R66" i="1"/>
  <c r="R299" i="1"/>
  <c r="AE299" i="1"/>
  <c r="AL157" i="1"/>
  <c r="Z67" i="1"/>
  <c r="Z68" i="1"/>
  <c r="R9" i="1"/>
  <c r="R67" i="1"/>
  <c r="Z61" i="1"/>
  <c r="AL62" i="1"/>
  <c r="AL437" i="1"/>
  <c r="R60" i="1"/>
  <c r="AL9" i="1"/>
  <c r="Z69" i="1"/>
  <c r="R68" i="1"/>
  <c r="Z62" i="1"/>
  <c r="Z74" i="1"/>
  <c r="AL68" i="1"/>
  <c r="R61" i="1"/>
  <c r="R69" i="1"/>
  <c r="Z9" i="1"/>
  <c r="Z63" i="1"/>
  <c r="AN61" i="1"/>
  <c r="R62" i="1"/>
  <c r="R74" i="1"/>
  <c r="I332" i="1"/>
  <c r="Z299" i="1"/>
  <c r="AH332" i="1"/>
  <c r="M176" i="1"/>
  <c r="AL8" i="1"/>
  <c r="Z60" i="1"/>
  <c r="AL60" i="1"/>
  <c r="AL69" i="1"/>
  <c r="Z64" i="1"/>
  <c r="Z437" i="1"/>
  <c r="AL63" i="1"/>
  <c r="AL64" i="1"/>
  <c r="R63" i="1"/>
  <c r="R437" i="1"/>
  <c r="W350" i="1"/>
  <c r="Z8" i="1"/>
  <c r="AL61" i="1"/>
  <c r="AJ61" i="1"/>
  <c r="AJ69" i="1"/>
  <c r="AJ62" i="1"/>
  <c r="AJ437" i="1"/>
  <c r="Y192" i="1"/>
  <c r="Y210" i="1" s="1"/>
  <c r="AE157" i="1"/>
  <c r="AB176" i="1"/>
  <c r="AB317" i="1"/>
  <c r="AH176" i="1"/>
  <c r="W317" i="1"/>
  <c r="AE317" i="1"/>
  <c r="AB192" i="1"/>
  <c r="AB210" i="1" s="1"/>
  <c r="T332" i="1"/>
  <c r="T352" i="1" s="1"/>
  <c r="N332" i="1"/>
  <c r="Z317" i="1"/>
  <c r="AB157" i="1"/>
  <c r="T176" i="1"/>
  <c r="W299" i="1"/>
  <c r="AC332" i="1"/>
  <c r="AE332" i="1"/>
  <c r="J192" i="1"/>
  <c r="J210" i="1" s="1"/>
  <c r="M317" i="1"/>
  <c r="H299" i="1"/>
  <c r="Z332" i="1"/>
  <c r="Z352" i="1" s="1"/>
  <c r="P332" i="1"/>
  <c r="AJ9" i="1"/>
  <c r="K69" i="1"/>
  <c r="L69" i="1"/>
  <c r="L61" i="1"/>
  <c r="AE64" i="1"/>
  <c r="J62" i="1"/>
  <c r="J437" i="1"/>
  <c r="AF9" i="1"/>
  <c r="AF67" i="1"/>
  <c r="J61" i="1"/>
  <c r="AF66" i="1"/>
  <c r="T157" i="1"/>
  <c r="AE63" i="1"/>
  <c r="AF8" i="1"/>
  <c r="L60" i="1"/>
  <c r="J63" i="1"/>
  <c r="AF68" i="1"/>
  <c r="L62" i="1"/>
  <c r="L64" i="1"/>
  <c r="AE8" i="1"/>
  <c r="AE66" i="1"/>
  <c r="J64" i="1"/>
  <c r="AF61" i="1"/>
  <c r="AF69" i="1"/>
  <c r="AO153" i="1"/>
  <c r="AP153" i="1" s="1"/>
  <c r="AE437" i="1"/>
  <c r="J69" i="1"/>
  <c r="L63" i="1"/>
  <c r="AE65" i="1"/>
  <c r="AF60" i="1"/>
  <c r="L74" i="1"/>
  <c r="L67" i="1"/>
  <c r="AE9" i="1"/>
  <c r="AE67" i="1"/>
  <c r="J74" i="1"/>
  <c r="J65" i="1"/>
  <c r="AF62" i="1"/>
  <c r="AF74" i="1"/>
  <c r="L65" i="1"/>
  <c r="AE60" i="1"/>
  <c r="J8" i="1"/>
  <c r="AF63" i="1"/>
  <c r="V317" i="1"/>
  <c r="L317" i="1"/>
  <c r="V350" i="1"/>
  <c r="AC317" i="1"/>
  <c r="T299" i="1"/>
  <c r="AL192" i="1"/>
  <c r="AL210" i="1" s="1"/>
  <c r="Z176" i="1"/>
  <c r="AE176" i="1"/>
  <c r="AL176" i="1"/>
  <c r="R317" i="1"/>
  <c r="K317" i="1"/>
  <c r="J317" i="1"/>
  <c r="AJ332" i="1"/>
  <c r="AH299" i="1"/>
  <c r="AJ192" i="1"/>
  <c r="AJ210" i="1" s="1"/>
  <c r="V176" i="1"/>
  <c r="T317" i="1"/>
  <c r="T8" i="1"/>
  <c r="T66" i="1"/>
  <c r="N8" i="1"/>
  <c r="K62" i="1"/>
  <c r="K437" i="1"/>
  <c r="T9" i="1"/>
  <c r="T67" i="1"/>
  <c r="K63" i="1"/>
  <c r="T60" i="1"/>
  <c r="T68" i="1"/>
  <c r="W62" i="1"/>
  <c r="W437" i="1"/>
  <c r="K64" i="1"/>
  <c r="T69" i="1"/>
  <c r="K74" i="1"/>
  <c r="K65" i="1"/>
  <c r="AO114" i="1"/>
  <c r="AP114" i="1" s="1"/>
  <c r="AO296" i="1"/>
  <c r="AP296" i="1" s="1"/>
  <c r="W192" i="1"/>
  <c r="W210" i="1" s="1"/>
  <c r="V192" i="1"/>
  <c r="V210" i="1" s="1"/>
  <c r="AN176" i="1"/>
  <c r="AH317" i="1"/>
  <c r="J176" i="1"/>
  <c r="AF176" i="1"/>
  <c r="AN157" i="1"/>
  <c r="AN317" i="1"/>
  <c r="Z192" i="1"/>
  <c r="Z210" i="1" s="1"/>
  <c r="I192" i="1"/>
  <c r="I210" i="1" s="1"/>
  <c r="AC176" i="1"/>
  <c r="AF332" i="1"/>
  <c r="L176" i="1"/>
  <c r="K176" i="1"/>
  <c r="T61" i="1"/>
  <c r="T62" i="1"/>
  <c r="K8" i="1"/>
  <c r="AO77" i="1"/>
  <c r="AP77" i="1" s="1"/>
  <c r="W74" i="1"/>
  <c r="W65" i="1"/>
  <c r="K9" i="1"/>
  <c r="K67" i="1"/>
  <c r="AF157" i="1"/>
  <c r="T74" i="1"/>
  <c r="K66" i="1"/>
  <c r="T63" i="1"/>
  <c r="T437" i="1"/>
  <c r="Y64" i="1"/>
  <c r="W8" i="1"/>
  <c r="K60" i="1"/>
  <c r="N61" i="1"/>
  <c r="AO330" i="1"/>
  <c r="AP330" i="1" s="1"/>
  <c r="N62" i="1"/>
  <c r="M299" i="1"/>
  <c r="N63" i="1"/>
  <c r="N67" i="1"/>
  <c r="AN69" i="1"/>
  <c r="AJ176" i="1"/>
  <c r="N64" i="1"/>
  <c r="N74" i="1"/>
  <c r="N437" i="1"/>
  <c r="AO169" i="1"/>
  <c r="AP169" i="1" s="1"/>
  <c r="AO188" i="1"/>
  <c r="AP188" i="1" s="1"/>
  <c r="AO311" i="1"/>
  <c r="AP311" i="1" s="1"/>
  <c r="AN350" i="1"/>
  <c r="AO434" i="1"/>
  <c r="AP434" i="1" s="1"/>
  <c r="Y67" i="1"/>
  <c r="N66" i="1"/>
  <c r="N317" i="1"/>
  <c r="AO295" i="1"/>
  <c r="AP295" i="1" s="1"/>
  <c r="AJ317" i="1"/>
  <c r="Y69" i="1"/>
  <c r="N9" i="1"/>
  <c r="N68" i="1"/>
  <c r="AC157" i="1"/>
  <c r="R210" i="1"/>
  <c r="AC299" i="1"/>
  <c r="AO75" i="1"/>
  <c r="AP75" i="1" s="1"/>
  <c r="AO348" i="1"/>
  <c r="AP348" i="1" s="1"/>
  <c r="Y60" i="1"/>
  <c r="N60" i="1"/>
  <c r="N69" i="1"/>
  <c r="AO171" i="1"/>
  <c r="AP171" i="1" s="1"/>
  <c r="AO172" i="1"/>
  <c r="AP172" i="1" s="1"/>
  <c r="AO315" i="1"/>
  <c r="AP315" i="1" s="1"/>
  <c r="N176" i="1"/>
  <c r="AO155" i="1"/>
  <c r="AP155" i="1" s="1"/>
  <c r="AO422" i="1"/>
  <c r="AP422" i="1" s="1"/>
  <c r="Y176" i="1"/>
  <c r="AO297" i="1"/>
  <c r="AP297" i="1" s="1"/>
  <c r="R157" i="1"/>
  <c r="AN62" i="1"/>
  <c r="AN74" i="1"/>
  <c r="AO189" i="1"/>
  <c r="AP189" i="1" s="1"/>
  <c r="AO312" i="1"/>
  <c r="AP312" i="1" s="1"/>
  <c r="AN63" i="1"/>
  <c r="AN9" i="1"/>
  <c r="AO190" i="1"/>
  <c r="AP190" i="1" s="1"/>
  <c r="AO438" i="1"/>
  <c r="AP438" i="1" s="1"/>
  <c r="AO174" i="1"/>
  <c r="AP174" i="1" s="1"/>
  <c r="AO313" i="1"/>
  <c r="AP313" i="1" s="1"/>
  <c r="AN64" i="1"/>
  <c r="AN8" i="1"/>
  <c r="I317" i="1"/>
  <c r="AO154" i="1"/>
  <c r="AP154" i="1" s="1"/>
  <c r="AN65" i="1"/>
  <c r="AN437" i="1"/>
  <c r="AN66" i="1"/>
  <c r="W332" i="1"/>
  <c r="AN67" i="1"/>
  <c r="AN192" i="1"/>
  <c r="AN210" i="1" s="1"/>
  <c r="AO126" i="1"/>
  <c r="AP126" i="1" s="1"/>
  <c r="AO329" i="1"/>
  <c r="AP329" i="1" s="1"/>
  <c r="Y74" i="1"/>
  <c r="AO309" i="1"/>
  <c r="AP309" i="1" s="1"/>
  <c r="R352" i="1"/>
  <c r="AN60" i="1"/>
  <c r="AF299" i="1"/>
  <c r="I635" i="2"/>
  <c r="P647" i="2"/>
  <c r="P648" i="2" s="1"/>
  <c r="E697" i="2"/>
  <c r="E711" i="2"/>
  <c r="E683" i="2"/>
  <c r="AO173" i="1"/>
  <c r="AP173" i="1" s="1"/>
  <c r="AO314" i="1"/>
  <c r="AP314" i="1" s="1"/>
  <c r="AO170" i="1"/>
  <c r="AP170" i="1" s="1"/>
  <c r="I176" i="1"/>
  <c r="AO310" i="1"/>
  <c r="AP310" i="1" s="1"/>
  <c r="AO168" i="1"/>
  <c r="AP168" i="1" s="1"/>
  <c r="H437" i="1"/>
  <c r="H74" i="1"/>
  <c r="H69" i="1"/>
  <c r="H68" i="1"/>
  <c r="H67" i="1"/>
  <c r="H66" i="1"/>
  <c r="H65" i="1"/>
  <c r="H64" i="1"/>
  <c r="H63" i="1"/>
  <c r="H62" i="1"/>
  <c r="H61" i="1"/>
  <c r="H60" i="1"/>
  <c r="H9" i="1"/>
  <c r="H8" i="1"/>
  <c r="AO52" i="1"/>
  <c r="AP52" i="1" s="1"/>
  <c r="H192" i="1"/>
  <c r="AO179" i="1"/>
  <c r="AP179" i="1" s="1"/>
  <c r="AO341" i="1"/>
  <c r="AP341" i="1" s="1"/>
  <c r="H350" i="1"/>
  <c r="H317" i="1"/>
  <c r="AO308" i="1"/>
  <c r="AP308" i="1" s="1"/>
  <c r="H332" i="1"/>
  <c r="AO320" i="1"/>
  <c r="AP320" i="1" s="1"/>
  <c r="AO85" i="1"/>
  <c r="AP85" i="1" s="1"/>
  <c r="H90" i="1"/>
  <c r="AO198" i="1"/>
  <c r="AP198" i="1" s="1"/>
  <c r="H208" i="1"/>
  <c r="AO208" i="1" s="1"/>
  <c r="AP208" i="1" s="1"/>
  <c r="AO167" i="1"/>
  <c r="AP167" i="1" s="1"/>
  <c r="H176" i="1"/>
  <c r="F612" i="2"/>
  <c r="AG630" i="2"/>
  <c r="AH630" i="2" s="1"/>
  <c r="W634" i="2" l="1"/>
  <c r="M352" i="1"/>
  <c r="M354" i="1" s="1"/>
  <c r="M382" i="1" s="1"/>
  <c r="M397" i="1" s="1"/>
  <c r="N644" i="2"/>
  <c r="N769" i="2"/>
  <c r="J726" i="2"/>
  <c r="J769" i="2"/>
  <c r="I726" i="2"/>
  <c r="I769" i="2"/>
  <c r="U647" i="2"/>
  <c r="L665" i="2"/>
  <c r="AG740" i="2"/>
  <c r="K733" i="2"/>
  <c r="AH11" i="1"/>
  <c r="V352" i="1"/>
  <c r="V354" i="1" s="1"/>
  <c r="V382" i="1" s="1"/>
  <c r="AF352" i="1"/>
  <c r="AF354" i="1" s="1"/>
  <c r="AF382" i="1" s="1"/>
  <c r="AB11" i="1"/>
  <c r="Y352" i="1"/>
  <c r="Y354" i="1" s="1"/>
  <c r="Y382" i="1" s="1"/>
  <c r="Y392" i="1" s="1"/>
  <c r="AL352" i="1"/>
  <c r="AL354" i="1" s="1"/>
  <c r="AL356" i="1" s="1"/>
  <c r="AB352" i="1"/>
  <c r="AB354" i="1" s="1"/>
  <c r="AB382" i="1" s="1"/>
  <c r="V645" i="2"/>
  <c r="V646" i="2" s="1"/>
  <c r="AG613" i="2"/>
  <c r="AH613" i="2" s="1"/>
  <c r="M700" i="2"/>
  <c r="M707" i="2" s="1"/>
  <c r="M496" i="2"/>
  <c r="K700" i="2"/>
  <c r="J25" i="10"/>
  <c r="K496" i="2"/>
  <c r="AE352" i="1"/>
  <c r="AE354" i="1" s="1"/>
  <c r="AE356" i="1" s="1"/>
  <c r="P352" i="1"/>
  <c r="P354" i="1" s="1"/>
  <c r="P382" i="1" s="1"/>
  <c r="AH72" i="1"/>
  <c r="AH403" i="1" s="1"/>
  <c r="K352" i="1"/>
  <c r="K354" i="1" s="1"/>
  <c r="AJ11" i="1"/>
  <c r="I11" i="1"/>
  <c r="P11" i="1"/>
  <c r="V11" i="1"/>
  <c r="AC352" i="1"/>
  <c r="AC354" i="1" s="1"/>
  <c r="AC382" i="1" s="1"/>
  <c r="AC253" i="1" s="1"/>
  <c r="I352" i="1"/>
  <c r="I354" i="1" s="1"/>
  <c r="AC11" i="1"/>
  <c r="G665" i="2"/>
  <c r="I72" i="1"/>
  <c r="I260" i="1" s="1"/>
  <c r="O64" i="10"/>
  <c r="M11" i="1"/>
  <c r="W212" i="1"/>
  <c r="W240" i="1" s="1"/>
  <c r="N352" i="1"/>
  <c r="N354" i="1" s="1"/>
  <c r="N382" i="1" s="1"/>
  <c r="N254" i="1" s="1"/>
  <c r="O82" i="10"/>
  <c r="F18" i="10"/>
  <c r="K640" i="2" s="1"/>
  <c r="J642" i="2"/>
  <c r="AG642" i="2" s="1"/>
  <c r="AH642" i="2" s="1"/>
  <c r="R212" i="1"/>
  <c r="R240" i="1" s="1"/>
  <c r="R391" i="1" s="1"/>
  <c r="K641" i="2"/>
  <c r="AL11" i="1"/>
  <c r="AB72" i="1"/>
  <c r="AB435" i="1" s="1"/>
  <c r="L352" i="1"/>
  <c r="L354" i="1" s="1"/>
  <c r="L356" i="1" s="1"/>
  <c r="M212" i="1"/>
  <c r="M240" i="1" s="1"/>
  <c r="J352" i="1"/>
  <c r="J354" i="1" s="1"/>
  <c r="P72" i="1"/>
  <c r="P403" i="1" s="1"/>
  <c r="AH352" i="1"/>
  <c r="AH354" i="1" s="1"/>
  <c r="V72" i="1"/>
  <c r="V127" i="1" s="1"/>
  <c r="AJ352" i="1"/>
  <c r="AJ354" i="1" s="1"/>
  <c r="AG631" i="2"/>
  <c r="AH631" i="2" s="1"/>
  <c r="R634" i="2"/>
  <c r="Q633" i="2"/>
  <c r="P634" i="2"/>
  <c r="P635" i="2" s="1"/>
  <c r="X636" i="2"/>
  <c r="X637" i="2" s="1"/>
  <c r="X639" i="2" s="1"/>
  <c r="T634" i="2"/>
  <c r="S634" i="2"/>
  <c r="S635" i="2" s="1"/>
  <c r="U635" i="2"/>
  <c r="U636" i="2" s="1"/>
  <c r="G693" i="2"/>
  <c r="V632" i="2"/>
  <c r="AG632" i="2" s="1"/>
  <c r="AH632" i="2" s="1"/>
  <c r="W635" i="2"/>
  <c r="W352" i="1"/>
  <c r="W354" i="1" s="1"/>
  <c r="AN352" i="1"/>
  <c r="AN354" i="1" s="1"/>
  <c r="AN356" i="1" s="1"/>
  <c r="AC72" i="1"/>
  <c r="AC259" i="1" s="1"/>
  <c r="H665" i="2"/>
  <c r="T645" i="2"/>
  <c r="T646" i="2" s="1"/>
  <c r="AN11" i="1"/>
  <c r="J11" i="1"/>
  <c r="AG494" i="2"/>
  <c r="H25" i="10"/>
  <c r="I25" i="10"/>
  <c r="X646" i="2"/>
  <c r="X647" i="2" s="1"/>
  <c r="W645" i="2"/>
  <c r="W646" i="2" s="1"/>
  <c r="S644" i="2"/>
  <c r="S645" i="2" s="1"/>
  <c r="N651" i="2"/>
  <c r="N693" i="2"/>
  <c r="N679" i="2"/>
  <c r="M644" i="2"/>
  <c r="L707" i="2"/>
  <c r="L644" i="2"/>
  <c r="K707" i="2"/>
  <c r="J644" i="2"/>
  <c r="J707" i="2"/>
  <c r="I707" i="2"/>
  <c r="AG624" i="2"/>
  <c r="AH624" i="2" s="1"/>
  <c r="H679" i="2"/>
  <c r="H693" i="2"/>
  <c r="H726" i="2"/>
  <c r="H644" i="2"/>
  <c r="H707" i="2"/>
  <c r="G644" i="2"/>
  <c r="G726" i="2"/>
  <c r="G707" i="2"/>
  <c r="N36" i="10"/>
  <c r="F8" i="10"/>
  <c r="O37" i="10"/>
  <c r="F776" i="2"/>
  <c r="F496" i="2"/>
  <c r="F733" i="2"/>
  <c r="F700" i="2"/>
  <c r="AG638" i="2"/>
  <c r="K11" i="1"/>
  <c r="Z212" i="1"/>
  <c r="Z214" i="1" s="1"/>
  <c r="N11" i="1"/>
  <c r="AB212" i="1"/>
  <c r="AB240" i="1" s="1"/>
  <c r="M72" i="1"/>
  <c r="M403" i="1" s="1"/>
  <c r="AO350" i="1"/>
  <c r="AP350" i="1" s="1"/>
  <c r="Z354" i="1"/>
  <c r="Z382" i="1" s="1"/>
  <c r="Z254" i="1" s="1"/>
  <c r="V212" i="1"/>
  <c r="V240" i="1" s="1"/>
  <c r="P212" i="1"/>
  <c r="AE72" i="1"/>
  <c r="AE127" i="1" s="1"/>
  <c r="AF72" i="1"/>
  <c r="AF435" i="1" s="1"/>
  <c r="J72" i="1"/>
  <c r="J127" i="1" s="1"/>
  <c r="AF11" i="1"/>
  <c r="AO299" i="1"/>
  <c r="AP299" i="1" s="1"/>
  <c r="R11" i="1"/>
  <c r="AO437" i="1"/>
  <c r="AP437" i="1" s="1"/>
  <c r="Y11" i="1"/>
  <c r="AH212" i="1"/>
  <c r="AH240" i="1" s="1"/>
  <c r="AN212" i="1"/>
  <c r="AN240" i="1" s="1"/>
  <c r="T212" i="1"/>
  <c r="T214" i="1" s="1"/>
  <c r="N212" i="1"/>
  <c r="N214" i="1" s="1"/>
  <c r="T11" i="1"/>
  <c r="AE11" i="1"/>
  <c r="J212" i="1"/>
  <c r="J240" i="1" s="1"/>
  <c r="J257" i="1" s="1"/>
  <c r="T354" i="1"/>
  <c r="T382" i="1" s="1"/>
  <c r="Z72" i="1"/>
  <c r="Z259" i="1" s="1"/>
  <c r="AL72" i="1"/>
  <c r="AL402" i="1" s="1"/>
  <c r="AJ212" i="1"/>
  <c r="AJ240" i="1" s="1"/>
  <c r="R72" i="1"/>
  <c r="R436" i="1" s="1"/>
  <c r="AC212" i="1"/>
  <c r="AC240" i="1" s="1"/>
  <c r="W11" i="1"/>
  <c r="W72" i="1"/>
  <c r="W260" i="1" s="1"/>
  <c r="AJ72" i="1"/>
  <c r="Z11" i="1"/>
  <c r="R354" i="1"/>
  <c r="AL212" i="1"/>
  <c r="AL240" i="1" s="1"/>
  <c r="Y72" i="1"/>
  <c r="Y402" i="1" s="1"/>
  <c r="AO9" i="1"/>
  <c r="AP9" i="1" s="1"/>
  <c r="AO68" i="1"/>
  <c r="AP68" i="1" s="1"/>
  <c r="L212" i="1"/>
  <c r="T72" i="1"/>
  <c r="T402" i="1" s="1"/>
  <c r="L72" i="1"/>
  <c r="L79" i="1" s="1"/>
  <c r="L106" i="1" s="1"/>
  <c r="L109" i="1" s="1"/>
  <c r="AO317" i="1"/>
  <c r="AP317" i="1" s="1"/>
  <c r="AO61" i="1"/>
  <c r="AP61" i="1" s="1"/>
  <c r="AO69" i="1"/>
  <c r="AP69" i="1" s="1"/>
  <c r="AO62" i="1"/>
  <c r="AP62" i="1" s="1"/>
  <c r="AO74" i="1"/>
  <c r="AP74" i="1" s="1"/>
  <c r="AE212" i="1"/>
  <c r="AE240" i="1" s="1"/>
  <c r="AE398" i="1" s="1"/>
  <c r="Y212" i="1"/>
  <c r="Y240" i="1" s="1"/>
  <c r="AO157" i="1"/>
  <c r="AP157" i="1" s="1"/>
  <c r="N72" i="1"/>
  <c r="N402" i="1" s="1"/>
  <c r="K72" i="1"/>
  <c r="K435" i="1" s="1"/>
  <c r="AF212" i="1"/>
  <c r="AF214" i="1" s="1"/>
  <c r="K212" i="1"/>
  <c r="AO63" i="1"/>
  <c r="AP63" i="1" s="1"/>
  <c r="AO65" i="1"/>
  <c r="AP65" i="1" s="1"/>
  <c r="AO64" i="1"/>
  <c r="AP64" i="1" s="1"/>
  <c r="AO67" i="1"/>
  <c r="AP67" i="1" s="1"/>
  <c r="I212" i="1"/>
  <c r="I240" i="1" s="1"/>
  <c r="AO176" i="1"/>
  <c r="AP176" i="1" s="1"/>
  <c r="AN72" i="1"/>
  <c r="AO66" i="1"/>
  <c r="AP66" i="1" s="1"/>
  <c r="Q647" i="2"/>
  <c r="Q648" i="2" s="1"/>
  <c r="Q649" i="2" s="1"/>
  <c r="R648" i="2"/>
  <c r="R649" i="2" s="1"/>
  <c r="P649" i="2"/>
  <c r="U648" i="2"/>
  <c r="H352" i="1"/>
  <c r="AO332" i="1"/>
  <c r="AP332" i="1" s="1"/>
  <c r="H72" i="1"/>
  <c r="AO60" i="1"/>
  <c r="AP60" i="1" s="1"/>
  <c r="AO192" i="1"/>
  <c r="AP192" i="1" s="1"/>
  <c r="H210" i="1"/>
  <c r="AO90" i="1"/>
  <c r="AP90" i="1" s="1"/>
  <c r="H107" i="1"/>
  <c r="AO107" i="1" s="1"/>
  <c r="AP107" i="1" s="1"/>
  <c r="H11" i="1"/>
  <c r="AO8" i="1"/>
  <c r="AP8" i="1" s="1"/>
  <c r="AG612" i="2"/>
  <c r="AH612" i="2" s="1"/>
  <c r="V647" i="2" l="1"/>
  <c r="V648" i="2" s="1"/>
  <c r="AJ79" i="1"/>
  <c r="AH436" i="1"/>
  <c r="AH402" i="1"/>
  <c r="AH259" i="1"/>
  <c r="AH127" i="1"/>
  <c r="AH435" i="1"/>
  <c r="AH79" i="1"/>
  <c r="E48" i="2" s="1"/>
  <c r="AH260" i="1"/>
  <c r="AG733" i="2"/>
  <c r="AH733" i="2" s="1"/>
  <c r="Y253" i="1"/>
  <c r="Y254" i="1"/>
  <c r="Y396" i="1"/>
  <c r="Y249" i="1"/>
  <c r="Y356" i="1"/>
  <c r="Y397" i="1"/>
  <c r="R255" i="1"/>
  <c r="R400" i="1"/>
  <c r="V259" i="1"/>
  <c r="V260" i="1"/>
  <c r="V403" i="1"/>
  <c r="V402" i="1"/>
  <c r="V435" i="1"/>
  <c r="V436" i="1"/>
  <c r="V79" i="1"/>
  <c r="E28" i="2" s="1"/>
  <c r="W214" i="1"/>
  <c r="Z396" i="1"/>
  <c r="Z253" i="1"/>
  <c r="Z397" i="1"/>
  <c r="Z249" i="1"/>
  <c r="I79" i="1"/>
  <c r="I92" i="1" s="1"/>
  <c r="W259" i="1"/>
  <c r="Z392" i="1"/>
  <c r="AB127" i="1"/>
  <c r="AB259" i="1"/>
  <c r="AB260" i="1"/>
  <c r="AB403" i="1"/>
  <c r="AB436" i="1"/>
  <c r="AB440" i="1" s="1"/>
  <c r="AF356" i="1"/>
  <c r="I127" i="1"/>
  <c r="I259" i="1"/>
  <c r="I403" i="1"/>
  <c r="I402" i="1"/>
  <c r="I435" i="1"/>
  <c r="I436" i="1"/>
  <c r="L260" i="1"/>
  <c r="L402" i="1"/>
  <c r="I356" i="1"/>
  <c r="I382" i="1"/>
  <c r="I254" i="1" s="1"/>
  <c r="W403" i="1"/>
  <c r="W435" i="1"/>
  <c r="W436" i="1"/>
  <c r="W402" i="1"/>
  <c r="AN214" i="1"/>
  <c r="W127" i="1"/>
  <c r="E12" i="2"/>
  <c r="AJ356" i="1"/>
  <c r="AJ382" i="1"/>
  <c r="AJ396" i="1" s="1"/>
  <c r="R142" i="1"/>
  <c r="R394" i="1"/>
  <c r="P435" i="1"/>
  <c r="AN382" i="1"/>
  <c r="AN397" i="1" s="1"/>
  <c r="R251" i="1"/>
  <c r="R398" i="1"/>
  <c r="P436" i="1"/>
  <c r="P127" i="1"/>
  <c r="R256" i="1"/>
  <c r="P260" i="1"/>
  <c r="R248" i="1"/>
  <c r="R257" i="1"/>
  <c r="P259" i="1"/>
  <c r="AN79" i="1"/>
  <c r="AN106" i="1" s="1"/>
  <c r="AN109" i="1" s="1"/>
  <c r="AN112" i="1" s="1"/>
  <c r="R399" i="1"/>
  <c r="P402" i="1"/>
  <c r="P79" i="1"/>
  <c r="E19" i="2" s="1"/>
  <c r="R214" i="1"/>
  <c r="AE400" i="1"/>
  <c r="AB402" i="1"/>
  <c r="K644" i="2"/>
  <c r="K651" i="2" s="1"/>
  <c r="AB79" i="1"/>
  <c r="AB136" i="1" s="1"/>
  <c r="M214" i="1"/>
  <c r="J382" i="1"/>
  <c r="J254" i="1" s="1"/>
  <c r="J356" i="1"/>
  <c r="AH740" i="2"/>
  <c r="K665" i="2"/>
  <c r="AG747" i="2"/>
  <c r="AH747" i="2" s="1"/>
  <c r="AG641" i="2"/>
  <c r="AH641" i="2" s="1"/>
  <c r="J391" i="1"/>
  <c r="J399" i="1"/>
  <c r="J400" i="1"/>
  <c r="L136" i="1"/>
  <c r="L259" i="1"/>
  <c r="N79" i="1"/>
  <c r="E14" i="2" s="1"/>
  <c r="J142" i="1"/>
  <c r="AH382" i="1"/>
  <c r="AH396" i="1" s="1"/>
  <c r="AH356" i="1"/>
  <c r="AC260" i="1"/>
  <c r="AL382" i="1"/>
  <c r="AL253" i="1" s="1"/>
  <c r="AC396" i="1"/>
  <c r="L435" i="1"/>
  <c r="L436" i="1"/>
  <c r="L127" i="1"/>
  <c r="L145" i="1"/>
  <c r="Z240" i="1"/>
  <c r="Z391" i="1" s="1"/>
  <c r="V214" i="1"/>
  <c r="L135" i="1"/>
  <c r="AC436" i="1"/>
  <c r="AC435" i="1"/>
  <c r="AC127" i="1"/>
  <c r="AC403" i="1"/>
  <c r="AC79" i="1"/>
  <c r="AC136" i="1" s="1"/>
  <c r="AC402" i="1"/>
  <c r="AE382" i="1"/>
  <c r="AE396" i="1" s="1"/>
  <c r="P356" i="1"/>
  <c r="T635" i="2"/>
  <c r="T636" i="2" s="1"/>
  <c r="Q634" i="2"/>
  <c r="Q635" i="2" s="1"/>
  <c r="R635" i="2"/>
  <c r="V633" i="2"/>
  <c r="V634" i="2" s="1"/>
  <c r="P636" i="2"/>
  <c r="P637" i="2" s="1"/>
  <c r="P639" i="2" s="1"/>
  <c r="W636" i="2"/>
  <c r="W637" i="2" s="1"/>
  <c r="W639" i="2" s="1"/>
  <c r="U637" i="2"/>
  <c r="U639" i="2" s="1"/>
  <c r="S636" i="2"/>
  <c r="S637" i="2" s="1"/>
  <c r="S639" i="2" s="1"/>
  <c r="W356" i="1"/>
  <c r="W382" i="1"/>
  <c r="W396" i="1" s="1"/>
  <c r="N253" i="1"/>
  <c r="J79" i="1"/>
  <c r="J136" i="1" s="1"/>
  <c r="AN259" i="1"/>
  <c r="Z402" i="1"/>
  <c r="J403" i="1"/>
  <c r="J402" i="1"/>
  <c r="Z260" i="1"/>
  <c r="J259" i="1"/>
  <c r="AC397" i="1"/>
  <c r="Z435" i="1"/>
  <c r="N249" i="1"/>
  <c r="N392" i="1"/>
  <c r="M79" i="1"/>
  <c r="M106" i="1" s="1"/>
  <c r="M109" i="1" s="1"/>
  <c r="M113" i="1" s="1"/>
  <c r="M249" i="1"/>
  <c r="R127" i="1"/>
  <c r="Y214" i="1"/>
  <c r="Z403" i="1"/>
  <c r="AC249" i="1"/>
  <c r="AC254" i="1"/>
  <c r="N396" i="1"/>
  <c r="Z436" i="1"/>
  <c r="AC392" i="1"/>
  <c r="N397" i="1"/>
  <c r="AC356" i="1"/>
  <c r="M127" i="1"/>
  <c r="T647" i="2"/>
  <c r="T648" i="2" s="1"/>
  <c r="J260" i="1"/>
  <c r="T436" i="1"/>
  <c r="J435" i="1"/>
  <c r="AB214" i="1"/>
  <c r="AJ214" i="1"/>
  <c r="Z127" i="1"/>
  <c r="J436" i="1"/>
  <c r="L403" i="1"/>
  <c r="L92" i="1"/>
  <c r="AE399" i="1"/>
  <c r="AG625" i="2"/>
  <c r="AH625" i="2" s="1"/>
  <c r="AG626" i="2"/>
  <c r="AH626" i="2" s="1"/>
  <c r="S646" i="2"/>
  <c r="W647" i="2"/>
  <c r="W648" i="2" s="1"/>
  <c r="X648" i="2"/>
  <c r="X649" i="2" s="1"/>
  <c r="X650" i="2" s="1"/>
  <c r="M651" i="2"/>
  <c r="L651" i="2"/>
  <c r="J651" i="2"/>
  <c r="I644" i="2"/>
  <c r="H651" i="2"/>
  <c r="G651" i="2"/>
  <c r="AH638" i="2"/>
  <c r="AG496" i="2"/>
  <c r="AG776" i="2"/>
  <c r="AH776" i="2" s="1"/>
  <c r="F707" i="2"/>
  <c r="F665" i="2"/>
  <c r="F640" i="2"/>
  <c r="F25" i="10"/>
  <c r="M436" i="1"/>
  <c r="Z79" i="1"/>
  <c r="E34" i="2" s="1"/>
  <c r="AE79" i="1"/>
  <c r="AE145" i="1" s="1"/>
  <c r="M259" i="1"/>
  <c r="M356" i="1"/>
  <c r="J248" i="1"/>
  <c r="J394" i="1"/>
  <c r="AE259" i="1"/>
  <c r="R259" i="1"/>
  <c r="N436" i="1"/>
  <c r="J251" i="1"/>
  <c r="J398" i="1"/>
  <c r="AE260" i="1"/>
  <c r="R260" i="1"/>
  <c r="J255" i="1"/>
  <c r="AE402" i="1"/>
  <c r="R402" i="1"/>
  <c r="J256" i="1"/>
  <c r="R403" i="1"/>
  <c r="AE403" i="1"/>
  <c r="AE435" i="1"/>
  <c r="R435" i="1"/>
  <c r="R440" i="1" s="1"/>
  <c r="AE436" i="1"/>
  <c r="M402" i="1"/>
  <c r="M260" i="1"/>
  <c r="M435" i="1"/>
  <c r="AL403" i="1"/>
  <c r="Z356" i="1"/>
  <c r="AJ259" i="1"/>
  <c r="AF260" i="1"/>
  <c r="AF436" i="1"/>
  <c r="AF440" i="1" s="1"/>
  <c r="AJ435" i="1"/>
  <c r="AF127" i="1"/>
  <c r="AJ403" i="1"/>
  <c r="AF259" i="1"/>
  <c r="AJ402" i="1"/>
  <c r="AF402" i="1"/>
  <c r="AJ436" i="1"/>
  <c r="T356" i="1"/>
  <c r="AF79" i="1"/>
  <c r="AF145" i="1" s="1"/>
  <c r="AF403" i="1"/>
  <c r="W79" i="1"/>
  <c r="W145" i="1" s="1"/>
  <c r="AJ260" i="1"/>
  <c r="AH214" i="1"/>
  <c r="AJ127" i="1"/>
  <c r="N240" i="1"/>
  <c r="N256" i="1" s="1"/>
  <c r="P240" i="1"/>
  <c r="P214" i="1"/>
  <c r="AF240" i="1"/>
  <c r="AF248" i="1" s="1"/>
  <c r="T240" i="1"/>
  <c r="T256" i="1" s="1"/>
  <c r="M253" i="1"/>
  <c r="M254" i="1"/>
  <c r="M392" i="1"/>
  <c r="M396" i="1"/>
  <c r="N356" i="1"/>
  <c r="J214" i="1"/>
  <c r="R79" i="1"/>
  <c r="R106" i="1" s="1"/>
  <c r="R109" i="1" s="1"/>
  <c r="R112" i="1" s="1"/>
  <c r="AL127" i="1"/>
  <c r="AL259" i="1"/>
  <c r="AL260" i="1"/>
  <c r="AL79" i="1"/>
  <c r="AL106" i="1" s="1"/>
  <c r="AL109" i="1" s="1"/>
  <c r="AL113" i="1" s="1"/>
  <c r="AL436" i="1"/>
  <c r="AL435" i="1"/>
  <c r="F493" i="1"/>
  <c r="L382" i="1"/>
  <c r="K79" i="1"/>
  <c r="K136" i="1" s="1"/>
  <c r="AC214" i="1"/>
  <c r="V356" i="1"/>
  <c r="K436" i="1"/>
  <c r="K440" i="1" s="1"/>
  <c r="T79" i="1"/>
  <c r="T136" i="1" s="1"/>
  <c r="T435" i="1"/>
  <c r="Y403" i="1"/>
  <c r="Y127" i="1"/>
  <c r="Y79" i="1"/>
  <c r="T259" i="1"/>
  <c r="Y259" i="1"/>
  <c r="T127" i="1"/>
  <c r="Y260" i="1"/>
  <c r="T260" i="1"/>
  <c r="Y435" i="1"/>
  <c r="T403" i="1"/>
  <c r="Y436" i="1"/>
  <c r="AJ136" i="1"/>
  <c r="AJ145" i="1"/>
  <c r="K403" i="1"/>
  <c r="K402" i="1"/>
  <c r="K127" i="1"/>
  <c r="K260" i="1"/>
  <c r="K259" i="1"/>
  <c r="N260" i="1"/>
  <c r="N259" i="1"/>
  <c r="N127" i="1"/>
  <c r="N435" i="1"/>
  <c r="AL214" i="1"/>
  <c r="K382" i="1"/>
  <c r="K356" i="1"/>
  <c r="R382" i="1"/>
  <c r="R356" i="1"/>
  <c r="AB396" i="1"/>
  <c r="AB392" i="1"/>
  <c r="AB254" i="1"/>
  <c r="AB253" i="1"/>
  <c r="AB249" i="1"/>
  <c r="AB397" i="1"/>
  <c r="AB356" i="1"/>
  <c r="N403" i="1"/>
  <c r="L240" i="1"/>
  <c r="L214" i="1"/>
  <c r="I391" i="1"/>
  <c r="I257" i="1"/>
  <c r="I255" i="1"/>
  <c r="I400" i="1"/>
  <c r="I248" i="1"/>
  <c r="I256" i="1"/>
  <c r="I398" i="1"/>
  <c r="I394" i="1"/>
  <c r="I399" i="1"/>
  <c r="AN435" i="1"/>
  <c r="AE255" i="1"/>
  <c r="AE214" i="1"/>
  <c r="I214" i="1"/>
  <c r="AN402" i="1"/>
  <c r="AE256" i="1"/>
  <c r="AN403" i="1"/>
  <c r="AE257" i="1"/>
  <c r="AE391" i="1"/>
  <c r="AE248" i="1"/>
  <c r="AN127" i="1"/>
  <c r="AE394" i="1"/>
  <c r="AN436" i="1"/>
  <c r="AE142" i="1"/>
  <c r="AN260" i="1"/>
  <c r="AE251" i="1"/>
  <c r="E51" i="2"/>
  <c r="AJ92" i="1"/>
  <c r="AJ106" i="1"/>
  <c r="AJ109" i="1" s="1"/>
  <c r="AJ112" i="1" s="1"/>
  <c r="AJ135" i="1"/>
  <c r="K240" i="1"/>
  <c r="K214" i="1"/>
  <c r="I251" i="1"/>
  <c r="I142" i="1"/>
  <c r="R650" i="2"/>
  <c r="R651" i="2" s="1"/>
  <c r="U649" i="2"/>
  <c r="V649" i="2"/>
  <c r="V650" i="2" s="1"/>
  <c r="Q650" i="2"/>
  <c r="P650" i="2"/>
  <c r="P651" i="2" s="1"/>
  <c r="L113" i="1"/>
  <c r="L112" i="1"/>
  <c r="AC399" i="1"/>
  <c r="AC400" i="1"/>
  <c r="AC398" i="1"/>
  <c r="AC394" i="1"/>
  <c r="AC391" i="1"/>
  <c r="AC256" i="1"/>
  <c r="AC251" i="1"/>
  <c r="AC248" i="1"/>
  <c r="AC257" i="1"/>
  <c r="AC255" i="1"/>
  <c r="AC142" i="1"/>
  <c r="F492" i="1"/>
  <c r="H436" i="1"/>
  <c r="H435" i="1"/>
  <c r="H402" i="1"/>
  <c r="H403" i="1"/>
  <c r="H260" i="1"/>
  <c r="H259" i="1"/>
  <c r="H127" i="1"/>
  <c r="AO72" i="1"/>
  <c r="AP72" i="1" s="1"/>
  <c r="AO11" i="1"/>
  <c r="AP11" i="1" s="1"/>
  <c r="H79" i="1"/>
  <c r="V145" i="1"/>
  <c r="AN400" i="1"/>
  <c r="AN399" i="1"/>
  <c r="AN398" i="1"/>
  <c r="AN391" i="1"/>
  <c r="AN394" i="1"/>
  <c r="AN257" i="1"/>
  <c r="AN255" i="1"/>
  <c r="AN251" i="1"/>
  <c r="AN248" i="1"/>
  <c r="AN256" i="1"/>
  <c r="AN142" i="1"/>
  <c r="AF397" i="1"/>
  <c r="AF396" i="1"/>
  <c r="AF392" i="1"/>
  <c r="AF254" i="1"/>
  <c r="AF249" i="1"/>
  <c r="AF253" i="1"/>
  <c r="AH398" i="1"/>
  <c r="AH394" i="1"/>
  <c r="AH391" i="1"/>
  <c r="AH399" i="1"/>
  <c r="AH257" i="1"/>
  <c r="AH256" i="1"/>
  <c r="AH255" i="1"/>
  <c r="AH400" i="1"/>
  <c r="AH251" i="1"/>
  <c r="AH248" i="1"/>
  <c r="AH142" i="1"/>
  <c r="T397" i="1"/>
  <c r="T396" i="1"/>
  <c r="T392" i="1"/>
  <c r="T254" i="1"/>
  <c r="T249" i="1"/>
  <c r="T253" i="1"/>
  <c r="W398" i="1"/>
  <c r="W394" i="1"/>
  <c r="W391" i="1"/>
  <c r="W399" i="1"/>
  <c r="W400" i="1"/>
  <c r="W256" i="1"/>
  <c r="W251" i="1"/>
  <c r="W248" i="1"/>
  <c r="W257" i="1"/>
  <c r="W142" i="1"/>
  <c r="W255" i="1"/>
  <c r="AB399" i="1"/>
  <c r="AB398" i="1"/>
  <c r="AB400" i="1"/>
  <c r="AB394" i="1"/>
  <c r="AB391" i="1"/>
  <c r="AB257" i="1"/>
  <c r="AB256" i="1"/>
  <c r="AB255" i="1"/>
  <c r="AB251" i="1"/>
  <c r="AB248" i="1"/>
  <c r="AB142" i="1"/>
  <c r="H212" i="1"/>
  <c r="AO210" i="1"/>
  <c r="AP210" i="1" s="1"/>
  <c r="AJ398" i="1"/>
  <c r="AJ394" i="1"/>
  <c r="AJ391" i="1"/>
  <c r="AJ399" i="1"/>
  <c r="AJ400" i="1"/>
  <c r="AJ257" i="1"/>
  <c r="AJ255" i="1"/>
  <c r="AJ251" i="1"/>
  <c r="AJ256" i="1"/>
  <c r="AJ248" i="1"/>
  <c r="AJ142" i="1"/>
  <c r="M400" i="1"/>
  <c r="M399" i="1"/>
  <c r="M398" i="1"/>
  <c r="M394" i="1"/>
  <c r="M391" i="1"/>
  <c r="M251" i="1"/>
  <c r="M257" i="1"/>
  <c r="M248" i="1"/>
  <c r="M255" i="1"/>
  <c r="M256" i="1"/>
  <c r="M142" i="1"/>
  <c r="P397" i="1"/>
  <c r="P396" i="1"/>
  <c r="P392" i="1"/>
  <c r="P254" i="1"/>
  <c r="P249" i="1"/>
  <c r="P253" i="1"/>
  <c r="V398" i="1"/>
  <c r="V394" i="1"/>
  <c r="V391" i="1"/>
  <c r="V399" i="1"/>
  <c r="V400" i="1"/>
  <c r="V257" i="1"/>
  <c r="V256" i="1"/>
  <c r="V255" i="1"/>
  <c r="V251" i="1"/>
  <c r="V248" i="1"/>
  <c r="V142" i="1"/>
  <c r="AO352" i="1"/>
  <c r="AP352" i="1" s="1"/>
  <c r="H354" i="1"/>
  <c r="Y394" i="1"/>
  <c r="Y391" i="1"/>
  <c r="Y399" i="1"/>
  <c r="Y400" i="1"/>
  <c r="Y257" i="1"/>
  <c r="Y256" i="1"/>
  <c r="Y255" i="1"/>
  <c r="Y398" i="1"/>
  <c r="Y251" i="1"/>
  <c r="Y248" i="1"/>
  <c r="Y142" i="1"/>
  <c r="V397" i="1"/>
  <c r="V396" i="1"/>
  <c r="V392" i="1"/>
  <c r="V249" i="1"/>
  <c r="V253" i="1"/>
  <c r="V254" i="1"/>
  <c r="AJ397" i="1"/>
  <c r="AL398" i="1"/>
  <c r="AL394" i="1"/>
  <c r="AL391" i="1"/>
  <c r="AL399" i="1"/>
  <c r="AL400" i="1"/>
  <c r="AL257" i="1"/>
  <c r="AL256" i="1"/>
  <c r="AL255" i="1"/>
  <c r="AL251" i="1"/>
  <c r="AL248" i="1"/>
  <c r="AL142" i="1"/>
  <c r="AJ249" i="1" l="1"/>
  <c r="AJ254" i="1"/>
  <c r="AJ392" i="1"/>
  <c r="AJ253" i="1"/>
  <c r="AH440" i="1"/>
  <c r="E334" i="2" s="1"/>
  <c r="P135" i="1"/>
  <c r="I440" i="1"/>
  <c r="E295" i="2" s="1"/>
  <c r="AH145" i="1"/>
  <c r="AH135" i="1"/>
  <c r="W397" i="1"/>
  <c r="J253" i="1"/>
  <c r="AH136" i="1"/>
  <c r="AH106" i="1"/>
  <c r="AH109" i="1" s="1"/>
  <c r="AH113" i="1" s="1"/>
  <c r="AH92" i="1"/>
  <c r="AG790" i="2"/>
  <c r="AH790" i="2" s="1"/>
  <c r="T248" i="1"/>
  <c r="V92" i="1"/>
  <c r="V106" i="1"/>
  <c r="V109" i="1" s="1"/>
  <c r="V113" i="1" s="1"/>
  <c r="V135" i="1"/>
  <c r="V136" i="1"/>
  <c r="Z142" i="1"/>
  <c r="Z398" i="1"/>
  <c r="V440" i="1"/>
  <c r="E314" i="2" s="1"/>
  <c r="AL397" i="1"/>
  <c r="AL254" i="1"/>
  <c r="AL392" i="1"/>
  <c r="AL396" i="1"/>
  <c r="AB135" i="1"/>
  <c r="AL249" i="1"/>
  <c r="E38" i="2"/>
  <c r="AB145" i="1"/>
  <c r="M112" i="1"/>
  <c r="M129" i="1" s="1"/>
  <c r="M131" i="1" s="1"/>
  <c r="M395" i="1" s="1"/>
  <c r="M92" i="1"/>
  <c r="AB92" i="1"/>
  <c r="AB106" i="1"/>
  <c r="AB109" i="1" s="1"/>
  <c r="AB113" i="1" s="1"/>
  <c r="E13" i="2"/>
  <c r="M136" i="1"/>
  <c r="E9" i="2"/>
  <c r="P106" i="1"/>
  <c r="P109" i="1" s="1"/>
  <c r="P113" i="1" s="1"/>
  <c r="P92" i="1"/>
  <c r="P145" i="1"/>
  <c r="P136" i="1"/>
  <c r="M145" i="1"/>
  <c r="W440" i="1"/>
  <c r="E315" i="2" s="1"/>
  <c r="I106" i="1"/>
  <c r="I109" i="1" s="1"/>
  <c r="I113" i="1" s="1"/>
  <c r="I145" i="1"/>
  <c r="I136" i="1"/>
  <c r="I135" i="1"/>
  <c r="I253" i="1"/>
  <c r="AN135" i="1"/>
  <c r="Z255" i="1"/>
  <c r="Z399" i="1"/>
  <c r="Z257" i="1"/>
  <c r="Z400" i="1"/>
  <c r="Z248" i="1"/>
  <c r="Z251" i="1"/>
  <c r="Z256" i="1"/>
  <c r="Z394" i="1"/>
  <c r="I249" i="1"/>
  <c r="AN136" i="1"/>
  <c r="I392" i="1"/>
  <c r="E57" i="2"/>
  <c r="I396" i="1"/>
  <c r="AN92" i="1"/>
  <c r="I397" i="1"/>
  <c r="AN145" i="1"/>
  <c r="M135" i="1"/>
  <c r="E29" i="2"/>
  <c r="P440" i="1"/>
  <c r="E305" i="2" s="1"/>
  <c r="T251" i="1"/>
  <c r="T255" i="1"/>
  <c r="T400" i="1"/>
  <c r="T399" i="1"/>
  <c r="T394" i="1"/>
  <c r="E43" i="2"/>
  <c r="W92" i="1"/>
  <c r="AH249" i="1"/>
  <c r="E11" i="2"/>
  <c r="W254" i="1"/>
  <c r="W253" i="1"/>
  <c r="W249" i="1"/>
  <c r="N136" i="1"/>
  <c r="W392" i="1"/>
  <c r="N135" i="1"/>
  <c r="N106" i="1"/>
  <c r="N109" i="1" s="1"/>
  <c r="N113" i="1" s="1"/>
  <c r="N145" i="1"/>
  <c r="N92" i="1"/>
  <c r="AH253" i="1"/>
  <c r="AH112" i="1"/>
  <c r="AH129" i="1" s="1"/>
  <c r="AH131" i="1" s="1"/>
  <c r="E106" i="2" s="1"/>
  <c r="W106" i="1"/>
  <c r="W109" i="1" s="1"/>
  <c r="W113" i="1" s="1"/>
  <c r="T142" i="1"/>
  <c r="T391" i="1"/>
  <c r="W135" i="1"/>
  <c r="W136" i="1"/>
  <c r="T257" i="1"/>
  <c r="T398" i="1"/>
  <c r="AE106" i="1"/>
  <c r="AE109" i="1" s="1"/>
  <c r="AE113" i="1" s="1"/>
  <c r="AE135" i="1"/>
  <c r="T440" i="1"/>
  <c r="E311" i="2" s="1"/>
  <c r="AE92" i="1"/>
  <c r="AE136" i="1"/>
  <c r="AN392" i="1"/>
  <c r="AN249" i="1"/>
  <c r="AN254" i="1"/>
  <c r="AN253" i="1"/>
  <c r="AC440" i="1"/>
  <c r="E325" i="2" s="1"/>
  <c r="L440" i="1"/>
  <c r="AN396" i="1"/>
  <c r="J249" i="1"/>
  <c r="J392" i="1"/>
  <c r="J396" i="1"/>
  <c r="AJ113" i="1"/>
  <c r="AJ129" i="1" s="1"/>
  <c r="J397" i="1"/>
  <c r="K145" i="1"/>
  <c r="K92" i="1"/>
  <c r="K106" i="1"/>
  <c r="K109" i="1" s="1"/>
  <c r="K113" i="1" s="1"/>
  <c r="X651" i="2"/>
  <c r="X652" i="2" s="1"/>
  <c r="X653" i="2" s="1"/>
  <c r="K135" i="1"/>
  <c r="AF92" i="1"/>
  <c r="Z440" i="1"/>
  <c r="E320" i="2" s="1"/>
  <c r="AH254" i="1"/>
  <c r="AH397" i="1"/>
  <c r="AH392" i="1"/>
  <c r="AJ440" i="1"/>
  <c r="E337" i="2" s="1"/>
  <c r="Z136" i="1"/>
  <c r="J145" i="1"/>
  <c r="AE397" i="1"/>
  <c r="E10" i="2"/>
  <c r="AE253" i="1"/>
  <c r="J92" i="1"/>
  <c r="AE249" i="1"/>
  <c r="J106" i="1"/>
  <c r="J109" i="1" s="1"/>
  <c r="J113" i="1" s="1"/>
  <c r="AE254" i="1"/>
  <c r="J135" i="1"/>
  <c r="AE392" i="1"/>
  <c r="AC135" i="1"/>
  <c r="E39" i="2"/>
  <c r="AC106" i="1"/>
  <c r="AC109" i="1" s="1"/>
  <c r="AC113" i="1" s="1"/>
  <c r="AC145" i="1"/>
  <c r="AC92" i="1"/>
  <c r="J440" i="1"/>
  <c r="Z106" i="1"/>
  <c r="Z109" i="1" s="1"/>
  <c r="Z113" i="1" s="1"/>
  <c r="N440" i="1"/>
  <c r="R636" i="2"/>
  <c r="R637" i="2" s="1"/>
  <c r="R639" i="2" s="1"/>
  <c r="V635" i="2"/>
  <c r="AG635" i="2" s="1"/>
  <c r="AH635" i="2" s="1"/>
  <c r="AG633" i="2"/>
  <c r="AH633" i="2" s="1"/>
  <c r="Q636" i="2"/>
  <c r="Q637" i="2" s="1"/>
  <c r="Q639" i="2" s="1"/>
  <c r="AG634" i="2"/>
  <c r="AH634" i="2" s="1"/>
  <c r="T637" i="2"/>
  <c r="T639" i="2" s="1"/>
  <c r="AF399" i="1"/>
  <c r="Z135" i="1"/>
  <c r="Z92" i="1"/>
  <c r="Z145" i="1"/>
  <c r="T649" i="2"/>
  <c r="T650" i="2" s="1"/>
  <c r="W649" i="2"/>
  <c r="W650" i="2" s="1"/>
  <c r="S647" i="2"/>
  <c r="S648" i="2" s="1"/>
  <c r="AG646" i="2"/>
  <c r="AH646" i="2" s="1"/>
  <c r="I651" i="2"/>
  <c r="F644" i="2"/>
  <c r="F769" i="2"/>
  <c r="F726" i="2"/>
  <c r="AG726" i="2" s="1"/>
  <c r="AH726" i="2" s="1"/>
  <c r="AG640" i="2"/>
  <c r="AH640" i="2" s="1"/>
  <c r="M440" i="1"/>
  <c r="E296" i="2" s="1"/>
  <c r="AE440" i="1"/>
  <c r="E329" i="2" s="1"/>
  <c r="AF391" i="1"/>
  <c r="AF142" i="1"/>
  <c r="AF394" i="1"/>
  <c r="AF256" i="1"/>
  <c r="AF398" i="1"/>
  <c r="AF251" i="1"/>
  <c r="AF400" i="1"/>
  <c r="AF255" i="1"/>
  <c r="AF257" i="1"/>
  <c r="AL112" i="1"/>
  <c r="AL129" i="1" s="1"/>
  <c r="AL135" i="1"/>
  <c r="E54" i="2"/>
  <c r="AL136" i="1"/>
  <c r="AL440" i="1"/>
  <c r="E340" i="2" s="1"/>
  <c r="AO436" i="1"/>
  <c r="AP436" i="1" s="1"/>
  <c r="N251" i="1"/>
  <c r="N400" i="1"/>
  <c r="E44" i="2"/>
  <c r="N391" i="1"/>
  <c r="N248" i="1"/>
  <c r="AN113" i="1"/>
  <c r="AN129" i="1" s="1"/>
  <c r="AN131" i="1" s="1"/>
  <c r="AF106" i="1"/>
  <c r="AF109" i="1" s="1"/>
  <c r="AF113" i="1" s="1"/>
  <c r="N398" i="1"/>
  <c r="AF135" i="1"/>
  <c r="N255" i="1"/>
  <c r="N142" i="1"/>
  <c r="N257" i="1"/>
  <c r="AF136" i="1"/>
  <c r="R113" i="1"/>
  <c r="R129" i="1" s="1"/>
  <c r="N399" i="1"/>
  <c r="N394" i="1"/>
  <c r="P255" i="1"/>
  <c r="P400" i="1"/>
  <c r="P256" i="1"/>
  <c r="P398" i="1"/>
  <c r="P251" i="1"/>
  <c r="P394" i="1"/>
  <c r="P142" i="1"/>
  <c r="P391" i="1"/>
  <c r="P399" i="1"/>
  <c r="P257" i="1"/>
  <c r="P248" i="1"/>
  <c r="E22" i="2"/>
  <c r="R145" i="1"/>
  <c r="AL92" i="1"/>
  <c r="AO259" i="1"/>
  <c r="AP259" i="1" s="1"/>
  <c r="R135" i="1"/>
  <c r="R92" i="1"/>
  <c r="AO403" i="1"/>
  <c r="AP403" i="1" s="1"/>
  <c r="AL145" i="1"/>
  <c r="R136" i="1"/>
  <c r="Y440" i="1"/>
  <c r="E319" i="2" s="1"/>
  <c r="AN440" i="1"/>
  <c r="E343" i="2" s="1"/>
  <c r="AO402" i="1"/>
  <c r="AP402" i="1" s="1"/>
  <c r="L396" i="1"/>
  <c r="L392" i="1"/>
  <c r="L254" i="1"/>
  <c r="L397" i="1"/>
  <c r="L249" i="1"/>
  <c r="L253" i="1"/>
  <c r="T92" i="1"/>
  <c r="E25" i="2"/>
  <c r="T135" i="1"/>
  <c r="T145" i="1"/>
  <c r="T106" i="1"/>
  <c r="T109" i="1" s="1"/>
  <c r="T113" i="1" s="1"/>
  <c r="AO127" i="1"/>
  <c r="AP127" i="1" s="1"/>
  <c r="E33" i="2"/>
  <c r="Y136" i="1"/>
  <c r="Y135" i="1"/>
  <c r="Y106" i="1"/>
  <c r="Y109" i="1" s="1"/>
  <c r="Y92" i="1"/>
  <c r="Y145" i="1"/>
  <c r="R392" i="1"/>
  <c r="R254" i="1"/>
  <c r="R249" i="1"/>
  <c r="R253" i="1"/>
  <c r="R397" i="1"/>
  <c r="R396" i="1"/>
  <c r="K392" i="1"/>
  <c r="K253" i="1"/>
  <c r="K254" i="1"/>
  <c r="K249" i="1"/>
  <c r="K397" i="1"/>
  <c r="K396" i="1"/>
  <c r="L399" i="1"/>
  <c r="L400" i="1"/>
  <c r="L257" i="1"/>
  <c r="L256" i="1"/>
  <c r="L255" i="1"/>
  <c r="L398" i="1"/>
  <c r="L394" i="1"/>
  <c r="L251" i="1"/>
  <c r="L391" i="1"/>
  <c r="L248" i="1"/>
  <c r="L142" i="1"/>
  <c r="AO260" i="1"/>
  <c r="AP260" i="1" s="1"/>
  <c r="K251" i="1"/>
  <c r="K255" i="1"/>
  <c r="K398" i="1"/>
  <c r="K248" i="1"/>
  <c r="K394" i="1"/>
  <c r="K256" i="1"/>
  <c r="K391" i="1"/>
  <c r="K142" i="1"/>
  <c r="K399" i="1"/>
  <c r="K400" i="1"/>
  <c r="K257" i="1"/>
  <c r="R652" i="2"/>
  <c r="R653" i="2" s="1"/>
  <c r="V651" i="2"/>
  <c r="V652" i="2" s="1"/>
  <c r="P652" i="2"/>
  <c r="U650" i="2"/>
  <c r="Q651" i="2"/>
  <c r="L129" i="1"/>
  <c r="L131" i="1" s="1"/>
  <c r="L401" i="1" s="1"/>
  <c r="E8" i="2"/>
  <c r="H106" i="1"/>
  <c r="H92" i="1"/>
  <c r="H145" i="1"/>
  <c r="H136" i="1"/>
  <c r="AO79" i="1"/>
  <c r="AP79" i="1" s="1"/>
  <c r="H135" i="1"/>
  <c r="AO435" i="1"/>
  <c r="AP435" i="1" s="1"/>
  <c r="H440" i="1"/>
  <c r="AO354" i="1"/>
  <c r="AP354" i="1" s="1"/>
  <c r="H382" i="1"/>
  <c r="H356" i="1"/>
  <c r="F494" i="1"/>
  <c r="H493" i="1" s="1"/>
  <c r="E330" i="2"/>
  <c r="E308" i="2"/>
  <c r="H214" i="1"/>
  <c r="AO212" i="1"/>
  <c r="AP212" i="1" s="1"/>
  <c r="H240" i="1"/>
  <c r="E324" i="2"/>
  <c r="N112" i="1" l="1"/>
  <c r="N129" i="1" s="1"/>
  <c r="I112" i="1"/>
  <c r="I129" i="1" s="1"/>
  <c r="I131" i="1" s="1"/>
  <c r="I450" i="1" s="1"/>
  <c r="V112" i="1"/>
  <c r="V129" i="1" s="1"/>
  <c r="K112" i="1"/>
  <c r="K129" i="1" s="1"/>
  <c r="K131" i="1" s="1"/>
  <c r="K401" i="1" s="1"/>
  <c r="W112" i="1"/>
  <c r="W129" i="1" s="1"/>
  <c r="W131" i="1" s="1"/>
  <c r="W444" i="1" s="1"/>
  <c r="E429" i="2" s="1"/>
  <c r="E30" i="2"/>
  <c r="AB112" i="1"/>
  <c r="AB129" i="1" s="1"/>
  <c r="P112" i="1"/>
  <c r="P129" i="1" s="1"/>
  <c r="P131" i="1" s="1"/>
  <c r="J112" i="1"/>
  <c r="J129" i="1" s="1"/>
  <c r="AE112" i="1"/>
  <c r="AE129" i="1" s="1"/>
  <c r="AE131" i="1" s="1"/>
  <c r="AE448" i="1" s="1"/>
  <c r="E16" i="2"/>
  <c r="E40" i="2"/>
  <c r="Z112" i="1"/>
  <c r="Z129" i="1" s="1"/>
  <c r="Z131" i="1" s="1"/>
  <c r="Z446" i="1" s="1"/>
  <c r="T112" i="1"/>
  <c r="T129" i="1" s="1"/>
  <c r="T131" i="1" s="1"/>
  <c r="AC112" i="1"/>
  <c r="AC129" i="1" s="1"/>
  <c r="AC131" i="1" s="1"/>
  <c r="AC450" i="1" s="1"/>
  <c r="E115" i="2"/>
  <c r="AN395" i="1"/>
  <c r="V636" i="2"/>
  <c r="V637" i="2" s="1"/>
  <c r="V639" i="2" s="1"/>
  <c r="W651" i="2"/>
  <c r="W652" i="2" s="1"/>
  <c r="W653" i="2" s="1"/>
  <c r="W654" i="2" s="1"/>
  <c r="T651" i="2"/>
  <c r="T652" i="2" s="1"/>
  <c r="E298" i="2"/>
  <c r="E299" i="2"/>
  <c r="E300" i="2"/>
  <c r="E297" i="2"/>
  <c r="S649" i="2"/>
  <c r="F651" i="2"/>
  <c r="AG644" i="2"/>
  <c r="AH644" i="2" s="1"/>
  <c r="E45" i="2"/>
  <c r="AF112" i="1"/>
  <c r="AF129" i="1" s="1"/>
  <c r="AF131" i="1" s="1"/>
  <c r="AF442" i="1" s="1"/>
  <c r="AO92" i="1"/>
  <c r="AP92" i="1" s="1"/>
  <c r="AO136" i="1"/>
  <c r="AP136" i="1" s="1"/>
  <c r="AO145" i="1"/>
  <c r="AP145" i="1" s="1"/>
  <c r="AO135" i="1"/>
  <c r="AP135" i="1" s="1"/>
  <c r="Y112" i="1"/>
  <c r="Y113" i="1"/>
  <c r="E35" i="2"/>
  <c r="M442" i="1"/>
  <c r="E354" i="2" s="1"/>
  <c r="M444" i="1"/>
  <c r="E412" i="2" s="1"/>
  <c r="M446" i="1"/>
  <c r="M448" i="1"/>
  <c r="M450" i="1"/>
  <c r="M252" i="1"/>
  <c r="E71" i="2"/>
  <c r="M258" i="1"/>
  <c r="M401" i="1"/>
  <c r="M405" i="1" s="1"/>
  <c r="M407" i="1" s="1"/>
  <c r="E241" i="2" s="1"/>
  <c r="L442" i="1"/>
  <c r="AH450" i="1"/>
  <c r="AH442" i="1"/>
  <c r="E391" i="2" s="1"/>
  <c r="AH401" i="1"/>
  <c r="L395" i="1"/>
  <c r="L405" i="1" s="1"/>
  <c r="L407" i="1" s="1"/>
  <c r="L409" i="1" s="1"/>
  <c r="AN442" i="1"/>
  <c r="E400" i="2" s="1"/>
  <c r="L450" i="1"/>
  <c r="AN444" i="1"/>
  <c r="E457" i="2" s="1"/>
  <c r="AN446" i="1"/>
  <c r="E70" i="2"/>
  <c r="AN448" i="1"/>
  <c r="AN450" i="1"/>
  <c r="AN252" i="1"/>
  <c r="AN401" i="1"/>
  <c r="L252" i="1"/>
  <c r="AN258" i="1"/>
  <c r="L446" i="1"/>
  <c r="L444" i="1"/>
  <c r="AH444" i="1"/>
  <c r="E448" i="2" s="1"/>
  <c r="L448" i="1"/>
  <c r="AH448" i="1"/>
  <c r="L258" i="1"/>
  <c r="AH252" i="1"/>
  <c r="V653" i="2"/>
  <c r="V654" i="2" s="1"/>
  <c r="Q652" i="2"/>
  <c r="Q653" i="2" s="1"/>
  <c r="R654" i="2"/>
  <c r="R655" i="2" s="1"/>
  <c r="X654" i="2"/>
  <c r="X655" i="2" s="1"/>
  <c r="U651" i="2"/>
  <c r="P653" i="2"/>
  <c r="P654" i="2" s="1"/>
  <c r="AH395" i="1"/>
  <c r="AH446" i="1"/>
  <c r="AH258" i="1"/>
  <c r="E326" i="2"/>
  <c r="AO214" i="1"/>
  <c r="AP214" i="1" s="1"/>
  <c r="AO356" i="1"/>
  <c r="AP356" i="1" s="1"/>
  <c r="H397" i="1"/>
  <c r="AO397" i="1" s="1"/>
  <c r="AP397" i="1" s="1"/>
  <c r="H396" i="1"/>
  <c r="AO396" i="1" s="1"/>
  <c r="AP396" i="1" s="1"/>
  <c r="H392" i="1"/>
  <c r="AO392" i="1" s="1"/>
  <c r="AP392" i="1" s="1"/>
  <c r="AO382" i="1"/>
  <c r="AP382" i="1" s="1"/>
  <c r="H249" i="1"/>
  <c r="AO249" i="1" s="1"/>
  <c r="AP249" i="1" s="1"/>
  <c r="H253" i="1"/>
  <c r="AO253" i="1" s="1"/>
  <c r="AP253" i="1" s="1"/>
  <c r="H254" i="1"/>
  <c r="AO254" i="1" s="1"/>
  <c r="AP254" i="1" s="1"/>
  <c r="AO106" i="1"/>
  <c r="AP106" i="1" s="1"/>
  <c r="H109" i="1"/>
  <c r="AL131" i="1"/>
  <c r="N131" i="1"/>
  <c r="E294" i="2"/>
  <c r="AO440" i="1"/>
  <c r="AP440" i="1" s="1"/>
  <c r="E316" i="2"/>
  <c r="E321" i="2"/>
  <c r="H492" i="1"/>
  <c r="E331" i="2"/>
  <c r="AJ131" i="1"/>
  <c r="H398" i="1"/>
  <c r="AO398" i="1" s="1"/>
  <c r="AP398" i="1" s="1"/>
  <c r="H394" i="1"/>
  <c r="AO394" i="1" s="1"/>
  <c r="AP394" i="1" s="1"/>
  <c r="H391" i="1"/>
  <c r="H399" i="1"/>
  <c r="AO399" i="1" s="1"/>
  <c r="AP399" i="1" s="1"/>
  <c r="H257" i="1"/>
  <c r="AO257" i="1" s="1"/>
  <c r="AP257" i="1" s="1"/>
  <c r="H256" i="1"/>
  <c r="AO256" i="1" s="1"/>
  <c r="AP256" i="1" s="1"/>
  <c r="H400" i="1"/>
  <c r="AO400" i="1" s="1"/>
  <c r="AP400" i="1" s="1"/>
  <c r="AO240" i="1"/>
  <c r="AP240" i="1" s="1"/>
  <c r="H251" i="1"/>
  <c r="AO251" i="1" s="1"/>
  <c r="AP251" i="1" s="1"/>
  <c r="H255" i="1"/>
  <c r="AO255" i="1" s="1"/>
  <c r="AP255" i="1" s="1"/>
  <c r="H248" i="1"/>
  <c r="H142" i="1"/>
  <c r="AO142" i="1" s="1"/>
  <c r="AP142" i="1" s="1"/>
  <c r="R131" i="1"/>
  <c r="I401" i="1" l="1"/>
  <c r="I446" i="1"/>
  <c r="E67" i="2"/>
  <c r="I395" i="1"/>
  <c r="I252" i="1"/>
  <c r="I444" i="1"/>
  <c r="E409" i="2" s="1"/>
  <c r="I442" i="1"/>
  <c r="E352" i="2" s="1"/>
  <c r="I448" i="1"/>
  <c r="I258" i="1"/>
  <c r="AE395" i="1"/>
  <c r="Z258" i="1"/>
  <c r="Z401" i="1"/>
  <c r="E92" i="2"/>
  <c r="Z395" i="1"/>
  <c r="AE252" i="1"/>
  <c r="AE446" i="1"/>
  <c r="Z252" i="1"/>
  <c r="AE444" i="1"/>
  <c r="E443" i="2" s="1"/>
  <c r="AE401" i="1"/>
  <c r="Z450" i="1"/>
  <c r="AE450" i="1"/>
  <c r="Z444" i="1"/>
  <c r="E434" i="2" s="1"/>
  <c r="Z448" i="1"/>
  <c r="Z442" i="1"/>
  <c r="E377" i="2" s="1"/>
  <c r="AE442" i="1"/>
  <c r="E386" i="2" s="1"/>
  <c r="AE258" i="1"/>
  <c r="E101" i="2"/>
  <c r="E59" i="2"/>
  <c r="AC252" i="1"/>
  <c r="E353" i="2"/>
  <c r="E302" i="2"/>
  <c r="E345" i="2" s="1"/>
  <c r="AN405" i="1"/>
  <c r="AN407" i="1" s="1"/>
  <c r="AN409" i="1" s="1"/>
  <c r="E286" i="2" s="1"/>
  <c r="AC444" i="1"/>
  <c r="E439" i="2" s="1"/>
  <c r="AC442" i="1"/>
  <c r="E382" i="2" s="1"/>
  <c r="AC446" i="1"/>
  <c r="AC401" i="1"/>
  <c r="AC395" i="1"/>
  <c r="E97" i="2"/>
  <c r="AC258" i="1"/>
  <c r="AC448" i="1"/>
  <c r="T653" i="2"/>
  <c r="T654" i="2" s="1"/>
  <c r="S650" i="2"/>
  <c r="S651" i="2" s="1"/>
  <c r="S652" i="2" s="1"/>
  <c r="L262" i="1"/>
  <c r="L264" i="1" s="1"/>
  <c r="E184" i="2" s="1"/>
  <c r="E355" i="2"/>
  <c r="E356" i="2"/>
  <c r="E357" i="2"/>
  <c r="E413" i="2"/>
  <c r="E410" i="2"/>
  <c r="L141" i="1"/>
  <c r="L144" i="1" s="1"/>
  <c r="K442" i="1"/>
  <c r="K395" i="1"/>
  <c r="K405" i="1" s="1"/>
  <c r="K407" i="1" s="1"/>
  <c r="K409" i="1" s="1"/>
  <c r="E414" i="2"/>
  <c r="E411" i="2"/>
  <c r="M452" i="1"/>
  <c r="M262" i="1"/>
  <c r="M264" i="1" s="1"/>
  <c r="E185" i="2" s="1"/>
  <c r="K444" i="1"/>
  <c r="K446" i="1"/>
  <c r="K448" i="1"/>
  <c r="K258" i="1"/>
  <c r="K450" i="1"/>
  <c r="K252" i="1"/>
  <c r="E69" i="2"/>
  <c r="AH452" i="1"/>
  <c r="Y129" i="1"/>
  <c r="Y131" i="1" s="1"/>
  <c r="AF395" i="1"/>
  <c r="AF448" i="1"/>
  <c r="AH405" i="1"/>
  <c r="AH407" i="1" s="1"/>
  <c r="AN262" i="1"/>
  <c r="AN264" i="1" s="1"/>
  <c r="E229" i="2" s="1"/>
  <c r="L452" i="1"/>
  <c r="M141" i="1"/>
  <c r="M144" i="1" s="1"/>
  <c r="AH262" i="1"/>
  <c r="AH264" i="1" s="1"/>
  <c r="E220" i="2" s="1"/>
  <c r="AN452" i="1"/>
  <c r="E242" i="2"/>
  <c r="AF446" i="1"/>
  <c r="W446" i="1"/>
  <c r="U652" i="2"/>
  <c r="U653" i="2" s="1"/>
  <c r="Q654" i="2"/>
  <c r="V655" i="2"/>
  <c r="V656" i="2" s="1"/>
  <c r="W655" i="2"/>
  <c r="W656" i="2" s="1"/>
  <c r="P655" i="2"/>
  <c r="R656" i="2"/>
  <c r="R657" i="2" s="1"/>
  <c r="X656" i="2"/>
  <c r="M409" i="1"/>
  <c r="AF444" i="1"/>
  <c r="E444" i="2" s="1"/>
  <c r="E240" i="2"/>
  <c r="AF258" i="1"/>
  <c r="AF450" i="1"/>
  <c r="E243" i="2"/>
  <c r="AF252" i="1"/>
  <c r="E102" i="2"/>
  <c r="E239" i="2"/>
  <c r="AF401" i="1"/>
  <c r="W252" i="1"/>
  <c r="W450" i="1"/>
  <c r="W448" i="1"/>
  <c r="W258" i="1"/>
  <c r="E87" i="2"/>
  <c r="W442" i="1"/>
  <c r="E372" i="2" s="1"/>
  <c r="W395" i="1"/>
  <c r="W401" i="1"/>
  <c r="E72" i="2"/>
  <c r="N450" i="1"/>
  <c r="N448" i="1"/>
  <c r="N446" i="1"/>
  <c r="N444" i="1"/>
  <c r="N442" i="1"/>
  <c r="N401" i="1"/>
  <c r="N395" i="1"/>
  <c r="N258" i="1"/>
  <c r="N252" i="1"/>
  <c r="E112" i="2"/>
  <c r="AL442" i="1"/>
  <c r="AL401" i="1"/>
  <c r="AL395" i="1"/>
  <c r="AL444" i="1"/>
  <c r="E454" i="2" s="1"/>
  <c r="AL448" i="1"/>
  <c r="AL446" i="1"/>
  <c r="AL258" i="1"/>
  <c r="AL252" i="1"/>
  <c r="AL450" i="1"/>
  <c r="E80" i="2"/>
  <c r="R450" i="1"/>
  <c r="R448" i="1"/>
  <c r="R446" i="1"/>
  <c r="R444" i="1"/>
  <c r="E422" i="2" s="1"/>
  <c r="R442" i="1"/>
  <c r="R401" i="1"/>
  <c r="R395" i="1"/>
  <c r="R258" i="1"/>
  <c r="R252" i="1"/>
  <c r="E77" i="2"/>
  <c r="P450" i="1"/>
  <c r="P448" i="1"/>
  <c r="P446" i="1"/>
  <c r="P444" i="1"/>
  <c r="E419" i="2" s="1"/>
  <c r="P442" i="1"/>
  <c r="P401" i="1"/>
  <c r="P395" i="1"/>
  <c r="P252" i="1"/>
  <c r="P258" i="1"/>
  <c r="E83" i="2"/>
  <c r="T450" i="1"/>
  <c r="T448" i="1"/>
  <c r="T446" i="1"/>
  <c r="T444" i="1"/>
  <c r="E425" i="2" s="1"/>
  <c r="T442" i="1"/>
  <c r="T401" i="1"/>
  <c r="T395" i="1"/>
  <c r="T252" i="1"/>
  <c r="T258" i="1"/>
  <c r="AB131" i="1"/>
  <c r="AO248" i="1"/>
  <c r="AP248" i="1" s="1"/>
  <c r="AO391" i="1"/>
  <c r="AP391" i="1" s="1"/>
  <c r="V131" i="1"/>
  <c r="J131" i="1"/>
  <c r="E387" i="2"/>
  <c r="E109" i="2"/>
  <c r="AJ450" i="1"/>
  <c r="AJ448" i="1"/>
  <c r="AJ446" i="1"/>
  <c r="AJ444" i="1"/>
  <c r="E451" i="2" s="1"/>
  <c r="AJ442" i="1"/>
  <c r="AJ401" i="1"/>
  <c r="AJ395" i="1"/>
  <c r="AJ258" i="1"/>
  <c r="AJ252" i="1"/>
  <c r="H113" i="1"/>
  <c r="AO113" i="1" s="1"/>
  <c r="AP113" i="1" s="1"/>
  <c r="H112" i="1"/>
  <c r="AO109" i="1"/>
  <c r="AP109" i="1" s="1"/>
  <c r="I405" i="1" l="1"/>
  <c r="I407" i="1" s="1"/>
  <c r="E238" i="2" s="1"/>
  <c r="I262" i="1"/>
  <c r="I264" i="1" s="1"/>
  <c r="I134" i="1" s="1"/>
  <c r="I138" i="1" s="1"/>
  <c r="I147" i="1" s="1"/>
  <c r="E124" i="2" s="1"/>
  <c r="I452" i="1"/>
  <c r="E755" i="2"/>
  <c r="E757" i="2" s="1"/>
  <c r="E818" i="2"/>
  <c r="E847" i="2" s="1"/>
  <c r="E762" i="2"/>
  <c r="E819" i="2"/>
  <c r="E848" i="2" s="1"/>
  <c r="AE405" i="1"/>
  <c r="AE407" i="1" s="1"/>
  <c r="AE409" i="1" s="1"/>
  <c r="E272" i="2" s="1"/>
  <c r="E103" i="2"/>
  <c r="Z405" i="1"/>
  <c r="Z407" i="1" s="1"/>
  <c r="Z409" i="1" s="1"/>
  <c r="E263" i="2" s="1"/>
  <c r="Z262" i="1"/>
  <c r="Z264" i="1" s="1"/>
  <c r="E206" i="2" s="1"/>
  <c r="AE262" i="1"/>
  <c r="AE264" i="1" s="1"/>
  <c r="E215" i="2" s="1"/>
  <c r="AN141" i="1"/>
  <c r="AN144" i="1" s="1"/>
  <c r="M266" i="1"/>
  <c r="AC262" i="1"/>
  <c r="AC264" i="1" s="1"/>
  <c r="E211" i="2" s="1"/>
  <c r="E445" i="2"/>
  <c r="Z452" i="1"/>
  <c r="E388" i="2"/>
  <c r="AE452" i="1"/>
  <c r="AC452" i="1"/>
  <c r="L266" i="1"/>
  <c r="L134" i="1"/>
  <c r="L138" i="1" s="1"/>
  <c r="L147" i="1" s="1"/>
  <c r="E127" i="2" s="1"/>
  <c r="L454" i="1"/>
  <c r="AC405" i="1"/>
  <c r="AC407" i="1" s="1"/>
  <c r="AC409" i="1" s="1"/>
  <c r="E268" i="2" s="1"/>
  <c r="I141" i="1"/>
  <c r="I144" i="1" s="1"/>
  <c r="K452" i="1"/>
  <c r="T655" i="2"/>
  <c r="T656" i="2" s="1"/>
  <c r="AF405" i="1"/>
  <c r="AF407" i="1" s="1"/>
  <c r="AF141" i="1" s="1"/>
  <c r="AF144" i="1" s="1"/>
  <c r="S653" i="2"/>
  <c r="S654" i="2" s="1"/>
  <c r="AG651" i="2"/>
  <c r="AH651" i="2" s="1"/>
  <c r="M134" i="1"/>
  <c r="M138" i="1" s="1"/>
  <c r="M147" i="1" s="1"/>
  <c r="E128" i="2" s="1"/>
  <c r="M454" i="1"/>
  <c r="K262" i="1"/>
  <c r="K264" i="1" s="1"/>
  <c r="E183" i="2" s="1"/>
  <c r="AF262" i="1"/>
  <c r="AF264" i="1" s="1"/>
  <c r="E216" i="2" s="1"/>
  <c r="E91" i="2"/>
  <c r="Y446" i="1"/>
  <c r="Y442" i="1"/>
  <c r="Y258" i="1"/>
  <c r="Y444" i="1"/>
  <c r="E433" i="2" s="1"/>
  <c r="Y401" i="1"/>
  <c r="Y395" i="1"/>
  <c r="Y448" i="1"/>
  <c r="Y252" i="1"/>
  <c r="Y450" i="1"/>
  <c r="AN454" i="1"/>
  <c r="AH454" i="1"/>
  <c r="AH134" i="1"/>
  <c r="AH138" i="1" s="1"/>
  <c r="AH147" i="1" s="1"/>
  <c r="E163" i="2" s="1"/>
  <c r="AH266" i="1"/>
  <c r="AH409" i="1"/>
  <c r="E277" i="2" s="1"/>
  <c r="AH141" i="1"/>
  <c r="AH144" i="1" s="1"/>
  <c r="AN134" i="1"/>
  <c r="AN138" i="1" s="1"/>
  <c r="AN147" i="1" s="1"/>
  <c r="E172" i="2" s="1"/>
  <c r="AN266" i="1"/>
  <c r="AJ262" i="1"/>
  <c r="AJ264" i="1" s="1"/>
  <c r="E223" i="2" s="1"/>
  <c r="K141" i="1"/>
  <c r="K144" i="1" s="1"/>
  <c r="AF452" i="1"/>
  <c r="AE141" i="1"/>
  <c r="AE144" i="1" s="1"/>
  <c r="W452" i="1"/>
  <c r="W657" i="2"/>
  <c r="W658" i="2" s="1"/>
  <c r="Q655" i="2"/>
  <c r="Q656" i="2" s="1"/>
  <c r="U654" i="2"/>
  <c r="X657" i="2"/>
  <c r="R658" i="2"/>
  <c r="R659" i="2" s="1"/>
  <c r="V657" i="2"/>
  <c r="V658" i="2" s="1"/>
  <c r="P656" i="2"/>
  <c r="P657" i="2" s="1"/>
  <c r="N262" i="1"/>
  <c r="N264" i="1" s="1"/>
  <c r="N266" i="1" s="1"/>
  <c r="R405" i="1"/>
  <c r="R407" i="1" s="1"/>
  <c r="R409" i="1" s="1"/>
  <c r="E251" i="2" s="1"/>
  <c r="W405" i="1"/>
  <c r="W407" i="1" s="1"/>
  <c r="W409" i="1" s="1"/>
  <c r="E258" i="2" s="1"/>
  <c r="W262" i="1"/>
  <c r="W264" i="1" s="1"/>
  <c r="T405" i="1"/>
  <c r="T407" i="1" s="1"/>
  <c r="T141" i="1" s="1"/>
  <c r="T144" i="1" s="1"/>
  <c r="P405" i="1"/>
  <c r="P407" i="1" s="1"/>
  <c r="P409" i="1" s="1"/>
  <c r="E248" i="2" s="1"/>
  <c r="E397" i="2"/>
  <c r="AL452" i="1"/>
  <c r="T262" i="1"/>
  <c r="T264" i="1" s="1"/>
  <c r="AL262" i="1"/>
  <c r="AL264" i="1" s="1"/>
  <c r="H129" i="1"/>
  <c r="AO112" i="1"/>
  <c r="AP112" i="1" s="1"/>
  <c r="E365" i="2"/>
  <c r="R452" i="1"/>
  <c r="E86" i="2"/>
  <c r="V450" i="1"/>
  <c r="V448" i="1"/>
  <c r="V446" i="1"/>
  <c r="V401" i="1"/>
  <c r="V395" i="1"/>
  <c r="V444" i="1"/>
  <c r="E428" i="2" s="1"/>
  <c r="V442" i="1"/>
  <c r="V258" i="1"/>
  <c r="V252" i="1"/>
  <c r="E368" i="2"/>
  <c r="T452" i="1"/>
  <c r="P262" i="1"/>
  <c r="P264" i="1" s="1"/>
  <c r="N405" i="1"/>
  <c r="N407" i="1" s="1"/>
  <c r="AJ405" i="1"/>
  <c r="AJ407" i="1" s="1"/>
  <c r="E68" i="2"/>
  <c r="J450" i="1"/>
  <c r="J448" i="1"/>
  <c r="J446" i="1"/>
  <c r="J442" i="1"/>
  <c r="J401" i="1"/>
  <c r="J395" i="1"/>
  <c r="J444" i="1"/>
  <c r="J258" i="1"/>
  <c r="J252" i="1"/>
  <c r="E96" i="2"/>
  <c r="AB450" i="1"/>
  <c r="AB448" i="1"/>
  <c r="AB446" i="1"/>
  <c r="AB444" i="1"/>
  <c r="E438" i="2" s="1"/>
  <c r="AB442" i="1"/>
  <c r="AB401" i="1"/>
  <c r="AB395" i="1"/>
  <c r="AB258" i="1"/>
  <c r="AB252" i="1"/>
  <c r="R262" i="1"/>
  <c r="R264" i="1" s="1"/>
  <c r="AL405" i="1"/>
  <c r="AL407" i="1" s="1"/>
  <c r="N452" i="1"/>
  <c r="E480" i="2"/>
  <c r="AG755" i="2"/>
  <c r="AH755" i="2" s="1"/>
  <c r="E394" i="2"/>
  <c r="AJ452" i="1"/>
  <c r="E362" i="2"/>
  <c r="P452" i="1"/>
  <c r="I409" i="1" l="1"/>
  <c r="Z141" i="1"/>
  <c r="Z144" i="1" s="1"/>
  <c r="E181" i="2"/>
  <c r="E815" i="2" s="1"/>
  <c r="E844" i="2" s="1"/>
  <c r="I454" i="1"/>
  <c r="I266" i="1"/>
  <c r="AG653" i="2"/>
  <c r="AH653" i="2" s="1"/>
  <c r="Z454" i="1"/>
  <c r="Z134" i="1"/>
  <c r="Z138" i="1" s="1"/>
  <c r="Z147" i="1" s="1"/>
  <c r="E149" i="2" s="1"/>
  <c r="Z266" i="1"/>
  <c r="T409" i="1"/>
  <c r="E254" i="2" s="1"/>
  <c r="AC134" i="1"/>
  <c r="AC138" i="1" s="1"/>
  <c r="AC147" i="1" s="1"/>
  <c r="E154" i="2" s="1"/>
  <c r="AC266" i="1"/>
  <c r="AE454" i="1"/>
  <c r="AE134" i="1"/>
  <c r="AE138" i="1" s="1"/>
  <c r="AE147" i="1" s="1"/>
  <c r="E158" i="2" s="1"/>
  <c r="AE266" i="1"/>
  <c r="AC454" i="1"/>
  <c r="N454" i="1"/>
  <c r="E186" i="2"/>
  <c r="AC141" i="1"/>
  <c r="AC144" i="1" s="1"/>
  <c r="N134" i="1"/>
  <c r="N138" i="1" s="1"/>
  <c r="N147" i="1" s="1"/>
  <c r="E129" i="2" s="1"/>
  <c r="K134" i="1"/>
  <c r="K138" i="1" s="1"/>
  <c r="K147" i="1" s="1"/>
  <c r="E126" i="2" s="1"/>
  <c r="K266" i="1"/>
  <c r="K454" i="1"/>
  <c r="AF409" i="1"/>
  <c r="E273" i="2" s="1"/>
  <c r="T657" i="2"/>
  <c r="S655" i="2"/>
  <c r="AF134" i="1"/>
  <c r="AF138" i="1" s="1"/>
  <c r="AF147" i="1" s="1"/>
  <c r="E159" i="2" s="1"/>
  <c r="AF266" i="1"/>
  <c r="AF454" i="1"/>
  <c r="R141" i="1"/>
  <c r="R144" i="1" s="1"/>
  <c r="AJ134" i="1"/>
  <c r="AJ138" i="1" s="1"/>
  <c r="AJ147" i="1" s="1"/>
  <c r="E166" i="2" s="1"/>
  <c r="AJ266" i="1"/>
  <c r="AJ454" i="1"/>
  <c r="Y405" i="1"/>
  <c r="Y407" i="1" s="1"/>
  <c r="Y409" i="1" s="1"/>
  <c r="E262" i="2" s="1"/>
  <c r="Y262" i="1"/>
  <c r="Y264" i="1" s="1"/>
  <c r="E435" i="2"/>
  <c r="E376" i="2"/>
  <c r="Y452" i="1"/>
  <c r="E93" i="2"/>
  <c r="W141" i="1"/>
  <c r="W144" i="1" s="1"/>
  <c r="P141" i="1"/>
  <c r="P144" i="1" s="1"/>
  <c r="J405" i="1"/>
  <c r="J407" i="1" s="1"/>
  <c r="J141" i="1" s="1"/>
  <c r="J144" i="1" s="1"/>
  <c r="V659" i="2"/>
  <c r="V660" i="2" s="1"/>
  <c r="P658" i="2"/>
  <c r="P659" i="2" s="1"/>
  <c r="R660" i="2"/>
  <c r="R661" i="2" s="1"/>
  <c r="X658" i="2"/>
  <c r="W659" i="2"/>
  <c r="U655" i="2"/>
  <c r="Q657" i="2"/>
  <c r="V262" i="1"/>
  <c r="V264" i="1" s="1"/>
  <c r="V134" i="1" s="1"/>
  <c r="V138" i="1" s="1"/>
  <c r="V147" i="1" s="1"/>
  <c r="E143" i="2" s="1"/>
  <c r="E201" i="2"/>
  <c r="W266" i="1"/>
  <c r="W134" i="1"/>
  <c r="W138" i="1" s="1"/>
  <c r="W147" i="1" s="1"/>
  <c r="E144" i="2" s="1"/>
  <c r="W454" i="1"/>
  <c r="AB262" i="1"/>
  <c r="AB264" i="1" s="1"/>
  <c r="AB266" i="1" s="1"/>
  <c r="E748" i="2"/>
  <c r="E817" i="2"/>
  <c r="E846" i="2" s="1"/>
  <c r="E758" i="2"/>
  <c r="AL409" i="1"/>
  <c r="E283" i="2" s="1"/>
  <c r="AL141" i="1"/>
  <c r="AL144" i="1" s="1"/>
  <c r="E440" i="2"/>
  <c r="E371" i="2"/>
  <c r="V452" i="1"/>
  <c r="AO129" i="1"/>
  <c r="AP129" i="1" s="1"/>
  <c r="H131" i="1"/>
  <c r="E194" i="2"/>
  <c r="R454" i="1"/>
  <c r="R266" i="1"/>
  <c r="R134" i="1"/>
  <c r="R138" i="1" s="1"/>
  <c r="R147" i="1" s="1"/>
  <c r="E137" i="2" s="1"/>
  <c r="AJ409" i="1"/>
  <c r="E280" i="2" s="1"/>
  <c r="AJ141" i="1"/>
  <c r="AJ144" i="1" s="1"/>
  <c r="E430" i="2"/>
  <c r="E217" i="2"/>
  <c r="J452" i="1"/>
  <c r="V405" i="1"/>
  <c r="V407" i="1" s="1"/>
  <c r="E98" i="2"/>
  <c r="N409" i="1"/>
  <c r="N141" i="1"/>
  <c r="N144" i="1" s="1"/>
  <c r="E191" i="2"/>
  <c r="P454" i="1"/>
  <c r="P266" i="1"/>
  <c r="P134" i="1"/>
  <c r="P138" i="1" s="1"/>
  <c r="P147" i="1" s="1"/>
  <c r="E134" i="2" s="1"/>
  <c r="E197" i="2"/>
  <c r="T454" i="1"/>
  <c r="T266" i="1"/>
  <c r="T134" i="1"/>
  <c r="T138" i="1" s="1"/>
  <c r="T147" i="1" s="1"/>
  <c r="E140" i="2" s="1"/>
  <c r="AB405" i="1"/>
  <c r="AB407" i="1" s="1"/>
  <c r="J262" i="1"/>
  <c r="J264" i="1" s="1"/>
  <c r="E226" i="2"/>
  <c r="AL454" i="1"/>
  <c r="AL134" i="1"/>
  <c r="AL138" i="1" s="1"/>
  <c r="AL147" i="1" s="1"/>
  <c r="E169" i="2" s="1"/>
  <c r="AL266" i="1"/>
  <c r="E381" i="2"/>
  <c r="AB452" i="1"/>
  <c r="E88" i="2"/>
  <c r="E734" i="2" l="1"/>
  <c r="E736" i="2" s="1"/>
  <c r="E737" i="2" s="1"/>
  <c r="E821" i="2"/>
  <c r="V266" i="1"/>
  <c r="E160" i="2"/>
  <c r="E274" i="2"/>
  <c r="E210" i="2"/>
  <c r="AB454" i="1"/>
  <c r="J409" i="1"/>
  <c r="T658" i="2"/>
  <c r="T659" i="2" s="1"/>
  <c r="S656" i="2"/>
  <c r="S657" i="2" s="1"/>
  <c r="AB134" i="1"/>
  <c r="AB138" i="1" s="1"/>
  <c r="AB147" i="1" s="1"/>
  <c r="E153" i="2" s="1"/>
  <c r="Y454" i="1"/>
  <c r="E200" i="2"/>
  <c r="V454" i="1"/>
  <c r="Y141" i="1"/>
  <c r="Y144" i="1" s="1"/>
  <c r="E205" i="2"/>
  <c r="Y266" i="1"/>
  <c r="Y134" i="1"/>
  <c r="Y138" i="1" s="1"/>
  <c r="Y147" i="1" s="1"/>
  <c r="E148" i="2" s="1"/>
  <c r="E378" i="2"/>
  <c r="E264" i="2"/>
  <c r="U656" i="2"/>
  <c r="U657" i="2" s="1"/>
  <c r="R662" i="2"/>
  <c r="R663" i="2" s="1"/>
  <c r="V661" i="2"/>
  <c r="V662" i="2" s="1"/>
  <c r="Q658" i="2"/>
  <c r="X659" i="2"/>
  <c r="X660" i="2" s="1"/>
  <c r="P660" i="2"/>
  <c r="W660" i="2"/>
  <c r="V409" i="1"/>
  <c r="E257" i="2" s="1"/>
  <c r="V141" i="1"/>
  <c r="V144" i="1" s="1"/>
  <c r="E383" i="2"/>
  <c r="E145" i="2"/>
  <c r="E66" i="2"/>
  <c r="E74" i="2" s="1"/>
  <c r="E117" i="2" s="1"/>
  <c r="H450" i="1"/>
  <c r="AO450" i="1" s="1"/>
  <c r="AP450" i="1" s="1"/>
  <c r="H448" i="1"/>
  <c r="AO448" i="1" s="1"/>
  <c r="AP448" i="1" s="1"/>
  <c r="H446" i="1"/>
  <c r="AO446" i="1" s="1"/>
  <c r="AP446" i="1" s="1"/>
  <c r="H444" i="1"/>
  <c r="H442" i="1"/>
  <c r="H401" i="1"/>
  <c r="AO401" i="1" s="1"/>
  <c r="AP401" i="1" s="1"/>
  <c r="H395" i="1"/>
  <c r="H258" i="1"/>
  <c r="AO258" i="1" s="1"/>
  <c r="AP258" i="1" s="1"/>
  <c r="H252" i="1"/>
  <c r="AO131" i="1"/>
  <c r="AP131" i="1" s="1"/>
  <c r="E373" i="2"/>
  <c r="AG748" i="2"/>
  <c r="AH748" i="2" s="1"/>
  <c r="E750" i="2"/>
  <c r="E182" i="2"/>
  <c r="J454" i="1"/>
  <c r="J266" i="1"/>
  <c r="J134" i="1"/>
  <c r="J138" i="1" s="1"/>
  <c r="J147" i="1" s="1"/>
  <c r="E125" i="2" s="1"/>
  <c r="AG762" i="2"/>
  <c r="AH762" i="2" s="1"/>
  <c r="E764" i="2"/>
  <c r="AB409" i="1"/>
  <c r="E267" i="2" s="1"/>
  <c r="AB141" i="1"/>
  <c r="AB144" i="1" s="1"/>
  <c r="E839" i="2"/>
  <c r="AG734" i="2" l="1"/>
  <c r="AH734" i="2" s="1"/>
  <c r="E820" i="2"/>
  <c r="E832" i="2" s="1"/>
  <c r="E838" i="2"/>
  <c r="E840" i="2" s="1"/>
  <c r="E212" i="2"/>
  <c r="E155" i="2"/>
  <c r="E202" i="2"/>
  <c r="T660" i="2"/>
  <c r="S658" i="2"/>
  <c r="S659" i="2" s="1"/>
  <c r="E150" i="2"/>
  <c r="E207" i="2"/>
  <c r="Q659" i="2"/>
  <c r="Q660" i="2" s="1"/>
  <c r="V663" i="2"/>
  <c r="V664" i="2" s="1"/>
  <c r="X661" i="2"/>
  <c r="X662" i="2" s="1"/>
  <c r="R664" i="2"/>
  <c r="U658" i="2"/>
  <c r="W661" i="2"/>
  <c r="W662" i="2" s="1"/>
  <c r="P661" i="2"/>
  <c r="P662" i="2" s="1"/>
  <c r="E269" i="2"/>
  <c r="E751" i="2"/>
  <c r="AO395" i="1"/>
  <c r="AP395" i="1" s="1"/>
  <c r="H405" i="1"/>
  <c r="E741" i="2"/>
  <c r="E816" i="2"/>
  <c r="E845" i="2" s="1"/>
  <c r="E351" i="2"/>
  <c r="E359" i="2" s="1"/>
  <c r="E402" i="2" s="1"/>
  <c r="AO442" i="1"/>
  <c r="AP442" i="1" s="1"/>
  <c r="H452" i="1"/>
  <c r="AO452" i="1" s="1"/>
  <c r="AP452" i="1" s="1"/>
  <c r="E259" i="2"/>
  <c r="E408" i="2"/>
  <c r="E416" i="2" s="1"/>
  <c r="E459" i="2" s="1"/>
  <c r="AO444" i="1"/>
  <c r="AP444" i="1" s="1"/>
  <c r="E765" i="2"/>
  <c r="AO252" i="1"/>
  <c r="AP252" i="1" s="1"/>
  <c r="H262" i="1"/>
  <c r="E833" i="2" l="1"/>
  <c r="T661" i="2"/>
  <c r="T662" i="2" s="1"/>
  <c r="S660" i="2"/>
  <c r="S661" i="2" s="1"/>
  <c r="W663" i="2"/>
  <c r="W664" i="2" s="1"/>
  <c r="Q661" i="2"/>
  <c r="X663" i="2"/>
  <c r="X664" i="2" s="1"/>
  <c r="V665" i="2"/>
  <c r="U659" i="2"/>
  <c r="R665" i="2"/>
  <c r="P663" i="2"/>
  <c r="AG658" i="2"/>
  <c r="AH658" i="2" s="1"/>
  <c r="AO262" i="1"/>
  <c r="AP262" i="1" s="1"/>
  <c r="H264" i="1"/>
  <c r="AG741" i="2"/>
  <c r="AH741" i="2" s="1"/>
  <c r="E743" i="2"/>
  <c r="E482" i="2"/>
  <c r="AO405" i="1"/>
  <c r="AP405" i="1" s="1"/>
  <c r="H407" i="1"/>
  <c r="S662" i="2" l="1"/>
  <c r="S663" i="2" s="1"/>
  <c r="T663" i="2"/>
  <c r="T664" i="2" s="1"/>
  <c r="W665" i="2"/>
  <c r="U660" i="2"/>
  <c r="U661" i="2" s="1"/>
  <c r="R666" i="2"/>
  <c r="X665" i="2"/>
  <c r="P664" i="2"/>
  <c r="P665" i="2" s="1"/>
  <c r="Q662" i="2"/>
  <c r="V666" i="2"/>
  <c r="V667" i="2" s="1"/>
  <c r="E744" i="2"/>
  <c r="E180" i="2"/>
  <c r="H454" i="1"/>
  <c r="AO454" i="1" s="1"/>
  <c r="AP454" i="1" s="1"/>
  <c r="AO264" i="1"/>
  <c r="AP264" i="1" s="1"/>
  <c r="H266" i="1"/>
  <c r="AO266" i="1" s="1"/>
  <c r="AP266" i="1" s="1"/>
  <c r="H134" i="1"/>
  <c r="E237" i="2"/>
  <c r="E245" i="2" s="1"/>
  <c r="E288" i="2" s="1"/>
  <c r="H409" i="1"/>
  <c r="AO409" i="1" s="1"/>
  <c r="AP409" i="1" s="1"/>
  <c r="AO407" i="1"/>
  <c r="AP407" i="1" s="1"/>
  <c r="H141" i="1"/>
  <c r="S664" i="2" l="1"/>
  <c r="S665" i="2" s="1"/>
  <c r="T665" i="2"/>
  <c r="T666" i="2" s="1"/>
  <c r="V668" i="2"/>
  <c r="V669" i="2" s="1"/>
  <c r="W666" i="2"/>
  <c r="W667" i="2" s="1"/>
  <c r="R667" i="2"/>
  <c r="R668" i="2" s="1"/>
  <c r="Q663" i="2"/>
  <c r="U662" i="2"/>
  <c r="AG660" i="2"/>
  <c r="AH660" i="2" s="1"/>
  <c r="X666" i="2"/>
  <c r="X667" i="2" s="1"/>
  <c r="P666" i="2"/>
  <c r="E727" i="2"/>
  <c r="E814" i="2"/>
  <c r="E843" i="2" s="1"/>
  <c r="E188" i="2"/>
  <c r="H144" i="1"/>
  <c r="AO144" i="1" s="1"/>
  <c r="AP144" i="1" s="1"/>
  <c r="AO141" i="1"/>
  <c r="AP141" i="1" s="1"/>
  <c r="AO134" i="1"/>
  <c r="AP134" i="1" s="1"/>
  <c r="H138" i="1"/>
  <c r="E521" i="2" l="1"/>
  <c r="C524" i="2"/>
  <c r="S666" i="2"/>
  <c r="S667" i="2" s="1"/>
  <c r="S668" i="2" s="1"/>
  <c r="T667" i="2"/>
  <c r="T668" i="2" s="1"/>
  <c r="E515" i="2"/>
  <c r="E573" i="2" s="1"/>
  <c r="E578" i="2" s="1"/>
  <c r="X668" i="2"/>
  <c r="X669" i="2" s="1"/>
  <c r="R669" i="2"/>
  <c r="V670" i="2"/>
  <c r="W668" i="2"/>
  <c r="W669" i="2" s="1"/>
  <c r="U663" i="2"/>
  <c r="U664" i="2" s="1"/>
  <c r="Q664" i="2"/>
  <c r="Q665" i="2" s="1"/>
  <c r="P667" i="2"/>
  <c r="AO138" i="1"/>
  <c r="AP138" i="1" s="1"/>
  <c r="H147" i="1"/>
  <c r="E498" i="2"/>
  <c r="E231" i="2"/>
  <c r="E822" i="2"/>
  <c r="C822" i="2" s="1"/>
  <c r="AG727" i="2"/>
  <c r="AH727" i="2" s="1"/>
  <c r="E729" i="2"/>
  <c r="AA512" i="2" l="1"/>
  <c r="C525" i="2"/>
  <c r="F512" i="2"/>
  <c r="AB512" i="2"/>
  <c r="M512" i="2"/>
  <c r="Y512" i="2"/>
  <c r="AD512" i="2"/>
  <c r="Z512" i="2"/>
  <c r="G512" i="2"/>
  <c r="Q28" i="2"/>
  <c r="O512" i="2"/>
  <c r="J512" i="2"/>
  <c r="AE512" i="2"/>
  <c r="AF512" i="2"/>
  <c r="H512" i="2"/>
  <c r="N512" i="2"/>
  <c r="F539" i="2"/>
  <c r="N539" i="2"/>
  <c r="AE539" i="2"/>
  <c r="G539" i="2"/>
  <c r="O539" i="2"/>
  <c r="H539" i="2"/>
  <c r="Y539" i="2"/>
  <c r="AF539" i="2"/>
  <c r="I539" i="2"/>
  <c r="Z539" i="2"/>
  <c r="J539" i="2"/>
  <c r="AA539" i="2"/>
  <c r="M539" i="2"/>
  <c r="K539" i="2"/>
  <c r="AB539" i="2"/>
  <c r="L539" i="2"/>
  <c r="AC539" i="2"/>
  <c r="AD539" i="2"/>
  <c r="K512" i="2"/>
  <c r="L512" i="2"/>
  <c r="Z721" i="2"/>
  <c r="I721" i="2"/>
  <c r="AB718" i="2"/>
  <c r="K718" i="2"/>
  <c r="Z614" i="2"/>
  <c r="Z51" i="2" s="1"/>
  <c r="I614" i="2"/>
  <c r="I166" i="2" s="1"/>
  <c r="AD605" i="2"/>
  <c r="V605" i="2"/>
  <c r="AF604" i="2"/>
  <c r="X604" i="2"/>
  <c r="P604" i="2"/>
  <c r="Z603" i="2"/>
  <c r="R603" i="2"/>
  <c r="AB602" i="2"/>
  <c r="AB134" i="2" s="1"/>
  <c r="T602" i="2"/>
  <c r="T19" i="2" s="1"/>
  <c r="AD597" i="2"/>
  <c r="V597" i="2"/>
  <c r="AD443" i="2"/>
  <c r="V443" i="2"/>
  <c r="N443" i="2"/>
  <c r="F443" i="2"/>
  <c r="Y422" i="2"/>
  <c r="Q422" i="2"/>
  <c r="I422" i="2"/>
  <c r="Y721" i="2"/>
  <c r="H721" i="2"/>
  <c r="AA718" i="2"/>
  <c r="J718" i="2"/>
  <c r="Y614" i="2"/>
  <c r="Y223" i="2" s="1"/>
  <c r="H614" i="2"/>
  <c r="H337" i="2" s="1"/>
  <c r="AC605" i="2"/>
  <c r="U605" i="2"/>
  <c r="AE604" i="2"/>
  <c r="W604" i="2"/>
  <c r="O604" i="2"/>
  <c r="Y603" i="2"/>
  <c r="Q603" i="2"/>
  <c r="AA602" i="2"/>
  <c r="AA19" i="2" s="1"/>
  <c r="S602" i="2"/>
  <c r="S19" i="2" s="1"/>
  <c r="AC597" i="2"/>
  <c r="U597" i="2"/>
  <c r="AC443" i="2"/>
  <c r="U443" i="2"/>
  <c r="M443" i="2"/>
  <c r="AF422" i="2"/>
  <c r="X422" i="2"/>
  <c r="P422" i="2"/>
  <c r="H422" i="2"/>
  <c r="AA386" i="2"/>
  <c r="S386" i="2"/>
  <c r="K386" i="2"/>
  <c r="AD329" i="2"/>
  <c r="V329" i="2"/>
  <c r="N329" i="2"/>
  <c r="F329" i="2"/>
  <c r="Y308" i="2"/>
  <c r="Q308" i="2"/>
  <c r="I308" i="2"/>
  <c r="AB272" i="2"/>
  <c r="T272" i="2"/>
  <c r="L272" i="2"/>
  <c r="AE251" i="2"/>
  <c r="W251" i="2"/>
  <c r="O251" i="2"/>
  <c r="G251" i="2"/>
  <c r="Z215" i="2"/>
  <c r="R215" i="2"/>
  <c r="J215" i="2"/>
  <c r="AC194" i="2"/>
  <c r="U194" i="2"/>
  <c r="M194" i="2"/>
  <c r="AF158" i="2"/>
  <c r="X158" i="2"/>
  <c r="P158" i="2"/>
  <c r="H158" i="2"/>
  <c r="AA137" i="2"/>
  <c r="S137" i="2"/>
  <c r="K137" i="2"/>
  <c r="AD101" i="2"/>
  <c r="V101" i="2"/>
  <c r="N101" i="2"/>
  <c r="F101" i="2"/>
  <c r="Y80" i="2"/>
  <c r="Q80" i="2"/>
  <c r="I80" i="2"/>
  <c r="AB43" i="2"/>
  <c r="T43" i="2"/>
  <c r="L43" i="2"/>
  <c r="AE22" i="2"/>
  <c r="W22" i="2"/>
  <c r="O22" i="2"/>
  <c r="G22" i="2"/>
  <c r="AF721" i="2"/>
  <c r="O721" i="2"/>
  <c r="G721" i="2"/>
  <c r="Z718" i="2"/>
  <c r="I718" i="2"/>
  <c r="AF614" i="2"/>
  <c r="AF223" i="2" s="1"/>
  <c r="O614" i="2"/>
  <c r="O223" i="2" s="1"/>
  <c r="G614" i="2"/>
  <c r="G109" i="2" s="1"/>
  <c r="AB605" i="2"/>
  <c r="T605" i="2"/>
  <c r="AD604" i="2"/>
  <c r="V604" i="2"/>
  <c r="AF603" i="2"/>
  <c r="X603" i="2"/>
  <c r="P603" i="2"/>
  <c r="Z602" i="2"/>
  <c r="Z305" i="2" s="1"/>
  <c r="R602" i="2"/>
  <c r="R19" i="2" s="1"/>
  <c r="AB597" i="2"/>
  <c r="T597" i="2"/>
  <c r="L471" i="2"/>
  <c r="AB443" i="2"/>
  <c r="T443" i="2"/>
  <c r="L443" i="2"/>
  <c r="AE422" i="2"/>
  <c r="W422" i="2"/>
  <c r="O422" i="2"/>
  <c r="G422" i="2"/>
  <c r="Z386" i="2"/>
  <c r="R386" i="2"/>
  <c r="J386" i="2"/>
  <c r="AC329" i="2"/>
  <c r="U329" i="2"/>
  <c r="M329" i="2"/>
  <c r="AF308" i="2"/>
  <c r="X308" i="2"/>
  <c r="P308" i="2"/>
  <c r="H308" i="2"/>
  <c r="AA272" i="2"/>
  <c r="S272" i="2"/>
  <c r="K272" i="2"/>
  <c r="AD251" i="2"/>
  <c r="V251" i="2"/>
  <c r="N251" i="2"/>
  <c r="F251" i="2"/>
  <c r="Y215" i="2"/>
  <c r="Q215" i="2"/>
  <c r="I215" i="2"/>
  <c r="AB194" i="2"/>
  <c r="T194" i="2"/>
  <c r="L194" i="2"/>
  <c r="AE158" i="2"/>
  <c r="W158" i="2"/>
  <c r="O158" i="2"/>
  <c r="G158" i="2"/>
  <c r="Z137" i="2"/>
  <c r="R137" i="2"/>
  <c r="J137" i="2"/>
  <c r="AC101" i="2"/>
  <c r="U101" i="2"/>
  <c r="M101" i="2"/>
  <c r="AF80" i="2"/>
  <c r="X80" i="2"/>
  <c r="P80" i="2"/>
  <c r="H80" i="2"/>
  <c r="AA43" i="2"/>
  <c r="S43" i="2"/>
  <c r="K43" i="2"/>
  <c r="AD22" i="2"/>
  <c r="V22" i="2"/>
  <c r="N22" i="2"/>
  <c r="F22" i="2"/>
  <c r="AE721" i="2"/>
  <c r="N721" i="2"/>
  <c r="F721" i="2"/>
  <c r="Y718" i="2"/>
  <c r="H718" i="2"/>
  <c r="AE614" i="2"/>
  <c r="AE451" i="2" s="1"/>
  <c r="N614" i="2"/>
  <c r="N51" i="2" s="1"/>
  <c r="F614" i="2"/>
  <c r="F394" i="2" s="1"/>
  <c r="AA605" i="2"/>
  <c r="S605" i="2"/>
  <c r="AC604" i="2"/>
  <c r="U604" i="2"/>
  <c r="AE603" i="2"/>
  <c r="W603" i="2"/>
  <c r="O603" i="2"/>
  <c r="Y602" i="2"/>
  <c r="Y19" i="2" s="1"/>
  <c r="Q602" i="2"/>
  <c r="Q419" i="2" s="1"/>
  <c r="AA597" i="2"/>
  <c r="S597" i="2"/>
  <c r="K471" i="2"/>
  <c r="AA443" i="2"/>
  <c r="S443" i="2"/>
  <c r="K443" i="2"/>
  <c r="AD422" i="2"/>
  <c r="V422" i="2"/>
  <c r="N422" i="2"/>
  <c r="F422" i="2"/>
  <c r="Y386" i="2"/>
  <c r="Q386" i="2"/>
  <c r="I386" i="2"/>
  <c r="AB329" i="2"/>
  <c r="T329" i="2"/>
  <c r="L329" i="2"/>
  <c r="AE308" i="2"/>
  <c r="W308" i="2"/>
  <c r="O308" i="2"/>
  <c r="G308" i="2"/>
  <c r="Z272" i="2"/>
  <c r="R272" i="2"/>
  <c r="J272" i="2"/>
  <c r="AC251" i="2"/>
  <c r="U251" i="2"/>
  <c r="M251" i="2"/>
  <c r="AF215" i="2"/>
  <c r="X215" i="2"/>
  <c r="P215" i="2"/>
  <c r="H215" i="2"/>
  <c r="AA194" i="2"/>
  <c r="S194" i="2"/>
  <c r="K194" i="2"/>
  <c r="AD158" i="2"/>
  <c r="V158" i="2"/>
  <c r="N158" i="2"/>
  <c r="F158" i="2"/>
  <c r="Y137" i="2"/>
  <c r="Q137" i="2"/>
  <c r="I137" i="2"/>
  <c r="AB101" i="2"/>
  <c r="T101" i="2"/>
  <c r="L101" i="2"/>
  <c r="AE80" i="2"/>
  <c r="W80" i="2"/>
  <c r="O80" i="2"/>
  <c r="G80" i="2"/>
  <c r="Z43" i="2"/>
  <c r="R43" i="2"/>
  <c r="J43" i="2"/>
  <c r="AC22" i="2"/>
  <c r="U22" i="2"/>
  <c r="M22" i="2"/>
  <c r="AD721" i="2"/>
  <c r="M721" i="2"/>
  <c r="AF718" i="2"/>
  <c r="O718" i="2"/>
  <c r="G718" i="2"/>
  <c r="AD614" i="2"/>
  <c r="AD337" i="2" s="1"/>
  <c r="M614" i="2"/>
  <c r="M109" i="2" s="1"/>
  <c r="Z609" i="2"/>
  <c r="Z29" i="2" s="1"/>
  <c r="Z605" i="2"/>
  <c r="R605" i="2"/>
  <c r="AB604" i="2"/>
  <c r="T604" i="2"/>
  <c r="AD603" i="2"/>
  <c r="V603" i="2"/>
  <c r="AF602" i="2"/>
  <c r="AF77" i="2" s="1"/>
  <c r="X602" i="2"/>
  <c r="X305" i="2" s="1"/>
  <c r="P602" i="2"/>
  <c r="P248" i="2" s="1"/>
  <c r="Z597" i="2"/>
  <c r="R597" i="2"/>
  <c r="J471" i="2"/>
  <c r="Z443" i="2"/>
  <c r="R443" i="2"/>
  <c r="J443" i="2"/>
  <c r="AC422" i="2"/>
  <c r="U422" i="2"/>
  <c r="M422" i="2"/>
  <c r="AF386" i="2"/>
  <c r="X386" i="2"/>
  <c r="P386" i="2"/>
  <c r="H386" i="2"/>
  <c r="AA329" i="2"/>
  <c r="S329" i="2"/>
  <c r="K329" i="2"/>
  <c r="AD308" i="2"/>
  <c r="V308" i="2"/>
  <c r="N308" i="2"/>
  <c r="F308" i="2"/>
  <c r="Y272" i="2"/>
  <c r="Q272" i="2"/>
  <c r="I272" i="2"/>
  <c r="AB251" i="2"/>
  <c r="T251" i="2"/>
  <c r="L251" i="2"/>
  <c r="AE215" i="2"/>
  <c r="W215" i="2"/>
  <c r="O215" i="2"/>
  <c r="G215" i="2"/>
  <c r="Z194" i="2"/>
  <c r="R194" i="2"/>
  <c r="J194" i="2"/>
  <c r="AC158" i="2"/>
  <c r="U158" i="2"/>
  <c r="M158" i="2"/>
  <c r="AF137" i="2"/>
  <c r="X137" i="2"/>
  <c r="P137" i="2"/>
  <c r="H137" i="2"/>
  <c r="AA101" i="2"/>
  <c r="S101" i="2"/>
  <c r="K101" i="2"/>
  <c r="AD80" i="2"/>
  <c r="V80" i="2"/>
  <c r="N80" i="2"/>
  <c r="F80" i="2"/>
  <c r="Y43" i="2"/>
  <c r="Q43" i="2"/>
  <c r="I43" i="2"/>
  <c r="AB22" i="2"/>
  <c r="T22" i="2"/>
  <c r="L22" i="2"/>
  <c r="AC721" i="2"/>
  <c r="L721" i="2"/>
  <c r="AE718" i="2"/>
  <c r="N718" i="2"/>
  <c r="F718" i="2"/>
  <c r="AC614" i="2"/>
  <c r="AC51" i="2" s="1"/>
  <c r="L614" i="2"/>
  <c r="L337" i="2" s="1"/>
  <c r="Y609" i="2"/>
  <c r="Y29" i="2" s="1"/>
  <c r="Y605" i="2"/>
  <c r="Q605" i="2"/>
  <c r="AA604" i="2"/>
  <c r="S604" i="2"/>
  <c r="AC603" i="2"/>
  <c r="U603" i="2"/>
  <c r="AE602" i="2"/>
  <c r="AE305" i="2" s="1"/>
  <c r="W602" i="2"/>
  <c r="W419" i="2" s="1"/>
  <c r="O602" i="2"/>
  <c r="O362" i="2" s="1"/>
  <c r="Y597" i="2"/>
  <c r="Q597" i="2"/>
  <c r="I471" i="2"/>
  <c r="Y443" i="2"/>
  <c r="Q443" i="2"/>
  <c r="I443" i="2"/>
  <c r="AB422" i="2"/>
  <c r="T422" i="2"/>
  <c r="L422" i="2"/>
  <c r="AE386" i="2"/>
  <c r="W386" i="2"/>
  <c r="O386" i="2"/>
  <c r="G386" i="2"/>
  <c r="Z329" i="2"/>
  <c r="R329" i="2"/>
  <c r="J329" i="2"/>
  <c r="AC308" i="2"/>
  <c r="U308" i="2"/>
  <c r="M308" i="2"/>
  <c r="AF272" i="2"/>
  <c r="X272" i="2"/>
  <c r="P272" i="2"/>
  <c r="H272" i="2"/>
  <c r="AA251" i="2"/>
  <c r="S251" i="2"/>
  <c r="K251" i="2"/>
  <c r="AD215" i="2"/>
  <c r="V215" i="2"/>
  <c r="N215" i="2"/>
  <c r="F215" i="2"/>
  <c r="Y194" i="2"/>
  <c r="Q194" i="2"/>
  <c r="I194" i="2"/>
  <c r="AB158" i="2"/>
  <c r="T158" i="2"/>
  <c r="L158" i="2"/>
  <c r="AE137" i="2"/>
  <c r="W137" i="2"/>
  <c r="O137" i="2"/>
  <c r="G137" i="2"/>
  <c r="Z101" i="2"/>
  <c r="R101" i="2"/>
  <c r="J101" i="2"/>
  <c r="AC80" i="2"/>
  <c r="U80" i="2"/>
  <c r="M80" i="2"/>
  <c r="AF43" i="2"/>
  <c r="X43" i="2"/>
  <c r="P43" i="2"/>
  <c r="H43" i="2"/>
  <c r="AA22" i="2"/>
  <c r="S22" i="2"/>
  <c r="K22" i="2"/>
  <c r="AB721" i="2"/>
  <c r="K721" i="2"/>
  <c r="AD718" i="2"/>
  <c r="M718" i="2"/>
  <c r="AB614" i="2"/>
  <c r="AB51" i="2" s="1"/>
  <c r="K614" i="2"/>
  <c r="K451" i="2" s="1"/>
  <c r="AF605" i="2"/>
  <c r="X605" i="2"/>
  <c r="P605" i="2"/>
  <c r="Z604" i="2"/>
  <c r="R604" i="2"/>
  <c r="AB603" i="2"/>
  <c r="T603" i="2"/>
  <c r="AD602" i="2"/>
  <c r="AD362" i="2" s="1"/>
  <c r="V602" i="2"/>
  <c r="V77" i="2" s="1"/>
  <c r="AF597" i="2"/>
  <c r="X597" i="2"/>
  <c r="P597" i="2"/>
  <c r="AF443" i="2"/>
  <c r="X443" i="2"/>
  <c r="P443" i="2"/>
  <c r="H443" i="2"/>
  <c r="AA422" i="2"/>
  <c r="S422" i="2"/>
  <c r="K422" i="2"/>
  <c r="AD386" i="2"/>
  <c r="V386" i="2"/>
  <c r="N386" i="2"/>
  <c r="F386" i="2"/>
  <c r="Y329" i="2"/>
  <c r="Q329" i="2"/>
  <c r="I329" i="2"/>
  <c r="AB308" i="2"/>
  <c r="T308" i="2"/>
  <c r="L308" i="2"/>
  <c r="AE272" i="2"/>
  <c r="W272" i="2"/>
  <c r="O272" i="2"/>
  <c r="G272" i="2"/>
  <c r="Z251" i="2"/>
  <c r="R251" i="2"/>
  <c r="J251" i="2"/>
  <c r="AC215" i="2"/>
  <c r="U215" i="2"/>
  <c r="M215" i="2"/>
  <c r="AF194" i="2"/>
  <c r="X194" i="2"/>
  <c r="P194" i="2"/>
  <c r="H194" i="2"/>
  <c r="AA158" i="2"/>
  <c r="S158" i="2"/>
  <c r="K158" i="2"/>
  <c r="AD137" i="2"/>
  <c r="V137" i="2"/>
  <c r="N137" i="2"/>
  <c r="F137" i="2"/>
  <c r="Y101" i="2"/>
  <c r="Q101" i="2"/>
  <c r="I101" i="2"/>
  <c r="AB80" i="2"/>
  <c r="T80" i="2"/>
  <c r="L80" i="2"/>
  <c r="AE43" i="2"/>
  <c r="W43" i="2"/>
  <c r="O43" i="2"/>
  <c r="G43" i="2"/>
  <c r="Z22" i="2"/>
  <c r="R22" i="2"/>
  <c r="J22" i="2"/>
  <c r="AA721" i="2"/>
  <c r="J721" i="2"/>
  <c r="AC718" i="2"/>
  <c r="L718" i="2"/>
  <c r="AA614" i="2"/>
  <c r="AA451" i="2" s="1"/>
  <c r="J614" i="2"/>
  <c r="J51" i="2" s="1"/>
  <c r="AE605" i="2"/>
  <c r="W605" i="2"/>
  <c r="O605" i="2"/>
  <c r="Y604" i="2"/>
  <c r="Q604" i="2"/>
  <c r="AA603" i="2"/>
  <c r="S603" i="2"/>
  <c r="AE597" i="2"/>
  <c r="G443" i="2"/>
  <c r="M386" i="2"/>
  <c r="H329" i="2"/>
  <c r="AD272" i="2"/>
  <c r="Y251" i="2"/>
  <c r="T215" i="2"/>
  <c r="O194" i="2"/>
  <c r="J158" i="2"/>
  <c r="AF101" i="2"/>
  <c r="AA80" i="2"/>
  <c r="V43" i="2"/>
  <c r="Q22" i="2"/>
  <c r="W597" i="2"/>
  <c r="Z422" i="2"/>
  <c r="L386" i="2"/>
  <c r="G329" i="2"/>
  <c r="AC272" i="2"/>
  <c r="X251" i="2"/>
  <c r="S215" i="2"/>
  <c r="N194" i="2"/>
  <c r="I158" i="2"/>
  <c r="AE101" i="2"/>
  <c r="Z80" i="2"/>
  <c r="U43" i="2"/>
  <c r="P22" i="2"/>
  <c r="O597" i="2"/>
  <c r="R422" i="2"/>
  <c r="AF329" i="2"/>
  <c r="AA308" i="2"/>
  <c r="V272" i="2"/>
  <c r="Q251" i="2"/>
  <c r="L215" i="2"/>
  <c r="G194" i="2"/>
  <c r="AC137" i="2"/>
  <c r="X101" i="2"/>
  <c r="S80" i="2"/>
  <c r="N43" i="2"/>
  <c r="I22" i="2"/>
  <c r="O443" i="2"/>
  <c r="AA215" i="2"/>
  <c r="Q158" i="2"/>
  <c r="AC43" i="2"/>
  <c r="J422" i="2"/>
  <c r="AE329" i="2"/>
  <c r="Z308" i="2"/>
  <c r="U272" i="2"/>
  <c r="P251" i="2"/>
  <c r="K215" i="2"/>
  <c r="F194" i="2"/>
  <c r="AB137" i="2"/>
  <c r="W101" i="2"/>
  <c r="R80" i="2"/>
  <c r="M43" i="2"/>
  <c r="H22" i="2"/>
  <c r="T386" i="2"/>
  <c r="AF251" i="2"/>
  <c r="V194" i="2"/>
  <c r="G101" i="2"/>
  <c r="X22" i="2"/>
  <c r="AC386" i="2"/>
  <c r="X329" i="2"/>
  <c r="S308" i="2"/>
  <c r="N272" i="2"/>
  <c r="I251" i="2"/>
  <c r="AE194" i="2"/>
  <c r="Z158" i="2"/>
  <c r="U137" i="2"/>
  <c r="P101" i="2"/>
  <c r="K80" i="2"/>
  <c r="F43" i="2"/>
  <c r="AB215" i="2"/>
  <c r="M137" i="2"/>
  <c r="AD43" i="2"/>
  <c r="O329" i="2"/>
  <c r="AE443" i="2"/>
  <c r="AB386" i="2"/>
  <c r="W329" i="2"/>
  <c r="R308" i="2"/>
  <c r="M272" i="2"/>
  <c r="H251" i="2"/>
  <c r="AD194" i="2"/>
  <c r="Y158" i="2"/>
  <c r="T137" i="2"/>
  <c r="O101" i="2"/>
  <c r="J80" i="2"/>
  <c r="AF22" i="2"/>
  <c r="AC602" i="2"/>
  <c r="AC191" i="2" s="1"/>
  <c r="W443" i="2"/>
  <c r="U386" i="2"/>
  <c r="P329" i="2"/>
  <c r="K308" i="2"/>
  <c r="F272" i="2"/>
  <c r="W194" i="2"/>
  <c r="R158" i="2"/>
  <c r="H101" i="2"/>
  <c r="Y22" i="2"/>
  <c r="U602" i="2"/>
  <c r="U305" i="2" s="1"/>
  <c r="J308" i="2"/>
  <c r="L137" i="2"/>
  <c r="AE471" i="2"/>
  <c r="Y616" i="2"/>
  <c r="Y536" i="2" s="1"/>
  <c r="G471" i="2"/>
  <c r="H610" i="2"/>
  <c r="H206" i="2" s="1"/>
  <c r="Q465" i="2"/>
  <c r="Q492" i="2" s="1"/>
  <c r="K465" i="2"/>
  <c r="N471" i="2"/>
  <c r="G615" i="2"/>
  <c r="G534" i="2" s="1"/>
  <c r="AD689" i="2"/>
  <c r="AD690" i="2" s="1"/>
  <c r="AD691" i="2" s="1"/>
  <c r="AA703" i="2"/>
  <c r="AA704" i="2" s="1"/>
  <c r="AA705" i="2" s="1"/>
  <c r="O779" i="2"/>
  <c r="O780" i="2" s="1"/>
  <c r="O781" i="2" s="1"/>
  <c r="O526" i="2" s="1"/>
  <c r="AD807" i="2"/>
  <c r="AD808" i="2" s="1"/>
  <c r="AD809" i="2" s="1"/>
  <c r="AD530" i="2" s="1"/>
  <c r="AF807" i="2"/>
  <c r="AF808" i="2" s="1"/>
  <c r="AF809" i="2" s="1"/>
  <c r="AF530" i="2" s="1"/>
  <c r="R779" i="2"/>
  <c r="R780" i="2" s="1"/>
  <c r="R781" i="2" s="1"/>
  <c r="R526" i="2" s="1"/>
  <c r="Q772" i="2"/>
  <c r="Q773" i="2" s="1"/>
  <c r="Q774" i="2" s="1"/>
  <c r="Q525" i="2" s="1"/>
  <c r="O786" i="2"/>
  <c r="O787" i="2" s="1"/>
  <c r="O788" i="2" s="1"/>
  <c r="O527" i="2" s="1"/>
  <c r="N465" i="2"/>
  <c r="P779" i="2"/>
  <c r="P780" i="2" s="1"/>
  <c r="P781" i="2" s="1"/>
  <c r="P526" i="2" s="1"/>
  <c r="O471" i="2"/>
  <c r="AB471" i="2"/>
  <c r="Y615" i="2"/>
  <c r="Y534" i="2" s="1"/>
  <c r="O465" i="2"/>
  <c r="O492" i="2" s="1"/>
  <c r="AA465" i="2"/>
  <c r="AA492" i="2" s="1"/>
  <c r="T465" i="2"/>
  <c r="T492" i="2" s="1"/>
  <c r="M615" i="2"/>
  <c r="M534" i="2" s="1"/>
  <c r="Y675" i="2"/>
  <c r="Y676" i="2" s="1"/>
  <c r="Y677" i="2" s="1"/>
  <c r="AC689" i="2"/>
  <c r="AC690" i="2" s="1"/>
  <c r="AC691" i="2" s="1"/>
  <c r="Z703" i="2"/>
  <c r="Z704" i="2" s="1"/>
  <c r="Z705" i="2" s="1"/>
  <c r="X779" i="2"/>
  <c r="X780" i="2" s="1"/>
  <c r="X781" i="2" s="1"/>
  <c r="X526" i="2" s="1"/>
  <c r="S779" i="2"/>
  <c r="S780" i="2" s="1"/>
  <c r="S781" i="2" s="1"/>
  <c r="S526" i="2" s="1"/>
  <c r="J689" i="2"/>
  <c r="J690" i="2" s="1"/>
  <c r="J691" i="2" s="1"/>
  <c r="V465" i="2"/>
  <c r="V492" i="2" s="1"/>
  <c r="H611" i="2"/>
  <c r="H39" i="2" s="1"/>
  <c r="AB703" i="2"/>
  <c r="AB704" i="2" s="1"/>
  <c r="AB705" i="2" s="1"/>
  <c r="V779" i="2"/>
  <c r="V780" i="2" s="1"/>
  <c r="V781" i="2" s="1"/>
  <c r="V526" i="2" s="1"/>
  <c r="H465" i="2"/>
  <c r="AF471" i="2"/>
  <c r="Z616" i="2"/>
  <c r="Z536" i="2" s="1"/>
  <c r="G610" i="2"/>
  <c r="G34" i="2" s="1"/>
  <c r="Z615" i="2"/>
  <c r="Z534" i="2" s="1"/>
  <c r="Y465" i="2"/>
  <c r="Y492" i="2" s="1"/>
  <c r="I465" i="2"/>
  <c r="AE465" i="2"/>
  <c r="AE492" i="2" s="1"/>
  <c r="AF675" i="2"/>
  <c r="AF676" i="2" s="1"/>
  <c r="AF677" i="2" s="1"/>
  <c r="AB689" i="2"/>
  <c r="AB690" i="2" s="1"/>
  <c r="AB691" i="2" s="1"/>
  <c r="AF703" i="2"/>
  <c r="AF704" i="2" s="1"/>
  <c r="AF705" i="2" s="1"/>
  <c r="O807" i="2"/>
  <c r="O808" i="2" s="1"/>
  <c r="O809" i="2" s="1"/>
  <c r="O530" i="2" s="1"/>
  <c r="Q807" i="2"/>
  <c r="Q808" i="2" s="1"/>
  <c r="Q809" i="2" s="1"/>
  <c r="Q530" i="2" s="1"/>
  <c r="T779" i="2"/>
  <c r="T780" i="2" s="1"/>
  <c r="T781" i="2" s="1"/>
  <c r="T526" i="2" s="1"/>
  <c r="R772" i="2"/>
  <c r="R773" i="2" s="1"/>
  <c r="R774" i="2" s="1"/>
  <c r="R525" i="2" s="1"/>
  <c r="N615" i="2"/>
  <c r="N534" i="2" s="1"/>
  <c r="AD465" i="2"/>
  <c r="AD492" i="2" s="1"/>
  <c r="L597" i="2"/>
  <c r="AF689" i="2"/>
  <c r="AF690" i="2" s="1"/>
  <c r="AF691" i="2" s="1"/>
  <c r="X807" i="2"/>
  <c r="X808" i="2" s="1"/>
  <c r="X809" i="2" s="1"/>
  <c r="X530" i="2" s="1"/>
  <c r="Y471" i="2"/>
  <c r="AC471" i="2"/>
  <c r="G611" i="2"/>
  <c r="G325" i="2" s="1"/>
  <c r="F465" i="2"/>
  <c r="R465" i="2"/>
  <c r="R492" i="2" s="1"/>
  <c r="L465" i="2"/>
  <c r="AE675" i="2"/>
  <c r="AE676" i="2" s="1"/>
  <c r="AE677" i="2" s="1"/>
  <c r="AA689" i="2"/>
  <c r="AA690" i="2" s="1"/>
  <c r="AA691" i="2" s="1"/>
  <c r="AE703" i="2"/>
  <c r="AE704" i="2" s="1"/>
  <c r="AE705" i="2" s="1"/>
  <c r="Y703" i="2"/>
  <c r="Y704" i="2" s="1"/>
  <c r="Y705" i="2" s="1"/>
  <c r="Y25" i="2" s="1"/>
  <c r="T807" i="2"/>
  <c r="T808" i="2" s="1"/>
  <c r="T809" i="2" s="1"/>
  <c r="T530" i="2" s="1"/>
  <c r="W807" i="2"/>
  <c r="W808" i="2" s="1"/>
  <c r="W809" i="2" s="1"/>
  <c r="W530" i="2" s="1"/>
  <c r="Y807" i="2"/>
  <c r="Y808" i="2" s="1"/>
  <c r="Y809" i="2" s="1"/>
  <c r="Y530" i="2" s="1"/>
  <c r="U772" i="2"/>
  <c r="U773" i="2" s="1"/>
  <c r="U774" i="2" s="1"/>
  <c r="U525" i="2" s="1"/>
  <c r="X465" i="2"/>
  <c r="X492" i="2" s="1"/>
  <c r="H471" i="2"/>
  <c r="G465" i="2"/>
  <c r="Z675" i="2"/>
  <c r="Z676" i="2" s="1"/>
  <c r="Z677" i="2" s="1"/>
  <c r="AA807" i="2"/>
  <c r="AA808" i="2" s="1"/>
  <c r="AA809" i="2" s="1"/>
  <c r="AA530" i="2" s="1"/>
  <c r="X772" i="2"/>
  <c r="X773" i="2" s="1"/>
  <c r="X774" i="2" s="1"/>
  <c r="X525" i="2" s="1"/>
  <c r="Y611" i="2"/>
  <c r="Y439" i="2" s="1"/>
  <c r="F471" i="2"/>
  <c r="G609" i="2"/>
  <c r="G29" i="2" s="1"/>
  <c r="P465" i="2"/>
  <c r="P492" i="2" s="1"/>
  <c r="AB465" i="2"/>
  <c r="AB492" i="2" s="1"/>
  <c r="U465" i="2"/>
  <c r="U492" i="2" s="1"/>
  <c r="H609" i="2"/>
  <c r="H29" i="2" s="1"/>
  <c r="AC675" i="2"/>
  <c r="AC676" i="2" s="1"/>
  <c r="AC677" i="2" s="1"/>
  <c r="O675" i="2"/>
  <c r="O676" i="2" s="1"/>
  <c r="O677" i="2" s="1"/>
  <c r="Z689" i="2"/>
  <c r="Z690" i="2" s="1"/>
  <c r="Z691" i="2" s="1"/>
  <c r="O703" i="2"/>
  <c r="O704" i="2" s="1"/>
  <c r="O705" i="2" s="1"/>
  <c r="O25" i="2" s="1"/>
  <c r="T772" i="2"/>
  <c r="T773" i="2" s="1"/>
  <c r="T774" i="2" s="1"/>
  <c r="T525" i="2" s="1"/>
  <c r="Q779" i="2"/>
  <c r="Q780" i="2" s="1"/>
  <c r="Q781" i="2" s="1"/>
  <c r="Q526" i="2" s="1"/>
  <c r="AB807" i="2"/>
  <c r="AB808" i="2" s="1"/>
  <c r="AB809" i="2" s="1"/>
  <c r="AB530" i="2" s="1"/>
  <c r="AE807" i="2"/>
  <c r="AE808" i="2" s="1"/>
  <c r="AE809" i="2" s="1"/>
  <c r="AE530" i="2" s="1"/>
  <c r="R807" i="2"/>
  <c r="R808" i="2" s="1"/>
  <c r="R809" i="2" s="1"/>
  <c r="R530" i="2" s="1"/>
  <c r="O772" i="2"/>
  <c r="O773" i="2" s="1"/>
  <c r="O774" i="2" s="1"/>
  <c r="O525" i="2" s="1"/>
  <c r="S772" i="2"/>
  <c r="S773" i="2" s="1"/>
  <c r="S774" i="2" s="1"/>
  <c r="S525" i="2" s="1"/>
  <c r="AF465" i="2"/>
  <c r="AF492" i="2" s="1"/>
  <c r="M609" i="2"/>
  <c r="M87" i="2" s="1"/>
  <c r="Z471" i="2"/>
  <c r="AD471" i="2"/>
  <c r="Z465" i="2"/>
  <c r="Z492" i="2" s="1"/>
  <c r="J465" i="2"/>
  <c r="M465" i="2"/>
  <c r="N610" i="2"/>
  <c r="N434" i="2" s="1"/>
  <c r="AB675" i="2"/>
  <c r="AB676" i="2" s="1"/>
  <c r="AB677" i="2" s="1"/>
  <c r="AD675" i="2"/>
  <c r="AD676" i="2" s="1"/>
  <c r="AD677" i="2" s="1"/>
  <c r="AD703" i="2"/>
  <c r="AD704" i="2" s="1"/>
  <c r="AD705" i="2" s="1"/>
  <c r="V772" i="2"/>
  <c r="V773" i="2" s="1"/>
  <c r="V774" i="2" s="1"/>
  <c r="V525" i="2" s="1"/>
  <c r="W779" i="2"/>
  <c r="W780" i="2" s="1"/>
  <c r="W781" i="2" s="1"/>
  <c r="W526" i="2" s="1"/>
  <c r="U807" i="2"/>
  <c r="U808" i="2" s="1"/>
  <c r="U809" i="2" s="1"/>
  <c r="U530" i="2" s="1"/>
  <c r="Z807" i="2"/>
  <c r="Z808" i="2" s="1"/>
  <c r="Z809" i="2" s="1"/>
  <c r="Z530" i="2" s="1"/>
  <c r="W772" i="2"/>
  <c r="W773" i="2" s="1"/>
  <c r="W774" i="2" s="1"/>
  <c r="W525" i="2" s="1"/>
  <c r="U786" i="2"/>
  <c r="U787" i="2" s="1"/>
  <c r="U788" i="2" s="1"/>
  <c r="U527" i="2" s="1"/>
  <c r="AA471" i="2"/>
  <c r="Z611" i="2"/>
  <c r="Z39" i="2" s="1"/>
  <c r="M611" i="2"/>
  <c r="M325" i="2" s="1"/>
  <c r="K689" i="2"/>
  <c r="K690" i="2" s="1"/>
  <c r="K691" i="2" s="1"/>
  <c r="S465" i="2"/>
  <c r="S492" i="2" s="1"/>
  <c r="W465" i="2"/>
  <c r="W492" i="2" s="1"/>
  <c r="H615" i="2"/>
  <c r="H534" i="2" s="1"/>
  <c r="N609" i="2"/>
  <c r="N29" i="2" s="1"/>
  <c r="AA675" i="2"/>
  <c r="AA676" i="2" s="1"/>
  <c r="AA677" i="2" s="1"/>
  <c r="AA148" i="2" s="1"/>
  <c r="AE689" i="2"/>
  <c r="AE690" i="2" s="1"/>
  <c r="AE691" i="2" s="1"/>
  <c r="Y689" i="2"/>
  <c r="Y690" i="2" s="1"/>
  <c r="Y691" i="2" s="1"/>
  <c r="AC703" i="2"/>
  <c r="AC704" i="2" s="1"/>
  <c r="AC705" i="2" s="1"/>
  <c r="U779" i="2"/>
  <c r="U780" i="2" s="1"/>
  <c r="U781" i="2" s="1"/>
  <c r="U526" i="2" s="1"/>
  <c r="AC807" i="2"/>
  <c r="AC808" i="2" s="1"/>
  <c r="AC809" i="2" s="1"/>
  <c r="AC530" i="2" s="1"/>
  <c r="P807" i="2"/>
  <c r="P808" i="2" s="1"/>
  <c r="P809" i="2" s="1"/>
  <c r="P530" i="2" s="1"/>
  <c r="S807" i="2"/>
  <c r="S808" i="2" s="1"/>
  <c r="S809" i="2" s="1"/>
  <c r="S530" i="2" s="1"/>
  <c r="P772" i="2"/>
  <c r="P773" i="2" s="1"/>
  <c r="P774" i="2" s="1"/>
  <c r="P525" i="2" s="1"/>
  <c r="R786" i="2"/>
  <c r="R787" i="2" s="1"/>
  <c r="R788" i="2" s="1"/>
  <c r="R527" i="2" s="1"/>
  <c r="M610" i="2"/>
  <c r="M34" i="2" s="1"/>
  <c r="AC465" i="2"/>
  <c r="AC492" i="2" s="1"/>
  <c r="O689" i="2"/>
  <c r="O690" i="2" s="1"/>
  <c r="O691" i="2" s="1"/>
  <c r="V807" i="2"/>
  <c r="V808" i="2" s="1"/>
  <c r="V809" i="2" s="1"/>
  <c r="V530" i="2" s="1"/>
  <c r="AB781" i="2"/>
  <c r="AB526" i="2" s="1"/>
  <c r="AA616" i="2"/>
  <c r="AA536" i="2" s="1"/>
  <c r="AD647" i="2"/>
  <c r="J610" i="2"/>
  <c r="J320" i="2" s="1"/>
  <c r="AB661" i="2"/>
  <c r="AB662" i="2" s="1"/>
  <c r="AB663" i="2" s="1"/>
  <c r="U615" i="2"/>
  <c r="U534" i="2" s="1"/>
  <c r="AF781" i="2"/>
  <c r="AF526" i="2" s="1"/>
  <c r="G597" i="2"/>
  <c r="P793" i="2"/>
  <c r="P794" i="2" s="1"/>
  <c r="P795" i="2" s="1"/>
  <c r="P528" i="2" s="1"/>
  <c r="Y793" i="2"/>
  <c r="Y794" i="2" s="1"/>
  <c r="Y795" i="2" s="1"/>
  <c r="Y528" i="2" s="1"/>
  <c r="Y668" i="2"/>
  <c r="O654" i="2"/>
  <c r="O655" i="2" s="1"/>
  <c r="Q800" i="2"/>
  <c r="Q801" i="2" s="1"/>
  <c r="Q802" i="2" s="1"/>
  <c r="Q529" i="2" s="1"/>
  <c r="V800" i="2"/>
  <c r="V801" i="2" s="1"/>
  <c r="V802" i="2" s="1"/>
  <c r="V529" i="2" s="1"/>
  <c r="AE774" i="2"/>
  <c r="AE525" i="2" s="1"/>
  <c r="K615" i="2"/>
  <c r="K534" i="2" s="1"/>
  <c r="L615" i="2"/>
  <c r="L534" i="2" s="1"/>
  <c r="AA615" i="2"/>
  <c r="AA534" i="2" s="1"/>
  <c r="O793" i="2"/>
  <c r="O794" i="2" s="1"/>
  <c r="O795" i="2" s="1"/>
  <c r="O528" i="2" s="1"/>
  <c r="AD616" i="2"/>
  <c r="AD536" i="2" s="1"/>
  <c r="AA611" i="2"/>
  <c r="AA325" i="2" s="1"/>
  <c r="O616" i="2"/>
  <c r="O536" i="2" s="1"/>
  <c r="J675" i="2"/>
  <c r="J676" i="2" s="1"/>
  <c r="J677" i="2" s="1"/>
  <c r="J91" i="2" s="1"/>
  <c r="K611" i="2"/>
  <c r="K325" i="2" s="1"/>
  <c r="F615" i="2"/>
  <c r="F112" i="2" s="1"/>
  <c r="J611" i="2"/>
  <c r="J382" i="2" s="1"/>
  <c r="U793" i="2"/>
  <c r="U794" i="2" s="1"/>
  <c r="U795" i="2" s="1"/>
  <c r="U528" i="2" s="1"/>
  <c r="AD793" i="2"/>
  <c r="AD794" i="2" s="1"/>
  <c r="AD795" i="2" s="1"/>
  <c r="AD528" i="2" s="1"/>
  <c r="AE654" i="2"/>
  <c r="AE783" i="2" s="1"/>
  <c r="AE786" i="2" s="1"/>
  <c r="AE787" i="2" s="1"/>
  <c r="AE788" i="2" s="1"/>
  <c r="AE527" i="2" s="1"/>
  <c r="Z654" i="2"/>
  <c r="Z783" i="2" s="1"/>
  <c r="Z786" i="2" s="1"/>
  <c r="Z787" i="2" s="1"/>
  <c r="Z788" i="2" s="1"/>
  <c r="Z527" i="2" s="1"/>
  <c r="AB800" i="2"/>
  <c r="AB801" i="2" s="1"/>
  <c r="AB802" i="2" s="1"/>
  <c r="AB529" i="2" s="1"/>
  <c r="AF800" i="2"/>
  <c r="AF801" i="2" s="1"/>
  <c r="AF802" i="2" s="1"/>
  <c r="AF529" i="2" s="1"/>
  <c r="AC800" i="2"/>
  <c r="AC801" i="2" s="1"/>
  <c r="AC802" i="2" s="1"/>
  <c r="AC529" i="2" s="1"/>
  <c r="AD774" i="2"/>
  <c r="AD525" i="2" s="1"/>
  <c r="K610" i="2"/>
  <c r="K34" i="2" s="1"/>
  <c r="J615" i="2"/>
  <c r="J534" i="2" s="1"/>
  <c r="W800" i="2"/>
  <c r="W801" i="2" s="1"/>
  <c r="W802" i="2" s="1"/>
  <c r="W529" i="2" s="1"/>
  <c r="O615" i="2"/>
  <c r="O534" i="2" s="1"/>
  <c r="Q793" i="2"/>
  <c r="Q794" i="2" s="1"/>
  <c r="Q795" i="2" s="1"/>
  <c r="Q528" i="2" s="1"/>
  <c r="H616" i="2"/>
  <c r="H536" i="2" s="1"/>
  <c r="G616" i="2"/>
  <c r="G536" i="2" s="1"/>
  <c r="AE793" i="2"/>
  <c r="AE794" i="2" s="1"/>
  <c r="AE795" i="2" s="1"/>
  <c r="AE528" i="2" s="1"/>
  <c r="AF647" i="2"/>
  <c r="K675" i="2"/>
  <c r="K676" i="2" s="1"/>
  <c r="K677" i="2" s="1"/>
  <c r="K33" i="2" s="1"/>
  <c r="AE661" i="2"/>
  <c r="AE662" i="2" s="1"/>
  <c r="AE663" i="2" s="1"/>
  <c r="AB615" i="2"/>
  <c r="AB534" i="2" s="1"/>
  <c r="R615" i="2"/>
  <c r="R534" i="2" s="1"/>
  <c r="F611" i="2"/>
  <c r="F39" i="2" s="1"/>
  <c r="AC615" i="2"/>
  <c r="AC534" i="2" s="1"/>
  <c r="T615" i="2"/>
  <c r="T534" i="2" s="1"/>
  <c r="AC781" i="2"/>
  <c r="AC526" i="2" s="1"/>
  <c r="M807" i="2"/>
  <c r="M808" i="2" s="1"/>
  <c r="M809" i="2" s="1"/>
  <c r="M530" i="2" s="1"/>
  <c r="M831" i="2" s="1"/>
  <c r="K807" i="2"/>
  <c r="K808" i="2" s="1"/>
  <c r="K809" i="2" s="1"/>
  <c r="K530" i="2" s="1"/>
  <c r="K831" i="2" s="1"/>
  <c r="Z793" i="2"/>
  <c r="Z794" i="2" s="1"/>
  <c r="Z795" i="2" s="1"/>
  <c r="Z528" i="2" s="1"/>
  <c r="S793" i="2"/>
  <c r="S794" i="2" s="1"/>
  <c r="S795" i="2" s="1"/>
  <c r="S528" i="2" s="1"/>
  <c r="AF661" i="2"/>
  <c r="AF662" i="2" s="1"/>
  <c r="AF663" i="2" s="1"/>
  <c r="AF143" i="2" s="1"/>
  <c r="AF668" i="2"/>
  <c r="AD654" i="2"/>
  <c r="AD783" i="2" s="1"/>
  <c r="AD786" i="2" s="1"/>
  <c r="AD787" i="2" s="1"/>
  <c r="AD788" i="2" s="1"/>
  <c r="AD527" i="2" s="1"/>
  <c r="T800" i="2"/>
  <c r="T801" i="2" s="1"/>
  <c r="T802" i="2" s="1"/>
  <c r="T529" i="2" s="1"/>
  <c r="X800" i="2"/>
  <c r="X801" i="2" s="1"/>
  <c r="X802" i="2" s="1"/>
  <c r="X529" i="2" s="1"/>
  <c r="U800" i="2"/>
  <c r="U801" i="2" s="1"/>
  <c r="U802" i="2" s="1"/>
  <c r="U529" i="2" s="1"/>
  <c r="AC774" i="2"/>
  <c r="AC525" i="2" s="1"/>
  <c r="L616" i="2"/>
  <c r="L536" i="2" s="1"/>
  <c r="AF654" i="2"/>
  <c r="AF783" i="2" s="1"/>
  <c r="AF786" i="2" s="1"/>
  <c r="AF787" i="2" s="1"/>
  <c r="AF788" i="2" s="1"/>
  <c r="AF527" i="2" s="1"/>
  <c r="AF774" i="2"/>
  <c r="AF525" i="2" s="1"/>
  <c r="X786" i="2"/>
  <c r="X787" i="2" s="1"/>
  <c r="X788" i="2" s="1"/>
  <c r="X527" i="2" s="1"/>
  <c r="M616" i="2"/>
  <c r="M536" i="2" s="1"/>
  <c r="AA668" i="2"/>
  <c r="AB647" i="2"/>
  <c r="Z647" i="2"/>
  <c r="F609" i="2"/>
  <c r="F429" i="2" s="1"/>
  <c r="S615" i="2"/>
  <c r="S534" i="2" s="1"/>
  <c r="X614" i="2"/>
  <c r="X51" i="2" s="1"/>
  <c r="AD781" i="2"/>
  <c r="AD526" i="2" s="1"/>
  <c r="Z781" i="2"/>
  <c r="Z526" i="2" s="1"/>
  <c r="I786" i="2"/>
  <c r="I787" i="2" s="1"/>
  <c r="I788" i="2" s="1"/>
  <c r="I527" i="2" s="1"/>
  <c r="I828" i="2" s="1"/>
  <c r="R793" i="2"/>
  <c r="R794" i="2" s="1"/>
  <c r="R795" i="2" s="1"/>
  <c r="R528" i="2" s="1"/>
  <c r="AF793" i="2"/>
  <c r="AF794" i="2" s="1"/>
  <c r="AF795" i="2" s="1"/>
  <c r="AF528" i="2" s="1"/>
  <c r="AC661" i="2"/>
  <c r="AC662" i="2" s="1"/>
  <c r="AC663" i="2" s="1"/>
  <c r="AE668" i="2"/>
  <c r="O668" i="2"/>
  <c r="O669" i="2" s="1"/>
  <c r="O670" i="2" s="1"/>
  <c r="AC654" i="2"/>
  <c r="AC783" i="2" s="1"/>
  <c r="AC786" i="2" s="1"/>
  <c r="AC787" i="2" s="1"/>
  <c r="AC788" i="2" s="1"/>
  <c r="AC527" i="2" s="1"/>
  <c r="AA800" i="2"/>
  <c r="AA801" i="2" s="1"/>
  <c r="AA802" i="2" s="1"/>
  <c r="AA529" i="2" s="1"/>
  <c r="P800" i="2"/>
  <c r="P801" i="2" s="1"/>
  <c r="P802" i="2" s="1"/>
  <c r="P529" i="2" s="1"/>
  <c r="AB774" i="2"/>
  <c r="AB525" i="2" s="1"/>
  <c r="J609" i="2"/>
  <c r="J429" i="2" s="1"/>
  <c r="AC668" i="2"/>
  <c r="Z774" i="2"/>
  <c r="Z525" i="2" s="1"/>
  <c r="AC793" i="2"/>
  <c r="AC794" i="2" s="1"/>
  <c r="AC795" i="2" s="1"/>
  <c r="AC528" i="2" s="1"/>
  <c r="L609" i="2"/>
  <c r="L87" i="2" s="1"/>
  <c r="Y610" i="2"/>
  <c r="Y34" i="2" s="1"/>
  <c r="AE616" i="2"/>
  <c r="AE536" i="2" s="1"/>
  <c r="Z610" i="2"/>
  <c r="Z434" i="2" s="1"/>
  <c r="AA647" i="2"/>
  <c r="AC647" i="2"/>
  <c r="O661" i="2"/>
  <c r="O662" i="2" s="1"/>
  <c r="O663" i="2" s="1"/>
  <c r="K609" i="2"/>
  <c r="K315" i="2" s="1"/>
  <c r="F610" i="2"/>
  <c r="F34" i="2" s="1"/>
  <c r="AF615" i="2"/>
  <c r="AF534" i="2" s="1"/>
  <c r="X615" i="2"/>
  <c r="X534" i="2" s="1"/>
  <c r="AA781" i="2"/>
  <c r="AA526" i="2" s="1"/>
  <c r="X793" i="2"/>
  <c r="X794" i="2" s="1"/>
  <c r="X795" i="2" s="1"/>
  <c r="X528" i="2" s="1"/>
  <c r="AB793" i="2"/>
  <c r="AB794" i="2" s="1"/>
  <c r="AB795" i="2" s="1"/>
  <c r="AB528" i="2" s="1"/>
  <c r="V793" i="2"/>
  <c r="V794" i="2" s="1"/>
  <c r="V795" i="2" s="1"/>
  <c r="V528" i="2" s="1"/>
  <c r="Z661" i="2"/>
  <c r="Z662" i="2" s="1"/>
  <c r="Z663" i="2" s="1"/>
  <c r="Z86" i="2" s="1"/>
  <c r="AD668" i="2"/>
  <c r="AB654" i="2"/>
  <c r="AB783" i="2" s="1"/>
  <c r="AB786" i="2" s="1"/>
  <c r="AB787" i="2" s="1"/>
  <c r="AB788" i="2" s="1"/>
  <c r="AB527" i="2" s="1"/>
  <c r="S800" i="2"/>
  <c r="S801" i="2" s="1"/>
  <c r="S802" i="2" s="1"/>
  <c r="S529" i="2" s="1"/>
  <c r="AE800" i="2"/>
  <c r="AE801" i="2" s="1"/>
  <c r="AE802" i="2" s="1"/>
  <c r="AE529" i="2" s="1"/>
  <c r="AA774" i="2"/>
  <c r="AA525" i="2" s="1"/>
  <c r="L610" i="2"/>
  <c r="L34" i="2" s="1"/>
  <c r="AA654" i="2"/>
  <c r="AA783" i="2" s="1"/>
  <c r="AA786" i="2" s="1"/>
  <c r="AA787" i="2" s="1"/>
  <c r="AA788" i="2" s="1"/>
  <c r="AA527" i="2" s="1"/>
  <c r="N616" i="2"/>
  <c r="N536" i="2" s="1"/>
  <c r="AE781" i="2"/>
  <c r="AE526" i="2" s="1"/>
  <c r="Z668" i="2"/>
  <c r="Y800" i="2"/>
  <c r="Y801" i="2" s="1"/>
  <c r="Y802" i="2" s="1"/>
  <c r="Y529" i="2" s="1"/>
  <c r="AF616" i="2"/>
  <c r="AF536" i="2" s="1"/>
  <c r="AC616" i="2"/>
  <c r="AC536" i="2" s="1"/>
  <c r="AB610" i="2"/>
  <c r="AB34" i="2" s="1"/>
  <c r="O647" i="2"/>
  <c r="O648" i="2" s="1"/>
  <c r="AA661" i="2"/>
  <c r="AA662" i="2" s="1"/>
  <c r="AA663" i="2" s="1"/>
  <c r="AE615" i="2"/>
  <c r="AE534" i="2" s="1"/>
  <c r="AD615" i="2"/>
  <c r="AD534" i="2" s="1"/>
  <c r="L807" i="2"/>
  <c r="L808" i="2" s="1"/>
  <c r="L809" i="2" s="1"/>
  <c r="L530" i="2" s="1"/>
  <c r="L831" i="2" s="1"/>
  <c r="W793" i="2"/>
  <c r="W794" i="2" s="1"/>
  <c r="W795" i="2" s="1"/>
  <c r="W528" i="2" s="1"/>
  <c r="AA793" i="2"/>
  <c r="AA794" i="2" s="1"/>
  <c r="AA795" i="2" s="1"/>
  <c r="AA528" i="2" s="1"/>
  <c r="Y654" i="2"/>
  <c r="Y783" i="2" s="1"/>
  <c r="Y786" i="2" s="1"/>
  <c r="Y787" i="2" s="1"/>
  <c r="Y788" i="2" s="1"/>
  <c r="Y527" i="2" s="1"/>
  <c r="Z800" i="2"/>
  <c r="Z801" i="2" s="1"/>
  <c r="Z802" i="2" s="1"/>
  <c r="Z529" i="2" s="1"/>
  <c r="L611" i="2"/>
  <c r="L39" i="2" s="1"/>
  <c r="Y661" i="2"/>
  <c r="Y662" i="2" s="1"/>
  <c r="Y663" i="2" s="1"/>
  <c r="Y143" i="2" s="1"/>
  <c r="AB616" i="2"/>
  <c r="AB536" i="2" s="1"/>
  <c r="N611" i="2"/>
  <c r="N211" i="2" s="1"/>
  <c r="Y647" i="2"/>
  <c r="K597" i="2"/>
  <c r="AD661" i="2"/>
  <c r="AD662" i="2" s="1"/>
  <c r="AD663" i="2" s="1"/>
  <c r="AE647" i="2"/>
  <c r="Y781" i="2"/>
  <c r="Y526" i="2" s="1"/>
  <c r="T793" i="2"/>
  <c r="T794" i="2" s="1"/>
  <c r="T795" i="2" s="1"/>
  <c r="T528" i="2" s="1"/>
  <c r="AB668" i="2"/>
  <c r="R800" i="2"/>
  <c r="R801" i="2" s="1"/>
  <c r="R802" i="2" s="1"/>
  <c r="R529" i="2" s="1"/>
  <c r="O800" i="2"/>
  <c r="O801" i="2" s="1"/>
  <c r="O802" i="2" s="1"/>
  <c r="O529" i="2" s="1"/>
  <c r="Y774" i="2"/>
  <c r="Y525" i="2" s="1"/>
  <c r="AD800" i="2"/>
  <c r="AD801" i="2" s="1"/>
  <c r="AD802" i="2" s="1"/>
  <c r="AD529" i="2" s="1"/>
  <c r="AE649" i="2"/>
  <c r="AC611" i="2"/>
  <c r="AC39" i="2" s="1"/>
  <c r="K682" i="2"/>
  <c r="K683" i="2" s="1"/>
  <c r="K684" i="2" s="1"/>
  <c r="M649" i="2"/>
  <c r="K649" i="2"/>
  <c r="L675" i="2"/>
  <c r="L676" i="2" s="1"/>
  <c r="L677" i="2" s="1"/>
  <c r="L148" i="2" s="1"/>
  <c r="T614" i="2"/>
  <c r="T51" i="2" s="1"/>
  <c r="X610" i="2"/>
  <c r="X320" i="2" s="1"/>
  <c r="U614" i="2"/>
  <c r="U109" i="2" s="1"/>
  <c r="H793" i="2"/>
  <c r="H794" i="2" s="1"/>
  <c r="H795" i="2" s="1"/>
  <c r="H528" i="2" s="1"/>
  <c r="H829" i="2" s="1"/>
  <c r="J605" i="2"/>
  <c r="H603" i="2"/>
  <c r="G604" i="2"/>
  <c r="AC696" i="2"/>
  <c r="AC697" i="2" s="1"/>
  <c r="AC698" i="2" s="1"/>
  <c r="AF710" i="2"/>
  <c r="AB656" i="2"/>
  <c r="AF656" i="2"/>
  <c r="AD682" i="2"/>
  <c r="AD683" i="2" s="1"/>
  <c r="AD684" i="2" s="1"/>
  <c r="AD205" i="2" s="1"/>
  <c r="I615" i="2"/>
  <c r="I534" i="2" s="1"/>
  <c r="I689" i="2"/>
  <c r="I690" i="2" s="1"/>
  <c r="I691" i="2" s="1"/>
  <c r="I38" i="2" s="1"/>
  <c r="K616" i="2"/>
  <c r="K536" i="2" s="1"/>
  <c r="AA609" i="2"/>
  <c r="AA29" i="2" s="1"/>
  <c r="AF609" i="2"/>
  <c r="AF29" i="2" s="1"/>
  <c r="O610" i="2"/>
  <c r="O377" i="2" s="1"/>
  <c r="N604" i="2"/>
  <c r="N605" i="2"/>
  <c r="AD649" i="2"/>
  <c r="M471" i="2"/>
  <c r="M786" i="2"/>
  <c r="M787" i="2" s="1"/>
  <c r="M788" i="2" s="1"/>
  <c r="M527" i="2" s="1"/>
  <c r="M828" i="2" s="1"/>
  <c r="L800" i="2"/>
  <c r="L801" i="2" s="1"/>
  <c r="L802" i="2" s="1"/>
  <c r="L529" i="2" s="1"/>
  <c r="L830" i="2" s="1"/>
  <c r="G603" i="2"/>
  <c r="G786" i="2"/>
  <c r="G787" i="2" s="1"/>
  <c r="G788" i="2" s="1"/>
  <c r="G527" i="2" s="1"/>
  <c r="G828" i="2" s="1"/>
  <c r="Y696" i="2"/>
  <c r="Y697" i="2" s="1"/>
  <c r="Y698" i="2" s="1"/>
  <c r="Y710" i="2"/>
  <c r="Y711" i="2" s="1"/>
  <c r="Y712" i="2" s="1"/>
  <c r="L656" i="2"/>
  <c r="H656" i="2"/>
  <c r="AF682" i="2"/>
  <c r="AF683" i="2" s="1"/>
  <c r="AF684" i="2" s="1"/>
  <c r="AC682" i="2"/>
  <c r="AC683" i="2" s="1"/>
  <c r="AC684" i="2" s="1"/>
  <c r="AD656" i="2"/>
  <c r="M656" i="2"/>
  <c r="O611" i="2"/>
  <c r="O39" i="2" s="1"/>
  <c r="AB611" i="2"/>
  <c r="AB97" i="2" s="1"/>
  <c r="AB609" i="2"/>
  <c r="AB29" i="2" s="1"/>
  <c r="F616" i="2"/>
  <c r="F343" i="2" s="1"/>
  <c r="W615" i="2"/>
  <c r="W534" i="2" s="1"/>
  <c r="AA649" i="2"/>
  <c r="J786" i="2"/>
  <c r="J787" i="2" s="1"/>
  <c r="J788" i="2" s="1"/>
  <c r="J527" i="2" s="1"/>
  <c r="J828" i="2" s="1"/>
  <c r="J779" i="2"/>
  <c r="J780" i="2" s="1"/>
  <c r="J781" i="2" s="1"/>
  <c r="J526" i="2" s="1"/>
  <c r="J827" i="2" s="1"/>
  <c r="H786" i="2"/>
  <c r="H787" i="2" s="1"/>
  <c r="H788" i="2" s="1"/>
  <c r="H527" i="2" s="1"/>
  <c r="H828" i="2" s="1"/>
  <c r="K800" i="2"/>
  <c r="K801" i="2" s="1"/>
  <c r="K802" i="2" s="1"/>
  <c r="K529" i="2" s="1"/>
  <c r="K830" i="2" s="1"/>
  <c r="H605" i="2"/>
  <c r="O696" i="2"/>
  <c r="O697" i="2" s="1"/>
  <c r="O698" i="2" s="1"/>
  <c r="AD710" i="2"/>
  <c r="AE710" i="2"/>
  <c r="AA656" i="2"/>
  <c r="AE656" i="2"/>
  <c r="AE682" i="2"/>
  <c r="AE683" i="2" s="1"/>
  <c r="AE684" i="2" s="1"/>
  <c r="AE376" i="2" s="1"/>
  <c r="J682" i="2"/>
  <c r="J683" i="2" s="1"/>
  <c r="J684" i="2" s="1"/>
  <c r="J262" i="2" s="1"/>
  <c r="AB696" i="2"/>
  <c r="AB697" i="2" s="1"/>
  <c r="AB698" i="2" s="1"/>
  <c r="AB438" i="2" s="1"/>
  <c r="G605" i="2"/>
  <c r="J696" i="2"/>
  <c r="J697" i="2" s="1"/>
  <c r="J698" i="2" s="1"/>
  <c r="AF610" i="2"/>
  <c r="AF377" i="2" s="1"/>
  <c r="AC610" i="2"/>
  <c r="AC34" i="2" s="1"/>
  <c r="J616" i="2"/>
  <c r="J536" i="2" s="1"/>
  <c r="AD609" i="2"/>
  <c r="AD29" i="2" s="1"/>
  <c r="F649" i="2"/>
  <c r="L661" i="2"/>
  <c r="L662" i="2" s="1"/>
  <c r="L663" i="2" s="1"/>
  <c r="L28" i="2" s="1"/>
  <c r="AC649" i="2"/>
  <c r="G649" i="2"/>
  <c r="W610" i="2"/>
  <c r="W34" i="2" s="1"/>
  <c r="X609" i="2"/>
  <c r="X315" i="2" s="1"/>
  <c r="L779" i="2"/>
  <c r="L780" i="2" s="1"/>
  <c r="L781" i="2" s="1"/>
  <c r="L526" i="2" s="1"/>
  <c r="L827" i="2" s="1"/>
  <c r="H604" i="2"/>
  <c r="AF696" i="2"/>
  <c r="AF697" i="2" s="1"/>
  <c r="AF698" i="2" s="1"/>
  <c r="AE696" i="2"/>
  <c r="AE697" i="2" s="1"/>
  <c r="AE698" i="2" s="1"/>
  <c r="AC710" i="2"/>
  <c r="O710" i="2"/>
  <c r="O711" i="2" s="1"/>
  <c r="O712" i="2" s="1"/>
  <c r="K656" i="2"/>
  <c r="O656" i="2"/>
  <c r="AA682" i="2"/>
  <c r="AA683" i="2" s="1"/>
  <c r="AA684" i="2" s="1"/>
  <c r="Z682" i="2"/>
  <c r="Z683" i="2" s="1"/>
  <c r="Z684" i="2" s="1"/>
  <c r="J656" i="2"/>
  <c r="F656" i="2"/>
  <c r="AD611" i="2"/>
  <c r="AD325" i="2" s="1"/>
  <c r="F597" i="2"/>
  <c r="O609" i="2"/>
  <c r="O29" i="2" s="1"/>
  <c r="AE609" i="2"/>
  <c r="AE29" i="2" s="1"/>
  <c r="H649" i="2"/>
  <c r="AF649" i="2"/>
  <c r="L649" i="2"/>
  <c r="M800" i="2"/>
  <c r="M801" i="2" s="1"/>
  <c r="M802" i="2" s="1"/>
  <c r="M529" i="2" s="1"/>
  <c r="M830" i="2" s="1"/>
  <c r="L689" i="2"/>
  <c r="L690" i="2" s="1"/>
  <c r="L691" i="2" s="1"/>
  <c r="L38" i="2" s="1"/>
  <c r="U609" i="2"/>
  <c r="U29" i="2" s="1"/>
  <c r="V615" i="2"/>
  <c r="V534" i="2" s="1"/>
  <c r="R614" i="2"/>
  <c r="R337" i="2" s="1"/>
  <c r="M793" i="2"/>
  <c r="M794" i="2" s="1"/>
  <c r="M795" i="2" s="1"/>
  <c r="M528" i="2" s="1"/>
  <c r="M829" i="2" s="1"/>
  <c r="I605" i="2"/>
  <c r="AD696" i="2"/>
  <c r="AD697" i="2" s="1"/>
  <c r="AD698" i="2" s="1"/>
  <c r="AD267" i="2" s="1"/>
  <c r="Z696" i="2"/>
  <c r="Z697" i="2" s="1"/>
  <c r="Z698" i="2" s="1"/>
  <c r="AB710" i="2"/>
  <c r="Z656" i="2"/>
  <c r="G656" i="2"/>
  <c r="AA710" i="2"/>
  <c r="J649" i="2"/>
  <c r="L603" i="2"/>
  <c r="K696" i="2"/>
  <c r="K697" i="2" s="1"/>
  <c r="K698" i="2" s="1"/>
  <c r="K210" i="2" s="1"/>
  <c r="AE611" i="2"/>
  <c r="AE39" i="2" s="1"/>
  <c r="AD610" i="2"/>
  <c r="AD34" i="2" s="1"/>
  <c r="AC609" i="2"/>
  <c r="AC29" i="2" s="1"/>
  <c r="P615" i="2"/>
  <c r="P534" i="2" s="1"/>
  <c r="N793" i="2"/>
  <c r="N794" i="2" s="1"/>
  <c r="N795" i="2" s="1"/>
  <c r="N528" i="2" s="1"/>
  <c r="N829" i="2" s="1"/>
  <c r="I649" i="2"/>
  <c r="Z649" i="2"/>
  <c r="O649" i="2"/>
  <c r="M597" i="2"/>
  <c r="S609" i="2"/>
  <c r="S29" i="2" s="1"/>
  <c r="G779" i="2"/>
  <c r="G780" i="2" s="1"/>
  <c r="G781" i="2" s="1"/>
  <c r="G526" i="2" s="1"/>
  <c r="G827" i="2" s="1"/>
  <c r="L605" i="2"/>
  <c r="I675" i="2"/>
  <c r="I676" i="2" s="1"/>
  <c r="I677" i="2" s="1"/>
  <c r="I33" i="2" s="1"/>
  <c r="I604" i="2"/>
  <c r="O682" i="2"/>
  <c r="O683" i="2" s="1"/>
  <c r="O684" i="2" s="1"/>
  <c r="N603" i="2"/>
  <c r="G793" i="2"/>
  <c r="G794" i="2" s="1"/>
  <c r="G795" i="2" s="1"/>
  <c r="G528" i="2" s="1"/>
  <c r="G829" i="2" s="1"/>
  <c r="I656" i="2"/>
  <c r="I661" i="2" s="1"/>
  <c r="I662" i="2" s="1"/>
  <c r="I663" i="2" s="1"/>
  <c r="I28" i="2" s="1"/>
  <c r="AA610" i="2"/>
  <c r="AA34" i="2" s="1"/>
  <c r="W614" i="2"/>
  <c r="W337" i="2" s="1"/>
  <c r="H661" i="2"/>
  <c r="H662" i="2" s="1"/>
  <c r="H663" i="2" s="1"/>
  <c r="H28" i="2" s="1"/>
  <c r="N649" i="2"/>
  <c r="AB649" i="2"/>
  <c r="M689" i="2"/>
  <c r="M690" i="2" s="1"/>
  <c r="M691" i="2" s="1"/>
  <c r="M38" i="2" s="1"/>
  <c r="Q615" i="2"/>
  <c r="Q534" i="2" s="1"/>
  <c r="W609" i="2"/>
  <c r="W315" i="2" s="1"/>
  <c r="S614" i="2"/>
  <c r="S51" i="2" s="1"/>
  <c r="L604" i="2"/>
  <c r="J603" i="2"/>
  <c r="I603" i="2"/>
  <c r="AA696" i="2"/>
  <c r="AA697" i="2" s="1"/>
  <c r="AA698" i="2" s="1"/>
  <c r="Z710" i="2"/>
  <c r="AC656" i="2"/>
  <c r="Y656" i="2"/>
  <c r="N656" i="2"/>
  <c r="N665" i="2" s="1"/>
  <c r="N668" i="2" s="1"/>
  <c r="N669" i="2" s="1"/>
  <c r="N670" i="2" s="1"/>
  <c r="N428" i="2" s="1"/>
  <c r="Y682" i="2"/>
  <c r="Y683" i="2" s="1"/>
  <c r="Y684" i="2" s="1"/>
  <c r="Y376" i="2" s="1"/>
  <c r="AF611" i="2"/>
  <c r="AF39" i="2" s="1"/>
  <c r="N786" i="2"/>
  <c r="N787" i="2" s="1"/>
  <c r="N788" i="2" s="1"/>
  <c r="N527" i="2" s="1"/>
  <c r="N828" i="2" s="1"/>
  <c r="AE610" i="2"/>
  <c r="AE320" i="2" s="1"/>
  <c r="Y649" i="2"/>
  <c r="H779" i="2"/>
  <c r="H780" i="2" s="1"/>
  <c r="H781" i="2" s="1"/>
  <c r="H526" i="2" s="1"/>
  <c r="H827" i="2" s="1"/>
  <c r="J604" i="2"/>
  <c r="AB682" i="2"/>
  <c r="AB683" i="2" s="1"/>
  <c r="AB684" i="2" s="1"/>
  <c r="I696" i="2"/>
  <c r="I697" i="2" s="1"/>
  <c r="I698" i="2" s="1"/>
  <c r="I267" i="2" s="1"/>
  <c r="G682" i="2"/>
  <c r="G683" i="2" s="1"/>
  <c r="G684" i="2" s="1"/>
  <c r="N710" i="2"/>
  <c r="N711" i="2" s="1"/>
  <c r="N712" i="2" s="1"/>
  <c r="N254" i="2" s="1"/>
  <c r="K603" i="2"/>
  <c r="J661" i="2"/>
  <c r="J662" i="2" s="1"/>
  <c r="J663" i="2" s="1"/>
  <c r="J28" i="2" s="1"/>
  <c r="K661" i="2"/>
  <c r="K662" i="2" s="1"/>
  <c r="K663" i="2" s="1"/>
  <c r="K86" i="2" s="1"/>
  <c r="W611" i="2"/>
  <c r="W39" i="2" s="1"/>
  <c r="P609" i="2"/>
  <c r="P315" i="2" s="1"/>
  <c r="T610" i="2"/>
  <c r="T320" i="2" s="1"/>
  <c r="G661" i="2"/>
  <c r="G662" i="2" s="1"/>
  <c r="G663" i="2" s="1"/>
  <c r="K779" i="2"/>
  <c r="K780" i="2" s="1"/>
  <c r="K781" i="2" s="1"/>
  <c r="K526" i="2" s="1"/>
  <c r="K827" i="2" s="1"/>
  <c r="J602" i="2"/>
  <c r="J305" i="2" s="1"/>
  <c r="N597" i="2"/>
  <c r="J668" i="2"/>
  <c r="J669" i="2" s="1"/>
  <c r="J670" i="2" s="1"/>
  <c r="J314" i="2" s="1"/>
  <c r="T786" i="2"/>
  <c r="T787" i="2" s="1"/>
  <c r="T788" i="2" s="1"/>
  <c r="T527" i="2" s="1"/>
  <c r="M779" i="2"/>
  <c r="M780" i="2" s="1"/>
  <c r="M781" i="2" s="1"/>
  <c r="M526" i="2" s="1"/>
  <c r="M827" i="2" s="1"/>
  <c r="L786" i="2"/>
  <c r="L787" i="2" s="1"/>
  <c r="L788" i="2" s="1"/>
  <c r="L527" i="2" s="1"/>
  <c r="L828" i="2" s="1"/>
  <c r="U610" i="2"/>
  <c r="U34" i="2" s="1"/>
  <c r="N689" i="2"/>
  <c r="N690" i="2" s="1"/>
  <c r="N691" i="2" s="1"/>
  <c r="N153" i="2" s="1"/>
  <c r="L602" i="2"/>
  <c r="L19" i="2" s="1"/>
  <c r="J703" i="2"/>
  <c r="J704" i="2" s="1"/>
  <c r="J705" i="2" s="1"/>
  <c r="J83" i="2" s="1"/>
  <c r="H675" i="2"/>
  <c r="H676" i="2" s="1"/>
  <c r="H677" i="2" s="1"/>
  <c r="H33" i="2" s="1"/>
  <c r="H703" i="2"/>
  <c r="H704" i="2" s="1"/>
  <c r="H705" i="2" s="1"/>
  <c r="H25" i="2" s="1"/>
  <c r="G703" i="2"/>
  <c r="G704" i="2" s="1"/>
  <c r="G705" i="2" s="1"/>
  <c r="G311" i="2" s="1"/>
  <c r="N779" i="2"/>
  <c r="N780" i="2" s="1"/>
  <c r="N781" i="2" s="1"/>
  <c r="N526" i="2" s="1"/>
  <c r="N827" i="2" s="1"/>
  <c r="I779" i="2"/>
  <c r="I780" i="2" s="1"/>
  <c r="I781" i="2" s="1"/>
  <c r="I526" i="2" s="1"/>
  <c r="I827" i="2" s="1"/>
  <c r="I616" i="2"/>
  <c r="I536" i="2" s="1"/>
  <c r="M661" i="2"/>
  <c r="M662" i="2" s="1"/>
  <c r="M663" i="2" s="1"/>
  <c r="M28" i="2" s="1"/>
  <c r="K605" i="2"/>
  <c r="U611" i="2"/>
  <c r="U39" i="2" s="1"/>
  <c r="R609" i="2"/>
  <c r="R429" i="2" s="1"/>
  <c r="X611" i="2"/>
  <c r="X39" i="2" s="1"/>
  <c r="L772" i="2"/>
  <c r="L773" i="2" s="1"/>
  <c r="L774" i="2" s="1"/>
  <c r="L525" i="2" s="1"/>
  <c r="I609" i="2"/>
  <c r="I29" i="2" s="1"/>
  <c r="I610" i="2"/>
  <c r="I34" i="2" s="1"/>
  <c r="H602" i="2"/>
  <c r="H305" i="2" s="1"/>
  <c r="M696" i="2"/>
  <c r="M697" i="2" s="1"/>
  <c r="M698" i="2" s="1"/>
  <c r="M210" i="2" s="1"/>
  <c r="P786" i="2"/>
  <c r="P787" i="2" s="1"/>
  <c r="P788" i="2" s="1"/>
  <c r="P527" i="2" s="1"/>
  <c r="N772" i="2"/>
  <c r="N773" i="2" s="1"/>
  <c r="N774" i="2" s="1"/>
  <c r="N525" i="2" s="1"/>
  <c r="S610" i="2"/>
  <c r="S149" i="2" s="1"/>
  <c r="Q614" i="2"/>
  <c r="Q51" i="2" s="1"/>
  <c r="T609" i="2"/>
  <c r="T258" i="2" s="1"/>
  <c r="G689" i="2"/>
  <c r="G690" i="2" s="1"/>
  <c r="G691" i="2" s="1"/>
  <c r="G38" i="2" s="1"/>
  <c r="H597" i="2"/>
  <c r="N675" i="2"/>
  <c r="N676" i="2" s="1"/>
  <c r="N677" i="2" s="1"/>
  <c r="N33" i="2" s="1"/>
  <c r="H689" i="2"/>
  <c r="H690" i="2" s="1"/>
  <c r="H691" i="2" s="1"/>
  <c r="H38" i="2" s="1"/>
  <c r="G602" i="2"/>
  <c r="G305" i="2" s="1"/>
  <c r="F603" i="2"/>
  <c r="N647" i="2"/>
  <c r="N648" i="2" s="1"/>
  <c r="M682" i="2"/>
  <c r="M683" i="2" s="1"/>
  <c r="M684" i="2" s="1"/>
  <c r="M376" i="2" s="1"/>
  <c r="L696" i="2"/>
  <c r="L697" i="2" s="1"/>
  <c r="L698" i="2" s="1"/>
  <c r="L210" i="2" s="1"/>
  <c r="W786" i="2"/>
  <c r="W787" i="2" s="1"/>
  <c r="W788" i="2" s="1"/>
  <c r="W527" i="2" s="1"/>
  <c r="N703" i="2"/>
  <c r="N704" i="2" s="1"/>
  <c r="N705" i="2" s="1"/>
  <c r="N311" i="2" s="1"/>
  <c r="N602" i="2"/>
  <c r="N19" i="2" s="1"/>
  <c r="M604" i="2"/>
  <c r="K604" i="2"/>
  <c r="M675" i="2"/>
  <c r="M676" i="2" s="1"/>
  <c r="M677" i="2" s="1"/>
  <c r="M91" i="2" s="1"/>
  <c r="R610" i="2"/>
  <c r="R263" i="2" s="1"/>
  <c r="M602" i="2"/>
  <c r="M19" i="2" s="1"/>
  <c r="L793" i="2"/>
  <c r="L794" i="2" s="1"/>
  <c r="L795" i="2" s="1"/>
  <c r="L528" i="2" s="1"/>
  <c r="L829" i="2" s="1"/>
  <c r="I703" i="2"/>
  <c r="I704" i="2" s="1"/>
  <c r="I705" i="2" s="1"/>
  <c r="I25" i="2" s="1"/>
  <c r="G772" i="2"/>
  <c r="G773" i="2" s="1"/>
  <c r="G774" i="2" s="1"/>
  <c r="G525" i="2" s="1"/>
  <c r="F604" i="2"/>
  <c r="I611" i="2"/>
  <c r="I325" i="2" s="1"/>
  <c r="L703" i="2"/>
  <c r="L704" i="2" s="1"/>
  <c r="L705" i="2" s="1"/>
  <c r="L83" i="2" s="1"/>
  <c r="I682" i="2"/>
  <c r="I683" i="2" s="1"/>
  <c r="I684" i="2" s="1"/>
  <c r="M668" i="2"/>
  <c r="M669" i="2" s="1"/>
  <c r="M670" i="2" s="1"/>
  <c r="M314" i="2" s="1"/>
  <c r="L682" i="2"/>
  <c r="L683" i="2" s="1"/>
  <c r="L684" i="2" s="1"/>
  <c r="K793" i="2"/>
  <c r="K794" i="2" s="1"/>
  <c r="K795" i="2" s="1"/>
  <c r="K528" i="2" s="1"/>
  <c r="K829" i="2" s="1"/>
  <c r="Q609" i="2"/>
  <c r="Q144" i="2" s="1"/>
  <c r="X616" i="2"/>
  <c r="X536" i="2" s="1"/>
  <c r="M772" i="2"/>
  <c r="M773" i="2" s="1"/>
  <c r="M774" i="2" s="1"/>
  <c r="M525" i="2" s="1"/>
  <c r="I597" i="2"/>
  <c r="H772" i="2"/>
  <c r="H773" i="2" s="1"/>
  <c r="H774" i="2" s="1"/>
  <c r="H525" i="2" s="1"/>
  <c r="S786" i="2"/>
  <c r="S787" i="2" s="1"/>
  <c r="S788" i="2" s="1"/>
  <c r="S527" i="2" s="1"/>
  <c r="V786" i="2"/>
  <c r="V787" i="2" s="1"/>
  <c r="V788" i="2" s="1"/>
  <c r="V527" i="2" s="1"/>
  <c r="I668" i="2"/>
  <c r="I669" i="2" s="1"/>
  <c r="I670" i="2" s="1"/>
  <c r="I314" i="2" s="1"/>
  <c r="M603" i="2"/>
  <c r="G675" i="2"/>
  <c r="G676" i="2" s="1"/>
  <c r="G677" i="2" s="1"/>
  <c r="G33" i="2" s="1"/>
  <c r="J772" i="2"/>
  <c r="J773" i="2" s="1"/>
  <c r="J774" i="2" s="1"/>
  <c r="J525" i="2" s="1"/>
  <c r="V614" i="2"/>
  <c r="V51" i="2" s="1"/>
  <c r="K703" i="2"/>
  <c r="K704" i="2" s="1"/>
  <c r="K705" i="2" s="1"/>
  <c r="K83" i="2" s="1"/>
  <c r="F605" i="2"/>
  <c r="J597" i="2"/>
  <c r="Q786" i="2"/>
  <c r="Q787" i="2" s="1"/>
  <c r="Q788" i="2" s="1"/>
  <c r="Q527" i="2" s="1"/>
  <c r="N661" i="2"/>
  <c r="N662" i="2" s="1"/>
  <c r="N663" i="2" s="1"/>
  <c r="N28" i="2" s="1"/>
  <c r="M605" i="2"/>
  <c r="P610" i="2"/>
  <c r="P34" i="2" s="1"/>
  <c r="I793" i="2"/>
  <c r="I794" i="2" s="1"/>
  <c r="I795" i="2" s="1"/>
  <c r="I528" i="2" s="1"/>
  <c r="I829" i="2" s="1"/>
  <c r="G710" i="2"/>
  <c r="G711" i="2" s="1"/>
  <c r="G712" i="2" s="1"/>
  <c r="G368" i="2" s="1"/>
  <c r="N682" i="2"/>
  <c r="N683" i="2" s="1"/>
  <c r="N684" i="2" s="1"/>
  <c r="N319" i="2" s="1"/>
  <c r="N696" i="2"/>
  <c r="N697" i="2" s="1"/>
  <c r="N698" i="2" s="1"/>
  <c r="N210" i="2" s="1"/>
  <c r="I772" i="2"/>
  <c r="I773" i="2" s="1"/>
  <c r="I774" i="2" s="1"/>
  <c r="I525" i="2" s="1"/>
  <c r="N654" i="2"/>
  <c r="N655" i="2" s="1"/>
  <c r="K772" i="2"/>
  <c r="K773" i="2" s="1"/>
  <c r="K774" i="2" s="1"/>
  <c r="K525" i="2" s="1"/>
  <c r="V609" i="2"/>
  <c r="V429" i="2" s="1"/>
  <c r="F779" i="2"/>
  <c r="K710" i="2"/>
  <c r="K711" i="2" s="1"/>
  <c r="K712" i="2" s="1"/>
  <c r="K425" i="2" s="1"/>
  <c r="H668" i="2"/>
  <c r="H669" i="2" s="1"/>
  <c r="H670" i="2" s="1"/>
  <c r="H314" i="2" s="1"/>
  <c r="M703" i="2"/>
  <c r="M704" i="2" s="1"/>
  <c r="M705" i="2" s="1"/>
  <c r="M25" i="2" s="1"/>
  <c r="K786" i="2"/>
  <c r="K787" i="2" s="1"/>
  <c r="K788" i="2" s="1"/>
  <c r="K527" i="2" s="1"/>
  <c r="K828" i="2" s="1"/>
  <c r="S616" i="2"/>
  <c r="S536" i="2" s="1"/>
  <c r="R611" i="2"/>
  <c r="R382" i="2" s="1"/>
  <c r="U616" i="2"/>
  <c r="U536" i="2" s="1"/>
  <c r="M647" i="2"/>
  <c r="M648" i="2" s="1"/>
  <c r="G696" i="2"/>
  <c r="G697" i="2" s="1"/>
  <c r="G698" i="2" s="1"/>
  <c r="G324" i="2" s="1"/>
  <c r="G668" i="2"/>
  <c r="G669" i="2" s="1"/>
  <c r="G670" i="2" s="1"/>
  <c r="G371" i="2" s="1"/>
  <c r="T611" i="2"/>
  <c r="T39" i="2" s="1"/>
  <c r="S611" i="2"/>
  <c r="S39" i="2" s="1"/>
  <c r="H647" i="2"/>
  <c r="H648" i="2" s="1"/>
  <c r="F703" i="2"/>
  <c r="F704" i="2" s="1"/>
  <c r="F705" i="2" s="1"/>
  <c r="F25" i="2" s="1"/>
  <c r="I710" i="2"/>
  <c r="I711" i="2" s="1"/>
  <c r="I712" i="2" s="1"/>
  <c r="I368" i="2" s="1"/>
  <c r="L668" i="2"/>
  <c r="L669" i="2" s="1"/>
  <c r="L670" i="2" s="1"/>
  <c r="L314" i="2" s="1"/>
  <c r="J793" i="2"/>
  <c r="J794" i="2" s="1"/>
  <c r="J795" i="2" s="1"/>
  <c r="J528" i="2" s="1"/>
  <c r="J829" i="2" s="1"/>
  <c r="Q610" i="2"/>
  <c r="Q320" i="2" s="1"/>
  <c r="P616" i="2"/>
  <c r="P536" i="2" s="1"/>
  <c r="L647" i="2"/>
  <c r="L648" i="2" s="1"/>
  <c r="F786" i="2"/>
  <c r="I602" i="2"/>
  <c r="I305" i="2" s="1"/>
  <c r="M710" i="2"/>
  <c r="M711" i="2" s="1"/>
  <c r="M712" i="2" s="1"/>
  <c r="M425" i="2" s="1"/>
  <c r="H710" i="2"/>
  <c r="H711" i="2" s="1"/>
  <c r="H712" i="2" s="1"/>
  <c r="H425" i="2" s="1"/>
  <c r="K602" i="2"/>
  <c r="K305" i="2" s="1"/>
  <c r="W616" i="2"/>
  <c r="W536" i="2" s="1"/>
  <c r="G647" i="2"/>
  <c r="G648" i="2" s="1"/>
  <c r="F661" i="2"/>
  <c r="F793" i="2"/>
  <c r="U48" i="2"/>
  <c r="H696" i="2"/>
  <c r="H697" i="2" s="1"/>
  <c r="H698" i="2" s="1"/>
  <c r="H324" i="2" s="1"/>
  <c r="H682" i="2"/>
  <c r="H683" i="2" s="1"/>
  <c r="H684" i="2" s="1"/>
  <c r="H433" i="2" s="1"/>
  <c r="J647" i="2"/>
  <c r="J648" i="2" s="1"/>
  <c r="J710" i="2"/>
  <c r="J711" i="2" s="1"/>
  <c r="J712" i="2" s="1"/>
  <c r="J197" i="2" s="1"/>
  <c r="L710" i="2"/>
  <c r="L711" i="2" s="1"/>
  <c r="L712" i="2" s="1"/>
  <c r="L425" i="2" s="1"/>
  <c r="P611" i="2"/>
  <c r="P325" i="2" s="1"/>
  <c r="F668" i="2"/>
  <c r="F669" i="2" s="1"/>
  <c r="F670" i="2" s="1"/>
  <c r="F314" i="2" s="1"/>
  <c r="F710" i="2"/>
  <c r="F711" i="2" s="1"/>
  <c r="F712" i="2" s="1"/>
  <c r="F368" i="2" s="1"/>
  <c r="J48" i="2"/>
  <c r="Y48" i="2"/>
  <c r="F48" i="2"/>
  <c r="F51" i="2"/>
  <c r="J654" i="2"/>
  <c r="J655" i="2" s="1"/>
  <c r="H654" i="2"/>
  <c r="H655" i="2" s="1"/>
  <c r="I48" i="2"/>
  <c r="K48" i="2"/>
  <c r="AC48" i="2"/>
  <c r="T48" i="2"/>
  <c r="Q616" i="2"/>
  <c r="Q536" i="2" s="1"/>
  <c r="Q611" i="2"/>
  <c r="Q211" i="2" s="1"/>
  <c r="P51" i="2"/>
  <c r="V611" i="2"/>
  <c r="V39" i="2" s="1"/>
  <c r="G654" i="2"/>
  <c r="G655" i="2" s="1"/>
  <c r="M654" i="2"/>
  <c r="M655" i="2" s="1"/>
  <c r="X48" i="2"/>
  <c r="AB48" i="2"/>
  <c r="Q48" i="2"/>
  <c r="S48" i="2"/>
  <c r="W48" i="2"/>
  <c r="F602" i="2"/>
  <c r="F305" i="2" s="1"/>
  <c r="AF48" i="2"/>
  <c r="K647" i="2"/>
  <c r="K648" i="2" s="1"/>
  <c r="AE48" i="2"/>
  <c r="AD48" i="2"/>
  <c r="G48" i="2"/>
  <c r="U19" i="2"/>
  <c r="R616" i="2"/>
  <c r="R536" i="2" s="1"/>
  <c r="V48" i="2"/>
  <c r="L654" i="2"/>
  <c r="L655" i="2" s="1"/>
  <c r="L48" i="2"/>
  <c r="R48" i="2"/>
  <c r="N48" i="2"/>
  <c r="T616" i="2"/>
  <c r="T536" i="2" s="1"/>
  <c r="AE51" i="2"/>
  <c r="Z48" i="2"/>
  <c r="K668" i="2"/>
  <c r="K669" i="2" s="1"/>
  <c r="K670" i="2" s="1"/>
  <c r="K314" i="2" s="1"/>
  <c r="M48" i="2"/>
  <c r="AA48" i="2"/>
  <c r="V610" i="2"/>
  <c r="V34" i="2" s="1"/>
  <c r="K654" i="2"/>
  <c r="K655" i="2" s="1"/>
  <c r="P48" i="2"/>
  <c r="H48" i="2"/>
  <c r="O48" i="2"/>
  <c r="I647" i="2"/>
  <c r="I648" i="2" s="1"/>
  <c r="J334" i="2"/>
  <c r="X334" i="2"/>
  <c r="K334" i="2"/>
  <c r="F772" i="2"/>
  <c r="F44" i="2"/>
  <c r="U44" i="2"/>
  <c r="I44" i="2"/>
  <c r="T330" i="2"/>
  <c r="X330" i="2"/>
  <c r="G330" i="2"/>
  <c r="Y106" i="2"/>
  <c r="AD106" i="2"/>
  <c r="L106" i="2"/>
  <c r="G106" i="2"/>
  <c r="AC106" i="2"/>
  <c r="Q330" i="2"/>
  <c r="W44" i="2"/>
  <c r="AC334" i="2"/>
  <c r="S334" i="2"/>
  <c r="N334" i="2"/>
  <c r="P334" i="2"/>
  <c r="P44" i="2"/>
  <c r="J44" i="2"/>
  <c r="AA44" i="2"/>
  <c r="AA330" i="2"/>
  <c r="P330" i="2"/>
  <c r="H330" i="2"/>
  <c r="Q106" i="2"/>
  <c r="V106" i="2"/>
  <c r="K106" i="2"/>
  <c r="AB106" i="2"/>
  <c r="N106" i="2"/>
  <c r="X106" i="2"/>
  <c r="M330" i="2"/>
  <c r="O44" i="2"/>
  <c r="AD334" i="2"/>
  <c r="W334" i="2"/>
  <c r="I334" i="2"/>
  <c r="AC340" i="2"/>
  <c r="Q44" i="2"/>
  <c r="Z44" i="2"/>
  <c r="AD44" i="2"/>
  <c r="AD45" i="2" s="1"/>
  <c r="P337" i="2"/>
  <c r="S330" i="2"/>
  <c r="AE330" i="2"/>
  <c r="I330" i="2"/>
  <c r="AF106" i="2"/>
  <c r="I106" i="2"/>
  <c r="V330" i="2"/>
  <c r="W106" i="2"/>
  <c r="I654" i="2"/>
  <c r="I655" i="2" s="1"/>
  <c r="Q334" i="2"/>
  <c r="F334" i="2"/>
  <c r="AE334" i="2"/>
  <c r="Y44" i="2"/>
  <c r="K44" i="2"/>
  <c r="N44" i="2"/>
  <c r="Z330" i="2"/>
  <c r="W330" i="2"/>
  <c r="L330" i="2"/>
  <c r="Z315" i="2"/>
  <c r="T106" i="2"/>
  <c r="M334" i="2"/>
  <c r="G334" i="2"/>
  <c r="L334" i="2"/>
  <c r="Z334" i="2"/>
  <c r="AF334" i="2"/>
  <c r="M44" i="2"/>
  <c r="V616" i="2"/>
  <c r="V400" i="2" s="1"/>
  <c r="R44" i="2"/>
  <c r="AF44" i="2"/>
  <c r="G44" i="2"/>
  <c r="AF337" i="2"/>
  <c r="AC330" i="2"/>
  <c r="R330" i="2"/>
  <c r="O330" i="2"/>
  <c r="J330" i="2"/>
  <c r="AA106" i="2"/>
  <c r="P106" i="2"/>
  <c r="U106" i="2"/>
  <c r="F106" i="2"/>
  <c r="Z106" i="2"/>
  <c r="AB334" i="2"/>
  <c r="O334" i="2"/>
  <c r="Y334" i="2"/>
  <c r="T334" i="2"/>
  <c r="V334" i="2"/>
  <c r="AE44" i="2"/>
  <c r="F647" i="2"/>
  <c r="H44" i="2"/>
  <c r="AC44" i="2"/>
  <c r="L44" i="2"/>
  <c r="T44" i="2"/>
  <c r="U330" i="2"/>
  <c r="Y330" i="2"/>
  <c r="AD330" i="2"/>
  <c r="K330" i="2"/>
  <c r="S106" i="2"/>
  <c r="AE106" i="2"/>
  <c r="M106" i="2"/>
  <c r="H334" i="2"/>
  <c r="V44" i="2"/>
  <c r="U334" i="2"/>
  <c r="AA334" i="2"/>
  <c r="R334" i="2"/>
  <c r="AB44" i="2"/>
  <c r="X44" i="2"/>
  <c r="S44" i="2"/>
  <c r="F330" i="2"/>
  <c r="J106" i="2"/>
  <c r="AF330" i="2"/>
  <c r="N330" i="2"/>
  <c r="AB330" i="2"/>
  <c r="R106" i="2"/>
  <c r="H106" i="2"/>
  <c r="O106" i="2"/>
  <c r="AD448" i="2"/>
  <c r="Q448" i="2"/>
  <c r="K448" i="2"/>
  <c r="AF391" i="2"/>
  <c r="AC391" i="2"/>
  <c r="L391" i="2"/>
  <c r="AF448" i="2"/>
  <c r="M448" i="2"/>
  <c r="W448" i="2"/>
  <c r="AB391" i="2"/>
  <c r="O391" i="2"/>
  <c r="K391" i="2"/>
  <c r="Q391" i="2"/>
  <c r="F654" i="2"/>
  <c r="Y448" i="2"/>
  <c r="Z448" i="2"/>
  <c r="H448" i="2"/>
  <c r="T391" i="2"/>
  <c r="Z391" i="2"/>
  <c r="J391" i="2"/>
  <c r="F391" i="2"/>
  <c r="S448" i="2"/>
  <c r="P391" i="2"/>
  <c r="AB448" i="2"/>
  <c r="J448" i="2"/>
  <c r="P448" i="2"/>
  <c r="U391" i="2"/>
  <c r="N391" i="2"/>
  <c r="I391" i="2"/>
  <c r="X448" i="2"/>
  <c r="T448" i="2"/>
  <c r="U448" i="2"/>
  <c r="O448" i="2"/>
  <c r="AA448" i="2"/>
  <c r="AA391" i="2"/>
  <c r="AE391" i="2"/>
  <c r="X391" i="2"/>
  <c r="H391" i="2"/>
  <c r="AD391" i="2"/>
  <c r="N448" i="2"/>
  <c r="V391" i="2"/>
  <c r="R448" i="2"/>
  <c r="G448" i="2"/>
  <c r="S391" i="2"/>
  <c r="R391" i="2"/>
  <c r="M391" i="2"/>
  <c r="G391" i="2"/>
  <c r="W391" i="2"/>
  <c r="L448" i="2"/>
  <c r="F448" i="2"/>
  <c r="AC448" i="2"/>
  <c r="AE448" i="2"/>
  <c r="I448" i="2"/>
  <c r="Y391" i="2"/>
  <c r="V448" i="2"/>
  <c r="J439" i="2"/>
  <c r="AC220" i="2"/>
  <c r="M220" i="2"/>
  <c r="X220" i="2"/>
  <c r="J444" i="2"/>
  <c r="U444" i="2"/>
  <c r="AF444" i="2"/>
  <c r="K102" i="2"/>
  <c r="M102" i="2"/>
  <c r="AE387" i="2"/>
  <c r="N387" i="2"/>
  <c r="N388" i="2" s="1"/>
  <c r="AD387" i="2"/>
  <c r="F387" i="2"/>
  <c r="J102" i="2"/>
  <c r="R220" i="2"/>
  <c r="Q220" i="2"/>
  <c r="K220" i="2"/>
  <c r="M444" i="2"/>
  <c r="X444" i="2"/>
  <c r="I102" i="2"/>
  <c r="AB102" i="2"/>
  <c r="AE102" i="2"/>
  <c r="F444" i="2"/>
  <c r="N451" i="2"/>
  <c r="U419" i="2"/>
  <c r="X419" i="2"/>
  <c r="W387" i="2"/>
  <c r="AA387" i="2"/>
  <c r="S387" i="2"/>
  <c r="S388" i="2" s="1"/>
  <c r="G387" i="2"/>
  <c r="AF102" i="2"/>
  <c r="L220" i="2"/>
  <c r="G92" i="2"/>
  <c r="AB444" i="2"/>
  <c r="N102" i="2"/>
  <c r="N103" i="2" s="1"/>
  <c r="O220" i="2"/>
  <c r="V220" i="2"/>
  <c r="AA220" i="2"/>
  <c r="P444" i="2"/>
  <c r="F102" i="2"/>
  <c r="T102" i="2"/>
  <c r="W102" i="2"/>
  <c r="N444" i="2"/>
  <c r="T444" i="2"/>
  <c r="T445" i="2" s="1"/>
  <c r="P451" i="2"/>
  <c r="AF451" i="2"/>
  <c r="O387" i="2"/>
  <c r="M387" i="2"/>
  <c r="H387" i="2"/>
  <c r="AF109" i="2"/>
  <c r="Z387" i="2"/>
  <c r="G220" i="2"/>
  <c r="P102" i="2"/>
  <c r="Z87" i="2"/>
  <c r="J220" i="2"/>
  <c r="F220" i="2"/>
  <c r="P220" i="2"/>
  <c r="AA444" i="2"/>
  <c r="S102" i="2"/>
  <c r="O102" i="2"/>
  <c r="Z102" i="2"/>
  <c r="O444" i="2"/>
  <c r="O445" i="2" s="1"/>
  <c r="W444" i="2"/>
  <c r="X387" i="2"/>
  <c r="H102" i="2"/>
  <c r="U220" i="2"/>
  <c r="AB220" i="2"/>
  <c r="I220" i="2"/>
  <c r="AA102" i="2"/>
  <c r="AD102" i="2"/>
  <c r="R102" i="2"/>
  <c r="H444" i="2"/>
  <c r="R444" i="2"/>
  <c r="Z444" i="2"/>
  <c r="X109" i="2"/>
  <c r="R387" i="2"/>
  <c r="R388" i="2" s="1"/>
  <c r="V387" i="2"/>
  <c r="L387" i="2"/>
  <c r="X77" i="2"/>
  <c r="T220" i="2"/>
  <c r="AC444" i="2"/>
  <c r="AC445" i="2" s="1"/>
  <c r="S444" i="2"/>
  <c r="S445" i="2" s="1"/>
  <c r="Z220" i="2"/>
  <c r="Y220" i="2"/>
  <c r="AF220" i="2"/>
  <c r="S220" i="2"/>
  <c r="V102" i="2"/>
  <c r="Y102" i="2"/>
  <c r="G444" i="2"/>
  <c r="G445" i="2" s="1"/>
  <c r="AD444" i="2"/>
  <c r="L102" i="2"/>
  <c r="G102" i="2"/>
  <c r="G372" i="2"/>
  <c r="P109" i="2"/>
  <c r="N109" i="2"/>
  <c r="AC387" i="2"/>
  <c r="U387" i="2"/>
  <c r="J387" i="2"/>
  <c r="J388" i="2" s="1"/>
  <c r="U77" i="2"/>
  <c r="P77" i="2"/>
  <c r="H220" i="2"/>
  <c r="I444" i="2"/>
  <c r="L444" i="2"/>
  <c r="AE444" i="2"/>
  <c r="W220" i="2"/>
  <c r="AD220" i="2"/>
  <c r="N220" i="2"/>
  <c r="AE220" i="2"/>
  <c r="Q102" i="2"/>
  <c r="K444" i="2"/>
  <c r="V444" i="2"/>
  <c r="Y444" i="2"/>
  <c r="U102" i="2"/>
  <c r="AC102" i="2"/>
  <c r="X451" i="2"/>
  <c r="Z372" i="2"/>
  <c r="Y387" i="2"/>
  <c r="P387" i="2"/>
  <c r="AF387" i="2"/>
  <c r="K387" i="2"/>
  <c r="Q444" i="2"/>
  <c r="Q387" i="2"/>
  <c r="X102" i="2"/>
  <c r="T387" i="2"/>
  <c r="L112" i="2"/>
  <c r="I387" i="2"/>
  <c r="AB387" i="2"/>
  <c r="AE109" i="2"/>
  <c r="AA163" i="2"/>
  <c r="AC163" i="2"/>
  <c r="Q163" i="2"/>
  <c r="AD277" i="2"/>
  <c r="N277" i="2"/>
  <c r="Y277" i="2"/>
  <c r="T277" i="2"/>
  <c r="AA757" i="2"/>
  <c r="AA758" i="2" s="1"/>
  <c r="AA759" i="2" s="1"/>
  <c r="AA298" i="2" s="1"/>
  <c r="X757" i="2"/>
  <c r="X758" i="2" s="1"/>
  <c r="X759" i="2" s="1"/>
  <c r="X412" i="2" s="1"/>
  <c r="K757" i="2"/>
  <c r="K758" i="2" s="1"/>
  <c r="K759" i="2" s="1"/>
  <c r="N394" i="2"/>
  <c r="Y216" i="2"/>
  <c r="Y217" i="2" s="1"/>
  <c r="AD216" i="2"/>
  <c r="G216" i="2"/>
  <c r="AB365" i="2"/>
  <c r="J365" i="2"/>
  <c r="AE365" i="2"/>
  <c r="F216" i="2"/>
  <c r="J263" i="2"/>
  <c r="P163" i="2"/>
  <c r="R163" i="2"/>
  <c r="I163" i="2"/>
  <c r="AA277" i="2"/>
  <c r="Z277" i="2"/>
  <c r="J277" i="2"/>
  <c r="X277" i="2"/>
  <c r="S757" i="2"/>
  <c r="S758" i="2" s="1"/>
  <c r="S759" i="2" s="1"/>
  <c r="S12" i="2" s="1"/>
  <c r="P757" i="2"/>
  <c r="P758" i="2" s="1"/>
  <c r="P759" i="2" s="1"/>
  <c r="P12" i="2" s="1"/>
  <c r="AE223" i="2"/>
  <c r="X362" i="2"/>
  <c r="AB394" i="2"/>
  <c r="Q216" i="2"/>
  <c r="Q217" i="2" s="1"/>
  <c r="V216" i="2"/>
  <c r="H216" i="2"/>
  <c r="AD365" i="2"/>
  <c r="T365" i="2"/>
  <c r="Y365" i="2"/>
  <c r="W365" i="2"/>
  <c r="O277" i="2"/>
  <c r="AB216" i="2"/>
  <c r="V163" i="2"/>
  <c r="J163" i="2"/>
  <c r="W163" i="2"/>
  <c r="P277" i="2"/>
  <c r="W277" i="2"/>
  <c r="M277" i="2"/>
  <c r="I277" i="2"/>
  <c r="Z757" i="2"/>
  <c r="Z758" i="2" s="1"/>
  <c r="Z759" i="2" s="1"/>
  <c r="Z412" i="2" s="1"/>
  <c r="AE757" i="2"/>
  <c r="AE758" i="2" s="1"/>
  <c r="AE759" i="2" s="1"/>
  <c r="AE241" i="2" s="1"/>
  <c r="U362" i="2"/>
  <c r="AE394" i="2"/>
  <c r="AF216" i="2"/>
  <c r="N216" i="2"/>
  <c r="I216" i="2"/>
  <c r="V365" i="2"/>
  <c r="L365" i="2"/>
  <c r="Q365" i="2"/>
  <c r="O365" i="2"/>
  <c r="AE163" i="2"/>
  <c r="Q757" i="2"/>
  <c r="Q758" i="2" s="1"/>
  <c r="Q759" i="2" s="1"/>
  <c r="Q184" i="2" s="1"/>
  <c r="Z216" i="2"/>
  <c r="Z217" i="2" s="1"/>
  <c r="O163" i="2"/>
  <c r="S163" i="2"/>
  <c r="U163" i="2"/>
  <c r="AB163" i="2"/>
  <c r="H277" i="2"/>
  <c r="F277" i="2"/>
  <c r="Q277" i="2"/>
  <c r="G206" i="2"/>
  <c r="Z258" i="2"/>
  <c r="AC757" i="2"/>
  <c r="AC758" i="2" s="1"/>
  <c r="AC759" i="2" s="1"/>
  <c r="AC184" i="2" s="1"/>
  <c r="R757" i="2"/>
  <c r="R758" i="2" s="1"/>
  <c r="R759" i="2" s="1"/>
  <c r="R184" i="2" s="1"/>
  <c r="W757" i="2"/>
  <c r="W758" i="2" s="1"/>
  <c r="W759" i="2" s="1"/>
  <c r="K223" i="2"/>
  <c r="P394" i="2"/>
  <c r="X216" i="2"/>
  <c r="AC216" i="2"/>
  <c r="L216" i="2"/>
  <c r="N365" i="2"/>
  <c r="AA365" i="2"/>
  <c r="I365" i="2"/>
  <c r="G365" i="2"/>
  <c r="AE277" i="2"/>
  <c r="V757" i="2"/>
  <c r="V758" i="2" s="1"/>
  <c r="V759" i="2" s="1"/>
  <c r="W216" i="2"/>
  <c r="T163" i="2"/>
  <c r="G163" i="2"/>
  <c r="Y163" i="2"/>
  <c r="AF163" i="2"/>
  <c r="V277" i="2"/>
  <c r="AC277" i="2"/>
  <c r="L277" i="2"/>
  <c r="U757" i="2"/>
  <c r="U758" i="2" s="1"/>
  <c r="U759" i="2" s="1"/>
  <c r="O757" i="2"/>
  <c r="O758" i="2" s="1"/>
  <c r="O759" i="2" s="1"/>
  <c r="O241" i="2" s="1"/>
  <c r="P223" i="2"/>
  <c r="AA216" i="2"/>
  <c r="P216" i="2"/>
  <c r="P217" i="2" s="1"/>
  <c r="U216" i="2"/>
  <c r="U217" i="2" s="1"/>
  <c r="J216" i="2"/>
  <c r="F365" i="2"/>
  <c r="S365" i="2"/>
  <c r="AF365" i="2"/>
  <c r="F163" i="2"/>
  <c r="AF277" i="2"/>
  <c r="X163" i="2"/>
  <c r="N163" i="2"/>
  <c r="K163" i="2"/>
  <c r="H163" i="2"/>
  <c r="S277" i="2"/>
  <c r="R277" i="2"/>
  <c r="AB277" i="2"/>
  <c r="G258" i="2"/>
  <c r="M757" i="2"/>
  <c r="M758" i="2" s="1"/>
  <c r="M759" i="2" s="1"/>
  <c r="Y757" i="2"/>
  <c r="Y758" i="2" s="1"/>
  <c r="Y759" i="2" s="1"/>
  <c r="Y184" i="2" s="1"/>
  <c r="AD757" i="2"/>
  <c r="AD758" i="2" s="1"/>
  <c r="AD759" i="2" s="1"/>
  <c r="AB223" i="2"/>
  <c r="N223" i="2"/>
  <c r="S216" i="2"/>
  <c r="AE216" i="2"/>
  <c r="M216" i="2"/>
  <c r="M217" i="2" s="1"/>
  <c r="K216" i="2"/>
  <c r="X248" i="2"/>
  <c r="AC365" i="2"/>
  <c r="K365" i="2"/>
  <c r="X365" i="2"/>
  <c r="Z163" i="2"/>
  <c r="AB757" i="2"/>
  <c r="AB758" i="2" s="1"/>
  <c r="AB759" i="2" s="1"/>
  <c r="AB12" i="2" s="1"/>
  <c r="P362" i="2"/>
  <c r="U248" i="2"/>
  <c r="G277" i="2"/>
  <c r="O216" i="2"/>
  <c r="H365" i="2"/>
  <c r="R365" i="2"/>
  <c r="R216" i="2"/>
  <c r="R217" i="2" s="1"/>
  <c r="U277" i="2"/>
  <c r="AF757" i="2"/>
  <c r="AF758" i="2" s="1"/>
  <c r="AF759" i="2" s="1"/>
  <c r="AF412" i="2" s="1"/>
  <c r="O394" i="2"/>
  <c r="T216" i="2"/>
  <c r="K277" i="2"/>
  <c r="L757" i="2"/>
  <c r="L758" i="2" s="1"/>
  <c r="L759" i="2" s="1"/>
  <c r="L355" i="2" s="1"/>
  <c r="U365" i="2"/>
  <c r="M163" i="2"/>
  <c r="Z397" i="2"/>
  <c r="AD163" i="2"/>
  <c r="M365" i="2"/>
  <c r="L163" i="2"/>
  <c r="X223" i="2"/>
  <c r="Z365" i="2"/>
  <c r="T757" i="2"/>
  <c r="T758" i="2" s="1"/>
  <c r="T759" i="2" s="1"/>
  <c r="P365" i="2"/>
  <c r="L273" i="2"/>
  <c r="T159" i="2"/>
  <c r="T160" i="2" s="1"/>
  <c r="J159" i="2"/>
  <c r="P159" i="2"/>
  <c r="P160" i="2" s="1"/>
  <c r="M273" i="2"/>
  <c r="U273" i="2"/>
  <c r="Z144" i="2"/>
  <c r="F736" i="2"/>
  <c r="K736" i="2"/>
  <c r="K737" i="2" s="1"/>
  <c r="K738" i="2" s="1"/>
  <c r="K67" i="2" s="1"/>
  <c r="Z226" i="2"/>
  <c r="X134" i="2"/>
  <c r="AE280" i="2"/>
  <c r="L159" i="2"/>
  <c r="AF280" i="2"/>
  <c r="P191" i="2"/>
  <c r="AE166" i="2"/>
  <c r="AF159" i="2"/>
  <c r="W159" i="2"/>
  <c r="K273" i="2"/>
  <c r="AD273" i="2"/>
  <c r="Q736" i="2"/>
  <c r="Q737" i="2" s="1"/>
  <c r="Q738" i="2" s="1"/>
  <c r="Q9" i="2" s="1"/>
  <c r="V736" i="2"/>
  <c r="V737" i="2" s="1"/>
  <c r="V738" i="2" s="1"/>
  <c r="V124" i="2" s="1"/>
  <c r="R736" i="2"/>
  <c r="R737" i="2" s="1"/>
  <c r="R738" i="2" s="1"/>
  <c r="P134" i="2"/>
  <c r="N280" i="2"/>
  <c r="AC273" i="2"/>
  <c r="AC274" i="2" s="1"/>
  <c r="W736" i="2"/>
  <c r="W737" i="2" s="1"/>
  <c r="W738" i="2" s="1"/>
  <c r="W238" i="2" s="1"/>
  <c r="X191" i="2"/>
  <c r="M159" i="2"/>
  <c r="Q159" i="2"/>
  <c r="Q160" i="2" s="1"/>
  <c r="AB166" i="2"/>
  <c r="P166" i="2"/>
  <c r="AB159" i="2"/>
  <c r="AB160" i="2" s="1"/>
  <c r="Z159" i="2"/>
  <c r="Z160" i="2" s="1"/>
  <c r="W273" i="2"/>
  <c r="W274" i="2" s="1"/>
  <c r="AB273" i="2"/>
  <c r="AF273" i="2"/>
  <c r="H736" i="2"/>
  <c r="H737" i="2" s="1"/>
  <c r="H738" i="2" s="1"/>
  <c r="N736" i="2"/>
  <c r="N737" i="2" s="1"/>
  <c r="N738" i="2" s="1"/>
  <c r="N9" i="2" s="1"/>
  <c r="I736" i="2"/>
  <c r="I737" i="2" s="1"/>
  <c r="I738" i="2" s="1"/>
  <c r="I295" i="2" s="1"/>
  <c r="G273" i="2"/>
  <c r="L736" i="2"/>
  <c r="L737" i="2" s="1"/>
  <c r="L738" i="2" s="1"/>
  <c r="L352" i="2" s="1"/>
  <c r="N166" i="2"/>
  <c r="I159" i="2"/>
  <c r="K159" i="2"/>
  <c r="K160" i="2" s="1"/>
  <c r="Z273" i="2"/>
  <c r="Z274" i="2" s="1"/>
  <c r="R273" i="2"/>
  <c r="R274" i="2" s="1"/>
  <c r="J273" i="2"/>
  <c r="AA169" i="2"/>
  <c r="X736" i="2"/>
  <c r="X737" i="2" s="1"/>
  <c r="X738" i="2" s="1"/>
  <c r="U736" i="2"/>
  <c r="U737" i="2" s="1"/>
  <c r="U738" i="2" s="1"/>
  <c r="U238" i="2" s="1"/>
  <c r="J736" i="2"/>
  <c r="J737" i="2" s="1"/>
  <c r="J738" i="2" s="1"/>
  <c r="J352" i="2" s="1"/>
  <c r="P280" i="2"/>
  <c r="L283" i="2"/>
  <c r="V159" i="2"/>
  <c r="H159" i="2"/>
  <c r="H160" i="2" s="1"/>
  <c r="P273" i="2"/>
  <c r="AA159" i="2"/>
  <c r="N159" i="2"/>
  <c r="G149" i="2"/>
  <c r="F159" i="2"/>
  <c r="O159" i="2"/>
  <c r="O160" i="2" s="1"/>
  <c r="AD159" i="2"/>
  <c r="S159" i="2"/>
  <c r="Y273" i="2"/>
  <c r="X273" i="2"/>
  <c r="N273" i="2"/>
  <c r="S273" i="2"/>
  <c r="P736" i="2"/>
  <c r="P737" i="2" s="1"/>
  <c r="P738" i="2" s="1"/>
  <c r="M736" i="2"/>
  <c r="M737" i="2" s="1"/>
  <c r="M738" i="2" s="1"/>
  <c r="M352" i="2" s="1"/>
  <c r="U134" i="2"/>
  <c r="F280" i="2"/>
  <c r="U191" i="2"/>
  <c r="U159" i="2"/>
  <c r="AF166" i="2"/>
  <c r="AE159" i="2"/>
  <c r="AE160" i="2" s="1"/>
  <c r="Y159" i="2"/>
  <c r="Y160" i="2" s="1"/>
  <c r="AC159" i="2"/>
  <c r="O273" i="2"/>
  <c r="AE273" i="2"/>
  <c r="AE274" i="2" s="1"/>
  <c r="H273" i="2"/>
  <c r="AA273" i="2"/>
  <c r="AA274" i="2" s="1"/>
  <c r="M201" i="2"/>
  <c r="G736" i="2"/>
  <c r="G737" i="2" s="1"/>
  <c r="G738" i="2" s="1"/>
  <c r="T736" i="2"/>
  <c r="T737" i="2" s="1"/>
  <c r="T738" i="2" s="1"/>
  <c r="T295" i="2" s="1"/>
  <c r="X166" i="2"/>
  <c r="Q273" i="2"/>
  <c r="AB280" i="2"/>
  <c r="T273" i="2"/>
  <c r="O736" i="2"/>
  <c r="O737" i="2" s="1"/>
  <c r="O738" i="2" s="1"/>
  <c r="X159" i="2"/>
  <c r="X160" i="2" s="1"/>
  <c r="M280" i="2"/>
  <c r="R159" i="2"/>
  <c r="I273" i="2"/>
  <c r="I274" i="2" s="1"/>
  <c r="G159" i="2"/>
  <c r="G160" i="2" s="1"/>
  <c r="F273" i="2"/>
  <c r="Z201" i="2"/>
  <c r="S736" i="2"/>
  <c r="S737" i="2" s="1"/>
  <c r="S738" i="2" s="1"/>
  <c r="S9" i="2" s="1"/>
  <c r="V273" i="2"/>
  <c r="R143" i="2"/>
  <c r="R28" i="2"/>
  <c r="I750" i="2"/>
  <c r="I751" i="2" s="1"/>
  <c r="I752" i="2" s="1"/>
  <c r="I183" i="2" s="1"/>
  <c r="F750" i="2"/>
  <c r="L750" i="2"/>
  <c r="L751" i="2" s="1"/>
  <c r="L752" i="2" s="1"/>
  <c r="L11" i="2" s="1"/>
  <c r="AE738" i="2"/>
  <c r="AE9" i="2" s="1"/>
  <c r="K764" i="2"/>
  <c r="K765" i="2" s="1"/>
  <c r="K766" i="2" s="1"/>
  <c r="P764" i="2"/>
  <c r="P765" i="2" s="1"/>
  <c r="P766" i="2" s="1"/>
  <c r="M764" i="2"/>
  <c r="M765" i="2" s="1"/>
  <c r="M766" i="2" s="1"/>
  <c r="H750" i="2"/>
  <c r="H751" i="2" s="1"/>
  <c r="H752" i="2" s="1"/>
  <c r="J750" i="2"/>
  <c r="J751" i="2" s="1"/>
  <c r="J752" i="2" s="1"/>
  <c r="AC738" i="2"/>
  <c r="AC238" i="2" s="1"/>
  <c r="W764" i="2"/>
  <c r="W765" i="2" s="1"/>
  <c r="W766" i="2" s="1"/>
  <c r="M750" i="2"/>
  <c r="M751" i="2" s="1"/>
  <c r="M752" i="2" s="1"/>
  <c r="M354" i="2" s="1"/>
  <c r="S750" i="2"/>
  <c r="S751" i="2" s="1"/>
  <c r="S752" i="2" s="1"/>
  <c r="S240" i="2" s="1"/>
  <c r="R86" i="2"/>
  <c r="R750" i="2"/>
  <c r="R751" i="2" s="1"/>
  <c r="R752" i="2" s="1"/>
  <c r="W750" i="2"/>
  <c r="W751" i="2" s="1"/>
  <c r="W752" i="2" s="1"/>
  <c r="K750" i="2"/>
  <c r="K751" i="2" s="1"/>
  <c r="K752" i="2" s="1"/>
  <c r="K297" i="2" s="1"/>
  <c r="AD738" i="2"/>
  <c r="AD409" i="2" s="1"/>
  <c r="Z764" i="2"/>
  <c r="Z765" i="2" s="1"/>
  <c r="Z766" i="2" s="1"/>
  <c r="Z242" i="2" s="1"/>
  <c r="AE764" i="2"/>
  <c r="AE765" i="2" s="1"/>
  <c r="AE766" i="2" s="1"/>
  <c r="O750" i="2"/>
  <c r="O751" i="2" s="1"/>
  <c r="O752" i="2" s="1"/>
  <c r="R764" i="2"/>
  <c r="R765" i="2" s="1"/>
  <c r="R766" i="2" s="1"/>
  <c r="AF764" i="2"/>
  <c r="AF765" i="2" s="1"/>
  <c r="AF766" i="2" s="1"/>
  <c r="AF413" i="2" s="1"/>
  <c r="X764" i="2"/>
  <c r="X765" i="2" s="1"/>
  <c r="X766" i="2" s="1"/>
  <c r="X356" i="2" s="1"/>
  <c r="Y738" i="2"/>
  <c r="P750" i="2"/>
  <c r="P751" i="2" s="1"/>
  <c r="P752" i="2" s="1"/>
  <c r="P354" i="2" s="1"/>
  <c r="V750" i="2"/>
  <c r="V751" i="2" s="1"/>
  <c r="V752" i="2" s="1"/>
  <c r="V297" i="2" s="1"/>
  <c r="AB738" i="2"/>
  <c r="AB764" i="2"/>
  <c r="AB765" i="2" s="1"/>
  <c r="AB766" i="2" s="1"/>
  <c r="O764" i="2"/>
  <c r="O765" i="2" s="1"/>
  <c r="O766" i="2" s="1"/>
  <c r="Y764" i="2"/>
  <c r="Y765" i="2" s="1"/>
  <c r="Y766" i="2" s="1"/>
  <c r="Y413" i="2" s="1"/>
  <c r="L764" i="2"/>
  <c r="L765" i="2" s="1"/>
  <c r="L766" i="2" s="1"/>
  <c r="V764" i="2"/>
  <c r="V765" i="2" s="1"/>
  <c r="V766" i="2" s="1"/>
  <c r="T750" i="2"/>
  <c r="T751" i="2" s="1"/>
  <c r="T752" i="2" s="1"/>
  <c r="T297" i="2" s="1"/>
  <c r="Z153" i="2"/>
  <c r="Q750" i="2"/>
  <c r="Q751" i="2" s="1"/>
  <c r="Q752" i="2" s="1"/>
  <c r="N750" i="2"/>
  <c r="N751" i="2" s="1"/>
  <c r="N752" i="2" s="1"/>
  <c r="N240" i="2" s="1"/>
  <c r="AA738" i="2"/>
  <c r="AA9" i="2" s="1"/>
  <c r="T764" i="2"/>
  <c r="T765" i="2" s="1"/>
  <c r="T766" i="2" s="1"/>
  <c r="AD764" i="2"/>
  <c r="AD765" i="2" s="1"/>
  <c r="AD766" i="2" s="1"/>
  <c r="AD243" i="2" s="1"/>
  <c r="U750" i="2"/>
  <c r="U751" i="2" s="1"/>
  <c r="U752" i="2" s="1"/>
  <c r="U183" i="2" s="1"/>
  <c r="Z738" i="2"/>
  <c r="Z409" i="2" s="1"/>
  <c r="AC764" i="2"/>
  <c r="AC765" i="2" s="1"/>
  <c r="AC766" i="2" s="1"/>
  <c r="AC14" i="2" s="1"/>
  <c r="AF738" i="2"/>
  <c r="AF238" i="2" s="1"/>
  <c r="U764" i="2"/>
  <c r="U765" i="2" s="1"/>
  <c r="U766" i="2" s="1"/>
  <c r="U300" i="2" s="1"/>
  <c r="G750" i="2"/>
  <c r="G751" i="2" s="1"/>
  <c r="G752" i="2" s="1"/>
  <c r="G297" i="2" s="1"/>
  <c r="Q764" i="2"/>
  <c r="Q765" i="2" s="1"/>
  <c r="Q766" i="2" s="1"/>
  <c r="Q185" i="2" s="1"/>
  <c r="X750" i="2"/>
  <c r="X751" i="2" s="1"/>
  <c r="X752" i="2" s="1"/>
  <c r="AA764" i="2"/>
  <c r="AA765" i="2" s="1"/>
  <c r="AA766" i="2" s="1"/>
  <c r="AA14" i="2" s="1"/>
  <c r="S764" i="2"/>
  <c r="S765" i="2" s="1"/>
  <c r="S766" i="2" s="1"/>
  <c r="Y752" i="2"/>
  <c r="Y183" i="2" s="1"/>
  <c r="AB752" i="2"/>
  <c r="AB240" i="2" s="1"/>
  <c r="AF752" i="2"/>
  <c r="AF183" i="2" s="1"/>
  <c r="AE752" i="2"/>
  <c r="AE11" i="2" s="1"/>
  <c r="V28" i="2"/>
  <c r="AD752" i="2"/>
  <c r="AD11" i="2" s="1"/>
  <c r="AC752" i="2"/>
  <c r="AC183" i="2" s="1"/>
  <c r="V86" i="2"/>
  <c r="AA752" i="2"/>
  <c r="AA240" i="2" s="1"/>
  <c r="Z752" i="2"/>
  <c r="Z183" i="2" s="1"/>
  <c r="V143" i="2"/>
  <c r="X86" i="2"/>
  <c r="O743" i="2"/>
  <c r="O744" i="2" s="1"/>
  <c r="O745" i="2" s="1"/>
  <c r="S743" i="2"/>
  <c r="S744" i="2" s="1"/>
  <c r="S745" i="2" s="1"/>
  <c r="F743" i="2"/>
  <c r="K743" i="2"/>
  <c r="K744" i="2" s="1"/>
  <c r="K745" i="2" s="1"/>
  <c r="V743" i="2"/>
  <c r="V744" i="2" s="1"/>
  <c r="V745" i="2" s="1"/>
  <c r="X143" i="2"/>
  <c r="R743" i="2"/>
  <c r="R744" i="2" s="1"/>
  <c r="R745" i="2" s="1"/>
  <c r="Q743" i="2"/>
  <c r="Q744" i="2" s="1"/>
  <c r="Q745" i="2" s="1"/>
  <c r="P28" i="2"/>
  <c r="H743" i="2"/>
  <c r="H744" i="2" s="1"/>
  <c r="H745" i="2" s="1"/>
  <c r="N743" i="2"/>
  <c r="N744" i="2" s="1"/>
  <c r="N745" i="2" s="1"/>
  <c r="I743" i="2"/>
  <c r="I744" i="2" s="1"/>
  <c r="I745" i="2" s="1"/>
  <c r="W743" i="2"/>
  <c r="W744" i="2" s="1"/>
  <c r="W745" i="2" s="1"/>
  <c r="W28" i="2"/>
  <c r="P86" i="2"/>
  <c r="X743" i="2"/>
  <c r="X744" i="2" s="1"/>
  <c r="X745" i="2" s="1"/>
  <c r="U743" i="2"/>
  <c r="U744" i="2" s="1"/>
  <c r="U745" i="2" s="1"/>
  <c r="J743" i="2"/>
  <c r="J744" i="2" s="1"/>
  <c r="J745" i="2" s="1"/>
  <c r="G743" i="2"/>
  <c r="G744" i="2" s="1"/>
  <c r="G745" i="2" s="1"/>
  <c r="L743" i="2"/>
  <c r="L744" i="2" s="1"/>
  <c r="L745" i="2" s="1"/>
  <c r="W86" i="2"/>
  <c r="P143" i="2"/>
  <c r="P743" i="2"/>
  <c r="P744" i="2" s="1"/>
  <c r="P745" i="2" s="1"/>
  <c r="M743" i="2"/>
  <c r="M744" i="2" s="1"/>
  <c r="M745" i="2" s="1"/>
  <c r="W143" i="2"/>
  <c r="T743" i="2"/>
  <c r="T744" i="2" s="1"/>
  <c r="T745" i="2" s="1"/>
  <c r="X28" i="2"/>
  <c r="AF745" i="2"/>
  <c r="T86" i="2"/>
  <c r="T28" i="2"/>
  <c r="AD745" i="2"/>
  <c r="T143" i="2"/>
  <c r="AC745" i="2"/>
  <c r="S28" i="2"/>
  <c r="AB745" i="2"/>
  <c r="S86" i="2"/>
  <c r="S143" i="2"/>
  <c r="Z745" i="2"/>
  <c r="AA745" i="2"/>
  <c r="Y745" i="2"/>
  <c r="AE745" i="2"/>
  <c r="T669" i="2"/>
  <c r="T670" i="2" s="1"/>
  <c r="U665" i="2"/>
  <c r="AG665" i="2" s="1"/>
  <c r="AH665" i="2" s="1"/>
  <c r="U28" i="2"/>
  <c r="U86" i="2"/>
  <c r="U143" i="2"/>
  <c r="X670" i="2"/>
  <c r="X671" i="2" s="1"/>
  <c r="Q666" i="2"/>
  <c r="Q667" i="2" s="1"/>
  <c r="W670" i="2"/>
  <c r="W671" i="2" s="1"/>
  <c r="V314" i="2"/>
  <c r="V428" i="2"/>
  <c r="V371" i="2"/>
  <c r="V200" i="2"/>
  <c r="V257" i="2"/>
  <c r="P668" i="2"/>
  <c r="P669" i="2" s="1"/>
  <c r="V671" i="2"/>
  <c r="S669" i="2"/>
  <c r="R670" i="2"/>
  <c r="E479" i="2"/>
  <c r="E484" i="2" s="1"/>
  <c r="E520" i="2" s="1"/>
  <c r="E522" i="2" s="1"/>
  <c r="E547" i="2" s="1"/>
  <c r="E123" i="2"/>
  <c r="E131" i="2" s="1"/>
  <c r="E174" i="2" s="1"/>
  <c r="AO147" i="1"/>
  <c r="AP147" i="1" s="1"/>
  <c r="R729" i="2"/>
  <c r="R730" i="2" s="1"/>
  <c r="J729" i="2"/>
  <c r="J730" i="2" s="1"/>
  <c r="E730" i="2"/>
  <c r="Q729" i="2"/>
  <c r="Q730" i="2" s="1"/>
  <c r="H729" i="2"/>
  <c r="H730" i="2" s="1"/>
  <c r="X729" i="2"/>
  <c r="X730" i="2" s="1"/>
  <c r="P729" i="2"/>
  <c r="P730" i="2" s="1"/>
  <c r="G729" i="2"/>
  <c r="G730" i="2" s="1"/>
  <c r="W729" i="2"/>
  <c r="W730" i="2" s="1"/>
  <c r="O729" i="2"/>
  <c r="O730" i="2" s="1"/>
  <c r="F729" i="2"/>
  <c r="V729" i="2"/>
  <c r="V730" i="2" s="1"/>
  <c r="N729" i="2"/>
  <c r="N730" i="2" s="1"/>
  <c r="U729" i="2"/>
  <c r="U730" i="2" s="1"/>
  <c r="M729" i="2"/>
  <c r="M730" i="2" s="1"/>
  <c r="T729" i="2"/>
  <c r="T730" i="2" s="1"/>
  <c r="L729" i="2"/>
  <c r="L730" i="2" s="1"/>
  <c r="S729" i="2"/>
  <c r="S730" i="2" s="1"/>
  <c r="K729" i="2"/>
  <c r="K730" i="2" s="1"/>
  <c r="I729" i="2"/>
  <c r="I730" i="2" s="1"/>
  <c r="AF226" i="2" l="1"/>
  <c r="K731" i="2"/>
  <c r="X280" i="2"/>
  <c r="K258" i="2"/>
  <c r="AC512" i="2"/>
  <c r="Q86" i="2"/>
  <c r="Q143" i="2"/>
  <c r="Q145" i="2" s="1"/>
  <c r="I512" i="2"/>
  <c r="F223" i="2"/>
  <c r="Z112" i="2"/>
  <c r="G112" i="2"/>
  <c r="AA103" i="2"/>
  <c r="Z454" i="2"/>
  <c r="Z169" i="2"/>
  <c r="S274" i="2"/>
  <c r="O280" i="2"/>
  <c r="K394" i="2"/>
  <c r="Z268" i="2"/>
  <c r="G340" i="2"/>
  <c r="J206" i="2"/>
  <c r="K166" i="2"/>
  <c r="Q45" i="2"/>
  <c r="AD305" i="2"/>
  <c r="O337" i="2"/>
  <c r="Z103" i="2"/>
  <c r="G315" i="2"/>
  <c r="U388" i="2"/>
  <c r="J97" i="2"/>
  <c r="AA388" i="2"/>
  <c r="Z429" i="2"/>
  <c r="AE337" i="2"/>
  <c r="X19" i="2"/>
  <c r="I388" i="2"/>
  <c r="G87" i="2"/>
  <c r="AB445" i="2"/>
  <c r="N372" i="2"/>
  <c r="X445" i="2"/>
  <c r="P45" i="2"/>
  <c r="S331" i="2"/>
  <c r="AF103" i="2"/>
  <c r="K381" i="2"/>
  <c r="Y144" i="2"/>
  <c r="S248" i="2"/>
  <c r="Y201" i="2"/>
  <c r="AD280" i="2"/>
  <c r="T362" i="2"/>
  <c r="V160" i="2"/>
  <c r="S77" i="2"/>
  <c r="S134" i="2"/>
  <c r="S191" i="2"/>
  <c r="S362" i="2"/>
  <c r="AD166" i="2"/>
  <c r="T191" i="2"/>
  <c r="Y274" i="2"/>
  <c r="T134" i="2"/>
  <c r="AA160" i="2"/>
  <c r="AC134" i="2"/>
  <c r="AA280" i="2"/>
  <c r="S169" i="2"/>
  <c r="H377" i="2"/>
  <c r="AE262" i="2"/>
  <c r="S283" i="2"/>
  <c r="M274" i="2"/>
  <c r="Q103" i="2"/>
  <c r="S226" i="2"/>
  <c r="AC419" i="2"/>
  <c r="S454" i="2"/>
  <c r="AD388" i="2"/>
  <c r="N274" i="2"/>
  <c r="Y45" i="2"/>
  <c r="P305" i="2"/>
  <c r="P19" i="2"/>
  <c r="M388" i="2"/>
  <c r="AE388" i="2"/>
  <c r="K331" i="2"/>
  <c r="H45" i="2"/>
  <c r="AF51" i="2"/>
  <c r="M144" i="2"/>
  <c r="AF169" i="2"/>
  <c r="P419" i="2"/>
  <c r="Y57" i="2"/>
  <c r="AF283" i="2"/>
  <c r="M258" i="2"/>
  <c r="G377" i="2"/>
  <c r="AB337" i="2"/>
  <c r="G103" i="2"/>
  <c r="R103" i="2"/>
  <c r="N337" i="2"/>
  <c r="W144" i="2"/>
  <c r="W145" i="2" s="1"/>
  <c r="AF394" i="2"/>
  <c r="H217" i="2"/>
  <c r="AD445" i="2"/>
  <c r="AB331" i="2"/>
  <c r="G263" i="2"/>
  <c r="K445" i="2"/>
  <c r="G434" i="2"/>
  <c r="AB109" i="2"/>
  <c r="P445" i="2"/>
  <c r="AB451" i="2"/>
  <c r="AC45" i="2"/>
  <c r="O331" i="2"/>
  <c r="N148" i="2"/>
  <c r="W268" i="2"/>
  <c r="R201" i="2"/>
  <c r="AD283" i="2"/>
  <c r="T274" i="2"/>
  <c r="AD397" i="2"/>
  <c r="L153" i="2"/>
  <c r="AD154" i="2"/>
  <c r="Y149" i="2"/>
  <c r="AD206" i="2"/>
  <c r="AD207" i="2" s="1"/>
  <c r="M372" i="2"/>
  <c r="M29" i="2"/>
  <c r="M30" i="2" s="1"/>
  <c r="T280" i="2"/>
  <c r="AC223" i="2"/>
  <c r="G268" i="2"/>
  <c r="G439" i="2"/>
  <c r="O226" i="2"/>
  <c r="Y166" i="2"/>
  <c r="I160" i="2"/>
  <c r="AC109" i="2"/>
  <c r="Y457" i="2"/>
  <c r="AC394" i="2"/>
  <c r="Y394" i="2"/>
  <c r="G283" i="2"/>
  <c r="O274" i="2"/>
  <c r="J283" i="2"/>
  <c r="K280" i="2"/>
  <c r="J149" i="2"/>
  <c r="K109" i="2"/>
  <c r="X103" i="2"/>
  <c r="F109" i="2"/>
  <c r="AE445" i="2"/>
  <c r="AD419" i="2"/>
  <c r="W103" i="2"/>
  <c r="W388" i="2"/>
  <c r="F337" i="2"/>
  <c r="AD19" i="2"/>
  <c r="J274" i="2"/>
  <c r="AB274" i="2"/>
  <c r="AD248" i="2"/>
  <c r="V445" i="2"/>
  <c r="L445" i="2"/>
  <c r="F451" i="2"/>
  <c r="O451" i="2"/>
  <c r="O109" i="2"/>
  <c r="J103" i="2"/>
  <c r="Y77" i="2"/>
  <c r="J434" i="2"/>
  <c r="Y305" i="2"/>
  <c r="K337" i="2"/>
  <c r="K51" i="2"/>
  <c r="G169" i="2"/>
  <c r="G226" i="2"/>
  <c r="O166" i="2"/>
  <c r="G397" i="2"/>
  <c r="Z97" i="2"/>
  <c r="Y191" i="2"/>
  <c r="Y134" i="2"/>
  <c r="AD191" i="2"/>
  <c r="F166" i="2"/>
  <c r="K388" i="2"/>
  <c r="Y419" i="2"/>
  <c r="H445" i="2"/>
  <c r="AD77" i="2"/>
  <c r="Z54" i="2"/>
  <c r="Z325" i="2"/>
  <c r="T331" i="2"/>
  <c r="S217" i="2"/>
  <c r="Y362" i="2"/>
  <c r="AD134" i="2"/>
  <c r="J226" i="2"/>
  <c r="Y248" i="2"/>
  <c r="J377" i="2"/>
  <c r="Z439" i="2"/>
  <c r="G454" i="2"/>
  <c r="U445" i="2"/>
  <c r="V45" i="2"/>
  <c r="Y331" i="2"/>
  <c r="G54" i="2"/>
  <c r="Z340" i="2"/>
  <c r="H331" i="2"/>
  <c r="O51" i="2"/>
  <c r="K148" i="2"/>
  <c r="Z154" i="2"/>
  <c r="Z155" i="2" s="1"/>
  <c r="Z283" i="2"/>
  <c r="I217" i="2"/>
  <c r="Z211" i="2"/>
  <c r="AD217" i="2"/>
  <c r="Z382" i="2"/>
  <c r="J92" i="2"/>
  <c r="J93" i="2" s="1"/>
  <c r="AC331" i="2"/>
  <c r="L169" i="2"/>
  <c r="I140" i="2"/>
  <c r="X394" i="2"/>
  <c r="M153" i="2"/>
  <c r="N140" i="2"/>
  <c r="S154" i="2"/>
  <c r="N91" i="2"/>
  <c r="AC268" i="2"/>
  <c r="W201" i="2"/>
  <c r="AA394" i="2"/>
  <c r="H434" i="2"/>
  <c r="H435" i="2" s="1"/>
  <c r="K382" i="2"/>
  <c r="K383" i="2" s="1"/>
  <c r="AF45" i="2"/>
  <c r="K45" i="2"/>
  <c r="AC19" i="2"/>
  <c r="H92" i="2"/>
  <c r="H103" i="2"/>
  <c r="Y372" i="2"/>
  <c r="R331" i="2"/>
  <c r="W305" i="2"/>
  <c r="L134" i="2"/>
  <c r="R144" i="2"/>
  <c r="R145" i="2" s="1"/>
  <c r="W154" i="2"/>
  <c r="AA223" i="2"/>
  <c r="H263" i="2"/>
  <c r="Y388" i="2"/>
  <c r="U103" i="2"/>
  <c r="Y97" i="2"/>
  <c r="Y325" i="2"/>
  <c r="T45" i="2"/>
  <c r="S305" i="2"/>
  <c r="AA337" i="2"/>
  <c r="H320" i="2"/>
  <c r="AA51" i="2"/>
  <c r="U166" i="2"/>
  <c r="Y258" i="2"/>
  <c r="AD451" i="2"/>
  <c r="G148" i="2"/>
  <c r="G150" i="2" s="1"/>
  <c r="W211" i="2"/>
  <c r="J169" i="2"/>
  <c r="AD172" i="2"/>
  <c r="N154" i="2"/>
  <c r="N155" i="2" s="1"/>
  <c r="AD115" i="2"/>
  <c r="J397" i="2"/>
  <c r="I83" i="2"/>
  <c r="AD286" i="2"/>
  <c r="AD229" i="2"/>
  <c r="AD400" i="2"/>
  <c r="AD457" i="2"/>
  <c r="J112" i="2"/>
  <c r="J454" i="2"/>
  <c r="J54" i="2"/>
  <c r="AF206" i="2"/>
  <c r="N97" i="2"/>
  <c r="H274" i="2"/>
  <c r="Y154" i="2"/>
  <c r="W134" i="2"/>
  <c r="K154" i="2"/>
  <c r="W191" i="2"/>
  <c r="Y211" i="2"/>
  <c r="S397" i="2"/>
  <c r="W248" i="2"/>
  <c r="T388" i="2"/>
  <c r="S419" i="2"/>
  <c r="AD103" i="2"/>
  <c r="Y429" i="2"/>
  <c r="Y39" i="2"/>
  <c r="AD51" i="2"/>
  <c r="H149" i="2"/>
  <c r="O217" i="2"/>
  <c r="AD394" i="2"/>
  <c r="AC248" i="2"/>
  <c r="AF217" i="2"/>
  <c r="AB217" i="2"/>
  <c r="T419" i="2"/>
  <c r="AA109" i="2"/>
  <c r="H388" i="2"/>
  <c r="W19" i="2"/>
  <c r="K211" i="2"/>
  <c r="K212" i="2" s="1"/>
  <c r="L103" i="2"/>
  <c r="Y382" i="2"/>
  <c r="T77" i="2"/>
  <c r="AC305" i="2"/>
  <c r="T305" i="2"/>
  <c r="K268" i="2"/>
  <c r="T248" i="2"/>
  <c r="AC362" i="2"/>
  <c r="AC77" i="2"/>
  <c r="AD109" i="2"/>
  <c r="Y315" i="2"/>
  <c r="H34" i="2"/>
  <c r="H35" i="2" s="1"/>
  <c r="AA166" i="2"/>
  <c r="AD223" i="2"/>
  <c r="Y268" i="2"/>
  <c r="W362" i="2"/>
  <c r="W77" i="2"/>
  <c r="L388" i="2"/>
  <c r="R445" i="2"/>
  <c r="Y87" i="2"/>
  <c r="G45" i="2"/>
  <c r="W280" i="2"/>
  <c r="K274" i="2"/>
  <c r="Q248" i="2"/>
  <c r="Y205" i="2"/>
  <c r="Q134" i="2"/>
  <c r="P169" i="2"/>
  <c r="AB388" i="2"/>
  <c r="Q362" i="2"/>
  <c r="W263" i="2"/>
  <c r="N439" i="2"/>
  <c r="K39" i="2"/>
  <c r="P397" i="2"/>
  <c r="H109" i="2"/>
  <c r="AE103" i="2"/>
  <c r="AF149" i="2"/>
  <c r="AD160" i="2"/>
  <c r="W166" i="2"/>
  <c r="W149" i="2"/>
  <c r="W394" i="2"/>
  <c r="P226" i="2"/>
  <c r="P283" i="2"/>
  <c r="K201" i="2"/>
  <c r="J25" i="2"/>
  <c r="J140" i="2"/>
  <c r="K144" i="2"/>
  <c r="N172" i="2"/>
  <c r="AD226" i="2"/>
  <c r="I143" i="2"/>
  <c r="G91" i="2"/>
  <c r="G93" i="2" s="1"/>
  <c r="AD211" i="2"/>
  <c r="AB149" i="2"/>
  <c r="W382" i="2"/>
  <c r="AD340" i="2"/>
  <c r="I86" i="2"/>
  <c r="W258" i="2"/>
  <c r="I96" i="2"/>
  <c r="AC103" i="2"/>
  <c r="R268" i="2"/>
  <c r="L206" i="2"/>
  <c r="AB248" i="2"/>
  <c r="Y92" i="2"/>
  <c r="AD169" i="2"/>
  <c r="AA191" i="2"/>
  <c r="L166" i="2"/>
  <c r="M315" i="2"/>
  <c r="M316" i="2" s="1"/>
  <c r="G320" i="2"/>
  <c r="W439" i="2"/>
  <c r="P454" i="2"/>
  <c r="X229" i="2"/>
  <c r="J340" i="2"/>
  <c r="L191" i="2"/>
  <c r="AE92" i="2"/>
  <c r="AE149" i="2"/>
  <c r="O154" i="2"/>
  <c r="T263" i="2"/>
  <c r="W372" i="2"/>
  <c r="W92" i="2"/>
  <c r="W429" i="2"/>
  <c r="L248" i="2"/>
  <c r="AC337" i="2"/>
  <c r="R305" i="2"/>
  <c r="X331" i="2"/>
  <c r="AE217" i="2"/>
  <c r="R248" i="2"/>
  <c r="N217" i="2"/>
  <c r="G97" i="2"/>
  <c r="Y451" i="2"/>
  <c r="G388" i="2"/>
  <c r="AB103" i="2"/>
  <c r="K103" i="2"/>
  <c r="Y400" i="2"/>
  <c r="AA45" i="2"/>
  <c r="Y51" i="2"/>
  <c r="Z166" i="2"/>
  <c r="AC166" i="2"/>
  <c r="L274" i="2"/>
  <c r="Q445" i="2"/>
  <c r="X388" i="2"/>
  <c r="T109" i="2"/>
  <c r="G39" i="2"/>
  <c r="G40" i="2" s="1"/>
  <c r="R45" i="2"/>
  <c r="Z337" i="2"/>
  <c r="AB169" i="2"/>
  <c r="X274" i="2"/>
  <c r="Z280" i="2"/>
  <c r="AB226" i="2"/>
  <c r="R191" i="2"/>
  <c r="G96" i="2"/>
  <c r="G211" i="2"/>
  <c r="AB377" i="2"/>
  <c r="G382" i="2"/>
  <c r="M331" i="2"/>
  <c r="AC280" i="2"/>
  <c r="Y172" i="2"/>
  <c r="R280" i="2"/>
  <c r="H144" i="2"/>
  <c r="T166" i="2"/>
  <c r="Y280" i="2"/>
  <c r="Z394" i="2"/>
  <c r="R362" i="2"/>
  <c r="Z223" i="2"/>
  <c r="O454" i="2"/>
  <c r="Z451" i="2"/>
  <c r="Y115" i="2"/>
  <c r="N45" i="2"/>
  <c r="G154" i="2"/>
  <c r="U160" i="2"/>
  <c r="O169" i="2"/>
  <c r="R134" i="2"/>
  <c r="R77" i="2"/>
  <c r="AB454" i="2"/>
  <c r="Y109" i="2"/>
  <c r="Y229" i="2"/>
  <c r="M45" i="2"/>
  <c r="Y337" i="2"/>
  <c r="W45" i="2"/>
  <c r="O283" i="2"/>
  <c r="O112" i="2"/>
  <c r="R419" i="2"/>
  <c r="Y286" i="2"/>
  <c r="AC451" i="2"/>
  <c r="Z109" i="2"/>
  <c r="V331" i="2"/>
  <c r="Z400" i="2"/>
  <c r="AA226" i="2"/>
  <c r="Z229" i="2"/>
  <c r="AA340" i="2"/>
  <c r="L315" i="2"/>
  <c r="L316" i="2" s="1"/>
  <c r="L86" i="2"/>
  <c r="L88" i="2" s="1"/>
  <c r="AB258" i="2"/>
  <c r="AA454" i="2"/>
  <c r="AA229" i="2"/>
  <c r="G429" i="2"/>
  <c r="Z57" i="2"/>
  <c r="F257" i="2"/>
  <c r="G144" i="2"/>
  <c r="T283" i="2"/>
  <c r="AA283" i="2"/>
  <c r="Z115" i="2"/>
  <c r="J325" i="2"/>
  <c r="T169" i="2"/>
  <c r="J154" i="2"/>
  <c r="T226" i="2"/>
  <c r="F371" i="2"/>
  <c r="L428" i="2"/>
  <c r="AA397" i="2"/>
  <c r="Z172" i="2"/>
  <c r="J268" i="2"/>
  <c r="T112" i="2"/>
  <c r="F434" i="2"/>
  <c r="J39" i="2"/>
  <c r="G201" i="2"/>
  <c r="J211" i="2"/>
  <c r="T397" i="2"/>
  <c r="T454" i="2"/>
  <c r="Z286" i="2"/>
  <c r="Z457" i="2"/>
  <c r="T340" i="2"/>
  <c r="AA54" i="2"/>
  <c r="Z343" i="2"/>
  <c r="K371" i="2"/>
  <c r="M248" i="2"/>
  <c r="AB434" i="2"/>
  <c r="AE419" i="2"/>
  <c r="H51" i="2"/>
  <c r="H371" i="2"/>
  <c r="N205" i="2"/>
  <c r="H394" i="2"/>
  <c r="N433" i="2"/>
  <c r="N435" i="2" s="1"/>
  <c r="M77" i="2"/>
  <c r="AB92" i="2"/>
  <c r="AE77" i="2"/>
  <c r="T103" i="2"/>
  <c r="H200" i="2"/>
  <c r="Q280" i="2"/>
  <c r="W217" i="2"/>
  <c r="T394" i="2"/>
  <c r="AF263" i="2"/>
  <c r="T223" i="2"/>
  <c r="I451" i="2"/>
  <c r="W87" i="2"/>
  <c r="W88" i="2" s="1"/>
  <c r="M371" i="2"/>
  <c r="I172" i="2"/>
  <c r="P274" i="2"/>
  <c r="AA134" i="2"/>
  <c r="H223" i="2"/>
  <c r="L394" i="2"/>
  <c r="AE248" i="2"/>
  <c r="H428" i="2"/>
  <c r="N331" i="2"/>
  <c r="O45" i="2"/>
  <c r="M160" i="2"/>
  <c r="J254" i="2"/>
  <c r="U274" i="2"/>
  <c r="I223" i="2"/>
  <c r="AB191" i="2"/>
  <c r="N376" i="2"/>
  <c r="L70" i="2"/>
  <c r="AE19" i="2"/>
  <c r="J148" i="2"/>
  <c r="Q149" i="2"/>
  <c r="H257" i="2"/>
  <c r="L280" i="2"/>
  <c r="V274" i="2"/>
  <c r="R283" i="2"/>
  <c r="AE134" i="2"/>
  <c r="AB263" i="2"/>
  <c r="G153" i="2"/>
  <c r="H280" i="2"/>
  <c r="L149" i="2"/>
  <c r="L150" i="2" s="1"/>
  <c r="T149" i="2"/>
  <c r="AA362" i="2"/>
  <c r="R258" i="2"/>
  <c r="U112" i="2"/>
  <c r="AD112" i="2"/>
  <c r="W169" i="2"/>
  <c r="K143" i="2"/>
  <c r="K145" i="2" s="1"/>
  <c r="N191" i="2"/>
  <c r="AB320" i="2"/>
  <c r="AE45" i="2"/>
  <c r="N39" i="2"/>
  <c r="U30" i="2"/>
  <c r="AE181" i="2"/>
  <c r="V149" i="2"/>
  <c r="H211" i="2"/>
  <c r="Q223" i="2"/>
  <c r="AB206" i="2"/>
  <c r="AC286" i="2"/>
  <c r="V377" i="2"/>
  <c r="AD454" i="2"/>
  <c r="W97" i="2"/>
  <c r="G51" i="2"/>
  <c r="O33" i="2"/>
  <c r="O91" i="2"/>
  <c r="AC201" i="2"/>
  <c r="W397" i="2"/>
  <c r="V382" i="2"/>
  <c r="J33" i="2"/>
  <c r="N340" i="2"/>
  <c r="AE124" i="2"/>
  <c r="AB298" i="2"/>
  <c r="I154" i="2"/>
  <c r="X154" i="2"/>
  <c r="S223" i="2"/>
  <c r="AC87" i="2"/>
  <c r="AA377" i="2"/>
  <c r="X186" i="2"/>
  <c r="H205" i="2"/>
  <c r="H207" i="2" s="1"/>
  <c r="S280" i="2"/>
  <c r="N283" i="2"/>
  <c r="V201" i="2"/>
  <c r="V202" i="2" s="1"/>
  <c r="M254" i="2"/>
  <c r="I394" i="2"/>
  <c r="H438" i="2"/>
  <c r="V394" i="2"/>
  <c r="AB77" i="2"/>
  <c r="X382" i="2"/>
  <c r="H451" i="2"/>
  <c r="W454" i="2"/>
  <c r="AA419" i="2"/>
  <c r="S45" i="2"/>
  <c r="N54" i="2"/>
  <c r="H197" i="2"/>
  <c r="L223" i="2"/>
  <c r="N454" i="2"/>
  <c r="Y103" i="2"/>
  <c r="AB419" i="2"/>
  <c r="AB305" i="2"/>
  <c r="AE191" i="2"/>
  <c r="R397" i="2"/>
  <c r="AB362" i="2"/>
  <c r="S451" i="2"/>
  <c r="U372" i="2"/>
  <c r="W112" i="2"/>
  <c r="I109" i="2"/>
  <c r="AA77" i="2"/>
  <c r="L451" i="2"/>
  <c r="AB45" i="2"/>
  <c r="AA305" i="2"/>
  <c r="J45" i="2"/>
  <c r="L51" i="2"/>
  <c r="AB19" i="2"/>
  <c r="H254" i="2"/>
  <c r="W283" i="2"/>
  <c r="X268" i="2"/>
  <c r="R112" i="2"/>
  <c r="P388" i="2"/>
  <c r="L109" i="2"/>
  <c r="Z445" i="2"/>
  <c r="Z331" i="2"/>
  <c r="M148" i="2"/>
  <c r="W226" i="2"/>
  <c r="AA149" i="2"/>
  <c r="AA150" i="2" s="1"/>
  <c r="L200" i="2"/>
  <c r="L257" i="2"/>
  <c r="AA263" i="2"/>
  <c r="AA206" i="2"/>
  <c r="R160" i="2"/>
  <c r="V144" i="2"/>
  <c r="V145" i="2" s="1"/>
  <c r="N226" i="2"/>
  <c r="H376" i="2"/>
  <c r="H378" i="2" s="1"/>
  <c r="H166" i="2"/>
  <c r="R169" i="2"/>
  <c r="V280" i="2"/>
  <c r="I280" i="2"/>
  <c r="T217" i="2"/>
  <c r="AC258" i="2"/>
  <c r="AA248" i="2"/>
  <c r="R454" i="2"/>
  <c r="I337" i="2"/>
  <c r="I51" i="2"/>
  <c r="L371" i="2"/>
  <c r="AC144" i="2"/>
  <c r="P149" i="2"/>
  <c r="R226" i="2"/>
  <c r="U144" i="2"/>
  <c r="U145" i="2" s="1"/>
  <c r="U201" i="2"/>
  <c r="G140" i="2"/>
  <c r="N169" i="2"/>
  <c r="H262" i="2"/>
  <c r="S166" i="2"/>
  <c r="N397" i="2"/>
  <c r="AE362" i="2"/>
  <c r="X211" i="2"/>
  <c r="I445" i="2"/>
  <c r="N112" i="2"/>
  <c r="J257" i="2"/>
  <c r="M169" i="2"/>
  <c r="J371" i="2"/>
  <c r="Q169" i="2"/>
  <c r="V362" i="2"/>
  <c r="M263" i="2"/>
  <c r="M397" i="2"/>
  <c r="X397" i="2"/>
  <c r="Z362" i="2"/>
  <c r="Q372" i="2"/>
  <c r="M92" i="2"/>
  <c r="M93" i="2" s="1"/>
  <c r="M54" i="2"/>
  <c r="Q331" i="2"/>
  <c r="Q19" i="2"/>
  <c r="AB210" i="2"/>
  <c r="F200" i="2"/>
  <c r="Z191" i="2"/>
  <c r="AF274" i="2"/>
  <c r="Q226" i="2"/>
  <c r="J200" i="2"/>
  <c r="X283" i="2"/>
  <c r="M283" i="2"/>
  <c r="L143" i="2"/>
  <c r="G451" i="2"/>
  <c r="X169" i="2"/>
  <c r="M149" i="2"/>
  <c r="AD274" i="2"/>
  <c r="Q283" i="2"/>
  <c r="V134" i="2"/>
  <c r="AB144" i="2"/>
  <c r="AE172" i="2"/>
  <c r="H96" i="2"/>
  <c r="S394" i="2"/>
  <c r="H382" i="2"/>
  <c r="AC388" i="2"/>
  <c r="M439" i="2"/>
  <c r="P103" i="2"/>
  <c r="M445" i="2"/>
  <c r="W54" i="2"/>
  <c r="M320" i="2"/>
  <c r="V305" i="2"/>
  <c r="Z45" i="2"/>
  <c r="V19" i="2"/>
  <c r="AF34" i="2"/>
  <c r="AC160" i="2"/>
  <c r="AE286" i="2"/>
  <c r="V419" i="2"/>
  <c r="H439" i="2"/>
  <c r="AE57" i="2"/>
  <c r="AB201" i="2"/>
  <c r="M112" i="2"/>
  <c r="H153" i="2"/>
  <c r="H148" i="2"/>
  <c r="V191" i="2"/>
  <c r="N362" i="2"/>
  <c r="Z248" i="2"/>
  <c r="M268" i="2"/>
  <c r="Z77" i="2"/>
  <c r="H97" i="2"/>
  <c r="X112" i="2"/>
  <c r="O103" i="2"/>
  <c r="AE400" i="2"/>
  <c r="H325" i="2"/>
  <c r="H326" i="2" s="1"/>
  <c r="AD331" i="2"/>
  <c r="AE343" i="2"/>
  <c r="AE331" i="2"/>
  <c r="M340" i="2"/>
  <c r="G337" i="2"/>
  <c r="I311" i="2"/>
  <c r="Z19" i="2"/>
  <c r="M226" i="2"/>
  <c r="H154" i="2"/>
  <c r="Q191" i="2"/>
  <c r="N134" i="2"/>
  <c r="L160" i="2"/>
  <c r="M206" i="2"/>
  <c r="V248" i="2"/>
  <c r="Z419" i="2"/>
  <c r="AE229" i="2"/>
  <c r="G280" i="2"/>
  <c r="X226" i="2"/>
  <c r="M154" i="2"/>
  <c r="Z134" i="2"/>
  <c r="Q397" i="2"/>
  <c r="H268" i="2"/>
  <c r="M211" i="2"/>
  <c r="M212" i="2" s="1"/>
  <c r="J217" i="2"/>
  <c r="V217" i="2"/>
  <c r="Y445" i="2"/>
  <c r="M377" i="2"/>
  <c r="M378" i="2" s="1"/>
  <c r="S103" i="2"/>
  <c r="O388" i="2"/>
  <c r="Q77" i="2"/>
  <c r="Q112" i="2"/>
  <c r="AF331" i="2"/>
  <c r="L331" i="2"/>
  <c r="M39" i="2"/>
  <c r="M40" i="2" s="1"/>
  <c r="Q305" i="2"/>
  <c r="G274" i="2"/>
  <c r="G223" i="2"/>
  <c r="G394" i="2"/>
  <c r="AF388" i="2"/>
  <c r="M454" i="2"/>
  <c r="N445" i="2"/>
  <c r="M382" i="2"/>
  <c r="M97" i="2"/>
  <c r="U331" i="2"/>
  <c r="I45" i="2"/>
  <c r="G166" i="2"/>
  <c r="J428" i="2"/>
  <c r="J430" i="2" s="1"/>
  <c r="P268" i="2"/>
  <c r="M434" i="2"/>
  <c r="AE115" i="2"/>
  <c r="K181" i="2"/>
  <c r="AE457" i="2"/>
  <c r="X54" i="2"/>
  <c r="X340" i="2"/>
  <c r="AE238" i="2"/>
  <c r="N77" i="2"/>
  <c r="X454" i="2"/>
  <c r="AF144" i="2"/>
  <c r="AF145" i="2" s="1"/>
  <c r="K191" i="2"/>
  <c r="X92" i="2"/>
  <c r="L439" i="2"/>
  <c r="X377" i="2"/>
  <c r="AE429" i="2"/>
  <c r="M457" i="2"/>
  <c r="Q325" i="2"/>
  <c r="X34" i="2"/>
  <c r="L201" i="2"/>
  <c r="L144" i="2"/>
  <c r="K257" i="2"/>
  <c r="K259" i="2" s="1"/>
  <c r="Q154" i="2"/>
  <c r="V263" i="2"/>
  <c r="F263" i="2"/>
  <c r="L211" i="2"/>
  <c r="L212" i="2" s="1"/>
  <c r="H368" i="2"/>
  <c r="X263" i="2"/>
  <c r="AF92" i="2"/>
  <c r="T451" i="2"/>
  <c r="AF372" i="2"/>
  <c r="X434" i="2"/>
  <c r="L429" i="2"/>
  <c r="O429" i="2"/>
  <c r="R166" i="2"/>
  <c r="X149" i="2"/>
  <c r="AE144" i="2"/>
  <c r="L154" i="2"/>
  <c r="L155" i="2" s="1"/>
  <c r="K149" i="2"/>
  <c r="R223" i="2"/>
  <c r="L372" i="2"/>
  <c r="AF315" i="2"/>
  <c r="K263" i="2"/>
  <c r="K9" i="2"/>
  <c r="K124" i="2"/>
  <c r="F149" i="2"/>
  <c r="AE201" i="2"/>
  <c r="L258" i="2"/>
  <c r="X258" i="2"/>
  <c r="V434" i="2"/>
  <c r="V92" i="2"/>
  <c r="K377" i="2"/>
  <c r="AF429" i="2"/>
  <c r="Q343" i="2"/>
  <c r="L325" i="2"/>
  <c r="AC149" i="2"/>
  <c r="X144" i="2"/>
  <c r="X145" i="2" s="1"/>
  <c r="AF258" i="2"/>
  <c r="F206" i="2"/>
  <c r="AE372" i="2"/>
  <c r="X87" i="2"/>
  <c r="X88" i="2" s="1"/>
  <c r="M286" i="2"/>
  <c r="L382" i="2"/>
  <c r="K92" i="2"/>
  <c r="F320" i="2"/>
  <c r="V240" i="2"/>
  <c r="K238" i="2"/>
  <c r="AF201" i="2"/>
  <c r="V223" i="2"/>
  <c r="X206" i="2"/>
  <c r="R394" i="2"/>
  <c r="K206" i="2"/>
  <c r="L268" i="2"/>
  <c r="Q268" i="2"/>
  <c r="P112" i="2"/>
  <c r="AF87" i="2"/>
  <c r="F92" i="2"/>
  <c r="L29" i="2"/>
  <c r="L30" i="2" s="1"/>
  <c r="AC377" i="2"/>
  <c r="F377" i="2"/>
  <c r="L97" i="2"/>
  <c r="M400" i="2"/>
  <c r="AE91" i="2"/>
  <c r="AE33" i="2"/>
  <c r="AE148" i="2"/>
  <c r="K200" i="2"/>
  <c r="M143" i="2"/>
  <c r="F169" i="2"/>
  <c r="X439" i="2"/>
  <c r="F29" i="2"/>
  <c r="J311" i="2"/>
  <c r="F226" i="2"/>
  <c r="L397" i="2"/>
  <c r="N438" i="2"/>
  <c r="AC439" i="2"/>
  <c r="P229" i="2"/>
  <c r="AC211" i="2"/>
  <c r="O268" i="2"/>
  <c r="F258" i="2"/>
  <c r="F259" i="2" s="1"/>
  <c r="L229" i="2"/>
  <c r="L343" i="2"/>
  <c r="AB411" i="2"/>
  <c r="L226" i="2"/>
  <c r="AC154" i="2"/>
  <c r="H248" i="2"/>
  <c r="Z206" i="2"/>
  <c r="L362" i="2"/>
  <c r="AE206" i="2"/>
  <c r="F397" i="2"/>
  <c r="N83" i="2"/>
  <c r="T377" i="2"/>
  <c r="L77" i="2"/>
  <c r="O382" i="2"/>
  <c r="L340" i="2"/>
  <c r="F283" i="2"/>
  <c r="O211" i="2"/>
  <c r="K428" i="2"/>
  <c r="M86" i="2"/>
  <c r="M88" i="2" s="1"/>
  <c r="H172" i="2"/>
  <c r="R286" i="2"/>
  <c r="L419" i="2"/>
  <c r="AC315" i="2"/>
  <c r="W340" i="2"/>
  <c r="L305" i="2"/>
  <c r="L54" i="2"/>
  <c r="O38" i="2"/>
  <c r="O40" i="2" s="1"/>
  <c r="O96" i="2"/>
  <c r="O153" i="2"/>
  <c r="AF154" i="2"/>
  <c r="Y140" i="2"/>
  <c r="F154" i="2"/>
  <c r="AF268" i="2"/>
  <c r="O206" i="2"/>
  <c r="F439" i="2"/>
  <c r="F454" i="2"/>
  <c r="F315" i="2"/>
  <c r="F316" i="2" s="1"/>
  <c r="AF343" i="2"/>
  <c r="O320" i="2"/>
  <c r="F54" i="2"/>
  <c r="J372" i="2"/>
  <c r="O92" i="2"/>
  <c r="L286" i="2"/>
  <c r="O434" i="2"/>
  <c r="Z149" i="2"/>
  <c r="U280" i="2"/>
  <c r="AF211" i="2"/>
  <c r="F372" i="2"/>
  <c r="J29" i="2"/>
  <c r="J30" i="2" s="1"/>
  <c r="Z34" i="2"/>
  <c r="N411" i="2"/>
  <c r="X357" i="2"/>
  <c r="S355" i="2"/>
  <c r="S241" i="2"/>
  <c r="F201" i="2"/>
  <c r="O263" i="2"/>
  <c r="Z263" i="2"/>
  <c r="L454" i="2"/>
  <c r="L457" i="2"/>
  <c r="L115" i="2"/>
  <c r="F144" i="2"/>
  <c r="X414" i="2"/>
  <c r="Q12" i="2"/>
  <c r="J201" i="2"/>
  <c r="L172" i="2"/>
  <c r="Z377" i="2"/>
  <c r="F87" i="2"/>
  <c r="AF115" i="2"/>
  <c r="L57" i="2"/>
  <c r="G254" i="2"/>
  <c r="J258" i="2"/>
  <c r="U394" i="2"/>
  <c r="J87" i="2"/>
  <c r="Z320" i="2"/>
  <c r="F340" i="2"/>
  <c r="AD54" i="2"/>
  <c r="J144" i="2"/>
  <c r="O149" i="2"/>
  <c r="Z92" i="2"/>
  <c r="L400" i="2"/>
  <c r="J315" i="2"/>
  <c r="J316" i="2" s="1"/>
  <c r="O34" i="2"/>
  <c r="AF38" i="2"/>
  <c r="AF40" i="2" s="1"/>
  <c r="AF96" i="2"/>
  <c r="AF153" i="2"/>
  <c r="K362" i="2"/>
  <c r="K429" i="2"/>
  <c r="U340" i="2"/>
  <c r="G210" i="2"/>
  <c r="U226" i="2"/>
  <c r="H91" i="2"/>
  <c r="S172" i="2"/>
  <c r="N248" i="2"/>
  <c r="R451" i="2"/>
  <c r="S286" i="2"/>
  <c r="S229" i="2"/>
  <c r="Q377" i="2"/>
  <c r="AA92" i="2"/>
  <c r="N305" i="2"/>
  <c r="Y343" i="2"/>
  <c r="K25" i="2"/>
  <c r="P340" i="2"/>
  <c r="K140" i="2"/>
  <c r="U149" i="2"/>
  <c r="S352" i="2"/>
  <c r="U283" i="2"/>
  <c r="N143" i="2"/>
  <c r="H201" i="2"/>
  <c r="AB154" i="2"/>
  <c r="N86" i="2"/>
  <c r="H258" i="2"/>
  <c r="J425" i="2"/>
  <c r="F419" i="2"/>
  <c r="H372" i="2"/>
  <c r="V87" i="2"/>
  <c r="V88" i="2" s="1"/>
  <c r="P92" i="2"/>
  <c r="AA434" i="2"/>
  <c r="AE87" i="2"/>
  <c r="H315" i="2"/>
  <c r="H316" i="2" s="1"/>
  <c r="AF320" i="2"/>
  <c r="AB325" i="2"/>
  <c r="X343" i="2"/>
  <c r="AB268" i="2"/>
  <c r="U377" i="2"/>
  <c r="H87" i="2"/>
  <c r="H429" i="2"/>
  <c r="U169" i="2"/>
  <c r="G438" i="2"/>
  <c r="F428" i="2"/>
  <c r="F430" i="2" s="1"/>
  <c r="S109" i="2"/>
  <c r="AA87" i="2"/>
  <c r="W377" i="2"/>
  <c r="S92" i="2"/>
  <c r="U92" i="2"/>
  <c r="X97" i="2"/>
  <c r="U457" i="2"/>
  <c r="AD57" i="2"/>
  <c r="W331" i="2"/>
  <c r="I331" i="2"/>
  <c r="I258" i="2"/>
  <c r="K87" i="2"/>
  <c r="K88" i="2" s="1"/>
  <c r="G267" i="2"/>
  <c r="G197" i="2"/>
  <c r="Z243" i="2"/>
  <c r="U397" i="2"/>
  <c r="U454" i="2"/>
  <c r="N419" i="2"/>
  <c r="AF439" i="2"/>
  <c r="G25" i="2"/>
  <c r="O438" i="2"/>
  <c r="O324" i="2"/>
  <c r="O381" i="2"/>
  <c r="O210" i="2"/>
  <c r="O267" i="2"/>
  <c r="Z311" i="2"/>
  <c r="Z25" i="2"/>
  <c r="Z140" i="2"/>
  <c r="Z83" i="2"/>
  <c r="AA38" i="2"/>
  <c r="AA153" i="2"/>
  <c r="AA96" i="2"/>
  <c r="J96" i="2"/>
  <c r="J98" i="2" s="1"/>
  <c r="J153" i="2"/>
  <c r="AC181" i="2"/>
  <c r="AC242" i="2"/>
  <c r="AA409" i="2"/>
  <c r="O148" i="2"/>
  <c r="V166" i="2"/>
  <c r="R229" i="2"/>
  <c r="AF286" i="2"/>
  <c r="T434" i="2"/>
  <c r="P320" i="2"/>
  <c r="AF57" i="2"/>
  <c r="K311" i="2"/>
  <c r="Z28" i="2"/>
  <c r="Z30" i="2" s="1"/>
  <c r="K409" i="2"/>
  <c r="T92" i="2"/>
  <c r="P411" i="2"/>
  <c r="X299" i="2"/>
  <c r="M200" i="2"/>
  <c r="M202" i="2" s="1"/>
  <c r="H267" i="2"/>
  <c r="M257" i="2"/>
  <c r="AB283" i="2"/>
  <c r="G381" i="2"/>
  <c r="M428" i="2"/>
  <c r="O397" i="2"/>
  <c r="P263" i="2"/>
  <c r="P206" i="2"/>
  <c r="AD268" i="2"/>
  <c r="AD269" i="2" s="1"/>
  <c r="W206" i="2"/>
  <c r="P434" i="2"/>
  <c r="K439" i="2"/>
  <c r="AD439" i="2"/>
  <c r="K97" i="2"/>
  <c r="Q382" i="2"/>
  <c r="AA112" i="2"/>
  <c r="G425" i="2"/>
  <c r="M429" i="2"/>
  <c r="AA57" i="2"/>
  <c r="M368" i="2"/>
  <c r="I425" i="2"/>
  <c r="P377" i="2"/>
  <c r="AF400" i="2"/>
  <c r="V337" i="2"/>
  <c r="O54" i="2"/>
  <c r="L140" i="2"/>
  <c r="Z143" i="2"/>
  <c r="Z145" i="2" s="1"/>
  <c r="K248" i="2"/>
  <c r="R172" i="2"/>
  <c r="I92" i="2"/>
  <c r="R457" i="2"/>
  <c r="AF457" i="2"/>
  <c r="M33" i="2"/>
  <c r="M35" i="2" s="1"/>
  <c r="O340" i="2"/>
  <c r="T337" i="2"/>
  <c r="H319" i="2"/>
  <c r="K29" i="2"/>
  <c r="AD238" i="2"/>
  <c r="AD210" i="2"/>
  <c r="AF297" i="2"/>
  <c r="AA243" i="2"/>
  <c r="H210" i="2"/>
  <c r="M197" i="2"/>
  <c r="K254" i="2"/>
  <c r="AB397" i="2"/>
  <c r="K368" i="2"/>
  <c r="AF172" i="2"/>
  <c r="AF411" i="2"/>
  <c r="AC356" i="2"/>
  <c r="AC352" i="2"/>
  <c r="AB241" i="2"/>
  <c r="I153" i="2"/>
  <c r="I197" i="2"/>
  <c r="H381" i="2"/>
  <c r="K197" i="2"/>
  <c r="I254" i="2"/>
  <c r="K134" i="2"/>
  <c r="T206" i="2"/>
  <c r="U172" i="2"/>
  <c r="V258" i="2"/>
  <c r="V259" i="2" s="1"/>
  <c r="G83" i="2"/>
  <c r="S97" i="2"/>
  <c r="AF434" i="2"/>
  <c r="K77" i="2"/>
  <c r="M451" i="2"/>
  <c r="Q451" i="2"/>
  <c r="U434" i="2"/>
  <c r="K372" i="2"/>
  <c r="Q439" i="2"/>
  <c r="Q337" i="2"/>
  <c r="N25" i="2"/>
  <c r="L311" i="2"/>
  <c r="AD39" i="2"/>
  <c r="P331" i="2"/>
  <c r="P54" i="2"/>
  <c r="AF229" i="2"/>
  <c r="K419" i="2"/>
  <c r="I320" i="2"/>
  <c r="Z324" i="2"/>
  <c r="Z381" i="2"/>
  <c r="Z210" i="2"/>
  <c r="Z267" i="2"/>
  <c r="Z269" i="2" s="1"/>
  <c r="Z438" i="2"/>
  <c r="J324" i="2"/>
  <c r="J381" i="2"/>
  <c r="J383" i="2" s="1"/>
  <c r="J267" i="2"/>
  <c r="M413" i="2"/>
  <c r="M128" i="2"/>
  <c r="M414" i="2"/>
  <c r="M71" i="2"/>
  <c r="M186" i="2"/>
  <c r="AB262" i="2"/>
  <c r="AB433" i="2"/>
  <c r="AB205" i="2"/>
  <c r="AB319" i="2"/>
  <c r="AB376" i="2"/>
  <c r="Y254" i="2"/>
  <c r="Y197" i="2"/>
  <c r="Y425" i="2"/>
  <c r="Y368" i="2"/>
  <c r="AC38" i="2"/>
  <c r="AC40" i="2" s="1"/>
  <c r="AC153" i="2"/>
  <c r="AC96" i="2"/>
  <c r="Y33" i="2"/>
  <c r="Y35" i="2" s="1"/>
  <c r="Y91" i="2"/>
  <c r="Y148" i="2"/>
  <c r="AA140" i="2"/>
  <c r="AA83" i="2"/>
  <c r="AA311" i="2"/>
  <c r="AA25" i="2"/>
  <c r="AB143" i="2"/>
  <c r="AB86" i="2"/>
  <c r="AB28" i="2"/>
  <c r="AB30" i="2" s="1"/>
  <c r="Z148" i="2"/>
  <c r="Z91" i="2"/>
  <c r="Z33" i="2"/>
  <c r="AD153" i="2"/>
  <c r="AD38" i="2"/>
  <c r="AD96" i="2"/>
  <c r="M12" i="2"/>
  <c r="M241" i="2"/>
  <c r="M70" i="2"/>
  <c r="N297" i="2"/>
  <c r="AA357" i="2"/>
  <c r="AE258" i="2"/>
  <c r="T268" i="2"/>
  <c r="W451" i="2"/>
  <c r="AC229" i="2"/>
  <c r="Q115" i="2"/>
  <c r="Q457" i="2"/>
  <c r="R400" i="2"/>
  <c r="AD343" i="2"/>
  <c r="R340" i="2"/>
  <c r="V320" i="2"/>
  <c r="AD315" i="2"/>
  <c r="Q54" i="2"/>
  <c r="K320" i="2"/>
  <c r="W325" i="2"/>
  <c r="U54" i="2"/>
  <c r="T29" i="2"/>
  <c r="T30" i="2" s="1"/>
  <c r="Y13" i="2"/>
  <c r="L40" i="2"/>
  <c r="Z300" i="2"/>
  <c r="V172" i="2"/>
  <c r="V206" i="2"/>
  <c r="R434" i="2"/>
  <c r="Q400" i="2"/>
  <c r="Q39" i="2"/>
  <c r="S337" i="2"/>
  <c r="V325" i="2"/>
  <c r="P39" i="2"/>
  <c r="S184" i="2"/>
  <c r="S298" i="2"/>
  <c r="P184" i="2"/>
  <c r="AE263" i="2"/>
  <c r="AE264" i="2" s="1"/>
  <c r="Q172" i="2"/>
  <c r="U206" i="2"/>
  <c r="R206" i="2"/>
  <c r="U263" i="2"/>
  <c r="Q97" i="2"/>
  <c r="Y434" i="2"/>
  <c r="L377" i="2"/>
  <c r="Q454" i="2"/>
  <c r="O97" i="2"/>
  <c r="O457" i="2"/>
  <c r="Y11" i="2"/>
  <c r="N352" i="2"/>
  <c r="Y414" i="2"/>
  <c r="AD299" i="2"/>
  <c r="Q298" i="2"/>
  <c r="V154" i="2"/>
  <c r="V268" i="2"/>
  <c r="V211" i="2"/>
  <c r="AF97" i="2"/>
  <c r="S87" i="2"/>
  <c r="S88" i="2" s="1"/>
  <c r="AE434" i="2"/>
  <c r="K434" i="2"/>
  <c r="V229" i="2"/>
  <c r="O439" i="2"/>
  <c r="AB87" i="2"/>
  <c r="AF382" i="2"/>
  <c r="P115" i="2"/>
  <c r="Q57" i="2"/>
  <c r="AE315" i="2"/>
  <c r="I39" i="2"/>
  <c r="I40" i="2" s="1"/>
  <c r="T54" i="2"/>
  <c r="AD411" i="2"/>
  <c r="AD356" i="2"/>
  <c r="P183" i="2"/>
  <c r="T124" i="2"/>
  <c r="W223" i="2"/>
  <c r="Q229" i="2"/>
  <c r="AE377" i="2"/>
  <c r="AE378" i="2" s="1"/>
  <c r="T372" i="2"/>
  <c r="Q286" i="2"/>
  <c r="R109" i="2"/>
  <c r="W109" i="2"/>
  <c r="AD434" i="2"/>
  <c r="R115" i="2"/>
  <c r="R54" i="2"/>
  <c r="Z319" i="2"/>
  <c r="Z262" i="2"/>
  <c r="Z205" i="2"/>
  <c r="AF324" i="2"/>
  <c r="AF267" i="2"/>
  <c r="AF438" i="2"/>
  <c r="AF381" i="2"/>
  <c r="AF210" i="2"/>
  <c r="AC324" i="2"/>
  <c r="AC381" i="2"/>
  <c r="AC267" i="2"/>
  <c r="AC210" i="2"/>
  <c r="AC438" i="2"/>
  <c r="AE243" i="2"/>
  <c r="AE242" i="2"/>
  <c r="AE299" i="2"/>
  <c r="AE414" i="2"/>
  <c r="AE300" i="2"/>
  <c r="AE185" i="2"/>
  <c r="G295" i="2"/>
  <c r="G67" i="2"/>
  <c r="G409" i="2"/>
  <c r="AB25" i="2"/>
  <c r="AB140" i="2"/>
  <c r="AB83" i="2"/>
  <c r="AB311" i="2"/>
  <c r="Y324" i="2"/>
  <c r="Y267" i="2"/>
  <c r="Y210" i="2"/>
  <c r="Y438" i="2"/>
  <c r="Y440" i="2" s="1"/>
  <c r="Y381" i="2"/>
  <c r="AE28" i="2"/>
  <c r="AE30" i="2" s="1"/>
  <c r="AE143" i="2"/>
  <c r="AE86" i="2"/>
  <c r="AB33" i="2"/>
  <c r="AB35" i="2" s="1"/>
  <c r="AB148" i="2"/>
  <c r="AB91" i="2"/>
  <c r="AF83" i="2"/>
  <c r="AF140" i="2"/>
  <c r="AF25" i="2"/>
  <c r="AF311" i="2"/>
  <c r="M185" i="2"/>
  <c r="Z11" i="2"/>
  <c r="I200" i="2"/>
  <c r="T154" i="2"/>
  <c r="AC283" i="2"/>
  <c r="Y86" i="2"/>
  <c r="AC397" i="2"/>
  <c r="T87" i="2"/>
  <c r="T88" i="2" s="1"/>
  <c r="O83" i="2"/>
  <c r="O229" i="2"/>
  <c r="F77" i="2"/>
  <c r="O115" i="2"/>
  <c r="I400" i="2"/>
  <c r="N324" i="2"/>
  <c r="AE340" i="2"/>
  <c r="V29" i="2"/>
  <c r="V30" i="2" s="1"/>
  <c r="K340" i="2"/>
  <c r="O57" i="2"/>
  <c r="J38" i="2"/>
  <c r="T144" i="2"/>
  <c r="T145" i="2" s="1"/>
  <c r="AE283" i="2"/>
  <c r="N67" i="2"/>
  <c r="L254" i="2"/>
  <c r="J143" i="2"/>
  <c r="O172" i="2"/>
  <c r="P172" i="2"/>
  <c r="G172" i="2"/>
  <c r="G229" i="2"/>
  <c r="N87" i="2"/>
  <c r="K112" i="2"/>
  <c r="V451" i="2"/>
  <c r="I434" i="2"/>
  <c r="V109" i="2"/>
  <c r="V372" i="2"/>
  <c r="V373" i="2" s="1"/>
  <c r="P286" i="2"/>
  <c r="I229" i="2"/>
  <c r="AA400" i="2"/>
  <c r="N429" i="2"/>
  <c r="N430" i="2" s="1"/>
  <c r="U115" i="2"/>
  <c r="I343" i="2"/>
  <c r="Q29" i="2"/>
  <c r="Q30" i="2" s="1"/>
  <c r="R51" i="2"/>
  <c r="M140" i="2"/>
  <c r="N381" i="2"/>
  <c r="M240" i="2"/>
  <c r="I411" i="2"/>
  <c r="M72" i="2"/>
  <c r="AA242" i="2"/>
  <c r="M243" i="2"/>
  <c r="W9" i="2"/>
  <c r="I148" i="2"/>
  <c r="I257" i="2"/>
  <c r="L197" i="2"/>
  <c r="AE226" i="2"/>
  <c r="N144" i="2"/>
  <c r="F362" i="2"/>
  <c r="L368" i="2"/>
  <c r="I206" i="2"/>
  <c r="G286" i="2"/>
  <c r="AA286" i="2"/>
  <c r="AA457" i="2"/>
  <c r="W400" i="2"/>
  <c r="S429" i="2"/>
  <c r="F457" i="2"/>
  <c r="AC54" i="2"/>
  <c r="O311" i="2"/>
  <c r="L33" i="2"/>
  <c r="L35" i="2" s="1"/>
  <c r="N315" i="2"/>
  <c r="T382" i="2"/>
  <c r="I377" i="2"/>
  <c r="I115" i="2"/>
  <c r="G115" i="2"/>
  <c r="O400" i="2"/>
  <c r="I57" i="2"/>
  <c r="AE54" i="2"/>
  <c r="Q315" i="2"/>
  <c r="AE169" i="2"/>
  <c r="N258" i="2"/>
  <c r="Y297" i="2"/>
  <c r="R241" i="2"/>
  <c r="N267" i="2"/>
  <c r="K283" i="2"/>
  <c r="T201" i="2"/>
  <c r="O140" i="2"/>
  <c r="Z88" i="2"/>
  <c r="AE397" i="2"/>
  <c r="AA172" i="2"/>
  <c r="Q258" i="2"/>
  <c r="F248" i="2"/>
  <c r="I263" i="2"/>
  <c r="U286" i="2"/>
  <c r="AC112" i="2"/>
  <c r="R87" i="2"/>
  <c r="R88" i="2" s="1"/>
  <c r="AC454" i="2"/>
  <c r="T429" i="2"/>
  <c r="G457" i="2"/>
  <c r="AA115" i="2"/>
  <c r="G400" i="2"/>
  <c r="AF54" i="2"/>
  <c r="V315" i="2"/>
  <c r="V316" i="2" s="1"/>
  <c r="P343" i="2"/>
  <c r="U57" i="2"/>
  <c r="Q87" i="2"/>
  <c r="Q88" i="2" s="1"/>
  <c r="AE112" i="2"/>
  <c r="M357" i="2"/>
  <c r="V430" i="2"/>
  <c r="M242" i="2"/>
  <c r="AF354" i="2"/>
  <c r="Z13" i="2"/>
  <c r="M13" i="2"/>
  <c r="M129" i="2"/>
  <c r="U295" i="2"/>
  <c r="F191" i="2"/>
  <c r="K169" i="2"/>
  <c r="F134" i="2"/>
  <c r="K226" i="2"/>
  <c r="Q201" i="2"/>
  <c r="L91" i="2"/>
  <c r="T211" i="2"/>
  <c r="I286" i="2"/>
  <c r="U229" i="2"/>
  <c r="T439" i="2"/>
  <c r="O286" i="2"/>
  <c r="W434" i="2"/>
  <c r="Q429" i="2"/>
  <c r="U400" i="2"/>
  <c r="I457" i="2"/>
  <c r="G57" i="2"/>
  <c r="T315" i="2"/>
  <c r="K54" i="2"/>
  <c r="AA343" i="2"/>
  <c r="G343" i="2"/>
  <c r="AE34" i="2"/>
  <c r="K397" i="2"/>
  <c r="J86" i="2"/>
  <c r="K454" i="2"/>
  <c r="M356" i="2"/>
  <c r="AD13" i="2"/>
  <c r="M14" i="2"/>
  <c r="AF240" i="2"/>
  <c r="AE411" i="2"/>
  <c r="AA414" i="2"/>
  <c r="AC226" i="2"/>
  <c r="I371" i="2"/>
  <c r="AC169" i="2"/>
  <c r="J264" i="2"/>
  <c r="N201" i="2"/>
  <c r="I149" i="2"/>
  <c r="I428" i="2"/>
  <c r="M83" i="2"/>
  <c r="AE454" i="2"/>
  <c r="T97" i="2"/>
  <c r="P457" i="2"/>
  <c r="U343" i="2"/>
  <c r="F19" i="2"/>
  <c r="O343" i="2"/>
  <c r="K19" i="2"/>
  <c r="X240" i="2"/>
  <c r="X183" i="2"/>
  <c r="AB14" i="2"/>
  <c r="AB13" i="2"/>
  <c r="AB299" i="2"/>
  <c r="AB356" i="2"/>
  <c r="AB413" i="2"/>
  <c r="K71" i="2"/>
  <c r="K243" i="2"/>
  <c r="L243" i="2"/>
  <c r="L300" i="2"/>
  <c r="L242" i="2"/>
  <c r="L13" i="2"/>
  <c r="O319" i="2"/>
  <c r="O376" i="2"/>
  <c r="O378" i="2" s="1"/>
  <c r="O262" i="2"/>
  <c r="O205" i="2"/>
  <c r="O433" i="2"/>
  <c r="P124" i="2"/>
  <c r="P295" i="2"/>
  <c r="P352" i="2"/>
  <c r="P11" i="2"/>
  <c r="AC240" i="2"/>
  <c r="Y411" i="2"/>
  <c r="M300" i="2"/>
  <c r="Q71" i="2"/>
  <c r="G69" i="2"/>
  <c r="AA300" i="2"/>
  <c r="U409" i="2"/>
  <c r="I124" i="2"/>
  <c r="R12" i="2"/>
  <c r="R298" i="2"/>
  <c r="I201" i="2"/>
  <c r="Z376" i="2"/>
  <c r="Q166" i="2"/>
  <c r="AA154" i="2"/>
  <c r="AD149" i="2"/>
  <c r="X201" i="2"/>
  <c r="J368" i="2"/>
  <c r="N268" i="2"/>
  <c r="F268" i="2"/>
  <c r="Z433" i="2"/>
  <c r="Z435" i="2" s="1"/>
  <c r="AC263" i="2"/>
  <c r="AD263" i="2"/>
  <c r="Q388" i="2"/>
  <c r="AC92" i="2"/>
  <c r="N377" i="2"/>
  <c r="H286" i="2"/>
  <c r="AB439" i="2"/>
  <c r="AB440" i="2" s="1"/>
  <c r="AB382" i="2"/>
  <c r="AD377" i="2"/>
  <c r="M115" i="2"/>
  <c r="L25" i="2"/>
  <c r="G314" i="2"/>
  <c r="G316" i="2" s="1"/>
  <c r="AB39" i="2"/>
  <c r="M51" i="2"/>
  <c r="S30" i="2"/>
  <c r="AE354" i="2"/>
  <c r="K11" i="2"/>
  <c r="Q414" i="2"/>
  <c r="P126" i="2"/>
  <c r="AA185" i="2"/>
  <c r="AA238" i="2"/>
  <c r="M412" i="2"/>
  <c r="Z241" i="2"/>
  <c r="S144" i="2"/>
  <c r="S145" i="2" s="1"/>
  <c r="AB211" i="2"/>
  <c r="AA211" i="2"/>
  <c r="I91" i="2"/>
  <c r="X372" i="2"/>
  <c r="AD97" i="2"/>
  <c r="W229" i="2"/>
  <c r="AD382" i="2"/>
  <c r="H457" i="2"/>
  <c r="X29" i="2"/>
  <c r="X30" i="2" s="1"/>
  <c r="H57" i="2"/>
  <c r="Y28" i="2"/>
  <c r="Y30" i="2" s="1"/>
  <c r="AB11" i="2"/>
  <c r="AB354" i="2"/>
  <c r="AD297" i="2"/>
  <c r="L238" i="2"/>
  <c r="Q206" i="2"/>
  <c r="Q394" i="2"/>
  <c r="I397" i="2"/>
  <c r="G428" i="2"/>
  <c r="AD92" i="2"/>
  <c r="M229" i="2"/>
  <c r="F97" i="2"/>
  <c r="N382" i="2"/>
  <c r="H115" i="2"/>
  <c r="M343" i="2"/>
  <c r="S315" i="2"/>
  <c r="N325" i="2"/>
  <c r="N34" i="2"/>
  <c r="N35" i="2" s="1"/>
  <c r="M299" i="2"/>
  <c r="S11" i="2"/>
  <c r="Y242" i="2"/>
  <c r="AA186" i="2"/>
  <c r="Y185" i="2"/>
  <c r="AE240" i="2"/>
  <c r="G11" i="2"/>
  <c r="AC299" i="2"/>
  <c r="AA295" i="2"/>
  <c r="L181" i="2"/>
  <c r="AA352" i="2"/>
  <c r="AD124" i="2"/>
  <c r="AA12" i="2"/>
  <c r="Z298" i="2"/>
  <c r="G257" i="2"/>
  <c r="G259" i="2" s="1"/>
  <c r="J210" i="2"/>
  <c r="I169" i="2"/>
  <c r="U154" i="2"/>
  <c r="J134" i="2"/>
  <c r="P201" i="2"/>
  <c r="I226" i="2"/>
  <c r="S201" i="2"/>
  <c r="M172" i="2"/>
  <c r="W172" i="2"/>
  <c r="AC206" i="2"/>
  <c r="AA268" i="2"/>
  <c r="L96" i="2"/>
  <c r="AC434" i="2"/>
  <c r="H229" i="2"/>
  <c r="F382" i="2"/>
  <c r="S372" i="2"/>
  <c r="V115" i="2"/>
  <c r="H400" i="2"/>
  <c r="AC320" i="2"/>
  <c r="AD320" i="2"/>
  <c r="M57" i="2"/>
  <c r="AA356" i="2"/>
  <c r="S297" i="2"/>
  <c r="AA299" i="2"/>
  <c r="AB183" i="2"/>
  <c r="G126" i="2"/>
  <c r="Q243" i="2"/>
  <c r="AB297" i="2"/>
  <c r="G200" i="2"/>
  <c r="Y12" i="2"/>
  <c r="N262" i="2"/>
  <c r="I283" i="2"/>
  <c r="I144" i="2"/>
  <c r="S258" i="2"/>
  <c r="Q263" i="2"/>
  <c r="J438" i="2"/>
  <c r="J440" i="2" s="1"/>
  <c r="F211" i="2"/>
  <c r="I87" i="2"/>
  <c r="I103" i="2"/>
  <c r="I454" i="2"/>
  <c r="I112" i="2"/>
  <c r="F325" i="2"/>
  <c r="Q129" i="2"/>
  <c r="Q128" i="2"/>
  <c r="Q72" i="2"/>
  <c r="I372" i="2"/>
  <c r="W286" i="2"/>
  <c r="Q109" i="2"/>
  <c r="Q92" i="2"/>
  <c r="Q434" i="2"/>
  <c r="X429" i="2"/>
  <c r="I429" i="2"/>
  <c r="W115" i="2"/>
  <c r="H343" i="2"/>
  <c r="R11" i="2"/>
  <c r="R354" i="2"/>
  <c r="R240" i="2"/>
  <c r="V412" i="2"/>
  <c r="V355" i="2"/>
  <c r="AD413" i="2"/>
  <c r="AD186" i="2"/>
  <c r="AD414" i="2"/>
  <c r="AD300" i="2"/>
  <c r="T11" i="2"/>
  <c r="T240" i="2"/>
  <c r="T411" i="2"/>
  <c r="T183" i="2"/>
  <c r="P298" i="2"/>
  <c r="P241" i="2"/>
  <c r="P70" i="2"/>
  <c r="P412" i="2"/>
  <c r="P127" i="2"/>
  <c r="P355" i="2"/>
  <c r="K413" i="2"/>
  <c r="K14" i="2"/>
  <c r="K13" i="2"/>
  <c r="K186" i="2"/>
  <c r="K242" i="2"/>
  <c r="K128" i="2"/>
  <c r="K414" i="2"/>
  <c r="K300" i="2"/>
  <c r="L14" i="2"/>
  <c r="L72" i="2"/>
  <c r="L71" i="2"/>
  <c r="L299" i="2"/>
  <c r="L356" i="2"/>
  <c r="Z413" i="2"/>
  <c r="Z414" i="2"/>
  <c r="Z356" i="2"/>
  <c r="Z357" i="2"/>
  <c r="Z299" i="2"/>
  <c r="Z14" i="2"/>
  <c r="Z185" i="2"/>
  <c r="Z186" i="2"/>
  <c r="N124" i="2"/>
  <c r="N409" i="2"/>
  <c r="L298" i="2"/>
  <c r="L412" i="2"/>
  <c r="L184" i="2"/>
  <c r="L12" i="2"/>
  <c r="AA11" i="2"/>
  <c r="AA183" i="2"/>
  <c r="AA354" i="2"/>
  <c r="AE210" i="2"/>
  <c r="AE324" i="2"/>
  <c r="AE381" i="2"/>
  <c r="AE438" i="2"/>
  <c r="AE267" i="2"/>
  <c r="AE13" i="2"/>
  <c r="AE413" i="2"/>
  <c r="AE356" i="2"/>
  <c r="AE14" i="2"/>
  <c r="AF298" i="2"/>
  <c r="AF184" i="2"/>
  <c r="AF12" i="2"/>
  <c r="AF241" i="2"/>
  <c r="O295" i="2"/>
  <c r="O124" i="2"/>
  <c r="O409" i="2"/>
  <c r="O238" i="2"/>
  <c r="O67" i="2"/>
  <c r="U355" i="2"/>
  <c r="U184" i="2"/>
  <c r="U12" i="2"/>
  <c r="Z124" i="2"/>
  <c r="Z238" i="2"/>
  <c r="N183" i="2"/>
  <c r="N354" i="2"/>
  <c r="R181" i="2"/>
  <c r="R409" i="2"/>
  <c r="R238" i="2"/>
  <c r="R352" i="2"/>
  <c r="R124" i="2"/>
  <c r="R9" i="2"/>
  <c r="W409" i="2"/>
  <c r="W181" i="2"/>
  <c r="W352" i="2"/>
  <c r="W295" i="2"/>
  <c r="W124" i="2"/>
  <c r="H126" i="2"/>
  <c r="H11" i="2"/>
  <c r="H69" i="2"/>
  <c r="H183" i="2"/>
  <c r="M297" i="2"/>
  <c r="M11" i="2"/>
  <c r="M411" i="2"/>
  <c r="M183" i="2"/>
  <c r="M126" i="2"/>
  <c r="Q124" i="2"/>
  <c r="Q238" i="2"/>
  <c r="Q352" i="2"/>
  <c r="Q295" i="2"/>
  <c r="Q67" i="2"/>
  <c r="AB181" i="2"/>
  <c r="AB124" i="2"/>
  <c r="AB238" i="2"/>
  <c r="AB352" i="2"/>
  <c r="AB409" i="2"/>
  <c r="AB295" i="2"/>
  <c r="AB9" i="2"/>
  <c r="P243" i="2"/>
  <c r="P413" i="2"/>
  <c r="P299" i="2"/>
  <c r="W241" i="2"/>
  <c r="W184" i="2"/>
  <c r="W12" i="2"/>
  <c r="K12" i="2"/>
  <c r="K184" i="2"/>
  <c r="AD91" i="2"/>
  <c r="AD33" i="2"/>
  <c r="AD35" i="2" s="1"/>
  <c r="AD148" i="2"/>
  <c r="AF11" i="2"/>
  <c r="L69" i="2"/>
  <c r="L126" i="2"/>
  <c r="R295" i="2"/>
  <c r="Y240" i="2"/>
  <c r="AB242" i="2"/>
  <c r="Y243" i="2"/>
  <c r="AB186" i="2"/>
  <c r="AD183" i="2"/>
  <c r="AD240" i="2"/>
  <c r="AD354" i="2"/>
  <c r="T409" i="2"/>
  <c r="V11" i="2"/>
  <c r="U181" i="2"/>
  <c r="P9" i="2"/>
  <c r="AE12" i="2"/>
  <c r="R412" i="2"/>
  <c r="AB412" i="2"/>
  <c r="H191" i="2"/>
  <c r="I268" i="2"/>
  <c r="I269" i="2" s="1"/>
  <c r="M96" i="2"/>
  <c r="Y263" i="2"/>
  <c r="Y206" i="2"/>
  <c r="H362" i="2"/>
  <c r="P258" i="2"/>
  <c r="AC172" i="2"/>
  <c r="I439" i="2"/>
  <c r="AA382" i="2"/>
  <c r="U451" i="2"/>
  <c r="AC97" i="2"/>
  <c r="I97" i="2"/>
  <c r="AB372" i="2"/>
  <c r="R320" i="2"/>
  <c r="R343" i="2"/>
  <c r="X57" i="2"/>
  <c r="U337" i="2"/>
  <c r="AF340" i="2"/>
  <c r="X325" i="2"/>
  <c r="N320" i="2"/>
  <c r="N321" i="2" s="1"/>
  <c r="Y311" i="2"/>
  <c r="T34" i="2"/>
  <c r="H19" i="2"/>
  <c r="AE183" i="2"/>
  <c r="U240" i="2"/>
  <c r="Y14" i="2"/>
  <c r="AB357" i="2"/>
  <c r="Y356" i="2"/>
  <c r="AE297" i="2"/>
  <c r="K126" i="2"/>
  <c r="Z297" i="2"/>
  <c r="AC295" i="2"/>
  <c r="AC409" i="2"/>
  <c r="O12" i="2"/>
  <c r="P144" i="2"/>
  <c r="P145" i="2" s="1"/>
  <c r="S268" i="2"/>
  <c r="U258" i="2"/>
  <c r="J172" i="2"/>
  <c r="Y83" i="2"/>
  <c r="AB112" i="2"/>
  <c r="I382" i="2"/>
  <c r="L92" i="2"/>
  <c r="S112" i="2"/>
  <c r="P87" i="2"/>
  <c r="P88" i="2" s="1"/>
  <c r="P439" i="2"/>
  <c r="L434" i="2"/>
  <c r="P429" i="2"/>
  <c r="J457" i="2"/>
  <c r="K457" i="2"/>
  <c r="L320" i="2"/>
  <c r="K57" i="2"/>
  <c r="Y354" i="2"/>
  <c r="Q300" i="2"/>
  <c r="AB414" i="2"/>
  <c r="Q13" i="2"/>
  <c r="P238" i="2"/>
  <c r="I211" i="2"/>
  <c r="X172" i="2"/>
  <c r="P211" i="2"/>
  <c r="U211" i="2"/>
  <c r="K229" i="2"/>
  <c r="R92" i="2"/>
  <c r="H83" i="2"/>
  <c r="R377" i="2"/>
  <c r="AF112" i="2"/>
  <c r="J229" i="2"/>
  <c r="K343" i="2"/>
  <c r="AA39" i="2"/>
  <c r="S54" i="2"/>
  <c r="R34" i="2"/>
  <c r="H77" i="2"/>
  <c r="P372" i="2"/>
  <c r="X286" i="2"/>
  <c r="P97" i="2"/>
  <c r="Y377" i="2"/>
  <c r="U382" i="2"/>
  <c r="J286" i="2"/>
  <c r="U87" i="2"/>
  <c r="U88" i="2" s="1"/>
  <c r="J400" i="2"/>
  <c r="J115" i="2"/>
  <c r="AC115" i="2"/>
  <c r="AC429" i="2"/>
  <c r="K115" i="2"/>
  <c r="H311" i="2"/>
  <c r="AC325" i="2"/>
  <c r="U51" i="2"/>
  <c r="Y357" i="2"/>
  <c r="AB243" i="2"/>
  <c r="U11" i="2"/>
  <c r="AF357" i="2"/>
  <c r="Y299" i="2"/>
  <c r="AB300" i="2"/>
  <c r="Q186" i="2"/>
  <c r="T238" i="2"/>
  <c r="T352" i="2"/>
  <c r="T9" i="2"/>
  <c r="V411" i="2"/>
  <c r="T181" i="2"/>
  <c r="P181" i="2"/>
  <c r="S412" i="2"/>
  <c r="R355" i="2"/>
  <c r="P154" i="2"/>
  <c r="G373" i="2"/>
  <c r="R149" i="2"/>
  <c r="H134" i="2"/>
  <c r="H140" i="2"/>
  <c r="K172" i="2"/>
  <c r="AF397" i="2"/>
  <c r="L263" i="2"/>
  <c r="U223" i="2"/>
  <c r="U268" i="2"/>
  <c r="AA439" i="2"/>
  <c r="AA97" i="2"/>
  <c r="K286" i="2"/>
  <c r="AF454" i="2"/>
  <c r="K400" i="2"/>
  <c r="U429" i="2"/>
  <c r="X400" i="2"/>
  <c r="AB429" i="2"/>
  <c r="AC457" i="2"/>
  <c r="R57" i="2"/>
  <c r="W29" i="2"/>
  <c r="W30" i="2" s="1"/>
  <c r="AF305" i="2"/>
  <c r="Q242" i="2"/>
  <c r="U97" i="2"/>
  <c r="AC372" i="2"/>
  <c r="P382" i="2"/>
  <c r="AC400" i="2"/>
  <c r="X457" i="2"/>
  <c r="X115" i="2"/>
  <c r="U325" i="2"/>
  <c r="Y320" i="2"/>
  <c r="AB54" i="2"/>
  <c r="S211" i="2"/>
  <c r="U439" i="2"/>
  <c r="AC382" i="2"/>
  <c r="H419" i="2"/>
  <c r="S439" i="2"/>
  <c r="S382" i="2"/>
  <c r="P29" i="2"/>
  <c r="P30" i="2" s="1"/>
  <c r="AB340" i="2"/>
  <c r="AB315" i="2"/>
  <c r="Q126" i="2"/>
  <c r="Q11" i="2"/>
  <c r="Q297" i="2"/>
  <c r="Q183" i="2"/>
  <c r="Q69" i="2"/>
  <c r="Q411" i="2"/>
  <c r="Q240" i="2"/>
  <c r="Q354" i="2"/>
  <c r="AB38" i="2"/>
  <c r="AB153" i="2"/>
  <c r="AB96" i="2"/>
  <c r="AB98" i="2" s="1"/>
  <c r="W240" i="2"/>
  <c r="W11" i="2"/>
  <c r="W354" i="2"/>
  <c r="W297" i="2"/>
  <c r="W411" i="2"/>
  <c r="W183" i="2"/>
  <c r="O240" i="2"/>
  <c r="O69" i="2"/>
  <c r="O411" i="2"/>
  <c r="O126" i="2"/>
  <c r="O354" i="2"/>
  <c r="O11" i="2"/>
  <c r="O297" i="2"/>
  <c r="W413" i="2"/>
  <c r="W242" i="2"/>
  <c r="W299" i="2"/>
  <c r="W414" i="2"/>
  <c r="W243" i="2"/>
  <c r="W356" i="2"/>
  <c r="W186" i="2"/>
  <c r="W14" i="2"/>
  <c r="X9" i="2"/>
  <c r="X124" i="2"/>
  <c r="X352" i="2"/>
  <c r="X181" i="2"/>
  <c r="X238" i="2"/>
  <c r="X295" i="2"/>
  <c r="X409" i="2"/>
  <c r="Y153" i="2"/>
  <c r="Y96" i="2"/>
  <c r="Y38" i="2"/>
  <c r="V413" i="2"/>
  <c r="V243" i="2"/>
  <c r="V357" i="2"/>
  <c r="V13" i="2"/>
  <c r="V299" i="2"/>
  <c r="V186" i="2"/>
  <c r="V414" i="2"/>
  <c r="V300" i="2"/>
  <c r="V14" i="2"/>
  <c r="V185" i="2"/>
  <c r="V242" i="2"/>
  <c r="H181" i="2"/>
  <c r="H124" i="2"/>
  <c r="H67" i="2"/>
  <c r="H352" i="2"/>
  <c r="H409" i="2"/>
  <c r="H9" i="2"/>
  <c r="H295" i="2"/>
  <c r="H238" i="2"/>
  <c r="T298" i="2"/>
  <c r="T412" i="2"/>
  <c r="T241" i="2"/>
  <c r="T12" i="2"/>
  <c r="T355" i="2"/>
  <c r="T184" i="2"/>
  <c r="AA28" i="2"/>
  <c r="AA30" i="2" s="1"/>
  <c r="AA143" i="2"/>
  <c r="AA86" i="2"/>
  <c r="J297" i="2"/>
  <c r="J411" i="2"/>
  <c r="J354" i="2"/>
  <c r="J240" i="2"/>
  <c r="AA262" i="2"/>
  <c r="AA205" i="2"/>
  <c r="AA433" i="2"/>
  <c r="AA319" i="2"/>
  <c r="AA376" i="2"/>
  <c r="AF319" i="2"/>
  <c r="AF376" i="2"/>
  <c r="AF378" i="2" s="1"/>
  <c r="AF262" i="2"/>
  <c r="AF205" i="2"/>
  <c r="AF433" i="2"/>
  <c r="K319" i="2"/>
  <c r="K262" i="2"/>
  <c r="K205" i="2"/>
  <c r="K433" i="2"/>
  <c r="K376" i="2"/>
  <c r="AC411" i="2"/>
  <c r="AF13" i="2"/>
  <c r="L185" i="2"/>
  <c r="AA411" i="2"/>
  <c r="K183" i="2"/>
  <c r="L128" i="2"/>
  <c r="I240" i="2"/>
  <c r="AF185" i="2"/>
  <c r="AC414" i="2"/>
  <c r="L129" i="2"/>
  <c r="G411" i="2"/>
  <c r="AC300" i="2"/>
  <c r="Y300" i="2"/>
  <c r="L297" i="2"/>
  <c r="AD185" i="2"/>
  <c r="N200" i="2"/>
  <c r="AF134" i="2"/>
  <c r="Y283" i="2"/>
  <c r="N160" i="2"/>
  <c r="O144" i="2"/>
  <c r="AE154" i="2"/>
  <c r="I191" i="2"/>
  <c r="M166" i="2"/>
  <c r="K91" i="2"/>
  <c r="M394" i="2"/>
  <c r="S263" i="2"/>
  <c r="AD258" i="2"/>
  <c r="O77" i="2"/>
  <c r="R97" i="2"/>
  <c r="W445" i="2"/>
  <c r="O372" i="2"/>
  <c r="G419" i="2"/>
  <c r="AF445" i="2"/>
  <c r="AB457" i="2"/>
  <c r="L45" i="2"/>
  <c r="V340" i="2"/>
  <c r="AB343" i="2"/>
  <c r="U45" i="2"/>
  <c r="AF19" i="2"/>
  <c r="P185" i="2"/>
  <c r="I297" i="2"/>
  <c r="AF414" i="2"/>
  <c r="K241" i="2"/>
  <c r="I134" i="2"/>
  <c r="AA144" i="2"/>
  <c r="N149" i="2"/>
  <c r="M191" i="2"/>
  <c r="V226" i="2"/>
  <c r="V169" i="2"/>
  <c r="AE211" i="2"/>
  <c r="AA91" i="2"/>
  <c r="L217" i="2"/>
  <c r="S206" i="2"/>
  <c r="O248" i="2"/>
  <c r="J223" i="2"/>
  <c r="N263" i="2"/>
  <c r="G217" i="2"/>
  <c r="G362" i="2"/>
  <c r="G77" i="2"/>
  <c r="Y454" i="2"/>
  <c r="F83" i="2"/>
  <c r="O87" i="2"/>
  <c r="N92" i="2"/>
  <c r="AF419" i="2"/>
  <c r="Z388" i="2"/>
  <c r="AE439" i="2"/>
  <c r="S434" i="2"/>
  <c r="T57" i="2"/>
  <c r="AA33" i="2"/>
  <c r="AA35" i="2" s="1"/>
  <c r="N314" i="2"/>
  <c r="O19" i="2"/>
  <c r="AF243" i="2"/>
  <c r="P414" i="2"/>
  <c r="AF242" i="2"/>
  <c r="P72" i="2"/>
  <c r="K411" i="2"/>
  <c r="Z411" i="2"/>
  <c r="AA297" i="2"/>
  <c r="I11" i="2"/>
  <c r="P242" i="2"/>
  <c r="P14" i="2"/>
  <c r="Z240" i="2"/>
  <c r="Y186" i="2"/>
  <c r="X411" i="2"/>
  <c r="AD14" i="2"/>
  <c r="AD242" i="2"/>
  <c r="U297" i="2"/>
  <c r="N11" i="2"/>
  <c r="L240" i="2"/>
  <c r="V183" i="2"/>
  <c r="V354" i="2"/>
  <c r="K412" i="2"/>
  <c r="M355" i="2"/>
  <c r="M184" i="2"/>
  <c r="G191" i="2"/>
  <c r="AD376" i="2"/>
  <c r="S160" i="2"/>
  <c r="AD144" i="2"/>
  <c r="Y226" i="2"/>
  <c r="N371" i="2"/>
  <c r="N373" i="2" s="1"/>
  <c r="O191" i="2"/>
  <c r="J280" i="2"/>
  <c r="J160" i="2"/>
  <c r="AF248" i="2"/>
  <c r="N206" i="2"/>
  <c r="J248" i="2"/>
  <c r="J394" i="2"/>
  <c r="AC217" i="2"/>
  <c r="M362" i="2"/>
  <c r="I362" i="2"/>
  <c r="M419" i="2"/>
  <c r="AA372" i="2"/>
  <c r="J445" i="2"/>
  <c r="AD429" i="2"/>
  <c r="X45" i="2"/>
  <c r="F311" i="2"/>
  <c r="J331" i="2"/>
  <c r="M337" i="2"/>
  <c r="S320" i="2"/>
  <c r="K28" i="2"/>
  <c r="R154" i="2"/>
  <c r="H226" i="2"/>
  <c r="AD262" i="2"/>
  <c r="AE268" i="2"/>
  <c r="K217" i="2"/>
  <c r="X217" i="2"/>
  <c r="F172" i="2"/>
  <c r="T172" i="2"/>
  <c r="F425" i="2"/>
  <c r="F229" i="2"/>
  <c r="R439" i="2"/>
  <c r="H454" i="2"/>
  <c r="H112" i="2"/>
  <c r="S377" i="2"/>
  <c r="V112" i="2"/>
  <c r="T229" i="2"/>
  <c r="N457" i="2"/>
  <c r="N115" i="2"/>
  <c r="N400" i="2"/>
  <c r="AB400" i="2"/>
  <c r="AD319" i="2"/>
  <c r="AB57" i="2"/>
  <c r="N38" i="2"/>
  <c r="R325" i="2"/>
  <c r="G19" i="2"/>
  <c r="U242" i="2"/>
  <c r="AF299" i="2"/>
  <c r="U243" i="2"/>
  <c r="H143" i="2"/>
  <c r="AF14" i="2"/>
  <c r="R183" i="2"/>
  <c r="L354" i="2"/>
  <c r="AF356" i="2"/>
  <c r="P357" i="2"/>
  <c r="P300" i="2"/>
  <c r="AD357" i="2"/>
  <c r="U411" i="2"/>
  <c r="AC354" i="2"/>
  <c r="G354" i="2"/>
  <c r="Z354" i="2"/>
  <c r="N212" i="2"/>
  <c r="N257" i="2"/>
  <c r="O201" i="2"/>
  <c r="M134" i="2"/>
  <c r="AD201" i="2"/>
  <c r="J191" i="2"/>
  <c r="J166" i="2"/>
  <c r="AA201" i="2"/>
  <c r="W160" i="2"/>
  <c r="H86" i="2"/>
  <c r="O258" i="2"/>
  <c r="AD372" i="2"/>
  <c r="I419" i="2"/>
  <c r="T286" i="2"/>
  <c r="V388" i="2"/>
  <c r="O419" i="2"/>
  <c r="AB229" i="2"/>
  <c r="J109" i="2"/>
  <c r="V454" i="2"/>
  <c r="J451" i="2"/>
  <c r="AD87" i="2"/>
  <c r="AA429" i="2"/>
  <c r="T115" i="2"/>
  <c r="T457" i="2"/>
  <c r="T343" i="2"/>
  <c r="O305" i="2"/>
  <c r="AE325" i="2"/>
  <c r="AA331" i="2"/>
  <c r="Y54" i="2"/>
  <c r="R39" i="2"/>
  <c r="S34" i="2"/>
  <c r="AF186" i="2"/>
  <c r="AF191" i="2"/>
  <c r="L414" i="2"/>
  <c r="P128" i="2"/>
  <c r="P356" i="2"/>
  <c r="G183" i="2"/>
  <c r="AF300" i="2"/>
  <c r="U354" i="2"/>
  <c r="U299" i="2"/>
  <c r="AC297" i="2"/>
  <c r="G240" i="2"/>
  <c r="M295" i="2"/>
  <c r="N295" i="2"/>
  <c r="N181" i="2"/>
  <c r="M127" i="2"/>
  <c r="K70" i="2"/>
  <c r="Y145" i="2"/>
  <c r="F197" i="2"/>
  <c r="Y169" i="2"/>
  <c r="O134" i="2"/>
  <c r="G134" i="2"/>
  <c r="H283" i="2"/>
  <c r="AF160" i="2"/>
  <c r="F254" i="2"/>
  <c r="F140" i="2"/>
  <c r="H397" i="2"/>
  <c r="AD433" i="2"/>
  <c r="N96" i="2"/>
  <c r="R211" i="2"/>
  <c r="M223" i="2"/>
  <c r="J419" i="2"/>
  <c r="J77" i="2"/>
  <c r="AE382" i="2"/>
  <c r="F286" i="2"/>
  <c r="AA445" i="2"/>
  <c r="Y112" i="2"/>
  <c r="N229" i="2"/>
  <c r="AB115" i="2"/>
  <c r="F115" i="2"/>
  <c r="F400" i="2"/>
  <c r="H340" i="2"/>
  <c r="H54" i="2"/>
  <c r="N57" i="2"/>
  <c r="I19" i="2"/>
  <c r="U357" i="2"/>
  <c r="U185" i="2"/>
  <c r="X354" i="2"/>
  <c r="P186" i="2"/>
  <c r="L411" i="2"/>
  <c r="M298" i="2"/>
  <c r="Q274" i="2"/>
  <c r="V283" i="2"/>
  <c r="H169" i="2"/>
  <c r="Y397" i="2"/>
  <c r="AB172" i="2"/>
  <c r="I248" i="2"/>
  <c r="AA217" i="2"/>
  <c r="AA258" i="2"/>
  <c r="V397" i="2"/>
  <c r="AF362" i="2"/>
  <c r="J362" i="2"/>
  <c r="G248" i="2"/>
  <c r="AE97" i="2"/>
  <c r="V103" i="2"/>
  <c r="I77" i="2"/>
  <c r="N286" i="2"/>
  <c r="M103" i="2"/>
  <c r="AB286" i="2"/>
  <c r="T400" i="2"/>
  <c r="AA315" i="2"/>
  <c r="J337" i="2"/>
  <c r="N343" i="2"/>
  <c r="H30" i="2"/>
  <c r="V54" i="2"/>
  <c r="G331" i="2"/>
  <c r="Y340" i="2"/>
  <c r="K354" i="2"/>
  <c r="K240" i="2"/>
  <c r="K69" i="2"/>
  <c r="U413" i="2"/>
  <c r="U13" i="2"/>
  <c r="U414" i="2"/>
  <c r="Y181" i="2"/>
  <c r="Y352" i="2"/>
  <c r="Y9" i="2"/>
  <c r="Y295" i="2"/>
  <c r="Y409" i="2"/>
  <c r="Y238" i="2"/>
  <c r="Y124" i="2"/>
  <c r="I205" i="2"/>
  <c r="I319" i="2"/>
  <c r="I262" i="2"/>
  <c r="I376" i="2"/>
  <c r="I433" i="2"/>
  <c r="Z38" i="2"/>
  <c r="Z40" i="2" s="1"/>
  <c r="Z96" i="2"/>
  <c r="AF9" i="2"/>
  <c r="AF352" i="2"/>
  <c r="AF124" i="2"/>
  <c r="AD352" i="2"/>
  <c r="AD9" i="2"/>
  <c r="AD295" i="2"/>
  <c r="AD181" i="2"/>
  <c r="O70" i="2"/>
  <c r="O412" i="2"/>
  <c r="O355" i="2"/>
  <c r="O298" i="2"/>
  <c r="O184" i="2"/>
  <c r="O127" i="2"/>
  <c r="J433" i="2"/>
  <c r="J319" i="2"/>
  <c r="J321" i="2" s="1"/>
  <c r="J205" i="2"/>
  <c r="J207" i="2" s="1"/>
  <c r="J376" i="2"/>
  <c r="AF148" i="2"/>
  <c r="AF33" i="2"/>
  <c r="AF91" i="2"/>
  <c r="I126" i="2"/>
  <c r="I69" i="2"/>
  <c r="R411" i="2"/>
  <c r="R297" i="2"/>
  <c r="AC13" i="2"/>
  <c r="AC186" i="2"/>
  <c r="AC243" i="2"/>
  <c r="AC185" i="2"/>
  <c r="G124" i="2"/>
  <c r="G352" i="2"/>
  <c r="G238" i="2"/>
  <c r="AC298" i="2"/>
  <c r="AC412" i="2"/>
  <c r="AC241" i="2"/>
  <c r="AC355" i="2"/>
  <c r="AC12" i="2"/>
  <c r="K267" i="2"/>
  <c r="K438" i="2"/>
  <c r="K324" i="2"/>
  <c r="K326" i="2" s="1"/>
  <c r="AC33" i="2"/>
  <c r="AC35" i="2" s="1"/>
  <c r="AC148" i="2"/>
  <c r="AC91" i="2"/>
  <c r="AC413" i="2"/>
  <c r="AC357" i="2"/>
  <c r="J126" i="2"/>
  <c r="T354" i="2"/>
  <c r="AF181" i="2"/>
  <c r="G86" i="2"/>
  <c r="G88" i="2" s="1"/>
  <c r="G143" i="2"/>
  <c r="G28" i="2"/>
  <c r="G30" i="2" s="1"/>
  <c r="O254" i="2"/>
  <c r="O425" i="2"/>
  <c r="O197" i="2"/>
  <c r="O368" i="2"/>
  <c r="J11" i="2"/>
  <c r="V409" i="2"/>
  <c r="V9" i="2"/>
  <c r="V181" i="2"/>
  <c r="V295" i="2"/>
  <c r="V352" i="2"/>
  <c r="V238" i="2"/>
  <c r="M409" i="2"/>
  <c r="M238" i="2"/>
  <c r="M181" i="2"/>
  <c r="M67" i="2"/>
  <c r="M124" i="2"/>
  <c r="M9" i="2"/>
  <c r="AD412" i="2"/>
  <c r="AD241" i="2"/>
  <c r="AA184" i="2"/>
  <c r="AA412" i="2"/>
  <c r="AA355" i="2"/>
  <c r="AA241" i="2"/>
  <c r="G319" i="2"/>
  <c r="G262" i="2"/>
  <c r="G205" i="2"/>
  <c r="G207" i="2" s="1"/>
  <c r="G376" i="2"/>
  <c r="G378" i="2" s="1"/>
  <c r="G433" i="2"/>
  <c r="AA324" i="2"/>
  <c r="AA326" i="2" s="1"/>
  <c r="AA267" i="2"/>
  <c r="AA210" i="2"/>
  <c r="AA381" i="2"/>
  <c r="AA438" i="2"/>
  <c r="S183" i="2"/>
  <c r="S354" i="2"/>
  <c r="Q413" i="2"/>
  <c r="Q299" i="2"/>
  <c r="Q357" i="2"/>
  <c r="Q14" i="2"/>
  <c r="Q356" i="2"/>
  <c r="AA124" i="2"/>
  <c r="AA181" i="2"/>
  <c r="S409" i="2"/>
  <c r="S181" i="2"/>
  <c r="S238" i="2"/>
  <c r="S295" i="2"/>
  <c r="S124" i="2"/>
  <c r="L409" i="2"/>
  <c r="L67" i="2"/>
  <c r="L295" i="2"/>
  <c r="L124" i="2"/>
  <c r="J183" i="2"/>
  <c r="L413" i="2"/>
  <c r="L357" i="2"/>
  <c r="L186" i="2"/>
  <c r="AA413" i="2"/>
  <c r="AA13" i="2"/>
  <c r="Z9" i="2"/>
  <c r="Z295" i="2"/>
  <c r="X413" i="2"/>
  <c r="X185" i="2"/>
  <c r="AC9" i="2"/>
  <c r="AC124" i="2"/>
  <c r="I67" i="2"/>
  <c r="I9" i="2"/>
  <c r="I238" i="2"/>
  <c r="I181" i="2"/>
  <c r="I409" i="2"/>
  <c r="I352" i="2"/>
  <c r="V241" i="2"/>
  <c r="V184" i="2"/>
  <c r="J67" i="2"/>
  <c r="J124" i="2"/>
  <c r="J295" i="2"/>
  <c r="L262" i="2"/>
  <c r="L376" i="2"/>
  <c r="L205" i="2"/>
  <c r="L433" i="2"/>
  <c r="L319" i="2"/>
  <c r="I354" i="2"/>
  <c r="AF409" i="2"/>
  <c r="N69" i="2"/>
  <c r="N126" i="2"/>
  <c r="P69" i="2"/>
  <c r="P297" i="2"/>
  <c r="P240" i="2"/>
  <c r="AE409" i="2"/>
  <c r="AE295" i="2"/>
  <c r="AE352" i="2"/>
  <c r="N30" i="2"/>
  <c r="V536" i="2"/>
  <c r="K295" i="2"/>
  <c r="K127" i="2"/>
  <c r="W298" i="2"/>
  <c r="U412" i="2"/>
  <c r="U298" i="2"/>
  <c r="V439" i="2"/>
  <c r="S457" i="2"/>
  <c r="V343" i="2"/>
  <c r="S325" i="2"/>
  <c r="W343" i="2"/>
  <c r="W57" i="2"/>
  <c r="F57" i="2"/>
  <c r="M305" i="2"/>
  <c r="K352" i="2"/>
  <c r="K355" i="2"/>
  <c r="V286" i="2"/>
  <c r="S400" i="2"/>
  <c r="V457" i="2"/>
  <c r="M311" i="2"/>
  <c r="W320" i="2"/>
  <c r="AG605" i="2"/>
  <c r="AH605" i="2" s="1"/>
  <c r="H297" i="2"/>
  <c r="AE357" i="2"/>
  <c r="AC11" i="2"/>
  <c r="L183" i="2"/>
  <c r="AB185" i="2"/>
  <c r="W357" i="2"/>
  <c r="U352" i="2"/>
  <c r="Q409" i="2"/>
  <c r="O352" i="2"/>
  <c r="S115" i="2"/>
  <c r="K35" i="2"/>
  <c r="G326" i="2"/>
  <c r="S57" i="2"/>
  <c r="I315" i="2"/>
  <c r="I316" i="2" s="1"/>
  <c r="AF325" i="2"/>
  <c r="I54" i="2"/>
  <c r="K316" i="2"/>
  <c r="W51" i="2"/>
  <c r="H411" i="2"/>
  <c r="W300" i="2"/>
  <c r="U9" i="2"/>
  <c r="Q181" i="2"/>
  <c r="W355" i="2"/>
  <c r="V57" i="2"/>
  <c r="W457" i="2"/>
  <c r="P400" i="2"/>
  <c r="I340" i="2"/>
  <c r="T325" i="2"/>
  <c r="J343" i="2"/>
  <c r="S340" i="2"/>
  <c r="J57" i="2"/>
  <c r="S343" i="2"/>
  <c r="P57" i="2"/>
  <c r="N125" i="2"/>
  <c r="N239" i="2"/>
  <c r="N353" i="2"/>
  <c r="N68" i="2"/>
  <c r="N410" i="2"/>
  <c r="N10" i="2"/>
  <c r="N296" i="2"/>
  <c r="N182" i="2"/>
  <c r="G182" i="2"/>
  <c r="G239" i="2"/>
  <c r="G10" i="2"/>
  <c r="G353" i="2"/>
  <c r="G125" i="2"/>
  <c r="G68" i="2"/>
  <c r="G296" i="2"/>
  <c r="G410" i="2"/>
  <c r="S185" i="2"/>
  <c r="S356" i="2"/>
  <c r="S299" i="2"/>
  <c r="S357" i="2"/>
  <c r="S243" i="2"/>
  <c r="S413" i="2"/>
  <c r="S242" i="2"/>
  <c r="S13" i="2"/>
  <c r="S414" i="2"/>
  <c r="S14" i="2"/>
  <c r="S186" i="2"/>
  <c r="S300" i="2"/>
  <c r="T300" i="2"/>
  <c r="T243" i="2"/>
  <c r="T242" i="2"/>
  <c r="T414" i="2"/>
  <c r="T186" i="2"/>
  <c r="T299" i="2"/>
  <c r="T13" i="2"/>
  <c r="T357" i="2"/>
  <c r="T413" i="2"/>
  <c r="T14" i="2"/>
  <c r="T185" i="2"/>
  <c r="T356" i="2"/>
  <c r="J10" i="2"/>
  <c r="J125" i="2"/>
  <c r="J182" i="2"/>
  <c r="J410" i="2"/>
  <c r="J353" i="2"/>
  <c r="J239" i="2"/>
  <c r="J68" i="2"/>
  <c r="J296" i="2"/>
  <c r="R13" i="2"/>
  <c r="R413" i="2"/>
  <c r="R414" i="2"/>
  <c r="R299" i="2"/>
  <c r="R14" i="2"/>
  <c r="R243" i="2"/>
  <c r="R357" i="2"/>
  <c r="R300" i="2"/>
  <c r="R185" i="2"/>
  <c r="R356" i="2"/>
  <c r="R242" i="2"/>
  <c r="R186" i="2"/>
  <c r="T182" i="2"/>
  <c r="T239" i="2"/>
  <c r="T10" i="2"/>
  <c r="T410" i="2"/>
  <c r="T125" i="2"/>
  <c r="T296" i="2"/>
  <c r="T353" i="2"/>
  <c r="O413" i="2"/>
  <c r="O71" i="2"/>
  <c r="O299" i="2"/>
  <c r="O357" i="2"/>
  <c r="O14" i="2"/>
  <c r="O186" i="2"/>
  <c r="O242" i="2"/>
  <c r="O300" i="2"/>
  <c r="O243" i="2"/>
  <c r="O185" i="2"/>
  <c r="O129" i="2"/>
  <c r="O414" i="2"/>
  <c r="O13" i="2"/>
  <c r="O128" i="2"/>
  <c r="O72" i="2"/>
  <c r="O356" i="2"/>
  <c r="L125" i="2"/>
  <c r="L182" i="2"/>
  <c r="L68" i="2"/>
  <c r="L239" i="2"/>
  <c r="L353" i="2"/>
  <c r="L296" i="2"/>
  <c r="L10" i="2"/>
  <c r="L410" i="2"/>
  <c r="X410" i="2"/>
  <c r="X353" i="2"/>
  <c r="X10" i="2"/>
  <c r="X182" i="2"/>
  <c r="X239" i="2"/>
  <c r="X296" i="2"/>
  <c r="X125" i="2"/>
  <c r="X297" i="2"/>
  <c r="F744" i="2"/>
  <c r="AG743" i="2"/>
  <c r="AH743" i="2" s="1"/>
  <c r="Y433" i="2"/>
  <c r="Y262" i="2"/>
  <c r="Y319" i="2"/>
  <c r="AB324" i="2"/>
  <c r="AB381" i="2"/>
  <c r="AB267" i="2"/>
  <c r="O428" i="2"/>
  <c r="O257" i="2"/>
  <c r="O314" i="2"/>
  <c r="O371" i="2"/>
  <c r="O200" i="2"/>
  <c r="AF86" i="2"/>
  <c r="AF28" i="2"/>
  <c r="AF30" i="2" s="1"/>
  <c r="AE38" i="2"/>
  <c r="AE40" i="2" s="1"/>
  <c r="AE153" i="2"/>
  <c r="AE96" i="2"/>
  <c r="AD311" i="2"/>
  <c r="AD83" i="2"/>
  <c r="AD25" i="2"/>
  <c r="AD140" i="2"/>
  <c r="AE25" i="2"/>
  <c r="AE83" i="2"/>
  <c r="AE311" i="2"/>
  <c r="AE140" i="2"/>
  <c r="Z239" i="2"/>
  <c r="Z182" i="2"/>
  <c r="Z353" i="2"/>
  <c r="Z125" i="2"/>
  <c r="Z10" i="2"/>
  <c r="Z410" i="2"/>
  <c r="Z296" i="2"/>
  <c r="K239" i="2"/>
  <c r="K125" i="2"/>
  <c r="K68" i="2"/>
  <c r="K296" i="2"/>
  <c r="K182" i="2"/>
  <c r="K410" i="2"/>
  <c r="K10" i="2"/>
  <c r="K353" i="2"/>
  <c r="R353" i="2"/>
  <c r="R239" i="2"/>
  <c r="R410" i="2"/>
  <c r="R125" i="2"/>
  <c r="R296" i="2"/>
  <c r="R10" i="2"/>
  <c r="R182" i="2"/>
  <c r="O239" i="2"/>
  <c r="O125" i="2"/>
  <c r="O353" i="2"/>
  <c r="O182" i="2"/>
  <c r="O410" i="2"/>
  <c r="O68" i="2"/>
  <c r="O10" i="2"/>
  <c r="O296" i="2"/>
  <c r="AD296" i="2"/>
  <c r="AD410" i="2"/>
  <c r="AD353" i="2"/>
  <c r="AD239" i="2"/>
  <c r="AD182" i="2"/>
  <c r="AD125" i="2"/>
  <c r="AD10" i="2"/>
  <c r="V182" i="2"/>
  <c r="V353" i="2"/>
  <c r="V239" i="2"/>
  <c r="V10" i="2"/>
  <c r="V125" i="2"/>
  <c r="V296" i="2"/>
  <c r="V410" i="2"/>
  <c r="U186" i="2"/>
  <c r="K129" i="2"/>
  <c r="H240" i="2"/>
  <c r="J69" i="2"/>
  <c r="K185" i="2"/>
  <c r="J409" i="2"/>
  <c r="V298" i="2"/>
  <c r="V12" i="2"/>
  <c r="M267" i="2"/>
  <c r="M324" i="2"/>
  <c r="M326" i="2" s="1"/>
  <c r="M381" i="2"/>
  <c r="M438" i="2"/>
  <c r="W10" i="2"/>
  <c r="W410" i="2"/>
  <c r="W125" i="2"/>
  <c r="W182" i="2"/>
  <c r="W296" i="2"/>
  <c r="W239" i="2"/>
  <c r="W353" i="2"/>
  <c r="Z184" i="2"/>
  <c r="Z355" i="2"/>
  <c r="Z12" i="2"/>
  <c r="X184" i="2"/>
  <c r="X12" i="2"/>
  <c r="X241" i="2"/>
  <c r="X298" i="2"/>
  <c r="X355" i="2"/>
  <c r="AC28" i="2"/>
  <c r="AC30" i="2" s="1"/>
  <c r="AC86" i="2"/>
  <c r="AC143" i="2"/>
  <c r="I10" i="2"/>
  <c r="I68" i="2"/>
  <c r="I353" i="2"/>
  <c r="I125" i="2"/>
  <c r="I239" i="2"/>
  <c r="I182" i="2"/>
  <c r="I296" i="2"/>
  <c r="I410" i="2"/>
  <c r="P353" i="2"/>
  <c r="P68" i="2"/>
  <c r="P182" i="2"/>
  <c r="P410" i="2"/>
  <c r="P10" i="2"/>
  <c r="P239" i="2"/>
  <c r="P296" i="2"/>
  <c r="P125" i="2"/>
  <c r="Y241" i="2"/>
  <c r="Y355" i="2"/>
  <c r="Y298" i="2"/>
  <c r="AE355" i="2"/>
  <c r="AE412" i="2"/>
  <c r="AE298" i="2"/>
  <c r="AE184" i="2"/>
  <c r="Q241" i="2"/>
  <c r="Q355" i="2"/>
  <c r="Q127" i="2"/>
  <c r="Q70" i="2"/>
  <c r="AD324" i="2"/>
  <c r="AD326" i="2" s="1"/>
  <c r="AD438" i="2"/>
  <c r="AD381" i="2"/>
  <c r="AC262" i="2"/>
  <c r="AC319" i="2"/>
  <c r="AC433" i="2"/>
  <c r="AC376" i="2"/>
  <c r="AC205" i="2"/>
  <c r="AD86" i="2"/>
  <c r="AD28" i="2"/>
  <c r="AD30" i="2" s="1"/>
  <c r="AD143" i="2"/>
  <c r="O28" i="2"/>
  <c r="O30" i="2" s="1"/>
  <c r="O86" i="2"/>
  <c r="O143" i="2"/>
  <c r="AE10" i="2"/>
  <c r="AE353" i="2"/>
  <c r="AE410" i="2"/>
  <c r="AE296" i="2"/>
  <c r="AE239" i="2"/>
  <c r="AE125" i="2"/>
  <c r="AE182" i="2"/>
  <c r="Y182" i="2"/>
  <c r="Y239" i="2"/>
  <c r="Y125" i="2"/>
  <c r="Y10" i="2"/>
  <c r="Y296" i="2"/>
  <c r="Y353" i="2"/>
  <c r="Y410" i="2"/>
  <c r="Q353" i="2"/>
  <c r="Q68" i="2"/>
  <c r="Q296" i="2"/>
  <c r="Q125" i="2"/>
  <c r="Q239" i="2"/>
  <c r="Q10" i="2"/>
  <c r="Q410" i="2"/>
  <c r="Q182" i="2"/>
  <c r="AC296" i="2"/>
  <c r="AC239" i="2"/>
  <c r="AC125" i="2"/>
  <c r="AC182" i="2"/>
  <c r="AC10" i="2"/>
  <c r="AC410" i="2"/>
  <c r="AC353" i="2"/>
  <c r="Y412" i="2"/>
  <c r="F274" i="2"/>
  <c r="AG273" i="2"/>
  <c r="AH273" i="2" s="1"/>
  <c r="AD12" i="2"/>
  <c r="AD355" i="2"/>
  <c r="AD184" i="2"/>
  <c r="L241" i="2"/>
  <c r="L127" i="2"/>
  <c r="N368" i="2"/>
  <c r="N425" i="2"/>
  <c r="N197" i="2"/>
  <c r="M410" i="2"/>
  <c r="M182" i="2"/>
  <c r="M239" i="2"/>
  <c r="M68" i="2"/>
  <c r="M296" i="2"/>
  <c r="M125" i="2"/>
  <c r="M10" i="2"/>
  <c r="M353" i="2"/>
  <c r="S296" i="2"/>
  <c r="S353" i="2"/>
  <c r="S10" i="2"/>
  <c r="S410" i="2"/>
  <c r="S182" i="2"/>
  <c r="S239" i="2"/>
  <c r="S125" i="2"/>
  <c r="AF296" i="2"/>
  <c r="AF125" i="2"/>
  <c r="AF239" i="2"/>
  <c r="AF182" i="2"/>
  <c r="AF10" i="2"/>
  <c r="AF353" i="2"/>
  <c r="AF410" i="2"/>
  <c r="X13" i="2"/>
  <c r="X242" i="2"/>
  <c r="K72" i="2"/>
  <c r="X14" i="2"/>
  <c r="V356" i="2"/>
  <c r="P129" i="2"/>
  <c r="O183" i="2"/>
  <c r="H354" i="2"/>
  <c r="W185" i="2"/>
  <c r="M69" i="2"/>
  <c r="W13" i="2"/>
  <c r="AE186" i="2"/>
  <c r="S411" i="2"/>
  <c r="X11" i="2"/>
  <c r="K357" i="2"/>
  <c r="P13" i="2"/>
  <c r="K299" i="2"/>
  <c r="J181" i="2"/>
  <c r="AF295" i="2"/>
  <c r="O181" i="2"/>
  <c r="Z181" i="2"/>
  <c r="J238" i="2"/>
  <c r="P67" i="2"/>
  <c r="U124" i="2"/>
  <c r="L9" i="2"/>
  <c r="O9" i="2"/>
  <c r="Z352" i="2"/>
  <c r="N238" i="2"/>
  <c r="Q412" i="2"/>
  <c r="G9" i="2"/>
  <c r="G181" i="2"/>
  <c r="AD298" i="2"/>
  <c r="AE433" i="2"/>
  <c r="AE205" i="2"/>
  <c r="AE319" i="2"/>
  <c r="AE321" i="2" s="1"/>
  <c r="H296" i="2"/>
  <c r="H125" i="2"/>
  <c r="H10" i="2"/>
  <c r="H353" i="2"/>
  <c r="H68" i="2"/>
  <c r="H410" i="2"/>
  <c r="H182" i="2"/>
  <c r="H239" i="2"/>
  <c r="X243" i="2"/>
  <c r="L267" i="2"/>
  <c r="L438" i="2"/>
  <c r="L324" i="2"/>
  <c r="L381" i="2"/>
  <c r="I210" i="2"/>
  <c r="I438" i="2"/>
  <c r="I381" i="2"/>
  <c r="I324" i="2"/>
  <c r="I326" i="2" s="1"/>
  <c r="AC311" i="2"/>
  <c r="AC140" i="2"/>
  <c r="AC83" i="2"/>
  <c r="AC25" i="2"/>
  <c r="K38" i="2"/>
  <c r="K96" i="2"/>
  <c r="K153" i="2"/>
  <c r="AA182" i="2"/>
  <c r="AA125" i="2"/>
  <c r="AA10" i="2"/>
  <c r="AA239" i="2"/>
  <c r="AA410" i="2"/>
  <c r="AA296" i="2"/>
  <c r="AA353" i="2"/>
  <c r="AB182" i="2"/>
  <c r="AB353" i="2"/>
  <c r="AB125" i="2"/>
  <c r="AB10" i="2"/>
  <c r="AB239" i="2"/>
  <c r="AB296" i="2"/>
  <c r="AB410" i="2"/>
  <c r="U10" i="2"/>
  <c r="U296" i="2"/>
  <c r="U353" i="2"/>
  <c r="U125" i="2"/>
  <c r="U182" i="2"/>
  <c r="U239" i="2"/>
  <c r="U410" i="2"/>
  <c r="U356" i="2"/>
  <c r="U14" i="2"/>
  <c r="X300" i="2"/>
  <c r="P71" i="2"/>
  <c r="K356" i="2"/>
  <c r="J9" i="2"/>
  <c r="P409" i="2"/>
  <c r="AB355" i="2"/>
  <c r="AB184" i="2"/>
  <c r="M433" i="2"/>
  <c r="M262" i="2"/>
  <c r="M205" i="2"/>
  <c r="M319" i="2"/>
  <c r="AG391" i="2"/>
  <c r="AH391" i="2" s="1"/>
  <c r="F780" i="2"/>
  <c r="AG779" i="2"/>
  <c r="AH779" i="2" s="1"/>
  <c r="AG649" i="2"/>
  <c r="AH649" i="2" s="1"/>
  <c r="AB769" i="2"/>
  <c r="AB669" i="2"/>
  <c r="AB670" i="2" s="1"/>
  <c r="G492" i="2"/>
  <c r="AG614" i="2"/>
  <c r="AH614" i="2" s="1"/>
  <c r="AG22" i="2"/>
  <c r="AH22" i="2" s="1"/>
  <c r="AG163" i="2"/>
  <c r="AH163" i="2" s="1"/>
  <c r="F103" i="2"/>
  <c r="AG102" i="2"/>
  <c r="AH102" i="2" s="1"/>
  <c r="V97" i="2"/>
  <c r="R29" i="2"/>
  <c r="X337" i="2"/>
  <c r="J34" i="2"/>
  <c r="Q34" i="2"/>
  <c r="AG793" i="2"/>
  <c r="AH793" i="2" s="1"/>
  <c r="F794" i="2"/>
  <c r="AG609" i="2"/>
  <c r="AH609" i="2" s="1"/>
  <c r="AG597" i="2"/>
  <c r="AH597" i="2" s="1"/>
  <c r="AE711" i="2"/>
  <c r="AE712" i="2" s="1"/>
  <c r="AE720" i="2"/>
  <c r="AG386" i="2"/>
  <c r="AH386" i="2" s="1"/>
  <c r="F388" i="2"/>
  <c r="AG101" i="2"/>
  <c r="AH101" i="2" s="1"/>
  <c r="AG216" i="2"/>
  <c r="AH216" i="2" s="1"/>
  <c r="U315" i="2"/>
  <c r="U320" i="2"/>
  <c r="O315" i="2"/>
  <c r="AG602" i="2"/>
  <c r="AH602" i="2" s="1"/>
  <c r="AA711" i="2"/>
  <c r="AA712" i="2" s="1"/>
  <c r="AA720" i="2"/>
  <c r="AD711" i="2"/>
  <c r="AD712" i="2" s="1"/>
  <c r="AD720" i="2"/>
  <c r="AF711" i="2"/>
  <c r="AF712" i="2" s="1"/>
  <c r="AF720" i="2"/>
  <c r="K492" i="2"/>
  <c r="AG194" i="2"/>
  <c r="AH194" i="2" s="1"/>
  <c r="AG80" i="2"/>
  <c r="AH80" i="2" s="1"/>
  <c r="AG158" i="2"/>
  <c r="AH158" i="2" s="1"/>
  <c r="F751" i="2"/>
  <c r="AG750" i="2"/>
  <c r="AH750" i="2" s="1"/>
  <c r="AG106" i="2"/>
  <c r="AH106" i="2" s="1"/>
  <c r="AG334" i="2"/>
  <c r="AH334" i="2" s="1"/>
  <c r="H40" i="2"/>
  <c r="F662" i="2"/>
  <c r="AG661" i="2"/>
  <c r="AH661" i="2" s="1"/>
  <c r="AG786" i="2"/>
  <c r="AH786" i="2" s="1"/>
  <c r="F787" i="2"/>
  <c r="AG656" i="2"/>
  <c r="AH656" i="2" s="1"/>
  <c r="Z769" i="2"/>
  <c r="Z669" i="2"/>
  <c r="Z670" i="2" s="1"/>
  <c r="AC769" i="2"/>
  <c r="AC669" i="2"/>
  <c r="AC670" i="2" s="1"/>
  <c r="AG611" i="2"/>
  <c r="AH611" i="2" s="1"/>
  <c r="L492" i="2"/>
  <c r="AG251" i="2"/>
  <c r="AH251" i="2" s="1"/>
  <c r="AG736" i="2"/>
  <c r="AH736" i="2" s="1"/>
  <c r="F737" i="2"/>
  <c r="F655" i="2"/>
  <c r="AG655" i="2" s="1"/>
  <c r="AH655" i="2" s="1"/>
  <c r="AG654" i="2"/>
  <c r="AH654" i="2" s="1"/>
  <c r="F648" i="2"/>
  <c r="AG648" i="2" s="1"/>
  <c r="AH648" i="2" s="1"/>
  <c r="AG647" i="2"/>
  <c r="AH647" i="2" s="1"/>
  <c r="O325" i="2"/>
  <c r="AA320" i="2"/>
  <c r="AC343" i="2"/>
  <c r="G35" i="2"/>
  <c r="AG783" i="2"/>
  <c r="AH783" i="2" s="1"/>
  <c r="M492" i="2"/>
  <c r="H492" i="2"/>
  <c r="AG329" i="2"/>
  <c r="AH329" i="2" s="1"/>
  <c r="F331" i="2"/>
  <c r="U241" i="2"/>
  <c r="F160" i="2"/>
  <c r="AG159" i="2"/>
  <c r="AH159" i="2" s="1"/>
  <c r="R315" i="2"/>
  <c r="AG330" i="2"/>
  <c r="AH330" i="2" s="1"/>
  <c r="AC57" i="2"/>
  <c r="F45" i="2"/>
  <c r="AG44" i="2"/>
  <c r="AH44" i="2" s="1"/>
  <c r="J19" i="2"/>
  <c r="AG48" i="2"/>
  <c r="AH48" i="2" s="1"/>
  <c r="AG604" i="2"/>
  <c r="AH604" i="2" s="1"/>
  <c r="AC720" i="2"/>
  <c r="AC711" i="2"/>
  <c r="AC712" i="2" s="1"/>
  <c r="F536" i="2"/>
  <c r="AG616" i="2"/>
  <c r="AH616" i="2" s="1"/>
  <c r="AD769" i="2"/>
  <c r="AD669" i="2"/>
  <c r="AD670" i="2" s="1"/>
  <c r="AA769" i="2"/>
  <c r="AA669" i="2"/>
  <c r="AA670" i="2" s="1"/>
  <c r="Y769" i="2"/>
  <c r="Y669" i="2"/>
  <c r="Y670" i="2" s="1"/>
  <c r="J492" i="2"/>
  <c r="F492" i="2"/>
  <c r="AG465" i="2"/>
  <c r="AG43" i="2"/>
  <c r="AH43" i="2" s="1"/>
  <c r="AG215" i="2"/>
  <c r="AH215" i="2" s="1"/>
  <c r="F217" i="2"/>
  <c r="AG308" i="2"/>
  <c r="AH308" i="2" s="1"/>
  <c r="AG422" i="2"/>
  <c r="AH422" i="2" s="1"/>
  <c r="F445" i="2"/>
  <c r="AG444" i="2"/>
  <c r="AH444" i="2" s="1"/>
  <c r="AG448" i="2"/>
  <c r="AH448" i="2" s="1"/>
  <c r="I35" i="2"/>
  <c r="F773" i="2"/>
  <c r="AG772" i="2"/>
  <c r="AH772" i="2" s="1"/>
  <c r="I30" i="2"/>
  <c r="Z711" i="2"/>
  <c r="Z712" i="2" s="1"/>
  <c r="Z720" i="2"/>
  <c r="AB720" i="2"/>
  <c r="AB711" i="2"/>
  <c r="AB712" i="2" s="1"/>
  <c r="AG610" i="2"/>
  <c r="AH610" i="2" s="1"/>
  <c r="AF769" i="2"/>
  <c r="AF669" i="2"/>
  <c r="AF670" i="2" s="1"/>
  <c r="I492" i="2"/>
  <c r="AG137" i="2"/>
  <c r="AH137" i="2" s="1"/>
  <c r="AG443" i="2"/>
  <c r="AH443" i="2" s="1"/>
  <c r="AF355" i="2"/>
  <c r="K298" i="2"/>
  <c r="W412" i="2"/>
  <c r="AG365" i="2"/>
  <c r="AH365" i="2" s="1"/>
  <c r="AG277" i="2"/>
  <c r="AH277" i="2" s="1"/>
  <c r="AG220" i="2"/>
  <c r="AH220" i="2" s="1"/>
  <c r="AG387" i="2"/>
  <c r="AH387" i="2" s="1"/>
  <c r="R372" i="2"/>
  <c r="Q340" i="2"/>
  <c r="AG603" i="2"/>
  <c r="AH603" i="2" s="1"/>
  <c r="AE769" i="2"/>
  <c r="AE669" i="2"/>
  <c r="AE670" i="2" s="1"/>
  <c r="F534" i="2"/>
  <c r="AG534" i="2" s="1"/>
  <c r="AH534" i="2" s="1"/>
  <c r="AG615" i="2"/>
  <c r="AH615" i="2" s="1"/>
  <c r="N492" i="2"/>
  <c r="AG272" i="2"/>
  <c r="AH272" i="2" s="1"/>
  <c r="S731" i="2"/>
  <c r="S66" i="2" s="1"/>
  <c r="S74" i="2" s="1"/>
  <c r="I731" i="2"/>
  <c r="I66" i="2" s="1"/>
  <c r="U666" i="2"/>
  <c r="U667" i="2" s="1"/>
  <c r="AG667" i="2" s="1"/>
  <c r="AH667" i="2" s="1"/>
  <c r="T257" i="2"/>
  <c r="T259" i="2" s="1"/>
  <c r="T314" i="2"/>
  <c r="T428" i="2"/>
  <c r="T371" i="2"/>
  <c r="T200" i="2"/>
  <c r="T671" i="2"/>
  <c r="L731" i="2"/>
  <c r="L66" i="2" s="1"/>
  <c r="W731" i="2"/>
  <c r="W8" i="2" s="1"/>
  <c r="W16" i="2" s="1"/>
  <c r="N731" i="2"/>
  <c r="N237" i="2" s="1"/>
  <c r="V731" i="2"/>
  <c r="V408" i="2" s="1"/>
  <c r="M731" i="2"/>
  <c r="M408" i="2" s="1"/>
  <c r="P731" i="2"/>
  <c r="P123" i="2" s="1"/>
  <c r="O731" i="2"/>
  <c r="O180" i="2" s="1"/>
  <c r="H731" i="2"/>
  <c r="H66" i="2" s="1"/>
  <c r="Q731" i="2"/>
  <c r="Q237" i="2" s="1"/>
  <c r="R731" i="2"/>
  <c r="R237" i="2" s="1"/>
  <c r="T731" i="2"/>
  <c r="T237" i="2" s="1"/>
  <c r="U731" i="2"/>
  <c r="U294" i="2" s="1"/>
  <c r="J731" i="2"/>
  <c r="J408" i="2" s="1"/>
  <c r="G731" i="2"/>
  <c r="G8" i="2" s="1"/>
  <c r="S670" i="2"/>
  <c r="X672" i="2"/>
  <c r="X314" i="2"/>
  <c r="X316" i="2" s="1"/>
  <c r="X428" i="2"/>
  <c r="X371" i="2"/>
  <c r="X200" i="2"/>
  <c r="X257" i="2"/>
  <c r="P670" i="2"/>
  <c r="P671" i="2" s="1"/>
  <c r="R314" i="2"/>
  <c r="R428" i="2"/>
  <c r="R430" i="2" s="1"/>
  <c r="R371" i="2"/>
  <c r="R200" i="2"/>
  <c r="R257" i="2"/>
  <c r="R671" i="2"/>
  <c r="R672" i="2" s="1"/>
  <c r="V672" i="2"/>
  <c r="V673" i="2" s="1"/>
  <c r="X673" i="2"/>
  <c r="W672" i="2"/>
  <c r="W314" i="2"/>
  <c r="W316" i="2" s="1"/>
  <c r="W428" i="2"/>
  <c r="W371" i="2"/>
  <c r="W200" i="2"/>
  <c r="W257" i="2"/>
  <c r="X731" i="2"/>
  <c r="X237" i="2" s="1"/>
  <c r="Q668" i="2"/>
  <c r="E486" i="2"/>
  <c r="E488" i="2"/>
  <c r="E552" i="2" s="1"/>
  <c r="E554" i="2" s="1"/>
  <c r="K351" i="2"/>
  <c r="K237" i="2"/>
  <c r="K180" i="2"/>
  <c r="K123" i="2"/>
  <c r="K66" i="2"/>
  <c r="K8" i="2"/>
  <c r="K294" i="2"/>
  <c r="K408" i="2"/>
  <c r="F730" i="2"/>
  <c r="AG730" i="2" s="1"/>
  <c r="AH730" i="2" s="1"/>
  <c r="AG729" i="2"/>
  <c r="AH729" i="2" s="1"/>
  <c r="Y731" i="2"/>
  <c r="AF731" i="2"/>
  <c r="AE731" i="2"/>
  <c r="AD731" i="2"/>
  <c r="AC731" i="2"/>
  <c r="AB731" i="2"/>
  <c r="AA731" i="2"/>
  <c r="Z731" i="2"/>
  <c r="M145" i="2" l="1"/>
  <c r="N150" i="2"/>
  <c r="G264" i="2"/>
  <c r="O430" i="2"/>
  <c r="M259" i="2"/>
  <c r="R202" i="2"/>
  <c r="G435" i="2"/>
  <c r="M373" i="2"/>
  <c r="AC150" i="2"/>
  <c r="K93" i="2"/>
  <c r="K269" i="2"/>
  <c r="G440" i="2"/>
  <c r="AD155" i="2"/>
  <c r="AF150" i="2"/>
  <c r="N207" i="2"/>
  <c r="Y40" i="2"/>
  <c r="Y326" i="2"/>
  <c r="J259" i="2"/>
  <c r="Z98" i="2"/>
  <c r="L207" i="2"/>
  <c r="J435" i="2"/>
  <c r="F373" i="2"/>
  <c r="G269" i="2"/>
  <c r="J378" i="2"/>
  <c r="Y150" i="2"/>
  <c r="Z326" i="2"/>
  <c r="AE435" i="2"/>
  <c r="N93" i="2"/>
  <c r="M435" i="2"/>
  <c r="M321" i="2"/>
  <c r="K155" i="2"/>
  <c r="N40" i="2"/>
  <c r="N378" i="2"/>
  <c r="Y383" i="2"/>
  <c r="K207" i="2"/>
  <c r="G430" i="2"/>
  <c r="AB145" i="2"/>
  <c r="AC155" i="2"/>
  <c r="AE150" i="2"/>
  <c r="W202" i="2"/>
  <c r="R259" i="2"/>
  <c r="AB212" i="2"/>
  <c r="H321" i="2"/>
  <c r="J150" i="2"/>
  <c r="AC88" i="2"/>
  <c r="H88" i="2"/>
  <c r="Z383" i="2"/>
  <c r="H264" i="2"/>
  <c r="Z440" i="2"/>
  <c r="L259" i="2"/>
  <c r="Z150" i="2"/>
  <c r="H430" i="2"/>
  <c r="Y88" i="2"/>
  <c r="O321" i="2"/>
  <c r="Z212" i="2"/>
  <c r="J40" i="2"/>
  <c r="AB150" i="2"/>
  <c r="Y98" i="2"/>
  <c r="Y838" i="2"/>
  <c r="Y916" i="2" s="1"/>
  <c r="AB264" i="2"/>
  <c r="M155" i="2"/>
  <c r="AC269" i="2"/>
  <c r="H93" i="2"/>
  <c r="I98" i="2"/>
  <c r="Y207" i="2"/>
  <c r="N98" i="2"/>
  <c r="Z839" i="2"/>
  <c r="Z921" i="2" s="1"/>
  <c r="Z93" i="2"/>
  <c r="K40" i="2"/>
  <c r="AF207" i="2"/>
  <c r="H150" i="2"/>
  <c r="W373" i="2"/>
  <c r="Y269" i="2"/>
  <c r="N440" i="2"/>
  <c r="Y212" i="2"/>
  <c r="L269" i="2"/>
  <c r="G321" i="2"/>
  <c r="AC440" i="2"/>
  <c r="AF326" i="2"/>
  <c r="J35" i="2"/>
  <c r="M150" i="2"/>
  <c r="I440" i="2"/>
  <c r="AA264" i="2"/>
  <c r="K440" i="2"/>
  <c r="L373" i="2"/>
  <c r="G202" i="2"/>
  <c r="M383" i="2"/>
  <c r="AD88" i="2"/>
  <c r="G145" i="2"/>
  <c r="T430" i="2"/>
  <c r="F202" i="2"/>
  <c r="H440" i="2"/>
  <c r="O155" i="2"/>
  <c r="N838" i="2"/>
  <c r="N916" i="2" s="1"/>
  <c r="H373" i="2"/>
  <c r="X259" i="2"/>
  <c r="AA378" i="2"/>
  <c r="AD212" i="2"/>
  <c r="H202" i="2"/>
  <c r="Y435" i="2"/>
  <c r="K321" i="2"/>
  <c r="J155" i="2"/>
  <c r="K202" i="2"/>
  <c r="AE35" i="2"/>
  <c r="AB40" i="2"/>
  <c r="W430" i="2"/>
  <c r="O839" i="2"/>
  <c r="O921" i="2" s="1"/>
  <c r="H155" i="2"/>
  <c r="AB321" i="2"/>
  <c r="I93" i="2"/>
  <c r="H383" i="2"/>
  <c r="J373" i="2"/>
  <c r="Y93" i="2"/>
  <c r="W839" i="2"/>
  <c r="W921" i="2" s="1"/>
  <c r="W259" i="2"/>
  <c r="L440" i="2"/>
  <c r="AA88" i="2"/>
  <c r="G383" i="2"/>
  <c r="AB839" i="2"/>
  <c r="AB865" i="2" s="1"/>
  <c r="AB269" i="2"/>
  <c r="M440" i="2"/>
  <c r="AF35" i="2"/>
  <c r="I321" i="2"/>
  <c r="M207" i="2"/>
  <c r="I378" i="2"/>
  <c r="AC145" i="2"/>
  <c r="M98" i="2"/>
  <c r="L98" i="2"/>
  <c r="N269" i="2"/>
  <c r="K839" i="2"/>
  <c r="K921" i="2" s="1"/>
  <c r="J269" i="2"/>
  <c r="K150" i="2"/>
  <c r="AC98" i="2"/>
  <c r="X373" i="2"/>
  <c r="M264" i="2"/>
  <c r="M838" i="2"/>
  <c r="M916" i="2" s="1"/>
  <c r="AC378" i="2"/>
  <c r="J326" i="2"/>
  <c r="Q839" i="2"/>
  <c r="Q865" i="2" s="1"/>
  <c r="L383" i="2"/>
  <c r="H839" i="2"/>
  <c r="H865" i="2" s="1"/>
  <c r="I145" i="2"/>
  <c r="L326" i="2"/>
  <c r="AE155" i="2"/>
  <c r="AF88" i="2"/>
  <c r="AE326" i="2"/>
  <c r="AF435" i="2"/>
  <c r="AA207" i="2"/>
  <c r="J212" i="2"/>
  <c r="J202" i="2"/>
  <c r="AE93" i="2"/>
  <c r="AB383" i="2"/>
  <c r="S839" i="2"/>
  <c r="AE207" i="2"/>
  <c r="AC435" i="2"/>
  <c r="I435" i="2"/>
  <c r="I88" i="2"/>
  <c r="AD98" i="2"/>
  <c r="G839" i="2"/>
  <c r="G921" i="2" s="1"/>
  <c r="AF98" i="2"/>
  <c r="AC264" i="2"/>
  <c r="K378" i="2"/>
  <c r="AA383" i="2"/>
  <c r="I150" i="2"/>
  <c r="AF269" i="2"/>
  <c r="Y155" i="2"/>
  <c r="AD435" i="2"/>
  <c r="AC212" i="2"/>
  <c r="Z264" i="2"/>
  <c r="AA839" i="2"/>
  <c r="AA865" i="2" s="1"/>
  <c r="O212" i="2"/>
  <c r="L145" i="2"/>
  <c r="G155" i="2"/>
  <c r="AE269" i="2"/>
  <c r="AF264" i="2"/>
  <c r="AD440" i="2"/>
  <c r="AB378" i="2"/>
  <c r="I207" i="2"/>
  <c r="O440" i="2"/>
  <c r="AF212" i="2"/>
  <c r="AE88" i="2"/>
  <c r="AC839" i="2"/>
  <c r="AC865" i="2" s="1"/>
  <c r="O150" i="2"/>
  <c r="K435" i="2"/>
  <c r="G98" i="2"/>
  <c r="L430" i="2"/>
  <c r="X839" i="2"/>
  <c r="X865" i="2" s="1"/>
  <c r="X202" i="2"/>
  <c r="O259" i="2"/>
  <c r="H212" i="2"/>
  <c r="AA98" i="2"/>
  <c r="O35" i="2"/>
  <c r="O93" i="2"/>
  <c r="O264" i="2"/>
  <c r="G212" i="2"/>
  <c r="O326" i="2"/>
  <c r="M269" i="2"/>
  <c r="H259" i="2"/>
  <c r="F839" i="2"/>
  <c r="F921" i="2" s="1"/>
  <c r="U839" i="2"/>
  <c r="U865" i="2" s="1"/>
  <c r="O98" i="2"/>
  <c r="H269" i="2"/>
  <c r="I212" i="2"/>
  <c r="AF321" i="2"/>
  <c r="I430" i="2"/>
  <c r="J88" i="2"/>
  <c r="AF155" i="2"/>
  <c r="AA40" i="2"/>
  <c r="AE817" i="2"/>
  <c r="AE829" i="2" s="1"/>
  <c r="K373" i="2"/>
  <c r="K264" i="2"/>
  <c r="O435" i="2"/>
  <c r="AD264" i="2"/>
  <c r="AD150" i="2"/>
  <c r="AE145" i="2"/>
  <c r="Z321" i="2"/>
  <c r="AD839" i="2"/>
  <c r="AD865" i="2" s="1"/>
  <c r="Y321" i="2"/>
  <c r="AB207" i="2"/>
  <c r="AG337" i="2"/>
  <c r="AH337" i="2" s="1"/>
  <c r="AC321" i="2"/>
  <c r="AA269" i="2"/>
  <c r="Z378" i="2"/>
  <c r="AB435" i="2"/>
  <c r="T316" i="2"/>
  <c r="AB93" i="2"/>
  <c r="I155" i="2"/>
  <c r="F821" i="2"/>
  <c r="AD40" i="2"/>
  <c r="X430" i="2"/>
  <c r="P819" i="2"/>
  <c r="P831" i="2" s="1"/>
  <c r="AE440" i="2"/>
  <c r="AB817" i="2"/>
  <c r="AB829" i="2" s="1"/>
  <c r="T817" i="2"/>
  <c r="T829" i="2" s="1"/>
  <c r="T846" i="2" s="1"/>
  <c r="M430" i="2"/>
  <c r="Z821" i="2"/>
  <c r="K430" i="2"/>
  <c r="L839" i="2"/>
  <c r="L921" i="2" s="1"/>
  <c r="H98" i="2"/>
  <c r="AA838" i="2"/>
  <c r="AG536" i="2"/>
  <c r="AH536" i="2" s="1"/>
  <c r="J817" i="2"/>
  <c r="J846" i="2" s="1"/>
  <c r="AE212" i="2"/>
  <c r="O207" i="2"/>
  <c r="AF440" i="2"/>
  <c r="L838" i="2"/>
  <c r="L864" i="2" s="1"/>
  <c r="L202" i="2"/>
  <c r="AF93" i="2"/>
  <c r="Z35" i="2"/>
  <c r="M817" i="2"/>
  <c r="M846" i="2" s="1"/>
  <c r="O145" i="2"/>
  <c r="AC207" i="2"/>
  <c r="P817" i="2"/>
  <c r="P829" i="2" s="1"/>
  <c r="P846" i="2" s="1"/>
  <c r="N259" i="2"/>
  <c r="I202" i="2"/>
  <c r="I259" i="2"/>
  <c r="AE383" i="2"/>
  <c r="AG451" i="2"/>
  <c r="AH451" i="2" s="1"/>
  <c r="AA435" i="2"/>
  <c r="O383" i="2"/>
  <c r="AB819" i="2"/>
  <c r="AB831" i="2" s="1"/>
  <c r="H838" i="2"/>
  <c r="M839" i="2"/>
  <c r="M921" i="2" s="1"/>
  <c r="N202" i="2"/>
  <c r="AB155" i="2"/>
  <c r="AC383" i="2"/>
  <c r="Y819" i="2"/>
  <c r="Y831" i="2" s="1"/>
  <c r="V817" i="2"/>
  <c r="V829" i="2" s="1"/>
  <c r="V846" i="2" s="1"/>
  <c r="J145" i="2"/>
  <c r="AG280" i="2"/>
  <c r="AH280" i="2" s="1"/>
  <c r="AF839" i="2"/>
  <c r="AF865" i="2" s="1"/>
  <c r="AG454" i="2"/>
  <c r="AH454" i="2" s="1"/>
  <c r="AG87" i="2"/>
  <c r="AH87" i="2" s="1"/>
  <c r="M819" i="2"/>
  <c r="M848" i="2" s="1"/>
  <c r="I839" i="2"/>
  <c r="I865" i="2" s="1"/>
  <c r="AG394" i="2"/>
  <c r="AH394" i="2" s="1"/>
  <c r="AG223" i="2"/>
  <c r="AH223" i="2" s="1"/>
  <c r="M818" i="2"/>
  <c r="M847" i="2" s="1"/>
  <c r="T373" i="2"/>
  <c r="N88" i="2"/>
  <c r="L378" i="2"/>
  <c r="AG39" i="2"/>
  <c r="AH39" i="2" s="1"/>
  <c r="N316" i="2"/>
  <c r="O269" i="2"/>
  <c r="AB838" i="2"/>
  <c r="AA819" i="2"/>
  <c r="AA831" i="2" s="1"/>
  <c r="AC93" i="2"/>
  <c r="AG388" i="2"/>
  <c r="AH388" i="2" s="1"/>
  <c r="K98" i="2"/>
  <c r="AA212" i="2"/>
  <c r="AG201" i="2"/>
  <c r="AH201" i="2" s="1"/>
  <c r="J838" i="2"/>
  <c r="J916" i="2" s="1"/>
  <c r="Z207" i="2"/>
  <c r="AD93" i="2"/>
  <c r="L818" i="2"/>
  <c r="L847" i="2" s="1"/>
  <c r="U818" i="2"/>
  <c r="U830" i="2" s="1"/>
  <c r="G821" i="2"/>
  <c r="AE839" i="2"/>
  <c r="AE865" i="2" s="1"/>
  <c r="N817" i="2"/>
  <c r="N846" i="2" s="1"/>
  <c r="AE819" i="2"/>
  <c r="AE831" i="2" s="1"/>
  <c r="AA817" i="2"/>
  <c r="AA829" i="2" s="1"/>
  <c r="AG305" i="2"/>
  <c r="AH305" i="2" s="1"/>
  <c r="I817" i="2"/>
  <c r="I846" i="2" s="1"/>
  <c r="N383" i="2"/>
  <c r="H145" i="2"/>
  <c r="G838" i="2"/>
  <c r="AC817" i="2"/>
  <c r="AC829" i="2" s="1"/>
  <c r="AD817" i="2"/>
  <c r="AD829" i="2" s="1"/>
  <c r="R818" i="2"/>
  <c r="R830" i="2" s="1"/>
  <c r="AA155" i="2"/>
  <c r="AB88" i="2"/>
  <c r="AG77" i="2"/>
  <c r="AH77" i="2" s="1"/>
  <c r="AF817" i="2"/>
  <c r="AF829" i="2" s="1"/>
  <c r="L435" i="2"/>
  <c r="AG109" i="2"/>
  <c r="AH109" i="2" s="1"/>
  <c r="T245" i="2"/>
  <c r="R815" i="2"/>
  <c r="R827" i="2" s="1"/>
  <c r="R844" i="2" s="1"/>
  <c r="P818" i="2"/>
  <c r="P830" i="2" s="1"/>
  <c r="P815" i="2"/>
  <c r="P827" i="2" s="1"/>
  <c r="P844" i="2" s="1"/>
  <c r="V818" i="2"/>
  <c r="V830" i="2" s="1"/>
  <c r="AA93" i="2"/>
  <c r="AG211" i="2"/>
  <c r="AH211" i="2" s="1"/>
  <c r="Z838" i="2"/>
  <c r="Z916" i="2" s="1"/>
  <c r="AB326" i="2"/>
  <c r="L264" i="2"/>
  <c r="Q819" i="2"/>
  <c r="Q831" i="2" s="1"/>
  <c r="N326" i="2"/>
  <c r="AC326" i="2"/>
  <c r="AD819" i="2"/>
  <c r="AD831" i="2" s="1"/>
  <c r="AG434" i="2"/>
  <c r="AH434" i="2" s="1"/>
  <c r="S818" i="2"/>
  <c r="S830" i="2" s="1"/>
  <c r="AG206" i="2"/>
  <c r="AH206" i="2" s="1"/>
  <c r="AF821" i="2"/>
  <c r="K30" i="2"/>
  <c r="AG283" i="2"/>
  <c r="AH283" i="2" s="1"/>
  <c r="O202" i="2"/>
  <c r="J821" i="2"/>
  <c r="AG397" i="2"/>
  <c r="AH397" i="2" s="1"/>
  <c r="J839" i="2"/>
  <c r="J865" i="2" s="1"/>
  <c r="U817" i="2"/>
  <c r="U829" i="2" s="1"/>
  <c r="U846" i="2" s="1"/>
  <c r="AG263" i="2"/>
  <c r="AH263" i="2" s="1"/>
  <c r="V839" i="2"/>
  <c r="V921" i="2" s="1"/>
  <c r="AF838" i="2"/>
  <c r="AF840" i="2" s="1"/>
  <c r="T202" i="2"/>
  <c r="AF818" i="2"/>
  <c r="AF830" i="2" s="1"/>
  <c r="AG274" i="2"/>
  <c r="AH274" i="2" s="1"/>
  <c r="I264" i="2"/>
  <c r="Y821" i="2"/>
  <c r="L821" i="2"/>
  <c r="L93" i="2"/>
  <c r="Y817" i="2"/>
  <c r="Y829" i="2" s="1"/>
  <c r="N839" i="2"/>
  <c r="N921" i="2" s="1"/>
  <c r="AF383" i="2"/>
  <c r="N821" i="2"/>
  <c r="AG217" i="2"/>
  <c r="AH217" i="2" s="1"/>
  <c r="AC818" i="2"/>
  <c r="AC830" i="2" s="1"/>
  <c r="N264" i="2"/>
  <c r="AG51" i="2"/>
  <c r="AH51" i="2" s="1"/>
  <c r="L74" i="2"/>
  <c r="U815" i="2"/>
  <c r="U827" i="2" s="1"/>
  <c r="U844" i="2" s="1"/>
  <c r="AC819" i="2"/>
  <c r="AC831" i="2" s="1"/>
  <c r="I373" i="2"/>
  <c r="G817" i="2"/>
  <c r="G846" i="2" s="1"/>
  <c r="R316" i="2"/>
  <c r="AG457" i="2"/>
  <c r="AH457" i="2" s="1"/>
  <c r="L321" i="2"/>
  <c r="R839" i="2"/>
  <c r="R865" i="2" s="1"/>
  <c r="AA440" i="2"/>
  <c r="Q821" i="2"/>
  <c r="AG268" i="2"/>
  <c r="AH268" i="2" s="1"/>
  <c r="N145" i="2"/>
  <c r="AD378" i="2"/>
  <c r="AG54" i="2"/>
  <c r="AH54" i="2" s="1"/>
  <c r="AB821" i="2"/>
  <c r="AG103" i="2"/>
  <c r="AH103" i="2" s="1"/>
  <c r="K74" i="2"/>
  <c r="AC821" i="2"/>
  <c r="AD383" i="2"/>
  <c r="K815" i="2"/>
  <c r="K844" i="2" s="1"/>
  <c r="M815" i="2"/>
  <c r="M844" i="2" s="1"/>
  <c r="AG258" i="2"/>
  <c r="AH258" i="2" s="1"/>
  <c r="AG419" i="2"/>
  <c r="AH419" i="2" s="1"/>
  <c r="AD321" i="2"/>
  <c r="AG112" i="2"/>
  <c r="AH112" i="2" s="1"/>
  <c r="AG191" i="2"/>
  <c r="AH191" i="2" s="1"/>
  <c r="I838" i="2"/>
  <c r="T818" i="2"/>
  <c r="T830" i="2" s="1"/>
  <c r="W817" i="2"/>
  <c r="W829" i="2" s="1"/>
  <c r="W846" i="2" s="1"/>
  <c r="P821" i="2"/>
  <c r="T815" i="2"/>
  <c r="T827" i="2" s="1"/>
  <c r="T844" i="2" s="1"/>
  <c r="K821" i="2"/>
  <c r="AG429" i="2"/>
  <c r="AH429" i="2" s="1"/>
  <c r="W815" i="2"/>
  <c r="W827" i="2" s="1"/>
  <c r="W844" i="2" s="1"/>
  <c r="AG372" i="2"/>
  <c r="AH372" i="2" s="1"/>
  <c r="AG45" i="2"/>
  <c r="AH45" i="2" s="1"/>
  <c r="AG149" i="2"/>
  <c r="AH149" i="2" s="1"/>
  <c r="Y264" i="2"/>
  <c r="K16" i="2"/>
  <c r="K817" i="2"/>
  <c r="K846" i="2" s="1"/>
  <c r="AG166" i="2"/>
  <c r="AH166" i="2" s="1"/>
  <c r="AG445" i="2"/>
  <c r="AH445" i="2" s="1"/>
  <c r="N815" i="2"/>
  <c r="N856" i="2" s="1"/>
  <c r="AG29" i="2"/>
  <c r="AH29" i="2" s="1"/>
  <c r="AG19" i="2"/>
  <c r="AH19" i="2" s="1"/>
  <c r="AG160" i="2"/>
  <c r="AH160" i="2" s="1"/>
  <c r="U819" i="2"/>
  <c r="U831" i="2" s="1"/>
  <c r="K302" i="2"/>
  <c r="W819" i="2"/>
  <c r="W831" i="2" s="1"/>
  <c r="V821" i="2"/>
  <c r="I815" i="2"/>
  <c r="I844" i="2" s="1"/>
  <c r="AA145" i="2"/>
  <c r="S815" i="2"/>
  <c r="S827" i="2" s="1"/>
  <c r="S844" i="2" s="1"/>
  <c r="O815" i="2"/>
  <c r="O827" i="2" s="1"/>
  <c r="O844" i="2" s="1"/>
  <c r="M821" i="2"/>
  <c r="H815" i="2"/>
  <c r="H844" i="2" s="1"/>
  <c r="X815" i="2"/>
  <c r="X827" i="2" s="1"/>
  <c r="X844" i="2" s="1"/>
  <c r="Q817" i="2"/>
  <c r="Q829" i="2" s="1"/>
  <c r="Q846" i="2" s="1"/>
  <c r="W821" i="2"/>
  <c r="AG172" i="2"/>
  <c r="AH172" i="2" s="1"/>
  <c r="AD821" i="2"/>
  <c r="AG362" i="2"/>
  <c r="AH362" i="2" s="1"/>
  <c r="AG169" i="2"/>
  <c r="AH169" i="2" s="1"/>
  <c r="R245" i="2"/>
  <c r="S821" i="2"/>
  <c r="AG115" i="2"/>
  <c r="AH115" i="2" s="1"/>
  <c r="AG377" i="2"/>
  <c r="AH377" i="2" s="1"/>
  <c r="AG92" i="2"/>
  <c r="AH92" i="2" s="1"/>
  <c r="AA818" i="2"/>
  <c r="AA830" i="2" s="1"/>
  <c r="AG286" i="2"/>
  <c r="AH286" i="2" s="1"/>
  <c r="AG154" i="2"/>
  <c r="AH154" i="2" s="1"/>
  <c r="R373" i="2"/>
  <c r="K416" i="2"/>
  <c r="Q815" i="2"/>
  <c r="Q827" i="2" s="1"/>
  <c r="Q844" i="2" s="1"/>
  <c r="L819" i="2"/>
  <c r="L848" i="2" s="1"/>
  <c r="V819" i="2"/>
  <c r="V831" i="2" s="1"/>
  <c r="AG439" i="2"/>
  <c r="AH439" i="2" s="1"/>
  <c r="H817" i="2"/>
  <c r="H846" i="2" s="1"/>
  <c r="Z817" i="2"/>
  <c r="Z829" i="2" s="1"/>
  <c r="M416" i="2"/>
  <c r="V815" i="2"/>
  <c r="V827" i="2" s="1"/>
  <c r="V844" i="2" s="1"/>
  <c r="O818" i="2"/>
  <c r="O830" i="2" s="1"/>
  <c r="T821" i="2"/>
  <c r="H821" i="2"/>
  <c r="AG248" i="2"/>
  <c r="AH248" i="2" s="1"/>
  <c r="K131" i="2"/>
  <c r="L817" i="2"/>
  <c r="L846" i="2" s="1"/>
  <c r="AG400" i="2"/>
  <c r="AH400" i="2" s="1"/>
  <c r="AG382" i="2"/>
  <c r="AH382" i="2" s="1"/>
  <c r="AG144" i="2"/>
  <c r="AH144" i="2" s="1"/>
  <c r="AA821" i="2"/>
  <c r="P839" i="2"/>
  <c r="AG97" i="2"/>
  <c r="AH97" i="2" s="1"/>
  <c r="I383" i="2"/>
  <c r="G815" i="2"/>
  <c r="G856" i="2" s="1"/>
  <c r="X819" i="2"/>
  <c r="X831" i="2" s="1"/>
  <c r="Z819" i="2"/>
  <c r="Z831" i="2" s="1"/>
  <c r="W818" i="2"/>
  <c r="W830" i="2" s="1"/>
  <c r="AG57" i="2"/>
  <c r="AH57" i="2" s="1"/>
  <c r="AG134" i="2"/>
  <c r="AH134" i="2" s="1"/>
  <c r="O817" i="2"/>
  <c r="O829" i="2" s="1"/>
  <c r="O846" i="2" s="1"/>
  <c r="R817" i="2"/>
  <c r="R829" i="2" s="1"/>
  <c r="R846" i="2" s="1"/>
  <c r="V416" i="2"/>
  <c r="K818" i="2"/>
  <c r="K847" i="2" s="1"/>
  <c r="AE821" i="2"/>
  <c r="AC838" i="2"/>
  <c r="AG226" i="2"/>
  <c r="AH226" i="2" s="1"/>
  <c r="Y839" i="2"/>
  <c r="Y865" i="2" s="1"/>
  <c r="W816" i="2"/>
  <c r="W828" i="2" s="1"/>
  <c r="W845" i="2" s="1"/>
  <c r="Y378" i="2"/>
  <c r="K245" i="2"/>
  <c r="O88" i="2"/>
  <c r="X817" i="2"/>
  <c r="X829" i="2" s="1"/>
  <c r="X846" i="2" s="1"/>
  <c r="L815" i="2"/>
  <c r="L856" i="2" s="1"/>
  <c r="AG229" i="2"/>
  <c r="AH229" i="2" s="1"/>
  <c r="T839" i="2"/>
  <c r="T921" i="2" s="1"/>
  <c r="O838" i="2"/>
  <c r="O373" i="2"/>
  <c r="AG331" i="2"/>
  <c r="AH331" i="2" s="1"/>
  <c r="J815" i="2"/>
  <c r="J844" i="2" s="1"/>
  <c r="AD145" i="2"/>
  <c r="X245" i="2"/>
  <c r="AG320" i="2"/>
  <c r="AH320" i="2" s="1"/>
  <c r="U302" i="2"/>
  <c r="S817" i="2"/>
  <c r="S829" i="2" s="1"/>
  <c r="S846" i="2" s="1"/>
  <c r="X821" i="2"/>
  <c r="AG34" i="2"/>
  <c r="AH34" i="2" s="1"/>
  <c r="AB818" i="2"/>
  <c r="AB830" i="2" s="1"/>
  <c r="Q245" i="2"/>
  <c r="K359" i="2"/>
  <c r="AE98" i="2"/>
  <c r="P131" i="2"/>
  <c r="AE838" i="2"/>
  <c r="AG343" i="2"/>
  <c r="AH343" i="2" s="1"/>
  <c r="K838" i="2"/>
  <c r="K916" i="2" s="1"/>
  <c r="M816" i="2"/>
  <c r="M845" i="2" s="1"/>
  <c r="R819" i="2"/>
  <c r="R831" i="2" s="1"/>
  <c r="AF819" i="2"/>
  <c r="AF831" i="2" s="1"/>
  <c r="U821" i="2"/>
  <c r="I821" i="2"/>
  <c r="Y818" i="2"/>
  <c r="Y830" i="2" s="1"/>
  <c r="I816" i="2"/>
  <c r="I845" i="2" s="1"/>
  <c r="Z818" i="2"/>
  <c r="Z830" i="2" s="1"/>
  <c r="R821" i="2"/>
  <c r="R816" i="2"/>
  <c r="R828" i="2" s="1"/>
  <c r="R845" i="2" s="1"/>
  <c r="Q818" i="2"/>
  <c r="Q830" i="2" s="1"/>
  <c r="N816" i="2"/>
  <c r="N845" i="2" s="1"/>
  <c r="AG325" i="2"/>
  <c r="AH325" i="2" s="1"/>
  <c r="U816" i="2"/>
  <c r="U828" i="2" s="1"/>
  <c r="U845" i="2" s="1"/>
  <c r="AD838" i="2"/>
  <c r="O821" i="2"/>
  <c r="Q816" i="2"/>
  <c r="Q828" i="2" s="1"/>
  <c r="Q845" i="2" s="1"/>
  <c r="O819" i="2"/>
  <c r="O831" i="2" s="1"/>
  <c r="AG773" i="2"/>
  <c r="AH773" i="2" s="1"/>
  <c r="F774" i="2"/>
  <c r="Y314" i="2"/>
  <c r="Y316" i="2" s="1"/>
  <c r="Y428" i="2"/>
  <c r="Y430" i="2" s="1"/>
  <c r="Y200" i="2"/>
  <c r="Y202" i="2" s="1"/>
  <c r="Y371" i="2"/>
  <c r="Y373" i="2" s="1"/>
  <c r="Y257" i="2"/>
  <c r="Y259" i="2" s="1"/>
  <c r="AC368" i="2"/>
  <c r="AC425" i="2"/>
  <c r="AC254" i="2"/>
  <c r="AC197" i="2"/>
  <c r="AG751" i="2"/>
  <c r="AH751" i="2" s="1"/>
  <c r="F752" i="2"/>
  <c r="R30" i="2"/>
  <c r="O816" i="2"/>
  <c r="O828" i="2" s="1"/>
  <c r="O845" i="2" s="1"/>
  <c r="O856" i="2" s="1"/>
  <c r="O875" i="2" s="1"/>
  <c r="O893" i="2" s="1"/>
  <c r="O911" i="2" s="1"/>
  <c r="AB368" i="2"/>
  <c r="AB254" i="2"/>
  <c r="AB425" i="2"/>
  <c r="AB197" i="2"/>
  <c r="AG769" i="2"/>
  <c r="AH769" i="2" s="1"/>
  <c r="AD197" i="2"/>
  <c r="AD425" i="2"/>
  <c r="AD254" i="2"/>
  <c r="AD368" i="2"/>
  <c r="AB428" i="2"/>
  <c r="AB430" i="2" s="1"/>
  <c r="AB200" i="2"/>
  <c r="AB202" i="2" s="1"/>
  <c r="AB371" i="2"/>
  <c r="AB373" i="2" s="1"/>
  <c r="AB314" i="2"/>
  <c r="AB316" i="2" s="1"/>
  <c r="AB257" i="2"/>
  <c r="AB259" i="2" s="1"/>
  <c r="S816" i="2"/>
  <c r="S828" i="2" s="1"/>
  <c r="S845" i="2" s="1"/>
  <c r="O316" i="2"/>
  <c r="X816" i="2"/>
  <c r="X828" i="2" s="1"/>
  <c r="X845" i="2" s="1"/>
  <c r="T819" i="2"/>
  <c r="T831" i="2" s="1"/>
  <c r="AA314" i="2"/>
  <c r="AA316" i="2" s="1"/>
  <c r="AA371" i="2"/>
  <c r="AA373" i="2" s="1"/>
  <c r="AA200" i="2"/>
  <c r="AA202" i="2" s="1"/>
  <c r="AA257" i="2"/>
  <c r="AA259" i="2" s="1"/>
  <c r="AA428" i="2"/>
  <c r="AA430" i="2" s="1"/>
  <c r="AC200" i="2"/>
  <c r="AC202" i="2" s="1"/>
  <c r="AC257" i="2"/>
  <c r="AC259" i="2" s="1"/>
  <c r="AC371" i="2"/>
  <c r="AC373" i="2" s="1"/>
  <c r="AC314" i="2"/>
  <c r="AC316" i="2" s="1"/>
  <c r="AC428" i="2"/>
  <c r="AC430" i="2" s="1"/>
  <c r="F663" i="2"/>
  <c r="AG662" i="2"/>
  <c r="AH662" i="2" s="1"/>
  <c r="AG315" i="2"/>
  <c r="AH315" i="2" s="1"/>
  <c r="AG794" i="2"/>
  <c r="AH794" i="2" s="1"/>
  <c r="F795" i="2"/>
  <c r="AE818" i="2"/>
  <c r="AE830" i="2" s="1"/>
  <c r="P816" i="2"/>
  <c r="P828" i="2" s="1"/>
  <c r="P845" i="2" s="1"/>
  <c r="AG340" i="2"/>
  <c r="AH340" i="2" s="1"/>
  <c r="AH465" i="2"/>
  <c r="AG492" i="2"/>
  <c r="AA254" i="2"/>
  <c r="AA368" i="2"/>
  <c r="AA425" i="2"/>
  <c r="AA197" i="2"/>
  <c r="H816" i="2"/>
  <c r="H845" i="2" s="1"/>
  <c r="AD818" i="2"/>
  <c r="AD830" i="2" s="1"/>
  <c r="L816" i="2"/>
  <c r="L845" i="2" s="1"/>
  <c r="T816" i="2"/>
  <c r="T828" i="2" s="1"/>
  <c r="T845" i="2" s="1"/>
  <c r="Z254" i="2"/>
  <c r="Z197" i="2"/>
  <c r="Z425" i="2"/>
  <c r="Z368" i="2"/>
  <c r="AD200" i="2"/>
  <c r="AD202" i="2" s="1"/>
  <c r="AD371" i="2"/>
  <c r="AD373" i="2" s="1"/>
  <c r="AD257" i="2"/>
  <c r="AD259" i="2" s="1"/>
  <c r="AD314" i="2"/>
  <c r="AD316" i="2" s="1"/>
  <c r="AD428" i="2"/>
  <c r="AD430" i="2" s="1"/>
  <c r="Z371" i="2"/>
  <c r="Z373" i="2" s="1"/>
  <c r="Z314" i="2"/>
  <c r="Z316" i="2" s="1"/>
  <c r="Z428" i="2"/>
  <c r="Z430" i="2" s="1"/>
  <c r="Z200" i="2"/>
  <c r="Z202" i="2" s="1"/>
  <c r="Z257" i="2"/>
  <c r="Z259" i="2" s="1"/>
  <c r="V816" i="2"/>
  <c r="V828" i="2" s="1"/>
  <c r="V845" i="2" s="1"/>
  <c r="AG744" i="2"/>
  <c r="AH744" i="2" s="1"/>
  <c r="F745" i="2"/>
  <c r="AG737" i="2"/>
  <c r="AH737" i="2" s="1"/>
  <c r="F738" i="2"/>
  <c r="AA321" i="2"/>
  <c r="AG780" i="2"/>
  <c r="AH780" i="2" s="1"/>
  <c r="F781" i="2"/>
  <c r="X818" i="2"/>
  <c r="X830" i="2" s="1"/>
  <c r="K819" i="2"/>
  <c r="K848" i="2" s="1"/>
  <c r="J816" i="2"/>
  <c r="J845" i="2" s="1"/>
  <c r="AE314" i="2"/>
  <c r="AE316" i="2" s="1"/>
  <c r="AE371" i="2"/>
  <c r="AE373" i="2" s="1"/>
  <c r="AE428" i="2"/>
  <c r="AE430" i="2" s="1"/>
  <c r="AE257" i="2"/>
  <c r="AE259" i="2" s="1"/>
  <c r="AE200" i="2"/>
  <c r="AE202" i="2" s="1"/>
  <c r="AF257" i="2"/>
  <c r="AF259" i="2" s="1"/>
  <c r="AF314" i="2"/>
  <c r="AF316" i="2" s="1"/>
  <c r="AF371" i="2"/>
  <c r="AF373" i="2" s="1"/>
  <c r="AF200" i="2"/>
  <c r="AF202" i="2" s="1"/>
  <c r="AF428" i="2"/>
  <c r="AF430" i="2" s="1"/>
  <c r="K816" i="2"/>
  <c r="K845" i="2" s="1"/>
  <c r="AG787" i="2"/>
  <c r="AH787" i="2" s="1"/>
  <c r="F788" i="2"/>
  <c r="AF254" i="2"/>
  <c r="AF197" i="2"/>
  <c r="AF368" i="2"/>
  <c r="AF425" i="2"/>
  <c r="AE254" i="2"/>
  <c r="AE197" i="2"/>
  <c r="AE368" i="2"/>
  <c r="AE425" i="2"/>
  <c r="S819" i="2"/>
  <c r="S831" i="2" s="1"/>
  <c r="G816" i="2"/>
  <c r="G845" i="2" s="1"/>
  <c r="E850" i="2"/>
  <c r="E849" i="2"/>
  <c r="W237" i="2"/>
  <c r="W245" i="2" s="1"/>
  <c r="I8" i="2"/>
  <c r="S294" i="2"/>
  <c r="S302" i="2" s="1"/>
  <c r="I237" i="2"/>
  <c r="I351" i="2"/>
  <c r="I180" i="2"/>
  <c r="I123" i="2"/>
  <c r="I408" i="2"/>
  <c r="S351" i="2"/>
  <c r="S359" i="2" s="1"/>
  <c r="S123" i="2"/>
  <c r="S131" i="2" s="1"/>
  <c r="S237" i="2"/>
  <c r="S245" i="2" s="1"/>
  <c r="I294" i="2"/>
  <c r="S180" i="2"/>
  <c r="S814" i="2" s="1"/>
  <c r="S826" i="2" s="1"/>
  <c r="S408" i="2"/>
  <c r="S416" i="2" s="1"/>
  <c r="S8" i="2"/>
  <c r="S16" i="2" s="1"/>
  <c r="W408" i="2"/>
  <c r="W416" i="2" s="1"/>
  <c r="W180" i="2"/>
  <c r="W814" i="2" s="1"/>
  <c r="W826" i="2" s="1"/>
  <c r="N351" i="2"/>
  <c r="N8" i="2"/>
  <c r="W66" i="2"/>
  <c r="W74" i="2" s="1"/>
  <c r="N123" i="2"/>
  <c r="W123" i="2"/>
  <c r="W131" i="2" s="1"/>
  <c r="T66" i="2"/>
  <c r="T74" i="2" s="1"/>
  <c r="E586" i="2"/>
  <c r="M294" i="2"/>
  <c r="M302" i="2" s="1"/>
  <c r="J8" i="2"/>
  <c r="U668" i="2"/>
  <c r="U669" i="2" s="1"/>
  <c r="J66" i="2"/>
  <c r="N294" i="2"/>
  <c r="T294" i="2"/>
  <c r="T302" i="2" s="1"/>
  <c r="N408" i="2"/>
  <c r="N66" i="2"/>
  <c r="T8" i="2"/>
  <c r="T16" i="2" s="1"/>
  <c r="N180" i="2"/>
  <c r="N814" i="2" s="1"/>
  <c r="T123" i="2"/>
  <c r="T131" i="2" s="1"/>
  <c r="T180" i="2"/>
  <c r="T814" i="2" s="1"/>
  <c r="T826" i="2" s="1"/>
  <c r="O237" i="2"/>
  <c r="O245" i="2" s="1"/>
  <c r="Q180" i="2"/>
  <c r="Q188" i="2" s="1"/>
  <c r="Q531" i="2" s="1"/>
  <c r="J351" i="2"/>
  <c r="J123" i="2"/>
  <c r="X180" i="2"/>
  <c r="X188" i="2" s="1"/>
  <c r="X531" i="2" s="1"/>
  <c r="X294" i="2"/>
  <c r="X302" i="2" s="1"/>
  <c r="L123" i="2"/>
  <c r="L131" i="2" s="1"/>
  <c r="Q408" i="2"/>
  <c r="Q416" i="2" s="1"/>
  <c r="L180" i="2"/>
  <c r="L814" i="2" s="1"/>
  <c r="Q123" i="2"/>
  <c r="Q131" i="2" s="1"/>
  <c r="L237" i="2"/>
  <c r="L245" i="2" s="1"/>
  <c r="Q351" i="2"/>
  <c r="Q359" i="2" s="1"/>
  <c r="L294" i="2"/>
  <c r="L302" i="2" s="1"/>
  <c r="Q66" i="2"/>
  <c r="Q74" i="2" s="1"/>
  <c r="L408" i="2"/>
  <c r="L416" i="2" s="1"/>
  <c r="Q8" i="2"/>
  <c r="Q16" i="2" s="1"/>
  <c r="L8" i="2"/>
  <c r="L16" i="2" s="1"/>
  <c r="L59" i="2" s="1"/>
  <c r="L553" i="2" s="1"/>
  <c r="Q294" i="2"/>
  <c r="Q302" i="2" s="1"/>
  <c r="L351" i="2"/>
  <c r="L359" i="2" s="1"/>
  <c r="X66" i="2"/>
  <c r="X74" i="2" s="1"/>
  <c r="W294" i="2"/>
  <c r="W302" i="2" s="1"/>
  <c r="X351" i="2"/>
  <c r="X359" i="2" s="1"/>
  <c r="X408" i="2"/>
  <c r="X416" i="2" s="1"/>
  <c r="R408" i="2"/>
  <c r="R416" i="2" s="1"/>
  <c r="T351" i="2"/>
  <c r="T359" i="2" s="1"/>
  <c r="T408" i="2"/>
  <c r="T416" i="2" s="1"/>
  <c r="T672" i="2"/>
  <c r="T673" i="2" s="1"/>
  <c r="U408" i="2"/>
  <c r="U416" i="2" s="1"/>
  <c r="X8" i="2"/>
  <c r="X16" i="2" s="1"/>
  <c r="X123" i="2"/>
  <c r="X131" i="2" s="1"/>
  <c r="M351" i="2"/>
  <c r="M359" i="2" s="1"/>
  <c r="M123" i="2"/>
  <c r="M131" i="2" s="1"/>
  <c r="J237" i="2"/>
  <c r="J180" i="2"/>
  <c r="J814" i="2" s="1"/>
  <c r="M180" i="2"/>
  <c r="M814" i="2" s="1"/>
  <c r="J294" i="2"/>
  <c r="M237" i="2"/>
  <c r="M245" i="2" s="1"/>
  <c r="M66" i="2"/>
  <c r="M74" i="2" s="1"/>
  <c r="M8" i="2"/>
  <c r="M16" i="2" s="1"/>
  <c r="M59" i="2" s="1"/>
  <c r="M553" i="2" s="1"/>
  <c r="V123" i="2"/>
  <c r="V131" i="2" s="1"/>
  <c r="P66" i="2"/>
  <c r="P74" i="2" s="1"/>
  <c r="R8" i="2"/>
  <c r="R16" i="2" s="1"/>
  <c r="R123" i="2"/>
  <c r="R131" i="2" s="1"/>
  <c r="V8" i="2"/>
  <c r="V16" i="2" s="1"/>
  <c r="U351" i="2"/>
  <c r="U359" i="2" s="1"/>
  <c r="V66" i="2"/>
  <c r="V74" i="2" s="1"/>
  <c r="U237" i="2"/>
  <c r="U245" i="2" s="1"/>
  <c r="V180" i="2"/>
  <c r="V814" i="2" s="1"/>
  <c r="V826" i="2" s="1"/>
  <c r="U8" i="2"/>
  <c r="U16" i="2" s="1"/>
  <c r="R180" i="2"/>
  <c r="R814" i="2" s="1"/>
  <c r="R826" i="2" s="1"/>
  <c r="V237" i="2"/>
  <c r="V245" i="2" s="1"/>
  <c r="U66" i="2"/>
  <c r="U74" i="2" s="1"/>
  <c r="V294" i="2"/>
  <c r="V302" i="2" s="1"/>
  <c r="U180" i="2"/>
  <c r="U814" i="2" s="1"/>
  <c r="U826" i="2" s="1"/>
  <c r="V351" i="2"/>
  <c r="V359" i="2" s="1"/>
  <c r="U123" i="2"/>
  <c r="U131" i="2" s="1"/>
  <c r="P180" i="2"/>
  <c r="P188" i="2" s="1"/>
  <c r="P531" i="2" s="1"/>
  <c r="P237" i="2"/>
  <c r="P245" i="2" s="1"/>
  <c r="R294" i="2"/>
  <c r="R302" i="2" s="1"/>
  <c r="P351" i="2"/>
  <c r="P359" i="2" s="1"/>
  <c r="P294" i="2"/>
  <c r="P302" i="2" s="1"/>
  <c r="P408" i="2"/>
  <c r="P416" i="2" s="1"/>
  <c r="P8" i="2"/>
  <c r="P16" i="2" s="1"/>
  <c r="R351" i="2"/>
  <c r="R359" i="2" s="1"/>
  <c r="G66" i="2"/>
  <c r="G237" i="2"/>
  <c r="G123" i="2"/>
  <c r="G180" i="2"/>
  <c r="G814" i="2" s="1"/>
  <c r="G294" i="2"/>
  <c r="G351" i="2"/>
  <c r="G408" i="2"/>
  <c r="O294" i="2"/>
  <c r="O302" i="2" s="1"/>
  <c r="O408" i="2"/>
  <c r="O416" i="2" s="1"/>
  <c r="O351" i="2"/>
  <c r="O359" i="2" s="1"/>
  <c r="O8" i="2"/>
  <c r="O16" i="2" s="1"/>
  <c r="O66" i="2"/>
  <c r="O74" i="2" s="1"/>
  <c r="O123" i="2"/>
  <c r="O131" i="2" s="1"/>
  <c r="R66" i="2"/>
  <c r="R74" i="2" s="1"/>
  <c r="W351" i="2"/>
  <c r="W359" i="2" s="1"/>
  <c r="H123" i="2"/>
  <c r="H237" i="2"/>
  <c r="H180" i="2"/>
  <c r="H814" i="2" s="1"/>
  <c r="H294" i="2"/>
  <c r="H351" i="2"/>
  <c r="H408" i="2"/>
  <c r="H8" i="2"/>
  <c r="R673" i="2"/>
  <c r="R674" i="2" s="1"/>
  <c r="P672" i="2"/>
  <c r="P673" i="2" s="1"/>
  <c r="P314" i="2"/>
  <c r="P428" i="2"/>
  <c r="P371" i="2"/>
  <c r="P200" i="2"/>
  <c r="P257" i="2"/>
  <c r="X674" i="2"/>
  <c r="X675" i="2" s="1"/>
  <c r="S314" i="2"/>
  <c r="S316" i="2" s="1"/>
  <c r="S428" i="2"/>
  <c r="S430" i="2" s="1"/>
  <c r="S371" i="2"/>
  <c r="S373" i="2" s="1"/>
  <c r="S200" i="2"/>
  <c r="S202" i="2" s="1"/>
  <c r="S257" i="2"/>
  <c r="S259" i="2" s="1"/>
  <c r="S671" i="2"/>
  <c r="S672" i="2" s="1"/>
  <c r="Q669" i="2"/>
  <c r="W673" i="2"/>
  <c r="W674" i="2" s="1"/>
  <c r="V674" i="2"/>
  <c r="F731" i="2"/>
  <c r="AG731" i="2" s="1"/>
  <c r="AH731" i="2" s="1"/>
  <c r="O814" i="2"/>
  <c r="O826" i="2" s="1"/>
  <c r="O188" i="2"/>
  <c r="O531" i="2" s="1"/>
  <c r="AF408" i="2"/>
  <c r="AF416" i="2" s="1"/>
  <c r="AF351" i="2"/>
  <c r="AF359" i="2" s="1"/>
  <c r="AF294" i="2"/>
  <c r="AF302" i="2" s="1"/>
  <c r="AF237" i="2"/>
  <c r="AF245" i="2" s="1"/>
  <c r="AF180" i="2"/>
  <c r="AF123" i="2"/>
  <c r="AF131" i="2" s="1"/>
  <c r="AF66" i="2"/>
  <c r="AF74" i="2" s="1"/>
  <c r="AF8" i="2"/>
  <c r="AF16" i="2" s="1"/>
  <c r="Y408" i="2"/>
  <c r="Y416" i="2" s="1"/>
  <c r="Y294" i="2"/>
  <c r="Y302" i="2" s="1"/>
  <c r="Y351" i="2"/>
  <c r="Y359" i="2" s="1"/>
  <c r="Y237" i="2"/>
  <c r="Y245" i="2" s="1"/>
  <c r="Y180" i="2"/>
  <c r="Y123" i="2"/>
  <c r="Y131" i="2" s="1"/>
  <c r="Y66" i="2"/>
  <c r="Y74" i="2" s="1"/>
  <c r="Y8" i="2"/>
  <c r="Y16" i="2" s="1"/>
  <c r="K814" i="2"/>
  <c r="K188" i="2"/>
  <c r="AE408" i="2"/>
  <c r="AE416" i="2" s="1"/>
  <c r="AE351" i="2"/>
  <c r="AE359" i="2" s="1"/>
  <c r="AE294" i="2"/>
  <c r="AE302" i="2" s="1"/>
  <c r="AE237" i="2"/>
  <c r="AE245" i="2" s="1"/>
  <c r="AE180" i="2"/>
  <c r="AE123" i="2"/>
  <c r="AE131" i="2" s="1"/>
  <c r="AE66" i="2"/>
  <c r="AE74" i="2" s="1"/>
  <c r="AE8" i="2"/>
  <c r="AE16" i="2" s="1"/>
  <c r="Z351" i="2"/>
  <c r="Z359" i="2" s="1"/>
  <c r="Z237" i="2"/>
  <c r="Z245" i="2" s="1"/>
  <c r="Z180" i="2"/>
  <c r="Z123" i="2"/>
  <c r="Z131" i="2" s="1"/>
  <c r="Z66" i="2"/>
  <c r="Z74" i="2" s="1"/>
  <c r="Z8" i="2"/>
  <c r="Z16" i="2" s="1"/>
  <c r="Z408" i="2"/>
  <c r="Z416" i="2" s="1"/>
  <c r="Z294" i="2"/>
  <c r="Z302" i="2" s="1"/>
  <c r="AA408" i="2"/>
  <c r="AA416" i="2" s="1"/>
  <c r="AA294" i="2"/>
  <c r="AA302" i="2" s="1"/>
  <c r="AA237" i="2"/>
  <c r="AA245" i="2" s="1"/>
  <c r="AA180" i="2"/>
  <c r="AA123" i="2"/>
  <c r="AA131" i="2" s="1"/>
  <c r="AA66" i="2"/>
  <c r="AA74" i="2" s="1"/>
  <c r="AA8" i="2"/>
  <c r="AA16" i="2" s="1"/>
  <c r="AA351" i="2"/>
  <c r="AA359" i="2" s="1"/>
  <c r="AB408" i="2"/>
  <c r="AB416" i="2" s="1"/>
  <c r="AB294" i="2"/>
  <c r="AB302" i="2" s="1"/>
  <c r="AB180" i="2"/>
  <c r="AB237" i="2"/>
  <c r="AB245" i="2" s="1"/>
  <c r="AB123" i="2"/>
  <c r="AB131" i="2" s="1"/>
  <c r="AB66" i="2"/>
  <c r="AB74" i="2" s="1"/>
  <c r="AB8" i="2"/>
  <c r="AB16" i="2" s="1"/>
  <c r="AB351" i="2"/>
  <c r="AB359" i="2" s="1"/>
  <c r="AD408" i="2"/>
  <c r="AD416" i="2" s="1"/>
  <c r="AD351" i="2"/>
  <c r="AD359" i="2" s="1"/>
  <c r="AD294" i="2"/>
  <c r="AD302" i="2" s="1"/>
  <c r="AD237" i="2"/>
  <c r="AD245" i="2" s="1"/>
  <c r="AD180" i="2"/>
  <c r="AD123" i="2"/>
  <c r="AD131" i="2" s="1"/>
  <c r="AD66" i="2"/>
  <c r="AD74" i="2" s="1"/>
  <c r="AD8" i="2"/>
  <c r="AD16" i="2" s="1"/>
  <c r="AC408" i="2"/>
  <c r="AC416" i="2" s="1"/>
  <c r="AC351" i="2"/>
  <c r="AC359" i="2" s="1"/>
  <c r="AC294" i="2"/>
  <c r="AC302" i="2" s="1"/>
  <c r="AC237" i="2"/>
  <c r="AC245" i="2" s="1"/>
  <c r="AC180" i="2"/>
  <c r="AC123" i="2"/>
  <c r="AC131" i="2" s="1"/>
  <c r="AC66" i="2"/>
  <c r="AC74" i="2" s="1"/>
  <c r="AC8" i="2"/>
  <c r="AC16" i="2" s="1"/>
  <c r="AC59" i="2" s="1"/>
  <c r="E501" i="2"/>
  <c r="E490" i="2"/>
  <c r="E582" i="2"/>
  <c r="E584" i="2" s="1"/>
  <c r="Y859" i="2" l="1"/>
  <c r="Y902" i="2" s="1"/>
  <c r="Y920" i="2" s="1"/>
  <c r="Z859" i="2"/>
  <c r="Z902" i="2" s="1"/>
  <c r="Z920" i="2" s="1"/>
  <c r="Z922" i="2" s="1"/>
  <c r="AA850" i="2"/>
  <c r="K521" i="2"/>
  <c r="K531" i="2"/>
  <c r="K826" i="2" s="1"/>
  <c r="Z174" i="2"/>
  <c r="M345" i="2"/>
  <c r="M480" i="2" s="1"/>
  <c r="M864" i="2"/>
  <c r="O59" i="2"/>
  <c r="O553" i="2" s="1"/>
  <c r="AA59" i="2"/>
  <c r="Y59" i="2"/>
  <c r="Y553" i="2" s="1"/>
  <c r="Y864" i="2"/>
  <c r="M174" i="2"/>
  <c r="M488" i="2" s="1"/>
  <c r="M552" i="2" s="1"/>
  <c r="M554" i="2" s="1"/>
  <c r="Z865" i="2"/>
  <c r="Z117" i="2"/>
  <c r="K59" i="2"/>
  <c r="K553" i="2" s="1"/>
  <c r="AB174" i="2"/>
  <c r="AB473" i="2" s="1"/>
  <c r="Y117" i="2"/>
  <c r="AF117" i="2"/>
  <c r="AB59" i="2"/>
  <c r="O459" i="2"/>
  <c r="O482" i="2" s="1"/>
  <c r="L174" i="2"/>
  <c r="L488" i="2" s="1"/>
  <c r="L552" i="2" s="1"/>
  <c r="L554" i="2" s="1"/>
  <c r="J864" i="2"/>
  <c r="N864" i="2"/>
  <c r="M402" i="2"/>
  <c r="M481" i="2" s="1"/>
  <c r="U921" i="2"/>
  <c r="N865" i="2"/>
  <c r="AE59" i="2"/>
  <c r="K865" i="2"/>
  <c r="AF59" i="2"/>
  <c r="O865" i="2"/>
  <c r="Q921" i="2"/>
  <c r="K345" i="2"/>
  <c r="K540" i="2" s="1"/>
  <c r="Z59" i="2"/>
  <c r="Z553" i="2" s="1"/>
  <c r="K402" i="2"/>
  <c r="K481" i="2" s="1"/>
  <c r="W865" i="2"/>
  <c r="S865" i="2"/>
  <c r="AD840" i="2"/>
  <c r="K174" i="2"/>
  <c r="K488" i="2" s="1"/>
  <c r="K552" i="2" s="1"/>
  <c r="S921" i="2"/>
  <c r="AD117" i="2"/>
  <c r="AC174" i="2"/>
  <c r="AC472" i="2" s="1"/>
  <c r="L865" i="2"/>
  <c r="Y174" i="2"/>
  <c r="Y473" i="2" s="1"/>
  <c r="AC840" i="2"/>
  <c r="AC850" i="2"/>
  <c r="AB850" i="2"/>
  <c r="AB840" i="2"/>
  <c r="M117" i="2"/>
  <c r="G865" i="2"/>
  <c r="G840" i="2"/>
  <c r="O117" i="2"/>
  <c r="M288" i="2"/>
  <c r="M532" i="2" s="1"/>
  <c r="AD59" i="2"/>
  <c r="L288" i="2"/>
  <c r="L541" i="2" s="1"/>
  <c r="H921" i="2"/>
  <c r="H840" i="2"/>
  <c r="Y288" i="2"/>
  <c r="Y532" i="2" s="1"/>
  <c r="AA840" i="2"/>
  <c r="X921" i="2"/>
  <c r="O174" i="2"/>
  <c r="O488" i="2" s="1"/>
  <c r="O552" i="2" s="1"/>
  <c r="K288" i="2"/>
  <c r="K541" i="2" s="1"/>
  <c r="AD850" i="2"/>
  <c r="AB117" i="2"/>
  <c r="AA117" i="2"/>
  <c r="AE174" i="2"/>
  <c r="AE472" i="2" s="1"/>
  <c r="O402" i="2"/>
  <c r="O481" i="2" s="1"/>
  <c r="M840" i="2"/>
  <c r="AA174" i="2"/>
  <c r="AA474" i="2" s="1"/>
  <c r="AF174" i="2"/>
  <c r="AF474" i="2" s="1"/>
  <c r="O345" i="2"/>
  <c r="O480" i="2" s="1"/>
  <c r="M865" i="2"/>
  <c r="AD345" i="2"/>
  <c r="AD480" i="2" s="1"/>
  <c r="L840" i="2"/>
  <c r="H864" i="2"/>
  <c r="F865" i="2"/>
  <c r="AC117" i="2"/>
  <c r="AD174" i="2"/>
  <c r="AD488" i="2" s="1"/>
  <c r="AD552" i="2" s="1"/>
  <c r="L345" i="2"/>
  <c r="L480" i="2" s="1"/>
  <c r="L916" i="2"/>
  <c r="AE345" i="2"/>
  <c r="AE540" i="2" s="1"/>
  <c r="N840" i="2"/>
  <c r="P921" i="2"/>
  <c r="Z850" i="2"/>
  <c r="L857" i="2"/>
  <c r="AB402" i="2"/>
  <c r="AB481" i="2" s="1"/>
  <c r="M459" i="2"/>
  <c r="M482" i="2" s="1"/>
  <c r="L844" i="2"/>
  <c r="AA345" i="2"/>
  <c r="AA540" i="2" s="1"/>
  <c r="K864" i="2"/>
  <c r="K459" i="2"/>
  <c r="K482" i="2" s="1"/>
  <c r="I840" i="2"/>
  <c r="AA459" i="2"/>
  <c r="AA482" i="2" s="1"/>
  <c r="I921" i="2"/>
  <c r="P865" i="2"/>
  <c r="G916" i="2"/>
  <c r="AF345" i="2"/>
  <c r="AF540" i="2" s="1"/>
  <c r="H916" i="2"/>
  <c r="V865" i="2"/>
  <c r="N844" i="2"/>
  <c r="K117" i="2"/>
  <c r="L402" i="2"/>
  <c r="L481" i="2" s="1"/>
  <c r="R921" i="2"/>
  <c r="AF850" i="2"/>
  <c r="M857" i="2"/>
  <c r="G864" i="2"/>
  <c r="AE117" i="2"/>
  <c r="I916" i="2"/>
  <c r="I864" i="2"/>
  <c r="I856" i="2"/>
  <c r="AE840" i="2"/>
  <c r="AE850" i="2"/>
  <c r="AC345" i="2"/>
  <c r="AC480" i="2" s="1"/>
  <c r="L459" i="2"/>
  <c r="L482" i="2" s="1"/>
  <c r="J856" i="2"/>
  <c r="L117" i="2"/>
  <c r="AB345" i="2"/>
  <c r="AB480" i="2" s="1"/>
  <c r="Z288" i="2"/>
  <c r="Z532" i="2" s="1"/>
  <c r="AE402" i="2"/>
  <c r="AE537" i="2" s="1"/>
  <c r="G844" i="2"/>
  <c r="M856" i="2"/>
  <c r="M875" i="2" s="1"/>
  <c r="M893" i="2" s="1"/>
  <c r="M911" i="2" s="1"/>
  <c r="K856" i="2"/>
  <c r="K875" i="2" s="1"/>
  <c r="K893" i="2" s="1"/>
  <c r="K911" i="2" s="1"/>
  <c r="O288" i="2"/>
  <c r="O532" i="2" s="1"/>
  <c r="O916" i="2"/>
  <c r="AA288" i="2"/>
  <c r="AA532" i="2" s="1"/>
  <c r="J840" i="2"/>
  <c r="J921" i="2"/>
  <c r="AG839" i="2"/>
  <c r="AH839" i="2" s="1"/>
  <c r="AB288" i="2"/>
  <c r="AB532" i="2" s="1"/>
  <c r="AD459" i="2"/>
  <c r="AD482" i="2" s="1"/>
  <c r="Z402" i="2"/>
  <c r="Z481" i="2" s="1"/>
  <c r="AE459" i="2"/>
  <c r="AE482" i="2" s="1"/>
  <c r="H856" i="2"/>
  <c r="Y840" i="2"/>
  <c r="Y850" i="2"/>
  <c r="Y921" i="2"/>
  <c r="Z864" i="2"/>
  <c r="AF402" i="2"/>
  <c r="AF537" i="2" s="1"/>
  <c r="Z840" i="2"/>
  <c r="AA402" i="2"/>
  <c r="AA481" i="2" s="1"/>
  <c r="Y345" i="2"/>
  <c r="Y480" i="2" s="1"/>
  <c r="AC288" i="2"/>
  <c r="AC532" i="2" s="1"/>
  <c r="AD288" i="2"/>
  <c r="AD532" i="2" s="1"/>
  <c r="AE288" i="2"/>
  <c r="AE541" i="2" s="1"/>
  <c r="AB459" i="2"/>
  <c r="AB482" i="2" s="1"/>
  <c r="Y402" i="2"/>
  <c r="Y537" i="2" s="1"/>
  <c r="O864" i="2"/>
  <c r="Z345" i="2"/>
  <c r="Z480" i="2" s="1"/>
  <c r="O840" i="2"/>
  <c r="K840" i="2"/>
  <c r="Z459" i="2"/>
  <c r="Z482" i="2" s="1"/>
  <c r="Y459" i="2"/>
  <c r="Y482" i="2" s="1"/>
  <c r="AG821" i="2"/>
  <c r="AF459" i="2"/>
  <c r="AF482" i="2" s="1"/>
  <c r="AC402" i="2"/>
  <c r="AC481" i="2" s="1"/>
  <c r="AD402" i="2"/>
  <c r="AD481" i="2" s="1"/>
  <c r="AC459" i="2"/>
  <c r="AC482" i="2" s="1"/>
  <c r="AF288" i="2"/>
  <c r="AF541" i="2" s="1"/>
  <c r="T865" i="2"/>
  <c r="K857" i="2"/>
  <c r="F526" i="2"/>
  <c r="AG781" i="2"/>
  <c r="AH781" i="2" s="1"/>
  <c r="AG752" i="2"/>
  <c r="AH752" i="2" s="1"/>
  <c r="F411" i="2"/>
  <c r="AG411" i="2" s="1"/>
  <c r="AH411" i="2" s="1"/>
  <c r="F297" i="2"/>
  <c r="AG297" i="2" s="1"/>
  <c r="AH297" i="2" s="1"/>
  <c r="F69" i="2"/>
  <c r="AG69" i="2" s="1"/>
  <c r="AH69" i="2" s="1"/>
  <c r="F240" i="2"/>
  <c r="AG240" i="2" s="1"/>
  <c r="AH240" i="2" s="1"/>
  <c r="F354" i="2"/>
  <c r="AG354" i="2" s="1"/>
  <c r="AH354" i="2" s="1"/>
  <c r="F183" i="2"/>
  <c r="F126" i="2"/>
  <c r="AG126" i="2" s="1"/>
  <c r="AH126" i="2" s="1"/>
  <c r="F11" i="2"/>
  <c r="AG11" i="2" s="1"/>
  <c r="AH11" i="2" s="1"/>
  <c r="F28" i="2"/>
  <c r="F86" i="2"/>
  <c r="AG663" i="2"/>
  <c r="AH663" i="2" s="1"/>
  <c r="F143" i="2"/>
  <c r="F525" i="2"/>
  <c r="AG774" i="2"/>
  <c r="AH774" i="2" s="1"/>
  <c r="F528" i="2"/>
  <c r="AG795" i="2"/>
  <c r="AH795" i="2" s="1"/>
  <c r="AG738" i="2"/>
  <c r="AH738" i="2" s="1"/>
  <c r="F181" i="2"/>
  <c r="F295" i="2"/>
  <c r="AG295" i="2" s="1"/>
  <c r="AH295" i="2" s="1"/>
  <c r="F9" i="2"/>
  <c r="AG9" i="2" s="1"/>
  <c r="AH9" i="2" s="1"/>
  <c r="F238" i="2"/>
  <c r="AG238" i="2" s="1"/>
  <c r="AH238" i="2" s="1"/>
  <c r="F409" i="2"/>
  <c r="AG409" i="2" s="1"/>
  <c r="AH409" i="2" s="1"/>
  <c r="F67" i="2"/>
  <c r="AG67" i="2" s="1"/>
  <c r="AH67" i="2" s="1"/>
  <c r="F352" i="2"/>
  <c r="AG352" i="2" s="1"/>
  <c r="AH352" i="2" s="1"/>
  <c r="F124" i="2"/>
  <c r="AG124" i="2" s="1"/>
  <c r="AH124" i="2" s="1"/>
  <c r="F527" i="2"/>
  <c r="AG788" i="2"/>
  <c r="AH788" i="2" s="1"/>
  <c r="F239" i="2"/>
  <c r="AG239" i="2" s="1"/>
  <c r="AH239" i="2" s="1"/>
  <c r="F182" i="2"/>
  <c r="F296" i="2"/>
  <c r="AG296" i="2" s="1"/>
  <c r="AH296" i="2" s="1"/>
  <c r="F410" i="2"/>
  <c r="AG410" i="2" s="1"/>
  <c r="AH410" i="2" s="1"/>
  <c r="F125" i="2"/>
  <c r="AG125" i="2" s="1"/>
  <c r="AH125" i="2" s="1"/>
  <c r="F10" i="2"/>
  <c r="AG10" i="2" s="1"/>
  <c r="AH10" i="2" s="1"/>
  <c r="F353" i="2"/>
  <c r="AG353" i="2" s="1"/>
  <c r="AH353" i="2" s="1"/>
  <c r="AG745" i="2"/>
  <c r="AH745" i="2" s="1"/>
  <c r="F68" i="2"/>
  <c r="AG68" i="2" s="1"/>
  <c r="AH68" i="2" s="1"/>
  <c r="K843" i="2"/>
  <c r="K855" i="2"/>
  <c r="AG668" i="2"/>
  <c r="AH668" i="2" s="1"/>
  <c r="L875" i="2"/>
  <c r="L893" i="2" s="1"/>
  <c r="L911" i="2" s="1"/>
  <c r="S188" i="2"/>
  <c r="I814" i="2"/>
  <c r="W188" i="2"/>
  <c r="M188" i="2"/>
  <c r="M531" i="2" s="1"/>
  <c r="M826" i="2" s="1"/>
  <c r="M843" i="2" s="1"/>
  <c r="X814" i="2"/>
  <c r="Q814" i="2"/>
  <c r="T188" i="2"/>
  <c r="L188" i="2"/>
  <c r="L531" i="2" s="1"/>
  <c r="L826" i="2" s="1"/>
  <c r="L855" i="2" s="1"/>
  <c r="P814" i="2"/>
  <c r="V188" i="2"/>
  <c r="R188" i="2"/>
  <c r="T674" i="2"/>
  <c r="U188" i="2"/>
  <c r="E592" i="2"/>
  <c r="E588" i="2"/>
  <c r="P373" i="2"/>
  <c r="AG669" i="2"/>
  <c r="AH669" i="2" s="1"/>
  <c r="P430" i="2"/>
  <c r="P316" i="2"/>
  <c r="Q670" i="2"/>
  <c r="Q671" i="2" s="1"/>
  <c r="P674" i="2"/>
  <c r="P675" i="2" s="1"/>
  <c r="X676" i="2"/>
  <c r="R675" i="2"/>
  <c r="R676" i="2" s="1"/>
  <c r="W675" i="2"/>
  <c r="W676" i="2" s="1"/>
  <c r="S673" i="2"/>
  <c r="P259" i="2"/>
  <c r="U670" i="2"/>
  <c r="P202" i="2"/>
  <c r="V675" i="2"/>
  <c r="F66" i="2"/>
  <c r="F408" i="2"/>
  <c r="F294" i="2"/>
  <c r="AG294" i="2" s="1"/>
  <c r="AH294" i="2" s="1"/>
  <c r="F351" i="2"/>
  <c r="F237" i="2"/>
  <c r="AG237" i="2" s="1"/>
  <c r="AH237" i="2" s="1"/>
  <c r="F180" i="2"/>
  <c r="F8" i="2"/>
  <c r="AG8" i="2" s="1"/>
  <c r="AH8" i="2" s="1"/>
  <c r="F123" i="2"/>
  <c r="Z473" i="2"/>
  <c r="Z472" i="2"/>
  <c r="Y474" i="2"/>
  <c r="E550" i="2"/>
  <c r="S843" i="2"/>
  <c r="S855" i="2"/>
  <c r="R843" i="2"/>
  <c r="R855" i="2"/>
  <c r="T855" i="2"/>
  <c r="T843" i="2"/>
  <c r="AC814" i="2"/>
  <c r="AC826" i="2" s="1"/>
  <c r="AC188" i="2"/>
  <c r="Q498" i="2"/>
  <c r="AB814" i="2"/>
  <c r="AB826" i="2" s="1"/>
  <c r="AB188" i="2"/>
  <c r="Y814" i="2"/>
  <c r="Y826" i="2" s="1"/>
  <c r="Y188" i="2"/>
  <c r="Y531" i="2" s="1"/>
  <c r="AD814" i="2"/>
  <c r="AD826" i="2" s="1"/>
  <c r="AD188" i="2"/>
  <c r="AE814" i="2"/>
  <c r="AE826" i="2" s="1"/>
  <c r="AE188" i="2"/>
  <c r="U843" i="2"/>
  <c r="U855" i="2"/>
  <c r="V843" i="2"/>
  <c r="V855" i="2"/>
  <c r="O498" i="2"/>
  <c r="O231" i="2"/>
  <c r="Z474" i="2"/>
  <c r="Z488" i="2"/>
  <c r="Z552" i="2" s="1"/>
  <c r="O843" i="2"/>
  <c r="O855" i="2"/>
  <c r="W855" i="2"/>
  <c r="W843" i="2"/>
  <c r="E851" i="2"/>
  <c r="E834" i="2"/>
  <c r="X498" i="2"/>
  <c r="Z814" i="2"/>
  <c r="Z826" i="2" s="1"/>
  <c r="Z188" i="2"/>
  <c r="Z531" i="2" s="1"/>
  <c r="K498" i="2"/>
  <c r="K231" i="2"/>
  <c r="P498" i="2"/>
  <c r="AF916" i="2"/>
  <c r="AF917" i="2" s="1"/>
  <c r="AC921" i="2"/>
  <c r="AC922" i="2" s="1"/>
  <c r="AE916" i="2"/>
  <c r="AE917" i="2" s="1"/>
  <c r="AA916" i="2"/>
  <c r="AA917" i="2" s="1"/>
  <c r="AF921" i="2"/>
  <c r="AF922" i="2" s="1"/>
  <c r="AB921" i="2"/>
  <c r="AB922" i="2" s="1"/>
  <c r="AD916" i="2"/>
  <c r="AD917" i="2" s="1"/>
  <c r="AA921" i="2"/>
  <c r="AA922" i="2" s="1"/>
  <c r="AE921" i="2"/>
  <c r="AE922" i="2" s="1"/>
  <c r="AC916" i="2"/>
  <c r="AC917" i="2" s="1"/>
  <c r="AD921" i="2"/>
  <c r="AD922" i="2" s="1"/>
  <c r="AB916" i="2"/>
  <c r="AB917" i="2" s="1"/>
  <c r="AA814" i="2"/>
  <c r="AA826" i="2" s="1"/>
  <c r="AA188" i="2"/>
  <c r="AF814" i="2"/>
  <c r="AF826" i="2" s="1"/>
  <c r="AF188" i="2"/>
  <c r="Y884" i="2" l="1"/>
  <c r="L843" i="2"/>
  <c r="M540" i="2"/>
  <c r="AG528" i="2"/>
  <c r="AH528" i="2" s="1"/>
  <c r="F829" i="2"/>
  <c r="AG525" i="2"/>
  <c r="AH525" i="2" s="1"/>
  <c r="AG526" i="2"/>
  <c r="AH526" i="2" s="1"/>
  <c r="F827" i="2"/>
  <c r="AG527" i="2"/>
  <c r="AH527" i="2" s="1"/>
  <c r="F828" i="2"/>
  <c r="M855" i="2"/>
  <c r="Z884" i="2"/>
  <c r="AH821" i="2"/>
  <c r="AA480" i="2"/>
  <c r="AA231" i="2"/>
  <c r="AA544" i="2" s="1"/>
  <c r="AA531" i="2"/>
  <c r="U498" i="2"/>
  <c r="U531" i="2"/>
  <c r="AB231" i="2"/>
  <c r="AB543" i="2" s="1"/>
  <c r="AB531" i="2"/>
  <c r="AE231" i="2"/>
  <c r="AE531" i="2"/>
  <c r="R498" i="2"/>
  <c r="R531" i="2"/>
  <c r="W498" i="2"/>
  <c r="W531" i="2"/>
  <c r="AC231" i="2"/>
  <c r="AC544" i="2" s="1"/>
  <c r="AC531" i="2"/>
  <c r="AD231" i="2"/>
  <c r="AD531" i="2"/>
  <c r="S498" i="2"/>
  <c r="S531" i="2"/>
  <c r="V498" i="2"/>
  <c r="V531" i="2"/>
  <c r="AF231" i="2"/>
  <c r="AF544" i="2" s="1"/>
  <c r="AF531" i="2"/>
  <c r="T498" i="2"/>
  <c r="T531" i="2"/>
  <c r="AB474" i="2"/>
  <c r="M472" i="2"/>
  <c r="M473" i="2"/>
  <c r="O554" i="2"/>
  <c r="M474" i="2"/>
  <c r="Y472" i="2"/>
  <c r="Y476" i="2" s="1"/>
  <c r="AB488" i="2"/>
  <c r="AB552" i="2" s="1"/>
  <c r="AB472" i="2"/>
  <c r="M537" i="2"/>
  <c r="Y488" i="2"/>
  <c r="Y552" i="2" s="1"/>
  <c r="AC488" i="2"/>
  <c r="AC552" i="2" s="1"/>
  <c r="AE473" i="2"/>
  <c r="K554" i="2"/>
  <c r="AC473" i="2"/>
  <c r="AC474" i="2"/>
  <c r="L472" i="2"/>
  <c r="L473" i="2"/>
  <c r="L474" i="2"/>
  <c r="Y541" i="2"/>
  <c r="Y542" i="2"/>
  <c r="AB537" i="2"/>
  <c r="AB545" i="2" s="1"/>
  <c r="O540" i="2"/>
  <c r="AE474" i="2"/>
  <c r="AE488" i="2"/>
  <c r="AE552" i="2" s="1"/>
  <c r="AA541" i="2"/>
  <c r="M542" i="2"/>
  <c r="M541" i="2"/>
  <c r="O473" i="2"/>
  <c r="AC540" i="2"/>
  <c r="AB540" i="2"/>
  <c r="K473" i="2"/>
  <c r="AE480" i="2"/>
  <c r="K480" i="2"/>
  <c r="AA472" i="2"/>
  <c r="AA473" i="2"/>
  <c r="K472" i="2"/>
  <c r="K474" i="2"/>
  <c r="O472" i="2"/>
  <c r="O474" i="2"/>
  <c r="K537" i="2"/>
  <c r="L542" i="2"/>
  <c r="K532" i="2"/>
  <c r="AA488" i="2"/>
  <c r="AA552" i="2" s="1"/>
  <c r="L532" i="2"/>
  <c r="K542" i="2"/>
  <c r="AA542" i="2"/>
  <c r="AD472" i="2"/>
  <c r="O537" i="2"/>
  <c r="AD540" i="2"/>
  <c r="L540" i="2"/>
  <c r="AE481" i="2"/>
  <c r="AF480" i="2"/>
  <c r="AF488" i="2"/>
  <c r="AF552" i="2" s="1"/>
  <c r="AD473" i="2"/>
  <c r="Z537" i="2"/>
  <c r="Z545" i="2" s="1"/>
  <c r="AD474" i="2"/>
  <c r="AF473" i="2"/>
  <c r="AF472" i="2"/>
  <c r="Y481" i="2"/>
  <c r="AF481" i="2"/>
  <c r="L537" i="2"/>
  <c r="Z541" i="2"/>
  <c r="Z542" i="2"/>
  <c r="AF542" i="2"/>
  <c r="AD542" i="2"/>
  <c r="AE542" i="2"/>
  <c r="AE532" i="2"/>
  <c r="AF532" i="2"/>
  <c r="AD541" i="2"/>
  <c r="O542" i="2"/>
  <c r="O541" i="2"/>
  <c r="AA537" i="2"/>
  <c r="AA545" i="2" s="1"/>
  <c r="Z540" i="2"/>
  <c r="AC537" i="2"/>
  <c r="AC545" i="2" s="1"/>
  <c r="Y540" i="2"/>
  <c r="AC542" i="2"/>
  <c r="AC541" i="2"/>
  <c r="AB542" i="2"/>
  <c r="AB541" i="2"/>
  <c r="Y922" i="2"/>
  <c r="AD537" i="2"/>
  <c r="AD545" i="2" s="1"/>
  <c r="F815" i="2"/>
  <c r="AG181" i="2"/>
  <c r="AH181" i="2" s="1"/>
  <c r="F88" i="2"/>
  <c r="AG88" i="2" s="1"/>
  <c r="AH88" i="2" s="1"/>
  <c r="AG86" i="2"/>
  <c r="AH86" i="2" s="1"/>
  <c r="AG28" i="2"/>
  <c r="AH28" i="2" s="1"/>
  <c r="F30" i="2"/>
  <c r="AG30" i="2" s="1"/>
  <c r="AH30" i="2" s="1"/>
  <c r="F817" i="2"/>
  <c r="AG183" i="2"/>
  <c r="AH183" i="2" s="1"/>
  <c r="F816" i="2"/>
  <c r="AG182" i="2"/>
  <c r="AH182" i="2" s="1"/>
  <c r="F145" i="2"/>
  <c r="AG145" i="2" s="1"/>
  <c r="AH145" i="2" s="1"/>
  <c r="AG143" i="2"/>
  <c r="AH143" i="2" s="1"/>
  <c r="M498" i="2"/>
  <c r="M521" i="2"/>
  <c r="L498" i="2"/>
  <c r="L521" i="2"/>
  <c r="E562" i="2"/>
  <c r="E565" i="2" s="1"/>
  <c r="AA543" i="2"/>
  <c r="AE544" i="2"/>
  <c r="AE543" i="2"/>
  <c r="O544" i="2"/>
  <c r="O543" i="2"/>
  <c r="AD544" i="2"/>
  <c r="AD543" i="2"/>
  <c r="K535" i="2"/>
  <c r="K543" i="2"/>
  <c r="K544" i="2"/>
  <c r="Q826" i="2"/>
  <c r="Q855" i="2" s="1"/>
  <c r="P826" i="2"/>
  <c r="P855" i="2" s="1"/>
  <c r="X826" i="2"/>
  <c r="X843" i="2" s="1"/>
  <c r="AD847" i="2"/>
  <c r="AE847" i="2"/>
  <c r="AE545" i="2"/>
  <c r="AC847" i="2"/>
  <c r="K894" i="2"/>
  <c r="K912" i="2"/>
  <c r="K876" i="2"/>
  <c r="AF545" i="2"/>
  <c r="AF847" i="2"/>
  <c r="O847" i="2"/>
  <c r="O857" i="2"/>
  <c r="Z847" i="2"/>
  <c r="AA847" i="2"/>
  <c r="Y847" i="2"/>
  <c r="Y545" i="2"/>
  <c r="AB847" i="2"/>
  <c r="AE533" i="2"/>
  <c r="AE535" i="2"/>
  <c r="O533" i="2"/>
  <c r="O535" i="2"/>
  <c r="AD533" i="2"/>
  <c r="AD535" i="2"/>
  <c r="K538" i="2"/>
  <c r="K533" i="2"/>
  <c r="M231" i="2"/>
  <c r="E564" i="2"/>
  <c r="M586" i="2"/>
  <c r="E20" i="4" s="1"/>
  <c r="L586" i="2"/>
  <c r="E19" i="4" s="1"/>
  <c r="L231" i="2"/>
  <c r="T675" i="2"/>
  <c r="T676" i="2" s="1"/>
  <c r="R677" i="2"/>
  <c r="R678" i="2" s="1"/>
  <c r="U314" i="2"/>
  <c r="U316" i="2" s="1"/>
  <c r="U428" i="2"/>
  <c r="U430" i="2" s="1"/>
  <c r="U371" i="2"/>
  <c r="U373" i="2" s="1"/>
  <c r="U200" i="2"/>
  <c r="U202" i="2" s="1"/>
  <c r="U257" i="2"/>
  <c r="U259" i="2" s="1"/>
  <c r="U671" i="2"/>
  <c r="U672" i="2" s="1"/>
  <c r="P676" i="2"/>
  <c r="Q672" i="2"/>
  <c r="Q314" i="2"/>
  <c r="Q428" i="2"/>
  <c r="Q371" i="2"/>
  <c r="Q200" i="2"/>
  <c r="Q257" i="2"/>
  <c r="AG670" i="2"/>
  <c r="AH670" i="2" s="1"/>
  <c r="X677" i="2"/>
  <c r="W677" i="2"/>
  <c r="W678" i="2" s="1"/>
  <c r="V676" i="2"/>
  <c r="V677" i="2" s="1"/>
  <c r="S674" i="2"/>
  <c r="S675" i="2" s="1"/>
  <c r="AG408" i="2"/>
  <c r="AH408" i="2" s="1"/>
  <c r="AG66" i="2"/>
  <c r="AH66" i="2" s="1"/>
  <c r="AG351" i="2"/>
  <c r="AH351" i="2" s="1"/>
  <c r="AG180" i="2"/>
  <c r="AH180" i="2" s="1"/>
  <c r="F814" i="2"/>
  <c r="AG123" i="2"/>
  <c r="AH123" i="2" s="1"/>
  <c r="Z820" i="2"/>
  <c r="O479" i="2"/>
  <c r="O484" i="2" s="1"/>
  <c r="O520" i="2" s="1"/>
  <c r="O522" i="2" s="1"/>
  <c r="O538" i="2"/>
  <c r="AD479" i="2"/>
  <c r="AD484" i="2" s="1"/>
  <c r="AD520" i="2" s="1"/>
  <c r="AD522" i="2" s="1"/>
  <c r="AD538" i="2"/>
  <c r="Z476" i="2"/>
  <c r="Z509" i="2" s="1"/>
  <c r="Z515" i="2" s="1"/>
  <c r="K479" i="2"/>
  <c r="AE479" i="2"/>
  <c r="AE538" i="2"/>
  <c r="AB538" i="2"/>
  <c r="T892" i="2"/>
  <c r="T910" i="2"/>
  <c r="T874" i="2"/>
  <c r="W892" i="2"/>
  <c r="W910" i="2"/>
  <c r="W874" i="2"/>
  <c r="V910" i="2"/>
  <c r="V874" i="2"/>
  <c r="V892" i="2"/>
  <c r="Y843" i="2"/>
  <c r="Y855" i="2"/>
  <c r="AC843" i="2"/>
  <c r="AF843" i="2"/>
  <c r="Z498" i="2"/>
  <c r="Z231" i="2"/>
  <c r="U892" i="2"/>
  <c r="U910" i="2"/>
  <c r="U874" i="2"/>
  <c r="Z855" i="2"/>
  <c r="Z843" i="2"/>
  <c r="AD843" i="2"/>
  <c r="AB843" i="2"/>
  <c r="S910" i="2"/>
  <c r="S892" i="2"/>
  <c r="S874" i="2"/>
  <c r="Y498" i="2"/>
  <c r="Y231" i="2"/>
  <c r="O892" i="2"/>
  <c r="O910" i="2"/>
  <c r="O874" i="2"/>
  <c r="AA843" i="2"/>
  <c r="R910" i="2"/>
  <c r="R892" i="2"/>
  <c r="R874" i="2"/>
  <c r="E560" i="2"/>
  <c r="E556" i="2"/>
  <c r="AE843" i="2"/>
  <c r="AB533" i="2" l="1"/>
  <c r="AF543" i="2"/>
  <c r="AF538" i="2"/>
  <c r="AF479" i="2"/>
  <c r="AC543" i="2"/>
  <c r="AC538" i="2"/>
  <c r="AC535" i="2"/>
  <c r="AC479" i="2"/>
  <c r="AC484" i="2" s="1"/>
  <c r="AC520" i="2" s="1"/>
  <c r="AC522" i="2" s="1"/>
  <c r="AB535" i="2"/>
  <c r="AB479" i="2"/>
  <c r="AB484" i="2" s="1"/>
  <c r="AB520" i="2" s="1"/>
  <c r="AB522" i="2" s="1"/>
  <c r="AF535" i="2"/>
  <c r="AF533" i="2"/>
  <c r="AB544" i="2"/>
  <c r="AA535" i="2"/>
  <c r="AA479" i="2"/>
  <c r="AA484" i="2" s="1"/>
  <c r="AA520" i="2" s="1"/>
  <c r="AA522" i="2" s="1"/>
  <c r="AA533" i="2"/>
  <c r="AA538" i="2"/>
  <c r="AC533" i="2"/>
  <c r="Z858" i="2"/>
  <c r="Z879" i="2" s="1"/>
  <c r="Y820" i="2"/>
  <c r="AB820" i="2"/>
  <c r="AB476" i="2"/>
  <c r="AB509" i="2" s="1"/>
  <c r="AB515" i="2" s="1"/>
  <c r="M476" i="2"/>
  <c r="M509" i="2" s="1"/>
  <c r="M515" i="2" s="1"/>
  <c r="M573" i="2" s="1"/>
  <c r="M578" i="2" s="1"/>
  <c r="B20" i="4" s="1"/>
  <c r="M820" i="2"/>
  <c r="AC820" i="2"/>
  <c r="AC476" i="2"/>
  <c r="AC509" i="2" s="1"/>
  <c r="AC515" i="2" s="1"/>
  <c r="L476" i="2"/>
  <c r="L509" i="2" s="1"/>
  <c r="L515" i="2" s="1"/>
  <c r="L573" i="2" s="1"/>
  <c r="L578" i="2" s="1"/>
  <c r="B19" i="4" s="1"/>
  <c r="AE820" i="2"/>
  <c r="AE476" i="2"/>
  <c r="AE509" i="2" s="1"/>
  <c r="AE515" i="2" s="1"/>
  <c r="K484" i="2"/>
  <c r="K520" i="2" s="1"/>
  <c r="K522" i="2" s="1"/>
  <c r="AA476" i="2"/>
  <c r="AA509" i="2" s="1"/>
  <c r="AA515" i="2" s="1"/>
  <c r="L820" i="2"/>
  <c r="K586" i="2"/>
  <c r="E18" i="4" s="1"/>
  <c r="AE484" i="2"/>
  <c r="AE520" i="2" s="1"/>
  <c r="AE522" i="2" s="1"/>
  <c r="AF476" i="2"/>
  <c r="AF509" i="2" s="1"/>
  <c r="AF515" i="2" s="1"/>
  <c r="O476" i="2"/>
  <c r="O509" i="2" s="1"/>
  <c r="O515" i="2" s="1"/>
  <c r="AA820" i="2"/>
  <c r="AF484" i="2"/>
  <c r="AF520" i="2" s="1"/>
  <c r="AF522" i="2" s="1"/>
  <c r="O820" i="2"/>
  <c r="K820" i="2"/>
  <c r="K476" i="2"/>
  <c r="K509" i="2" s="1"/>
  <c r="K515" i="2" s="1"/>
  <c r="K573" i="2" s="1"/>
  <c r="K578" i="2" s="1"/>
  <c r="B18" i="4" s="1"/>
  <c r="O545" i="2"/>
  <c r="O547" i="2" s="1"/>
  <c r="AF820" i="2"/>
  <c r="AD820" i="2"/>
  <c r="AD476" i="2"/>
  <c r="AD486" i="2" s="1"/>
  <c r="F846" i="2"/>
  <c r="AG817" i="2"/>
  <c r="AH817" i="2" s="1"/>
  <c r="AG816" i="2"/>
  <c r="AH816" i="2" s="1"/>
  <c r="F845" i="2"/>
  <c r="AG815" i="2"/>
  <c r="AH815" i="2" s="1"/>
  <c r="K545" i="2"/>
  <c r="Y543" i="2"/>
  <c r="Y544" i="2"/>
  <c r="Z543" i="2"/>
  <c r="Z544" i="2"/>
  <c r="M543" i="2"/>
  <c r="M544" i="2"/>
  <c r="L535" i="2"/>
  <c r="L543" i="2"/>
  <c r="L544" i="2"/>
  <c r="N898" i="2"/>
  <c r="L898" i="2"/>
  <c r="I898" i="2"/>
  <c r="M898" i="2"/>
  <c r="J898" i="2"/>
  <c r="H898" i="2"/>
  <c r="K898" i="2"/>
  <c r="P843" i="2"/>
  <c r="M535" i="2"/>
  <c r="Q843" i="2"/>
  <c r="X855" i="2"/>
  <c r="X892" i="2" s="1"/>
  <c r="Q910" i="2"/>
  <c r="Q874" i="2"/>
  <c r="Q892" i="2"/>
  <c r="P892" i="2"/>
  <c r="P874" i="2"/>
  <c r="P910" i="2"/>
  <c r="AB547" i="2"/>
  <c r="L912" i="2"/>
  <c r="L876" i="2"/>
  <c r="L894" i="2"/>
  <c r="O912" i="2"/>
  <c r="O894" i="2"/>
  <c r="O876" i="2"/>
  <c r="M894" i="2"/>
  <c r="M876" i="2"/>
  <c r="M912" i="2"/>
  <c r="K874" i="2"/>
  <c r="K910" i="2"/>
  <c r="K892" i="2"/>
  <c r="Y533" i="2"/>
  <c r="Y535" i="2"/>
  <c r="Z533" i="2"/>
  <c r="Z535" i="2"/>
  <c r="AD547" i="2"/>
  <c r="L538" i="2"/>
  <c r="L533" i="2"/>
  <c r="M538" i="2"/>
  <c r="M533" i="2"/>
  <c r="M479" i="2"/>
  <c r="M484" i="2" s="1"/>
  <c r="L479" i="2"/>
  <c r="L484" i="2" s="1"/>
  <c r="L520" i="2" s="1"/>
  <c r="AG814" i="2"/>
  <c r="AH814" i="2" s="1"/>
  <c r="T677" i="2"/>
  <c r="T678" i="2" s="1"/>
  <c r="Q316" i="2"/>
  <c r="AG316" i="2" s="1"/>
  <c r="AH316" i="2" s="1"/>
  <c r="AG314" i="2"/>
  <c r="AH314" i="2" s="1"/>
  <c r="X33" i="2"/>
  <c r="X35" i="2" s="1"/>
  <c r="X91" i="2"/>
  <c r="X93" i="2" s="1"/>
  <c r="X148" i="2"/>
  <c r="X150" i="2" s="1"/>
  <c r="R679" i="2"/>
  <c r="R680" i="2" s="1"/>
  <c r="R33" i="2"/>
  <c r="R35" i="2" s="1"/>
  <c r="R91" i="2"/>
  <c r="R93" i="2" s="1"/>
  <c r="R148" i="2"/>
  <c r="R150" i="2" s="1"/>
  <c r="S676" i="2"/>
  <c r="S677" i="2" s="1"/>
  <c r="V678" i="2"/>
  <c r="Q259" i="2"/>
  <c r="AG259" i="2" s="1"/>
  <c r="AH259" i="2" s="1"/>
  <c r="AG257" i="2"/>
  <c r="AH257" i="2" s="1"/>
  <c r="W679" i="2"/>
  <c r="W33" i="2"/>
  <c r="W35" i="2" s="1"/>
  <c r="W91" i="2"/>
  <c r="W93" i="2" s="1"/>
  <c r="W148" i="2"/>
  <c r="W150" i="2" s="1"/>
  <c r="Q202" i="2"/>
  <c r="AG202" i="2" s="1"/>
  <c r="AH202" i="2" s="1"/>
  <c r="AG200" i="2"/>
  <c r="AH200" i="2" s="1"/>
  <c r="U673" i="2"/>
  <c r="X678" i="2"/>
  <c r="Q673" i="2"/>
  <c r="Q674" i="2" s="1"/>
  <c r="V33" i="2"/>
  <c r="V35" i="2" s="1"/>
  <c r="V91" i="2"/>
  <c r="V93" i="2" s="1"/>
  <c r="V148" i="2"/>
  <c r="V150" i="2" s="1"/>
  <c r="Q373" i="2"/>
  <c r="AG373" i="2" s="1"/>
  <c r="AH373" i="2" s="1"/>
  <c r="AG371" i="2"/>
  <c r="AH371" i="2" s="1"/>
  <c r="Q430" i="2"/>
  <c r="AG430" i="2" s="1"/>
  <c r="AH430" i="2" s="1"/>
  <c r="AG428" i="2"/>
  <c r="AH428" i="2" s="1"/>
  <c r="P677" i="2"/>
  <c r="Z822" i="2"/>
  <c r="Z849" i="2"/>
  <c r="Z851" i="2" s="1"/>
  <c r="Y479" i="2"/>
  <c r="Y484" i="2" s="1"/>
  <c r="Y520" i="2" s="1"/>
  <c r="Y538" i="2"/>
  <c r="Z538" i="2"/>
  <c r="Z479" i="2"/>
  <c r="Z484" i="2" s="1"/>
  <c r="Z874" i="2"/>
  <c r="Z892" i="2"/>
  <c r="Z910" i="2" s="1"/>
  <c r="T903" i="2"/>
  <c r="G903" i="2"/>
  <c r="K903" i="2"/>
  <c r="U903" i="2"/>
  <c r="P903" i="2"/>
  <c r="N903" i="2"/>
  <c r="Y903" i="2"/>
  <c r="Y904" i="2" s="1"/>
  <c r="M903" i="2"/>
  <c r="AA903" i="2"/>
  <c r="AA904" i="2" s="1"/>
  <c r="R903" i="2"/>
  <c r="W903" i="2"/>
  <c r="S903" i="2"/>
  <c r="J903" i="2"/>
  <c r="Q903" i="2"/>
  <c r="AC903" i="2"/>
  <c r="AC904" i="2" s="1"/>
  <c r="Z903" i="2"/>
  <c r="Z904" i="2" s="1"/>
  <c r="AE903" i="2"/>
  <c r="AE904" i="2" s="1"/>
  <c r="O903" i="2"/>
  <c r="I903" i="2"/>
  <c r="H903" i="2"/>
  <c r="AF903" i="2"/>
  <c r="AF904" i="2" s="1"/>
  <c r="AD903" i="2"/>
  <c r="AD904" i="2" s="1"/>
  <c r="AB903" i="2"/>
  <c r="AB904" i="2" s="1"/>
  <c r="L903" i="2"/>
  <c r="V903" i="2"/>
  <c r="X903" i="2"/>
  <c r="F903" i="2"/>
  <c r="AF898" i="2"/>
  <c r="AF899" i="2" s="1"/>
  <c r="AE898" i="2"/>
  <c r="AE899" i="2" s="1"/>
  <c r="Z898" i="2"/>
  <c r="Y898" i="2"/>
  <c r="AB898" i="2"/>
  <c r="AB899" i="2" s="1"/>
  <c r="AC898" i="2"/>
  <c r="AC899" i="2" s="1"/>
  <c r="AA898" i="2"/>
  <c r="AA899" i="2" s="1"/>
  <c r="G898" i="2"/>
  <c r="AD898" i="2"/>
  <c r="AD899" i="2" s="1"/>
  <c r="O898" i="2"/>
  <c r="Z897" i="2"/>
  <c r="Y874" i="2"/>
  <c r="Y892" i="2"/>
  <c r="Y910" i="2" s="1"/>
  <c r="Y509" i="2"/>
  <c r="Y515" i="2" s="1"/>
  <c r="AA547" i="2" l="1"/>
  <c r="AC547" i="2"/>
  <c r="AC550" i="2" s="1"/>
  <c r="AC556" i="2" s="1"/>
  <c r="AC560" i="2" s="1"/>
  <c r="Z832" i="2"/>
  <c r="AF849" i="2"/>
  <c r="AF851" i="2" s="1"/>
  <c r="AF832" i="2"/>
  <c r="AF833" i="2"/>
  <c r="M822" i="2"/>
  <c r="M832" i="2"/>
  <c r="M833" i="2"/>
  <c r="K822" i="2"/>
  <c r="K832" i="2"/>
  <c r="K833" i="2"/>
  <c r="AE849" i="2"/>
  <c r="AE851" i="2" s="1"/>
  <c r="AE832" i="2"/>
  <c r="AE833" i="2"/>
  <c r="L822" i="2"/>
  <c r="L832" i="2"/>
  <c r="L833" i="2"/>
  <c r="AB849" i="2"/>
  <c r="AB851" i="2" s="1"/>
  <c r="AB832" i="2"/>
  <c r="AB833" i="2"/>
  <c r="O822" i="2"/>
  <c r="O832" i="2"/>
  <c r="O833" i="2"/>
  <c r="Y822" i="2"/>
  <c r="Y832" i="2"/>
  <c r="Y833" i="2"/>
  <c r="Z833" i="2"/>
  <c r="AD849" i="2"/>
  <c r="AD851" i="2" s="1"/>
  <c r="AD832" i="2"/>
  <c r="AD833" i="2"/>
  <c r="AA849" i="2"/>
  <c r="AA851" i="2" s="1"/>
  <c r="AA832" i="2"/>
  <c r="AA833" i="2"/>
  <c r="AC849" i="2"/>
  <c r="AC851" i="2" s="1"/>
  <c r="AC832" i="2"/>
  <c r="AC833" i="2"/>
  <c r="K547" i="2"/>
  <c r="Y858" i="2"/>
  <c r="Y897" i="2" s="1"/>
  <c r="Y849" i="2"/>
  <c r="Y851" i="2" s="1"/>
  <c r="AB822" i="2"/>
  <c r="AB486" i="2"/>
  <c r="AB501" i="2" s="1"/>
  <c r="AC822" i="2"/>
  <c r="AE486" i="2"/>
  <c r="AE490" i="2" s="1"/>
  <c r="AE885" i="2" s="1"/>
  <c r="AE886" i="2" s="1"/>
  <c r="AC486" i="2"/>
  <c r="AC501" i="2" s="1"/>
  <c r="AE822" i="2"/>
  <c r="AA486" i="2"/>
  <c r="AA501" i="2" s="1"/>
  <c r="AA822" i="2"/>
  <c r="AE547" i="2"/>
  <c r="AE550" i="2" s="1"/>
  <c r="AE556" i="2" s="1"/>
  <c r="AE560" i="2" s="1"/>
  <c r="AF486" i="2"/>
  <c r="AF490" i="2" s="1"/>
  <c r="AF880" i="2" s="1"/>
  <c r="AF881" i="2" s="1"/>
  <c r="K486" i="2"/>
  <c r="K501" i="2" s="1"/>
  <c r="O550" i="2"/>
  <c r="O556" i="2" s="1"/>
  <c r="O880" i="2" s="1"/>
  <c r="O486" i="2"/>
  <c r="O501" i="2" s="1"/>
  <c r="AD509" i="2"/>
  <c r="AD515" i="2" s="1"/>
  <c r="AD550" i="2" s="1"/>
  <c r="AD556" i="2" s="1"/>
  <c r="AD560" i="2" s="1"/>
  <c r="AF822" i="2"/>
  <c r="AF547" i="2"/>
  <c r="AF550" i="2" s="1"/>
  <c r="AF556" i="2" s="1"/>
  <c r="AF560" i="2" s="1"/>
  <c r="AD822" i="2"/>
  <c r="F844" i="2"/>
  <c r="F856" i="2"/>
  <c r="L522" i="2"/>
  <c r="M545" i="2"/>
  <c r="L545" i="2"/>
  <c r="Y547" i="2"/>
  <c r="Y550" i="2" s="1"/>
  <c r="Y556" i="2" s="1"/>
  <c r="Y560" i="2" s="1"/>
  <c r="Y522" i="2"/>
  <c r="X910" i="2"/>
  <c r="X874" i="2"/>
  <c r="AB550" i="2"/>
  <c r="AB556" i="2" s="1"/>
  <c r="AB560" i="2" s="1"/>
  <c r="AA550" i="2"/>
  <c r="AA556" i="2" s="1"/>
  <c r="AA560" i="2" s="1"/>
  <c r="L874" i="2"/>
  <c r="L910" i="2"/>
  <c r="L892" i="2"/>
  <c r="M892" i="2"/>
  <c r="M910" i="2"/>
  <c r="M874" i="2"/>
  <c r="M486" i="2"/>
  <c r="M490" i="2" s="1"/>
  <c r="M520" i="2"/>
  <c r="L486" i="2"/>
  <c r="L501" i="2" s="1"/>
  <c r="T33" i="2"/>
  <c r="T35" i="2" s="1"/>
  <c r="T91" i="2"/>
  <c r="T93" i="2" s="1"/>
  <c r="T148" i="2"/>
  <c r="T150" i="2" s="1"/>
  <c r="T679" i="2"/>
  <c r="T680" i="2" s="1"/>
  <c r="T681" i="2" s="1"/>
  <c r="S33" i="2"/>
  <c r="S35" i="2" s="1"/>
  <c r="S91" i="2"/>
  <c r="S93" i="2" s="1"/>
  <c r="S148" i="2"/>
  <c r="S150" i="2" s="1"/>
  <c r="X679" i="2"/>
  <c r="X680" i="2" s="1"/>
  <c r="P33" i="2"/>
  <c r="P91" i="2"/>
  <c r="P148" i="2"/>
  <c r="R681" i="2"/>
  <c r="R682" i="2" s="1"/>
  <c r="P678" i="2"/>
  <c r="P679" i="2" s="1"/>
  <c r="V679" i="2"/>
  <c r="V680" i="2" s="1"/>
  <c r="Q675" i="2"/>
  <c r="Q676" i="2" s="1"/>
  <c r="S678" i="2"/>
  <c r="S679" i="2" s="1"/>
  <c r="W680" i="2"/>
  <c r="W681" i="2" s="1"/>
  <c r="U674" i="2"/>
  <c r="AG674" i="2" s="1"/>
  <c r="AH674" i="2" s="1"/>
  <c r="Y486" i="2"/>
  <c r="Y490" i="2" s="1"/>
  <c r="AD490" i="2"/>
  <c r="AD501" i="2"/>
  <c r="Z899" i="2"/>
  <c r="Z915" i="2"/>
  <c r="Z917" i="2" s="1"/>
  <c r="Z520" i="2"/>
  <c r="Z486" i="2"/>
  <c r="O859" i="2" l="1"/>
  <c r="O850" i="2"/>
  <c r="O858" i="2"/>
  <c r="O849" i="2"/>
  <c r="O851" i="2" s="1"/>
  <c r="L547" i="2"/>
  <c r="Y879" i="2"/>
  <c r="AB490" i="2"/>
  <c r="AB885" i="2" s="1"/>
  <c r="AB886" i="2" s="1"/>
  <c r="AE880" i="2"/>
  <c r="AE881" i="2" s="1"/>
  <c r="AE501" i="2"/>
  <c r="AF501" i="2"/>
  <c r="AC490" i="2"/>
  <c r="AC880" i="2" s="1"/>
  <c r="AC881" i="2" s="1"/>
  <c r="AA490" i="2"/>
  <c r="AA885" i="2" s="1"/>
  <c r="AA886" i="2" s="1"/>
  <c r="AF885" i="2"/>
  <c r="AF886" i="2" s="1"/>
  <c r="K490" i="2"/>
  <c r="O490" i="2"/>
  <c r="O885" i="2"/>
  <c r="O560" i="2"/>
  <c r="M522" i="2"/>
  <c r="M547" i="2" s="1"/>
  <c r="M582" i="2" s="1"/>
  <c r="Z547" i="2"/>
  <c r="Z550" i="2" s="1"/>
  <c r="Z556" i="2" s="1"/>
  <c r="Z560" i="2" s="1"/>
  <c r="Z522" i="2"/>
  <c r="L850" i="2"/>
  <c r="K582" i="2"/>
  <c r="C18" i="4" s="1"/>
  <c r="D18" i="4" s="1"/>
  <c r="F18" i="4" s="1"/>
  <c r="K850" i="2"/>
  <c r="M850" i="2"/>
  <c r="M501" i="2"/>
  <c r="L490" i="2"/>
  <c r="T682" i="2"/>
  <c r="T683" i="2" s="1"/>
  <c r="T684" i="2" s="1"/>
  <c r="U675" i="2"/>
  <c r="U676" i="2" s="1"/>
  <c r="P35" i="2"/>
  <c r="V681" i="2"/>
  <c r="V682" i="2" s="1"/>
  <c r="W682" i="2"/>
  <c r="W683" i="2" s="1"/>
  <c r="P150" i="2"/>
  <c r="S680" i="2"/>
  <c r="P680" i="2"/>
  <c r="P681" i="2" s="1"/>
  <c r="X681" i="2"/>
  <c r="R683" i="2"/>
  <c r="Q677" i="2"/>
  <c r="Q678" i="2" s="1"/>
  <c r="P93" i="2"/>
  <c r="L860" i="2"/>
  <c r="Y501" i="2"/>
  <c r="AD880" i="2"/>
  <c r="AD881" i="2" s="1"/>
  <c r="AD885" i="2"/>
  <c r="AD886" i="2" s="1"/>
  <c r="Y885" i="2"/>
  <c r="Y886" i="2" s="1"/>
  <c r="Y880" i="2"/>
  <c r="Y899" i="2"/>
  <c r="Y915" i="2"/>
  <c r="Y917" i="2" s="1"/>
  <c r="Z501" i="2"/>
  <c r="Z490" i="2"/>
  <c r="O884" i="2" l="1"/>
  <c r="O886" i="2" s="1"/>
  <c r="O902" i="2"/>
  <c r="O879" i="2"/>
  <c r="O881" i="2" s="1"/>
  <c r="O897" i="2"/>
  <c r="Y881" i="2"/>
  <c r="AC885" i="2"/>
  <c r="AC886" i="2" s="1"/>
  <c r="AB880" i="2"/>
  <c r="AB881" i="2" s="1"/>
  <c r="AA880" i="2"/>
  <c r="AA881" i="2" s="1"/>
  <c r="C20" i="4"/>
  <c r="D20" i="4" s="1"/>
  <c r="L849" i="2"/>
  <c r="L851" i="2" s="1"/>
  <c r="L858" i="2"/>
  <c r="L897" i="2" s="1"/>
  <c r="L899" i="2" s="1"/>
  <c r="M849" i="2"/>
  <c r="M851" i="2" s="1"/>
  <c r="M858" i="2"/>
  <c r="M897" i="2" s="1"/>
  <c r="K849" i="2"/>
  <c r="K851" i="2" s="1"/>
  <c r="K858" i="2"/>
  <c r="K879" i="2" s="1"/>
  <c r="G18" i="4"/>
  <c r="K550" i="2"/>
  <c r="L859" i="2"/>
  <c r="L884" i="2" s="1"/>
  <c r="L550" i="2"/>
  <c r="K834" i="2"/>
  <c r="M859" i="2"/>
  <c r="M902" i="2" s="1"/>
  <c r="M920" i="2" s="1"/>
  <c r="M922" i="2" s="1"/>
  <c r="G24" i="14" s="1"/>
  <c r="L834" i="2"/>
  <c r="K584" i="2"/>
  <c r="K592" i="2" s="1"/>
  <c r="M834" i="2"/>
  <c r="K859" i="2"/>
  <c r="K902" i="2" s="1"/>
  <c r="K920" i="2" s="1"/>
  <c r="K922" i="2" s="1"/>
  <c r="G20" i="14" s="1"/>
  <c r="L582" i="2"/>
  <c r="C19" i="4" s="1"/>
  <c r="D19" i="4" s="1"/>
  <c r="F19" i="4" s="1"/>
  <c r="M550" i="2"/>
  <c r="M584" i="2"/>
  <c r="M588" i="2" s="1"/>
  <c r="S681" i="2"/>
  <c r="S682" i="2" s="1"/>
  <c r="Q679" i="2"/>
  <c r="Q680" i="2" s="1"/>
  <c r="Q33" i="2"/>
  <c r="Q91" i="2"/>
  <c r="Q148" i="2"/>
  <c r="W684" i="2"/>
  <c r="W685" i="2" s="1"/>
  <c r="R684" i="2"/>
  <c r="R685" i="2" s="1"/>
  <c r="T685" i="2"/>
  <c r="T686" i="2" s="1"/>
  <c r="V683" i="2"/>
  <c r="T319" i="2"/>
  <c r="T321" i="2" s="1"/>
  <c r="T433" i="2"/>
  <c r="T435" i="2" s="1"/>
  <c r="T376" i="2"/>
  <c r="T378" i="2" s="1"/>
  <c r="T262" i="2"/>
  <c r="T264" i="2" s="1"/>
  <c r="T205" i="2"/>
  <c r="T207" i="2" s="1"/>
  <c r="P682" i="2"/>
  <c r="P683" i="2" s="1"/>
  <c r="U677" i="2"/>
  <c r="X682" i="2"/>
  <c r="Z885" i="2"/>
  <c r="Z886" i="2" s="1"/>
  <c r="Z880" i="2"/>
  <c r="Z881" i="2" s="1"/>
  <c r="O915" i="2" l="1"/>
  <c r="O917" i="2" s="1"/>
  <c r="O899" i="2"/>
  <c r="O920" i="2"/>
  <c r="O922" i="2" s="1"/>
  <c r="O904" i="2"/>
  <c r="M562" i="2"/>
  <c r="L562" i="2"/>
  <c r="K562" i="2"/>
  <c r="G20" i="4"/>
  <c r="F20" i="4"/>
  <c r="K588" i="2"/>
  <c r="M904" i="2"/>
  <c r="L560" i="2"/>
  <c r="L556" i="2"/>
  <c r="L880" i="2" s="1"/>
  <c r="M884" i="2"/>
  <c r="L879" i="2"/>
  <c r="K560" i="2"/>
  <c r="K884" i="2"/>
  <c r="K897" i="2"/>
  <c r="K899" i="2" s="1"/>
  <c r="K556" i="2"/>
  <c r="K904" i="2"/>
  <c r="L902" i="2"/>
  <c r="L904" i="2" s="1"/>
  <c r="M879" i="2"/>
  <c r="L915" i="2"/>
  <c r="L917" i="2" s="1"/>
  <c r="G19" i="4"/>
  <c r="L584" i="2"/>
  <c r="L588" i="2" s="1"/>
  <c r="M560" i="2"/>
  <c r="M556" i="2"/>
  <c r="M880" i="2" s="1"/>
  <c r="M592" i="2"/>
  <c r="Q150" i="2"/>
  <c r="Q35" i="2"/>
  <c r="Q93" i="2"/>
  <c r="U33" i="2"/>
  <c r="U35" i="2" s="1"/>
  <c r="U91" i="2"/>
  <c r="U93" i="2" s="1"/>
  <c r="U148" i="2"/>
  <c r="U150" i="2" s="1"/>
  <c r="Q681" i="2"/>
  <c r="Q682" i="2" s="1"/>
  <c r="S683" i="2"/>
  <c r="S684" i="2" s="1"/>
  <c r="W686" i="2"/>
  <c r="W319" i="2"/>
  <c r="W321" i="2" s="1"/>
  <c r="W433" i="2"/>
  <c r="W435" i="2" s="1"/>
  <c r="W376" i="2"/>
  <c r="W378" i="2" s="1"/>
  <c r="W262" i="2"/>
  <c r="W264" i="2" s="1"/>
  <c r="W205" i="2"/>
  <c r="W207" i="2" s="1"/>
  <c r="X683" i="2"/>
  <c r="X684" i="2" s="1"/>
  <c r="P684" i="2"/>
  <c r="U678" i="2"/>
  <c r="T687" i="2"/>
  <c r="T688" i="2" s="1"/>
  <c r="V684" i="2"/>
  <c r="V685" i="2" s="1"/>
  <c r="R686" i="2"/>
  <c r="R319" i="2"/>
  <c r="R321" i="2" s="1"/>
  <c r="R433" i="2"/>
  <c r="R435" i="2" s="1"/>
  <c r="R205" i="2"/>
  <c r="R207" i="2" s="1"/>
  <c r="R376" i="2"/>
  <c r="R378" i="2" s="1"/>
  <c r="R262" i="2"/>
  <c r="R264" i="2" s="1"/>
  <c r="M915" i="2"/>
  <c r="M917" i="2" s="1"/>
  <c r="M899" i="2"/>
  <c r="K915" i="2" l="1"/>
  <c r="K917" i="2" s="1"/>
  <c r="K880" i="2"/>
  <c r="K881" i="2" s="1"/>
  <c r="L881" i="2"/>
  <c r="M881" i="2"/>
  <c r="L885" i="2"/>
  <c r="L886" i="2" s="1"/>
  <c r="L920" i="2"/>
  <c r="L922" i="2" s="1"/>
  <c r="G22" i="14" s="1"/>
  <c r="K885" i="2"/>
  <c r="K886" i="2" s="1"/>
  <c r="L592" i="2"/>
  <c r="M885" i="2"/>
  <c r="M886" i="2" s="1"/>
  <c r="P319" i="2"/>
  <c r="P433" i="2"/>
  <c r="P262" i="2"/>
  <c r="P376" i="2"/>
  <c r="P205" i="2"/>
  <c r="P685" i="2"/>
  <c r="P686" i="2" s="1"/>
  <c r="V686" i="2"/>
  <c r="V687" i="2" s="1"/>
  <c r="V319" i="2"/>
  <c r="V321" i="2" s="1"/>
  <c r="V433" i="2"/>
  <c r="V435" i="2" s="1"/>
  <c r="V205" i="2"/>
  <c r="V207" i="2" s="1"/>
  <c r="V376" i="2"/>
  <c r="V378" i="2" s="1"/>
  <c r="V262" i="2"/>
  <c r="V264" i="2" s="1"/>
  <c r="R687" i="2"/>
  <c r="T689" i="2"/>
  <c r="X685" i="2"/>
  <c r="S685" i="2"/>
  <c r="S686" i="2" s="1"/>
  <c r="X319" i="2"/>
  <c r="X321" i="2" s="1"/>
  <c r="X433" i="2"/>
  <c r="X435" i="2" s="1"/>
  <c r="X262" i="2"/>
  <c r="X264" i="2" s="1"/>
  <c r="X205" i="2"/>
  <c r="X207" i="2" s="1"/>
  <c r="X376" i="2"/>
  <c r="X378" i="2" s="1"/>
  <c r="S319" i="2"/>
  <c r="S321" i="2" s="1"/>
  <c r="S433" i="2"/>
  <c r="S435" i="2" s="1"/>
  <c r="S205" i="2"/>
  <c r="S207" i="2" s="1"/>
  <c r="S262" i="2"/>
  <c r="S264" i="2" s="1"/>
  <c r="S376" i="2"/>
  <c r="S378" i="2" s="1"/>
  <c r="Q683" i="2"/>
  <c r="U679" i="2"/>
  <c r="U680" i="2" s="1"/>
  <c r="W687" i="2"/>
  <c r="P264" i="2" l="1"/>
  <c r="S687" i="2"/>
  <c r="P435" i="2"/>
  <c r="P321" i="2"/>
  <c r="U681" i="2"/>
  <c r="Q684" i="2"/>
  <c r="Q685" i="2" s="1"/>
  <c r="V688" i="2"/>
  <c r="V689" i="2" s="1"/>
  <c r="P687" i="2"/>
  <c r="P688" i="2" s="1"/>
  <c r="R688" i="2"/>
  <c r="X686" i="2"/>
  <c r="W688" i="2"/>
  <c r="W689" i="2" s="1"/>
  <c r="P207" i="2"/>
  <c r="T690" i="2"/>
  <c r="T691" i="2" s="1"/>
  <c r="P378" i="2"/>
  <c r="T38" i="2" l="1"/>
  <c r="T40" i="2" s="1"/>
  <c r="T96" i="2"/>
  <c r="T98" i="2" s="1"/>
  <c r="T153" i="2"/>
  <c r="T155" i="2" s="1"/>
  <c r="AG681" i="2"/>
  <c r="AH681" i="2" s="1"/>
  <c r="P689" i="2"/>
  <c r="P690" i="2" s="1"/>
  <c r="T692" i="2"/>
  <c r="T693" i="2" s="1"/>
  <c r="V690" i="2"/>
  <c r="V691" i="2" s="1"/>
  <c r="R689" i="2"/>
  <c r="R690" i="2" s="1"/>
  <c r="S688" i="2"/>
  <c r="Q686" i="2"/>
  <c r="Q319" i="2"/>
  <c r="Q433" i="2"/>
  <c r="Q376" i="2"/>
  <c r="Q262" i="2"/>
  <c r="Q205" i="2"/>
  <c r="X687" i="2"/>
  <c r="U682" i="2"/>
  <c r="U683" i="2" s="1"/>
  <c r="W690" i="2"/>
  <c r="W691" i="2" s="1"/>
  <c r="V38" i="2" l="1"/>
  <c r="V40" i="2" s="1"/>
  <c r="V96" i="2"/>
  <c r="V98" i="2" s="1"/>
  <c r="V153" i="2"/>
  <c r="V155" i="2" s="1"/>
  <c r="Q321" i="2"/>
  <c r="U684" i="2"/>
  <c r="U685" i="2" s="1"/>
  <c r="T694" i="2"/>
  <c r="T695" i="2" s="1"/>
  <c r="Q435" i="2"/>
  <c r="Q378" i="2"/>
  <c r="X688" i="2"/>
  <c r="X689" i="2" s="1"/>
  <c r="P691" i="2"/>
  <c r="P692" i="2" s="1"/>
  <c r="Q687" i="2"/>
  <c r="Q688" i="2" s="1"/>
  <c r="Q207" i="2"/>
  <c r="Q264" i="2"/>
  <c r="R691" i="2"/>
  <c r="W38" i="2"/>
  <c r="W40" i="2" s="1"/>
  <c r="W96" i="2"/>
  <c r="W98" i="2" s="1"/>
  <c r="W153" i="2"/>
  <c r="W155" i="2" s="1"/>
  <c r="W692" i="2"/>
  <c r="V692" i="2"/>
  <c r="S689" i="2"/>
  <c r="S690" i="2" s="1"/>
  <c r="W693" i="2" l="1"/>
  <c r="U686" i="2"/>
  <c r="U319" i="2"/>
  <c r="U433" i="2"/>
  <c r="U262" i="2"/>
  <c r="U205" i="2"/>
  <c r="U376" i="2"/>
  <c r="R38" i="2"/>
  <c r="R40" i="2" s="1"/>
  <c r="R96" i="2"/>
  <c r="R98" i="2" s="1"/>
  <c r="R153" i="2"/>
  <c r="R155" i="2" s="1"/>
  <c r="P693" i="2"/>
  <c r="P38" i="2"/>
  <c r="P96" i="2"/>
  <c r="P153" i="2"/>
  <c r="T696" i="2"/>
  <c r="S691" i="2"/>
  <c r="S692" i="2" s="1"/>
  <c r="X690" i="2"/>
  <c r="V693" i="2"/>
  <c r="V694" i="2" s="1"/>
  <c r="Q689" i="2"/>
  <c r="R692" i="2"/>
  <c r="U207" i="2" l="1"/>
  <c r="U264" i="2"/>
  <c r="U435" i="2"/>
  <c r="U321" i="2"/>
  <c r="X691" i="2"/>
  <c r="P694" i="2"/>
  <c r="P695" i="2" s="1"/>
  <c r="S693" i="2"/>
  <c r="S38" i="2"/>
  <c r="S40" i="2" s="1"/>
  <c r="S96" i="2"/>
  <c r="S98" i="2" s="1"/>
  <c r="S153" i="2"/>
  <c r="S155" i="2" s="1"/>
  <c r="V695" i="2"/>
  <c r="P155" i="2"/>
  <c r="R693" i="2"/>
  <c r="P98" i="2"/>
  <c r="U687" i="2"/>
  <c r="U688" i="2" s="1"/>
  <c r="Q690" i="2"/>
  <c r="Q691" i="2" s="1"/>
  <c r="P40" i="2"/>
  <c r="U378" i="2"/>
  <c r="W694" i="2"/>
  <c r="W695" i="2" s="1"/>
  <c r="T697" i="2"/>
  <c r="T698" i="2" s="1"/>
  <c r="AG688" i="2" l="1"/>
  <c r="AH688" i="2" s="1"/>
  <c r="T324" i="2"/>
  <c r="T326" i="2" s="1"/>
  <c r="T438" i="2"/>
  <c r="T440" i="2" s="1"/>
  <c r="T381" i="2"/>
  <c r="T383" i="2" s="1"/>
  <c r="T210" i="2"/>
  <c r="T212" i="2" s="1"/>
  <c r="T267" i="2"/>
  <c r="T269" i="2" s="1"/>
  <c r="Q38" i="2"/>
  <c r="Q96" i="2"/>
  <c r="Q153" i="2"/>
  <c r="X38" i="2"/>
  <c r="X40" i="2" s="1"/>
  <c r="X96" i="2"/>
  <c r="X98" i="2" s="1"/>
  <c r="X153" i="2"/>
  <c r="X155" i="2" s="1"/>
  <c r="T699" i="2"/>
  <c r="T700" i="2" s="1"/>
  <c r="X692" i="2"/>
  <c r="P696" i="2"/>
  <c r="W696" i="2"/>
  <c r="W697" i="2" s="1"/>
  <c r="Q692" i="2"/>
  <c r="S694" i="2"/>
  <c r="U689" i="2"/>
  <c r="U690" i="2" s="1"/>
  <c r="R694" i="2"/>
  <c r="R695" i="2" s="1"/>
  <c r="V696" i="2"/>
  <c r="V697" i="2" s="1"/>
  <c r="S695" i="2" l="1"/>
  <c r="S696" i="2" s="1"/>
  <c r="Q98" i="2"/>
  <c r="Q155" i="2"/>
  <c r="T701" i="2"/>
  <c r="Q40" i="2"/>
  <c r="V698" i="2"/>
  <c r="Q693" i="2"/>
  <c r="Q694" i="2" s="1"/>
  <c r="R696" i="2"/>
  <c r="R697" i="2" s="1"/>
  <c r="U691" i="2"/>
  <c r="W698" i="2"/>
  <c r="X693" i="2"/>
  <c r="X694" i="2" s="1"/>
  <c r="P697" i="2"/>
  <c r="P698" i="2" s="1"/>
  <c r="P324" i="2" l="1"/>
  <c r="P438" i="2"/>
  <c r="P381" i="2"/>
  <c r="P210" i="2"/>
  <c r="P267" i="2"/>
  <c r="W324" i="2"/>
  <c r="W326" i="2" s="1"/>
  <c r="W438" i="2"/>
  <c r="W440" i="2" s="1"/>
  <c r="W210" i="2"/>
  <c r="W212" i="2" s="1"/>
  <c r="W381" i="2"/>
  <c r="W383" i="2" s="1"/>
  <c r="W267" i="2"/>
  <c r="W269" i="2" s="1"/>
  <c r="U38" i="2"/>
  <c r="U96" i="2"/>
  <c r="U153" i="2"/>
  <c r="U692" i="2"/>
  <c r="T702" i="2"/>
  <c r="T703" i="2" s="1"/>
  <c r="Q695" i="2"/>
  <c r="R698" i="2"/>
  <c r="V324" i="2"/>
  <c r="V326" i="2" s="1"/>
  <c r="V438" i="2"/>
  <c r="V440" i="2" s="1"/>
  <c r="V210" i="2"/>
  <c r="V212" i="2" s="1"/>
  <c r="V381" i="2"/>
  <c r="V383" i="2" s="1"/>
  <c r="V267" i="2"/>
  <c r="V269" i="2" s="1"/>
  <c r="V699" i="2"/>
  <c r="V700" i="2" s="1"/>
  <c r="P699" i="2"/>
  <c r="X695" i="2"/>
  <c r="S697" i="2"/>
  <c r="W699" i="2"/>
  <c r="W700" i="2" s="1"/>
  <c r="P212" i="2" l="1"/>
  <c r="P383" i="2"/>
  <c r="P440" i="2"/>
  <c r="P326" i="2"/>
  <c r="U155" i="2"/>
  <c r="U98" i="2"/>
  <c r="U40" i="2"/>
  <c r="P700" i="2"/>
  <c r="X696" i="2"/>
  <c r="X697" i="2" s="1"/>
  <c r="V701" i="2"/>
  <c r="V702" i="2" s="1"/>
  <c r="R324" i="2"/>
  <c r="R326" i="2" s="1"/>
  <c r="R438" i="2"/>
  <c r="R440" i="2" s="1"/>
  <c r="R381" i="2"/>
  <c r="R383" i="2" s="1"/>
  <c r="R210" i="2"/>
  <c r="R212" i="2" s="1"/>
  <c r="R267" i="2"/>
  <c r="R269" i="2" s="1"/>
  <c r="W701" i="2"/>
  <c r="T704" i="2"/>
  <c r="U693" i="2"/>
  <c r="U694" i="2" s="1"/>
  <c r="Q696" i="2"/>
  <c r="S698" i="2"/>
  <c r="P269" i="2"/>
  <c r="R699" i="2"/>
  <c r="X698" i="2" l="1"/>
  <c r="S324" i="2"/>
  <c r="S326" i="2" s="1"/>
  <c r="S438" i="2"/>
  <c r="S440" i="2" s="1"/>
  <c r="S210" i="2"/>
  <c r="S212" i="2" s="1"/>
  <c r="S381" i="2"/>
  <c r="S383" i="2" s="1"/>
  <c r="S267" i="2"/>
  <c r="S269" i="2" s="1"/>
  <c r="U695" i="2"/>
  <c r="U696" i="2" s="1"/>
  <c r="P701" i="2"/>
  <c r="R700" i="2"/>
  <c r="R701" i="2" s="1"/>
  <c r="S699" i="2"/>
  <c r="V703" i="2"/>
  <c r="V704" i="2" s="1"/>
  <c r="Q697" i="2"/>
  <c r="T705" i="2"/>
  <c r="T706" i="2" s="1"/>
  <c r="W702" i="2"/>
  <c r="X324" i="2" l="1"/>
  <c r="X326" i="2" s="1"/>
  <c r="X438" i="2"/>
  <c r="X440" i="2" s="1"/>
  <c r="X381" i="2"/>
  <c r="X383" i="2" s="1"/>
  <c r="X210" i="2"/>
  <c r="X212" i="2" s="1"/>
  <c r="X267" i="2"/>
  <c r="X269" i="2" s="1"/>
  <c r="P702" i="2"/>
  <c r="W703" i="2"/>
  <c r="W704" i="2" s="1"/>
  <c r="T707" i="2"/>
  <c r="T25" i="2"/>
  <c r="T59" i="2" s="1"/>
  <c r="T553" i="2" s="1"/>
  <c r="T311" i="2"/>
  <c r="T345" i="2" s="1"/>
  <c r="T83" i="2"/>
  <c r="T117" i="2" s="1"/>
  <c r="T140" i="2"/>
  <c r="U697" i="2"/>
  <c r="AG695" i="2"/>
  <c r="AH695" i="2" s="1"/>
  <c r="V705" i="2"/>
  <c r="V706" i="2" s="1"/>
  <c r="R702" i="2"/>
  <c r="Q698" i="2"/>
  <c r="S700" i="2"/>
  <c r="X699" i="2"/>
  <c r="T480" i="2" l="1"/>
  <c r="T540" i="2"/>
  <c r="Q324" i="2"/>
  <c r="Q438" i="2"/>
  <c r="Q381" i="2"/>
  <c r="Q210" i="2"/>
  <c r="Q267" i="2"/>
  <c r="P703" i="2"/>
  <c r="T838" i="2"/>
  <c r="T174" i="2"/>
  <c r="Q699" i="2"/>
  <c r="U698" i="2"/>
  <c r="U699" i="2" s="1"/>
  <c r="R703" i="2"/>
  <c r="R704" i="2" s="1"/>
  <c r="S701" i="2"/>
  <c r="S702" i="2" s="1"/>
  <c r="V707" i="2"/>
  <c r="V708" i="2" s="1"/>
  <c r="V25" i="2"/>
  <c r="V59" i="2" s="1"/>
  <c r="V553" i="2" s="1"/>
  <c r="V311" i="2"/>
  <c r="V345" i="2" s="1"/>
  <c r="V83" i="2"/>
  <c r="V117" i="2" s="1"/>
  <c r="V140" i="2"/>
  <c r="W705" i="2"/>
  <c r="X700" i="2"/>
  <c r="X701" i="2" s="1"/>
  <c r="T708" i="2"/>
  <c r="V480" i="2" l="1"/>
  <c r="V540" i="2"/>
  <c r="U700" i="2"/>
  <c r="U324" i="2"/>
  <c r="U326" i="2" s="1"/>
  <c r="U438" i="2"/>
  <c r="U440" i="2" s="1"/>
  <c r="U210" i="2"/>
  <c r="U212" i="2" s="1"/>
  <c r="U381" i="2"/>
  <c r="U383" i="2" s="1"/>
  <c r="U267" i="2"/>
  <c r="U269" i="2" s="1"/>
  <c r="T709" i="2"/>
  <c r="T710" i="2" s="1"/>
  <c r="T488" i="2"/>
  <c r="T552" i="2" s="1"/>
  <c r="T554" i="2" s="1"/>
  <c r="T473" i="2"/>
  <c r="T474" i="2"/>
  <c r="T472" i="2"/>
  <c r="X702" i="2"/>
  <c r="S703" i="2"/>
  <c r="S704" i="2" s="1"/>
  <c r="T864" i="2"/>
  <c r="T916" i="2"/>
  <c r="T840" i="2"/>
  <c r="T898" i="2"/>
  <c r="Q269" i="2"/>
  <c r="Q212" i="2"/>
  <c r="Q383" i="2"/>
  <c r="V838" i="2"/>
  <c r="V174" i="2"/>
  <c r="Q440" i="2"/>
  <c r="W25" i="2"/>
  <c r="W59" i="2" s="1"/>
  <c r="W553" i="2" s="1"/>
  <c r="W311" i="2"/>
  <c r="W345" i="2" s="1"/>
  <c r="W83" i="2"/>
  <c r="W117" i="2" s="1"/>
  <c r="W140" i="2"/>
  <c r="R705" i="2"/>
  <c r="W706" i="2"/>
  <c r="W707" i="2" s="1"/>
  <c r="Q326" i="2"/>
  <c r="P704" i="2"/>
  <c r="V709" i="2"/>
  <c r="Q700" i="2"/>
  <c r="Q701" i="2" s="1"/>
  <c r="W480" i="2" l="1"/>
  <c r="W540" i="2"/>
  <c r="W838" i="2"/>
  <c r="W174" i="2"/>
  <c r="V840" i="2"/>
  <c r="V916" i="2"/>
  <c r="V864" i="2"/>
  <c r="V898" i="2"/>
  <c r="V710" i="2"/>
  <c r="W708" i="2"/>
  <c r="W709" i="2" s="1"/>
  <c r="T711" i="2"/>
  <c r="Q702" i="2"/>
  <c r="Q703" i="2" s="1"/>
  <c r="AG700" i="2"/>
  <c r="AH700" i="2" s="1"/>
  <c r="S705" i="2"/>
  <c r="S706" i="2" s="1"/>
  <c r="U701" i="2"/>
  <c r="R25" i="2"/>
  <c r="R59" i="2" s="1"/>
  <c r="R553" i="2" s="1"/>
  <c r="R311" i="2"/>
  <c r="R345" i="2" s="1"/>
  <c r="R83" i="2"/>
  <c r="R117" i="2" s="1"/>
  <c r="R140" i="2"/>
  <c r="V488" i="2"/>
  <c r="V552" i="2" s="1"/>
  <c r="V554" i="2" s="1"/>
  <c r="V474" i="2"/>
  <c r="V472" i="2"/>
  <c r="V473" i="2"/>
  <c r="P705" i="2"/>
  <c r="X703" i="2"/>
  <c r="R706" i="2"/>
  <c r="R480" i="2" l="1"/>
  <c r="R540" i="2"/>
  <c r="P25" i="2"/>
  <c r="P311" i="2"/>
  <c r="P83" i="2"/>
  <c r="P140" i="2"/>
  <c r="X704" i="2"/>
  <c r="X705" i="2" s="1"/>
  <c r="W710" i="2"/>
  <c r="R838" i="2"/>
  <c r="R174" i="2"/>
  <c r="Q704" i="2"/>
  <c r="W488" i="2"/>
  <c r="W552" i="2" s="1"/>
  <c r="W554" i="2" s="1"/>
  <c r="W474" i="2"/>
  <c r="W473" i="2"/>
  <c r="W472" i="2"/>
  <c r="P706" i="2"/>
  <c r="W864" i="2"/>
  <c r="W840" i="2"/>
  <c r="W916" i="2"/>
  <c r="W898" i="2"/>
  <c r="R707" i="2"/>
  <c r="S707" i="2"/>
  <c r="S25" i="2"/>
  <c r="S59" i="2" s="1"/>
  <c r="S553" i="2" s="1"/>
  <c r="S311" i="2"/>
  <c r="S345" i="2" s="1"/>
  <c r="S83" i="2"/>
  <c r="S117" i="2" s="1"/>
  <c r="S140" i="2"/>
  <c r="U702" i="2"/>
  <c r="U703" i="2" s="1"/>
  <c r="AG703" i="2" s="1"/>
  <c r="AH703" i="2" s="1"/>
  <c r="V711" i="2"/>
  <c r="V712" i="2" s="1"/>
  <c r="T712" i="2"/>
  <c r="S480" i="2" l="1"/>
  <c r="S540" i="2"/>
  <c r="X25" i="2"/>
  <c r="X59" i="2" s="1"/>
  <c r="X553" i="2" s="1"/>
  <c r="X311" i="2"/>
  <c r="X345" i="2" s="1"/>
  <c r="X83" i="2"/>
  <c r="X117" i="2" s="1"/>
  <c r="X140" i="2"/>
  <c r="P838" i="2"/>
  <c r="P174" i="2"/>
  <c r="P117" i="2"/>
  <c r="P345" i="2"/>
  <c r="P540" i="2" s="1"/>
  <c r="P59" i="2"/>
  <c r="Q705" i="2"/>
  <c r="Q706" i="2" s="1"/>
  <c r="V425" i="2"/>
  <c r="V459" i="2" s="1"/>
  <c r="V482" i="2" s="1"/>
  <c r="V368" i="2"/>
  <c r="V402" i="2" s="1"/>
  <c r="V254" i="2"/>
  <c r="V288" i="2" s="1"/>
  <c r="V197" i="2"/>
  <c r="R474" i="2"/>
  <c r="R473" i="2"/>
  <c r="R472" i="2"/>
  <c r="R488" i="2"/>
  <c r="R552" i="2" s="1"/>
  <c r="R554" i="2" s="1"/>
  <c r="V713" i="2"/>
  <c r="V714" i="2" s="1"/>
  <c r="V471" i="2" s="1"/>
  <c r="V476" i="2" s="1"/>
  <c r="V509" i="2" s="1"/>
  <c r="R840" i="2"/>
  <c r="R916" i="2"/>
  <c r="R864" i="2"/>
  <c r="R898" i="2"/>
  <c r="U704" i="2"/>
  <c r="U705" i="2" s="1"/>
  <c r="S838" i="2"/>
  <c r="S174" i="2"/>
  <c r="S708" i="2"/>
  <c r="P707" i="2"/>
  <c r="P708" i="2" s="1"/>
  <c r="T425" i="2"/>
  <c r="T459" i="2" s="1"/>
  <c r="T482" i="2" s="1"/>
  <c r="T368" i="2"/>
  <c r="T402" i="2" s="1"/>
  <c r="T254" i="2"/>
  <c r="T288" i="2" s="1"/>
  <c r="T197" i="2"/>
  <c r="T713" i="2"/>
  <c r="T714" i="2" s="1"/>
  <c r="T471" i="2" s="1"/>
  <c r="T476" i="2" s="1"/>
  <c r="T509" i="2" s="1"/>
  <c r="R708" i="2"/>
  <c r="AG702" i="2"/>
  <c r="AH702" i="2" s="1"/>
  <c r="X706" i="2"/>
  <c r="W711" i="2"/>
  <c r="V532" i="2" l="1"/>
  <c r="V541" i="2"/>
  <c r="V542" i="2"/>
  <c r="X480" i="2"/>
  <c r="X540" i="2"/>
  <c r="T532" i="2"/>
  <c r="T541" i="2"/>
  <c r="T542" i="2"/>
  <c r="T481" i="2"/>
  <c r="T537" i="2"/>
  <c r="V481" i="2"/>
  <c r="V537" i="2"/>
  <c r="U25" i="2"/>
  <c r="U59" i="2" s="1"/>
  <c r="U553" i="2" s="1"/>
  <c r="U311" i="2"/>
  <c r="U345" i="2" s="1"/>
  <c r="U83" i="2"/>
  <c r="U117" i="2" s="1"/>
  <c r="U140" i="2"/>
  <c r="P488" i="2"/>
  <c r="P473" i="2"/>
  <c r="P474" i="2"/>
  <c r="P472" i="2"/>
  <c r="P916" i="2"/>
  <c r="P840" i="2"/>
  <c r="P864" i="2"/>
  <c r="P898" i="2"/>
  <c r="P709" i="2"/>
  <c r="P710" i="2" s="1"/>
  <c r="P553" i="2"/>
  <c r="T715" i="2"/>
  <c r="S488" i="2"/>
  <c r="S552" i="2" s="1"/>
  <c r="S554" i="2" s="1"/>
  <c r="S474" i="2"/>
  <c r="S473" i="2"/>
  <c r="S472" i="2"/>
  <c r="X838" i="2"/>
  <c r="X174" i="2"/>
  <c r="T231" i="2"/>
  <c r="T820" i="2"/>
  <c r="S916" i="2"/>
  <c r="S864" i="2"/>
  <c r="S840" i="2"/>
  <c r="S898" i="2"/>
  <c r="R709" i="2"/>
  <c r="P480" i="2"/>
  <c r="W712" i="2"/>
  <c r="W713" i="2" s="1"/>
  <c r="V715" i="2"/>
  <c r="S709" i="2"/>
  <c r="S710" i="2" s="1"/>
  <c r="U706" i="2"/>
  <c r="U707" i="2" s="1"/>
  <c r="Q707" i="2"/>
  <c r="Q708" i="2" s="1"/>
  <c r="Q25" i="2"/>
  <c r="Q311" i="2"/>
  <c r="Q83" i="2"/>
  <c r="Q140" i="2"/>
  <c r="AG705" i="2"/>
  <c r="AH705" i="2" s="1"/>
  <c r="V231" i="2"/>
  <c r="V820" i="2"/>
  <c r="AG704" i="2"/>
  <c r="AH704" i="2" s="1"/>
  <c r="X707" i="2"/>
  <c r="T822" i="2" l="1"/>
  <c r="V822" i="2"/>
  <c r="T539" i="2"/>
  <c r="T512" i="2"/>
  <c r="T515" i="2" s="1"/>
  <c r="V539" i="2"/>
  <c r="V512" i="2"/>
  <c r="V515" i="2" s="1"/>
  <c r="U480" i="2"/>
  <c r="U540" i="2"/>
  <c r="V544" i="2"/>
  <c r="V543" i="2"/>
  <c r="T543" i="2"/>
  <c r="T544" i="2"/>
  <c r="V847" i="2"/>
  <c r="V857" i="2"/>
  <c r="T857" i="2"/>
  <c r="T847" i="2"/>
  <c r="T836" i="2"/>
  <c r="T533" i="2"/>
  <c r="T535" i="2"/>
  <c r="V533" i="2"/>
  <c r="V535" i="2"/>
  <c r="Q838" i="2"/>
  <c r="Q174" i="2"/>
  <c r="AG140" i="2"/>
  <c r="AH140" i="2" s="1"/>
  <c r="W714" i="2"/>
  <c r="W425" i="2"/>
  <c r="W459" i="2" s="1"/>
  <c r="W482" i="2" s="1"/>
  <c r="W368" i="2"/>
  <c r="W402" i="2" s="1"/>
  <c r="W254" i="2"/>
  <c r="W288" i="2" s="1"/>
  <c r="W197" i="2"/>
  <c r="AG707" i="2"/>
  <c r="AH707" i="2" s="1"/>
  <c r="Q117" i="2"/>
  <c r="AG83" i="2"/>
  <c r="AH83" i="2" s="1"/>
  <c r="P711" i="2"/>
  <c r="Q345" i="2"/>
  <c r="Q540" i="2" s="1"/>
  <c r="AG311" i="2"/>
  <c r="AH311" i="2" s="1"/>
  <c r="T716" i="2"/>
  <c r="T717" i="2" s="1"/>
  <c r="U838" i="2"/>
  <c r="U174" i="2"/>
  <c r="Q59" i="2"/>
  <c r="AG25" i="2"/>
  <c r="AH25" i="2" s="1"/>
  <c r="T538" i="2"/>
  <c r="T545" i="2" s="1"/>
  <c r="T479" i="2"/>
  <c r="T484" i="2" s="1"/>
  <c r="X708" i="2"/>
  <c r="X709" i="2" s="1"/>
  <c r="V479" i="2"/>
  <c r="V484" i="2" s="1"/>
  <c r="V538" i="2"/>
  <c r="V545" i="2" s="1"/>
  <c r="Q709" i="2"/>
  <c r="X473" i="2"/>
  <c r="X488" i="2"/>
  <c r="X552" i="2" s="1"/>
  <c r="X554" i="2" s="1"/>
  <c r="X472" i="2"/>
  <c r="X474" i="2"/>
  <c r="U708" i="2"/>
  <c r="X840" i="2"/>
  <c r="X916" i="2"/>
  <c r="X864" i="2"/>
  <c r="X898" i="2"/>
  <c r="S711" i="2"/>
  <c r="R710" i="2"/>
  <c r="P552" i="2"/>
  <c r="V716" i="2"/>
  <c r="V717" i="2" s="1"/>
  <c r="V832" i="2" l="1"/>
  <c r="V858" i="2" s="1"/>
  <c r="T832" i="2"/>
  <c r="T858" i="2" s="1"/>
  <c r="T833" i="2"/>
  <c r="V833" i="2"/>
  <c r="W532" i="2"/>
  <c r="W542" i="2"/>
  <c r="W541" i="2"/>
  <c r="W481" i="2"/>
  <c r="W537" i="2"/>
  <c r="T894" i="2"/>
  <c r="T912" i="2"/>
  <c r="T876" i="2"/>
  <c r="V876" i="2"/>
  <c r="V894" i="2"/>
  <c r="V912" i="2"/>
  <c r="W715" i="2"/>
  <c r="W512" i="2" s="1"/>
  <c r="W471" i="2"/>
  <c r="W476" i="2" s="1"/>
  <c r="W509" i="2" s="1"/>
  <c r="T718" i="2"/>
  <c r="T719" i="2" s="1"/>
  <c r="Q480" i="2"/>
  <c r="R711" i="2"/>
  <c r="Q488" i="2"/>
  <c r="Q474" i="2"/>
  <c r="Q472" i="2"/>
  <c r="Q473" i="2"/>
  <c r="P554" i="2"/>
  <c r="Q553" i="2"/>
  <c r="V520" i="2"/>
  <c r="V486" i="2"/>
  <c r="U472" i="2"/>
  <c r="U473" i="2"/>
  <c r="U474" i="2"/>
  <c r="U488" i="2"/>
  <c r="U552" i="2" s="1"/>
  <c r="U554" i="2" s="1"/>
  <c r="V718" i="2"/>
  <c r="V719" i="2" s="1"/>
  <c r="Q916" i="2"/>
  <c r="Q840" i="2"/>
  <c r="Q864" i="2"/>
  <c r="Q898" i="2"/>
  <c r="W231" i="2"/>
  <c r="Q710" i="2"/>
  <c r="S712" i="2"/>
  <c r="S713" i="2" s="1"/>
  <c r="U709" i="2"/>
  <c r="U710" i="2" s="1"/>
  <c r="X710" i="2"/>
  <c r="X711" i="2" s="1"/>
  <c r="T520" i="2"/>
  <c r="T486" i="2"/>
  <c r="U916" i="2"/>
  <c r="U864" i="2"/>
  <c r="U840" i="2"/>
  <c r="U898" i="2"/>
  <c r="P712" i="2"/>
  <c r="V849" i="2" l="1"/>
  <c r="V851" i="2" s="1"/>
  <c r="T849" i="2"/>
  <c r="T851" i="2" s="1"/>
  <c r="V859" i="2"/>
  <c r="V850" i="2"/>
  <c r="T859" i="2"/>
  <c r="T850" i="2"/>
  <c r="V879" i="2"/>
  <c r="V897" i="2"/>
  <c r="T879" i="2"/>
  <c r="T897" i="2"/>
  <c r="T547" i="2"/>
  <c r="T550" i="2" s="1"/>
  <c r="T556" i="2" s="1"/>
  <c r="T522" i="2"/>
  <c r="V547" i="2"/>
  <c r="V550" i="2" s="1"/>
  <c r="V560" i="2" s="1"/>
  <c r="V522" i="2"/>
  <c r="W515" i="2"/>
  <c r="W716" i="2"/>
  <c r="W717" i="2" s="1"/>
  <c r="W718" i="2" s="1"/>
  <c r="W539" i="2"/>
  <c r="W544" i="2"/>
  <c r="W543" i="2"/>
  <c r="W847" i="2"/>
  <c r="W857" i="2"/>
  <c r="W533" i="2"/>
  <c r="W535" i="2"/>
  <c r="W820" i="2"/>
  <c r="Q552" i="2"/>
  <c r="P425" i="2"/>
  <c r="P254" i="2"/>
  <c r="P368" i="2"/>
  <c r="P197" i="2"/>
  <c r="AG710" i="2"/>
  <c r="AH710" i="2" s="1"/>
  <c r="W479" i="2"/>
  <c r="W484" i="2" s="1"/>
  <c r="W538" i="2"/>
  <c r="W545" i="2" s="1"/>
  <c r="V501" i="2"/>
  <c r="V490" i="2"/>
  <c r="T490" i="2"/>
  <c r="T501" i="2"/>
  <c r="Q711" i="2"/>
  <c r="Q712" i="2" s="1"/>
  <c r="P713" i="2"/>
  <c r="X712" i="2"/>
  <c r="U711" i="2"/>
  <c r="AG709" i="2"/>
  <c r="AH709" i="2" s="1"/>
  <c r="V720" i="2"/>
  <c r="R712" i="2"/>
  <c r="S714" i="2"/>
  <c r="S471" i="2" s="1"/>
  <c r="S476" i="2" s="1"/>
  <c r="S509" i="2" s="1"/>
  <c r="S425" i="2"/>
  <c r="S459" i="2" s="1"/>
  <c r="S482" i="2" s="1"/>
  <c r="S254" i="2"/>
  <c r="S288" i="2" s="1"/>
  <c r="S368" i="2"/>
  <c r="S402" i="2" s="1"/>
  <c r="S197" i="2"/>
  <c r="T720" i="2"/>
  <c r="V915" i="2" l="1"/>
  <c r="V917" i="2" s="1"/>
  <c r="V899" i="2"/>
  <c r="T915" i="2"/>
  <c r="T917" i="2" s="1"/>
  <c r="T899" i="2"/>
  <c r="T884" i="2"/>
  <c r="T902" i="2"/>
  <c r="W822" i="2"/>
  <c r="W832" i="2"/>
  <c r="W833" i="2"/>
  <c r="V884" i="2"/>
  <c r="V902" i="2"/>
  <c r="V556" i="2"/>
  <c r="V880" i="2" s="1"/>
  <c r="V881" i="2" s="1"/>
  <c r="T560" i="2"/>
  <c r="S532" i="2"/>
  <c r="S542" i="2"/>
  <c r="S541" i="2"/>
  <c r="S481" i="2"/>
  <c r="S537" i="2"/>
  <c r="W894" i="2"/>
  <c r="W876" i="2"/>
  <c r="W912" i="2"/>
  <c r="Q425" i="2"/>
  <c r="Q459" i="2" s="1"/>
  <c r="Q482" i="2" s="1"/>
  <c r="Q254" i="2"/>
  <c r="Q288" i="2" s="1"/>
  <c r="Q368" i="2"/>
  <c r="Q402" i="2" s="1"/>
  <c r="Q197" i="2"/>
  <c r="Q554" i="2"/>
  <c r="P231" i="2"/>
  <c r="P402" i="2"/>
  <c r="P537" i="2" s="1"/>
  <c r="P288" i="2"/>
  <c r="P459" i="2"/>
  <c r="T885" i="2"/>
  <c r="T886" i="2" s="1"/>
  <c r="T880" i="2"/>
  <c r="T881" i="2" s="1"/>
  <c r="W520" i="2"/>
  <c r="W486" i="2"/>
  <c r="X425" i="2"/>
  <c r="X459" i="2" s="1"/>
  <c r="X482" i="2" s="1"/>
  <c r="X254" i="2"/>
  <c r="X288" i="2" s="1"/>
  <c r="X368" i="2"/>
  <c r="X402" i="2" s="1"/>
  <c r="X197" i="2"/>
  <c r="Q713" i="2"/>
  <c r="AG711" i="2"/>
  <c r="AH711" i="2" s="1"/>
  <c r="V721" i="2"/>
  <c r="V722" i="2" s="1"/>
  <c r="U712" i="2"/>
  <c r="AG712" i="2" s="1"/>
  <c r="AH712" i="2" s="1"/>
  <c r="R425" i="2"/>
  <c r="R459" i="2" s="1"/>
  <c r="R482" i="2" s="1"/>
  <c r="R254" i="2"/>
  <c r="R288" i="2" s="1"/>
  <c r="R368" i="2"/>
  <c r="R402" i="2" s="1"/>
  <c r="R197" i="2"/>
  <c r="S231" i="2"/>
  <c r="S820" i="2"/>
  <c r="T721" i="2"/>
  <c r="P714" i="2"/>
  <c r="S715" i="2"/>
  <c r="W719" i="2"/>
  <c r="R713" i="2"/>
  <c r="R714" i="2" s="1"/>
  <c r="R471" i="2" s="1"/>
  <c r="R476" i="2" s="1"/>
  <c r="R509" i="2" s="1"/>
  <c r="X713" i="2"/>
  <c r="X714" i="2" s="1"/>
  <c r="X471" i="2" s="1"/>
  <c r="X476" i="2" s="1"/>
  <c r="X509" i="2" s="1"/>
  <c r="T920" i="2" l="1"/>
  <c r="T922" i="2" s="1"/>
  <c r="T904" i="2"/>
  <c r="V920" i="2"/>
  <c r="V922" i="2" s="1"/>
  <c r="V904" i="2"/>
  <c r="W858" i="2"/>
  <c r="W849" i="2"/>
  <c r="W851" i="2" s="1"/>
  <c r="S822" i="2"/>
  <c r="W859" i="2"/>
  <c r="W850" i="2"/>
  <c r="V885" i="2"/>
  <c r="V886" i="2" s="1"/>
  <c r="W547" i="2"/>
  <c r="W550" i="2" s="1"/>
  <c r="W556" i="2" s="1"/>
  <c r="W880" i="2" s="1"/>
  <c r="W522" i="2"/>
  <c r="S539" i="2"/>
  <c r="S512" i="2"/>
  <c r="S515" i="2" s="1"/>
  <c r="P544" i="2"/>
  <c r="P543" i="2"/>
  <c r="S543" i="2"/>
  <c r="S544" i="2"/>
  <c r="Q532" i="2"/>
  <c r="Q542" i="2"/>
  <c r="Q541" i="2"/>
  <c r="X532" i="2"/>
  <c r="X542" i="2"/>
  <c r="X541" i="2"/>
  <c r="R532" i="2"/>
  <c r="R542" i="2"/>
  <c r="R541" i="2"/>
  <c r="P532" i="2"/>
  <c r="P542" i="2"/>
  <c r="P541" i="2"/>
  <c r="Q481" i="2"/>
  <c r="Q537" i="2"/>
  <c r="R481" i="2"/>
  <c r="R537" i="2"/>
  <c r="P847" i="2"/>
  <c r="P857" i="2"/>
  <c r="S847" i="2"/>
  <c r="S857" i="2"/>
  <c r="S836" i="2"/>
  <c r="X481" i="2"/>
  <c r="X537" i="2"/>
  <c r="P533" i="2"/>
  <c r="P535" i="2"/>
  <c r="S533" i="2"/>
  <c r="S535" i="2"/>
  <c r="P715" i="2"/>
  <c r="P512" i="2" s="1"/>
  <c r="P471" i="2"/>
  <c r="R715" i="2"/>
  <c r="R512" i="2" s="1"/>
  <c r="R515" i="2" s="1"/>
  <c r="S538" i="2"/>
  <c r="S545" i="2" s="1"/>
  <c r="S479" i="2"/>
  <c r="S484" i="2" s="1"/>
  <c r="W501" i="2"/>
  <c r="W490" i="2"/>
  <c r="W885" i="2" s="1"/>
  <c r="R231" i="2"/>
  <c r="R820" i="2"/>
  <c r="X231" i="2"/>
  <c r="X820" i="2"/>
  <c r="P481" i="2"/>
  <c r="Q231" i="2"/>
  <c r="W720" i="2"/>
  <c r="W721" i="2" s="1"/>
  <c r="P482" i="2"/>
  <c r="P479" i="2"/>
  <c r="P538" i="2"/>
  <c r="U425" i="2"/>
  <c r="U459" i="2" s="1"/>
  <c r="U482" i="2" s="1"/>
  <c r="U368" i="2"/>
  <c r="U402" i="2" s="1"/>
  <c r="U254" i="2"/>
  <c r="U288" i="2" s="1"/>
  <c r="U197" i="2"/>
  <c r="AG197" i="2" s="1"/>
  <c r="AH197" i="2" s="1"/>
  <c r="U713" i="2"/>
  <c r="X715" i="2"/>
  <c r="V723" i="2"/>
  <c r="S716" i="2"/>
  <c r="S717" i="2" s="1"/>
  <c r="T722" i="2"/>
  <c r="T723" i="2" s="1"/>
  <c r="Q714" i="2"/>
  <c r="Q471" i="2" s="1"/>
  <c r="Q476" i="2" s="1"/>
  <c r="Q509" i="2" s="1"/>
  <c r="S833" i="2" l="1"/>
  <c r="S859" i="2" s="1"/>
  <c r="S832" i="2"/>
  <c r="R822" i="2"/>
  <c r="W879" i="2"/>
  <c r="W881" i="2" s="1"/>
  <c r="W897" i="2"/>
  <c r="X822" i="2"/>
  <c r="W884" i="2"/>
  <c r="W886" i="2" s="1"/>
  <c r="W902" i="2"/>
  <c r="W560" i="2"/>
  <c r="X539" i="2"/>
  <c r="X512" i="2"/>
  <c r="X515" i="2" s="1"/>
  <c r="P716" i="2"/>
  <c r="P717" i="2" s="1"/>
  <c r="P539" i="2"/>
  <c r="R716" i="2"/>
  <c r="R717" i="2" s="1"/>
  <c r="R539" i="2"/>
  <c r="X544" i="2"/>
  <c r="X543" i="2"/>
  <c r="R544" i="2"/>
  <c r="R543" i="2"/>
  <c r="Q544" i="2"/>
  <c r="Q543" i="2"/>
  <c r="U532" i="2"/>
  <c r="U541" i="2"/>
  <c r="U542" i="2"/>
  <c r="X857" i="2"/>
  <c r="X847" i="2"/>
  <c r="S876" i="2"/>
  <c r="S894" i="2"/>
  <c r="S912" i="2"/>
  <c r="P876" i="2"/>
  <c r="P894" i="2"/>
  <c r="P912" i="2"/>
  <c r="U481" i="2"/>
  <c r="U537" i="2"/>
  <c r="R847" i="2"/>
  <c r="R857" i="2"/>
  <c r="R836" i="2"/>
  <c r="Q847" i="2"/>
  <c r="Q857" i="2"/>
  <c r="R533" i="2"/>
  <c r="R535" i="2"/>
  <c r="Q533" i="2"/>
  <c r="Q535" i="2"/>
  <c r="X533" i="2"/>
  <c r="X535" i="2"/>
  <c r="Q820" i="2"/>
  <c r="P476" i="2"/>
  <c r="P509" i="2" s="1"/>
  <c r="P515" i="2" s="1"/>
  <c r="P820" i="2"/>
  <c r="Q479" i="2"/>
  <c r="Q484" i="2" s="1"/>
  <c r="Q538" i="2"/>
  <c r="Q545" i="2" s="1"/>
  <c r="X538" i="2"/>
  <c r="X545" i="2" s="1"/>
  <c r="X479" i="2"/>
  <c r="X484" i="2" s="1"/>
  <c r="R479" i="2"/>
  <c r="R484" i="2" s="1"/>
  <c r="R538" i="2"/>
  <c r="R545" i="2" s="1"/>
  <c r="AG368" i="2"/>
  <c r="AH368" i="2" s="1"/>
  <c r="S718" i="2"/>
  <c r="U714" i="2"/>
  <c r="U471" i="2" s="1"/>
  <c r="U476" i="2" s="1"/>
  <c r="U509" i="2" s="1"/>
  <c r="AG254" i="2"/>
  <c r="AH254" i="2" s="1"/>
  <c r="AG425" i="2"/>
  <c r="AH425" i="2" s="1"/>
  <c r="W722" i="2"/>
  <c r="W723" i="2" s="1"/>
  <c r="S520" i="2"/>
  <c r="S486" i="2"/>
  <c r="P545" i="2"/>
  <c r="X716" i="2"/>
  <c r="X717" i="2" s="1"/>
  <c r="P484" i="2"/>
  <c r="Q715" i="2"/>
  <c r="U231" i="2"/>
  <c r="S850" i="2" l="1"/>
  <c r="X832" i="2"/>
  <c r="X858" i="2" s="1"/>
  <c r="R832" i="2"/>
  <c r="R858" i="2" s="1"/>
  <c r="X849" i="2"/>
  <c r="X851" i="2" s="1"/>
  <c r="W920" i="2"/>
  <c r="W922" i="2" s="1"/>
  <c r="W904" i="2"/>
  <c r="Q822" i="2"/>
  <c r="X833" i="2"/>
  <c r="R833" i="2"/>
  <c r="W915" i="2"/>
  <c r="W917" i="2" s="1"/>
  <c r="W899" i="2"/>
  <c r="S858" i="2"/>
  <c r="S849" i="2"/>
  <c r="S851" i="2" s="1"/>
  <c r="P822" i="2"/>
  <c r="P832" i="2"/>
  <c r="P833" i="2"/>
  <c r="S884" i="2"/>
  <c r="S902" i="2"/>
  <c r="S547" i="2"/>
  <c r="S550" i="2" s="1"/>
  <c r="S556" i="2" s="1"/>
  <c r="S522" i="2"/>
  <c r="Q539" i="2"/>
  <c r="Q833" i="2" s="1"/>
  <c r="Q512" i="2"/>
  <c r="U544" i="2"/>
  <c r="U543" i="2"/>
  <c r="U857" i="2"/>
  <c r="U847" i="2"/>
  <c r="U836" i="2"/>
  <c r="Q894" i="2"/>
  <c r="Q876" i="2"/>
  <c r="Q912" i="2"/>
  <c r="R912" i="2"/>
  <c r="R894" i="2"/>
  <c r="R876" i="2"/>
  <c r="X876" i="2"/>
  <c r="X894" i="2"/>
  <c r="X912" i="2"/>
  <c r="U533" i="2"/>
  <c r="U535" i="2"/>
  <c r="AG714" i="2"/>
  <c r="AH714" i="2" s="1"/>
  <c r="AG471" i="2"/>
  <c r="AH471" i="2" s="1"/>
  <c r="U820" i="2"/>
  <c r="R520" i="2"/>
  <c r="R486" i="2"/>
  <c r="X520" i="2"/>
  <c r="X486" i="2"/>
  <c r="S501" i="2"/>
  <c r="S490" i="2"/>
  <c r="R718" i="2"/>
  <c r="R719" i="2" s="1"/>
  <c r="P718" i="2"/>
  <c r="P719" i="2" s="1"/>
  <c r="P520" i="2"/>
  <c r="P522" i="2" s="1"/>
  <c r="P486" i="2"/>
  <c r="U715" i="2"/>
  <c r="U512" i="2" s="1"/>
  <c r="U515" i="2" s="1"/>
  <c r="Q520" i="2"/>
  <c r="Q486" i="2"/>
  <c r="X718" i="2"/>
  <c r="U479" i="2"/>
  <c r="U538" i="2"/>
  <c r="U545" i="2" s="1"/>
  <c r="Q716" i="2"/>
  <c r="Q717" i="2" s="1"/>
  <c r="S719" i="2"/>
  <c r="R849" i="2" l="1"/>
  <c r="R851" i="2" s="1"/>
  <c r="Q859" i="2"/>
  <c r="Q850" i="2"/>
  <c r="S879" i="2"/>
  <c r="S897" i="2"/>
  <c r="Q832" i="2"/>
  <c r="S920" i="2"/>
  <c r="S922" i="2" s="1"/>
  <c r="S904" i="2"/>
  <c r="U822" i="2"/>
  <c r="P859" i="2"/>
  <c r="P850" i="2"/>
  <c r="P858" i="2"/>
  <c r="P849" i="2"/>
  <c r="P851" i="2" s="1"/>
  <c r="R859" i="2"/>
  <c r="R850" i="2"/>
  <c r="X859" i="2"/>
  <c r="X850" i="2"/>
  <c r="R879" i="2"/>
  <c r="R897" i="2"/>
  <c r="X897" i="2"/>
  <c r="X879" i="2"/>
  <c r="S560" i="2"/>
  <c r="R547" i="2"/>
  <c r="R550" i="2" s="1"/>
  <c r="R556" i="2" s="1"/>
  <c r="R522" i="2"/>
  <c r="X547" i="2"/>
  <c r="X550" i="2" s="1"/>
  <c r="X560" i="2" s="1"/>
  <c r="X522" i="2"/>
  <c r="Q547" i="2"/>
  <c r="Q522" i="2"/>
  <c r="Q515" i="2"/>
  <c r="AG512" i="2"/>
  <c r="AH512" i="2" s="1"/>
  <c r="U716" i="2"/>
  <c r="U539" i="2"/>
  <c r="AG539" i="2" s="1"/>
  <c r="AH539" i="2" s="1"/>
  <c r="AG715" i="2"/>
  <c r="AH715" i="2" s="1"/>
  <c r="U894" i="2"/>
  <c r="U876" i="2"/>
  <c r="U912" i="2"/>
  <c r="R501" i="2"/>
  <c r="R490" i="2"/>
  <c r="R720" i="2"/>
  <c r="U717" i="2"/>
  <c r="U484" i="2"/>
  <c r="P501" i="2"/>
  <c r="P490" i="2"/>
  <c r="P547" i="2"/>
  <c r="X501" i="2"/>
  <c r="X490" i="2"/>
  <c r="X885" i="2" s="1"/>
  <c r="P720" i="2"/>
  <c r="Q490" i="2"/>
  <c r="Q501" i="2"/>
  <c r="Q718" i="2"/>
  <c r="S885" i="2"/>
  <c r="S886" i="2" s="1"/>
  <c r="S880" i="2"/>
  <c r="S881" i="2" s="1"/>
  <c r="S720" i="2"/>
  <c r="S721" i="2" s="1"/>
  <c r="X719" i="2"/>
  <c r="R884" i="2" l="1"/>
  <c r="R902" i="2"/>
  <c r="X915" i="2"/>
  <c r="X917" i="2" s="1"/>
  <c r="X899" i="2"/>
  <c r="Q858" i="2"/>
  <c r="Q849" i="2"/>
  <c r="Q851" i="2" s="1"/>
  <c r="P897" i="2"/>
  <c r="P879" i="2"/>
  <c r="R915" i="2"/>
  <c r="R917" i="2" s="1"/>
  <c r="R899" i="2"/>
  <c r="S915" i="2"/>
  <c r="S917" i="2" s="1"/>
  <c r="S899" i="2"/>
  <c r="P902" i="2"/>
  <c r="P884" i="2"/>
  <c r="U833" i="2"/>
  <c r="X902" i="2"/>
  <c r="X884" i="2"/>
  <c r="X886" i="2" s="1"/>
  <c r="U832" i="2"/>
  <c r="Q902" i="2"/>
  <c r="Q884" i="2"/>
  <c r="R560" i="2"/>
  <c r="X556" i="2"/>
  <c r="X880" i="2" s="1"/>
  <c r="X881" i="2" s="1"/>
  <c r="Q550" i="2"/>
  <c r="Q560" i="2" s="1"/>
  <c r="U520" i="2"/>
  <c r="U522" i="2" s="1"/>
  <c r="U486" i="2"/>
  <c r="U718" i="2"/>
  <c r="U719" i="2" s="1"/>
  <c r="R885" i="2"/>
  <c r="R880" i="2"/>
  <c r="R881" i="2" s="1"/>
  <c r="X720" i="2"/>
  <c r="X721" i="2" s="1"/>
  <c r="P721" i="2"/>
  <c r="P722" i="2" s="1"/>
  <c r="P550" i="2"/>
  <c r="AG717" i="2"/>
  <c r="AH717" i="2" s="1"/>
  <c r="S722" i="2"/>
  <c r="S723" i="2" s="1"/>
  <c r="Q719" i="2"/>
  <c r="R721" i="2"/>
  <c r="R886" i="2" l="1"/>
  <c r="U859" i="2"/>
  <c r="U850" i="2"/>
  <c r="Q897" i="2"/>
  <c r="Q879" i="2"/>
  <c r="Q920" i="2"/>
  <c r="Q922" i="2" s="1"/>
  <c r="Q904" i="2"/>
  <c r="R920" i="2"/>
  <c r="R922" i="2" s="1"/>
  <c r="R904" i="2"/>
  <c r="P915" i="2"/>
  <c r="P917" i="2" s="1"/>
  <c r="P899" i="2"/>
  <c r="P920" i="2"/>
  <c r="P922" i="2" s="1"/>
  <c r="P904" i="2"/>
  <c r="U858" i="2"/>
  <c r="U849" i="2"/>
  <c r="U851" i="2" s="1"/>
  <c r="X920" i="2"/>
  <c r="X922" i="2" s="1"/>
  <c r="X904" i="2"/>
  <c r="Q556" i="2"/>
  <c r="Q885" i="2" s="1"/>
  <c r="Q886" i="2" s="1"/>
  <c r="R722" i="2"/>
  <c r="R723" i="2" s="1"/>
  <c r="Q720" i="2"/>
  <c r="X722" i="2"/>
  <c r="X723" i="2" s="1"/>
  <c r="U501" i="2"/>
  <c r="U490" i="2"/>
  <c r="U547" i="2"/>
  <c r="P556" i="2"/>
  <c r="P560" i="2"/>
  <c r="P723" i="2"/>
  <c r="U720" i="2"/>
  <c r="U721" i="2" s="1"/>
  <c r="AG718" i="2"/>
  <c r="AH718" i="2" s="1"/>
  <c r="U879" i="2" l="1"/>
  <c r="U897" i="2"/>
  <c r="Q915" i="2"/>
  <c r="Q917" i="2" s="1"/>
  <c r="Q899" i="2"/>
  <c r="U884" i="2"/>
  <c r="U902" i="2"/>
  <c r="Q880" i="2"/>
  <c r="Q881" i="2" s="1"/>
  <c r="AG720" i="2"/>
  <c r="AH720" i="2" s="1"/>
  <c r="Q721" i="2"/>
  <c r="P885" i="2"/>
  <c r="P886" i="2" s="1"/>
  <c r="P880" i="2"/>
  <c r="P881" i="2" s="1"/>
  <c r="U722" i="2"/>
  <c r="U723" i="2" s="1"/>
  <c r="U550" i="2"/>
  <c r="U920" i="2" l="1"/>
  <c r="U922" i="2" s="1"/>
  <c r="U904" i="2"/>
  <c r="U915" i="2"/>
  <c r="U917" i="2" s="1"/>
  <c r="U899" i="2"/>
  <c r="U560" i="2"/>
  <c r="U556" i="2"/>
  <c r="AG721" i="2"/>
  <c r="AH721" i="2" s="1"/>
  <c r="Q722" i="2"/>
  <c r="AG722" i="2" s="1"/>
  <c r="AH722" i="2" s="1"/>
  <c r="Q723" i="2" l="1"/>
  <c r="AG723" i="2" s="1"/>
  <c r="AH723" i="2" s="1"/>
  <c r="U885" i="2"/>
  <c r="U886" i="2" s="1"/>
  <c r="U880" i="2"/>
  <c r="U881" i="2" s="1"/>
  <c r="P39" i="10" l="1"/>
  <c r="K8" i="10" s="1"/>
  <c r="K25" i="10" s="1"/>
  <c r="N39" i="10"/>
  <c r="O39" i="10" s="1"/>
  <c r="F637" i="2" l="1"/>
  <c r="F672" i="2" s="1"/>
  <c r="N38" i="10"/>
  <c r="F686" i="2" l="1"/>
  <c r="F693" i="2" s="1"/>
  <c r="AG637" i="2"/>
  <c r="AG495" i="2" s="1"/>
  <c r="F689" i="2"/>
  <c r="F679" i="2"/>
  <c r="AG672" i="2"/>
  <c r="AH672" i="2" s="1"/>
  <c r="F675" i="2"/>
  <c r="AH637" i="2" l="1"/>
  <c r="AG686" i="2"/>
  <c r="AH686" i="2" s="1"/>
  <c r="AG675" i="2"/>
  <c r="AH675" i="2" s="1"/>
  <c r="F676" i="2"/>
  <c r="F682" i="2"/>
  <c r="AG679" i="2"/>
  <c r="AH679" i="2" s="1"/>
  <c r="AG689" i="2"/>
  <c r="AH689" i="2" s="1"/>
  <c r="F690" i="2"/>
  <c r="AG693" i="2"/>
  <c r="AH693" i="2" s="1"/>
  <c r="F696" i="2"/>
  <c r="AG690" i="2" l="1"/>
  <c r="AH690" i="2" s="1"/>
  <c r="F691" i="2"/>
  <c r="F683" i="2"/>
  <c r="AG682" i="2"/>
  <c r="AH682" i="2" s="1"/>
  <c r="F697" i="2"/>
  <c r="AG696" i="2"/>
  <c r="AH696" i="2" s="1"/>
  <c r="F677" i="2"/>
  <c r="AG676" i="2"/>
  <c r="AH676" i="2" s="1"/>
  <c r="AG697" i="2" l="1"/>
  <c r="AH697" i="2" s="1"/>
  <c r="F698" i="2"/>
  <c r="AG683" i="2"/>
  <c r="AH683" i="2" s="1"/>
  <c r="F684" i="2"/>
  <c r="AG691" i="2"/>
  <c r="AH691" i="2" s="1"/>
  <c r="F153" i="2"/>
  <c r="F38" i="2"/>
  <c r="F96" i="2"/>
  <c r="F91" i="2"/>
  <c r="AG677" i="2"/>
  <c r="AH677" i="2" s="1"/>
  <c r="F148" i="2"/>
  <c r="F33" i="2"/>
  <c r="AG33" i="2" l="1"/>
  <c r="AH33" i="2" s="1"/>
  <c r="F35" i="2"/>
  <c r="AG38" i="2"/>
  <c r="AH38" i="2" s="1"/>
  <c r="F40" i="2"/>
  <c r="AG40" i="2" s="1"/>
  <c r="AH40" i="2" s="1"/>
  <c r="F155" i="2"/>
  <c r="AG155" i="2" s="1"/>
  <c r="AH155" i="2" s="1"/>
  <c r="AG153" i="2"/>
  <c r="AH153" i="2" s="1"/>
  <c r="F98" i="2"/>
  <c r="AG98" i="2" s="1"/>
  <c r="AH98" i="2" s="1"/>
  <c r="AG96" i="2"/>
  <c r="AH96" i="2" s="1"/>
  <c r="F319" i="2"/>
  <c r="F376" i="2"/>
  <c r="F262" i="2"/>
  <c r="F433" i="2"/>
  <c r="AG684" i="2"/>
  <c r="AH684" i="2" s="1"/>
  <c r="F205" i="2"/>
  <c r="F838" i="2"/>
  <c r="AG148" i="2"/>
  <c r="AH148" i="2" s="1"/>
  <c r="F150" i="2"/>
  <c r="F267" i="2"/>
  <c r="AG698" i="2"/>
  <c r="AH698" i="2" s="1"/>
  <c r="F324" i="2"/>
  <c r="F438" i="2"/>
  <c r="F210" i="2"/>
  <c r="F381" i="2"/>
  <c r="F93" i="2"/>
  <c r="AG91" i="2"/>
  <c r="AH91" i="2" s="1"/>
  <c r="AG267" i="2" l="1"/>
  <c r="AH267" i="2" s="1"/>
  <c r="F269" i="2"/>
  <c r="AG269" i="2" s="1"/>
  <c r="AH269" i="2" s="1"/>
  <c r="AG150" i="2"/>
  <c r="AH150" i="2" s="1"/>
  <c r="AG93" i="2"/>
  <c r="AH93" i="2" s="1"/>
  <c r="F383" i="2"/>
  <c r="AG383" i="2" s="1"/>
  <c r="AH383" i="2" s="1"/>
  <c r="AG381" i="2"/>
  <c r="AH381" i="2" s="1"/>
  <c r="F864" i="2"/>
  <c r="F898" i="2"/>
  <c r="AG838" i="2"/>
  <c r="F916" i="2"/>
  <c r="F840" i="2"/>
  <c r="AG205" i="2"/>
  <c r="AH205" i="2" s="1"/>
  <c r="F207" i="2"/>
  <c r="F212" i="2"/>
  <c r="AG212" i="2" s="1"/>
  <c r="AH212" i="2" s="1"/>
  <c r="AG210" i="2"/>
  <c r="AH210" i="2" s="1"/>
  <c r="F440" i="2"/>
  <c r="AG440" i="2" s="1"/>
  <c r="AH440" i="2" s="1"/>
  <c r="AG438" i="2"/>
  <c r="AH438" i="2" s="1"/>
  <c r="AG433" i="2"/>
  <c r="AH433" i="2" s="1"/>
  <c r="F435" i="2"/>
  <c r="AG262" i="2"/>
  <c r="AH262" i="2" s="1"/>
  <c r="F264" i="2"/>
  <c r="AG324" i="2"/>
  <c r="AH324" i="2" s="1"/>
  <c r="F326" i="2"/>
  <c r="AG326" i="2" s="1"/>
  <c r="AH326" i="2" s="1"/>
  <c r="AG376" i="2"/>
  <c r="AH376" i="2" s="1"/>
  <c r="F378" i="2"/>
  <c r="AG35" i="2"/>
  <c r="AH35" i="2" s="1"/>
  <c r="AG319" i="2"/>
  <c r="AH319" i="2" s="1"/>
  <c r="F321" i="2"/>
  <c r="AG207" i="2" l="1"/>
  <c r="AH207" i="2" s="1"/>
  <c r="AG378" i="2"/>
  <c r="AH378" i="2" s="1"/>
  <c r="AH838" i="2"/>
  <c r="AG840" i="2"/>
  <c r="AG435" i="2"/>
  <c r="AH435" i="2" s="1"/>
  <c r="AG321" i="2"/>
  <c r="AH321" i="2" s="1"/>
  <c r="AG264" i="2"/>
  <c r="AH264" i="2" s="1"/>
  <c r="I565" i="2" l="1"/>
  <c r="M27" i="10"/>
  <c r="L27" i="10"/>
  <c r="N27" i="10"/>
  <c r="L28" i="10" l="1"/>
  <c r="M8" i="10"/>
  <c r="N8" i="10" s="1"/>
  <c r="L25" i="10"/>
  <c r="F622" i="2"/>
  <c r="F797" i="2" s="1"/>
  <c r="F800" i="2" s="1"/>
  <c r="F801" i="2" s="1"/>
  <c r="F802" i="2" s="1"/>
  <c r="F529" i="2" s="1"/>
  <c r="F830" i="2" s="1"/>
  <c r="J622" i="2" l="1"/>
  <c r="M16" i="10"/>
  <c r="J623" i="2" s="1"/>
  <c r="AD10" i="10"/>
  <c r="AD12" i="10"/>
  <c r="AD8" i="10"/>
  <c r="AE8" i="10" s="1"/>
  <c r="AD14" i="10"/>
  <c r="AD16" i="10"/>
  <c r="H622" i="2"/>
  <c r="M12" i="10"/>
  <c r="H623" i="2" s="1"/>
  <c r="M14" i="10"/>
  <c r="I623" i="2" s="1"/>
  <c r="I622" i="2"/>
  <c r="M24" i="10"/>
  <c r="N623" i="2" s="1"/>
  <c r="N804" i="2" s="1"/>
  <c r="N622" i="2"/>
  <c r="N797" i="2" s="1"/>
  <c r="N24" i="10"/>
  <c r="M10" i="10"/>
  <c r="G623" i="2" s="1"/>
  <c r="G622" i="2"/>
  <c r="F754" i="2"/>
  <c r="F623" i="2"/>
  <c r="F804" i="2" s="1"/>
  <c r="F807" i="2" s="1"/>
  <c r="F808" i="2" s="1"/>
  <c r="F809" i="2" s="1"/>
  <c r="F530" i="2" s="1"/>
  <c r="F831" i="2" s="1"/>
  <c r="H754" i="2" l="1"/>
  <c r="H757" i="2" s="1"/>
  <c r="H758" i="2" s="1"/>
  <c r="H759" i="2" s="1"/>
  <c r="H12" i="2" s="1"/>
  <c r="H797" i="2"/>
  <c r="H800" i="2" s="1"/>
  <c r="H801" i="2" s="1"/>
  <c r="H802" i="2" s="1"/>
  <c r="H529" i="2" s="1"/>
  <c r="H830" i="2" s="1"/>
  <c r="G754" i="2"/>
  <c r="G757" i="2" s="1"/>
  <c r="G758" i="2" s="1"/>
  <c r="G759" i="2" s="1"/>
  <c r="G184" i="2" s="1"/>
  <c r="G797" i="2"/>
  <c r="G800" i="2" s="1"/>
  <c r="G801" i="2" s="1"/>
  <c r="G802" i="2" s="1"/>
  <c r="G529" i="2" s="1"/>
  <c r="G830" i="2" s="1"/>
  <c r="G761" i="2"/>
  <c r="G764" i="2" s="1"/>
  <c r="G765" i="2" s="1"/>
  <c r="G766" i="2" s="1"/>
  <c r="G413" i="2" s="1"/>
  <c r="G804" i="2"/>
  <c r="G807" i="2" s="1"/>
  <c r="G808" i="2" s="1"/>
  <c r="G809" i="2" s="1"/>
  <c r="G530" i="2" s="1"/>
  <c r="G831" i="2" s="1"/>
  <c r="I754" i="2"/>
  <c r="I757" i="2" s="1"/>
  <c r="I758" i="2" s="1"/>
  <c r="I759" i="2" s="1"/>
  <c r="I412" i="2" s="1"/>
  <c r="I797" i="2"/>
  <c r="I800" i="2" s="1"/>
  <c r="I801" i="2" s="1"/>
  <c r="I802" i="2" s="1"/>
  <c r="I529" i="2" s="1"/>
  <c r="I830" i="2" s="1"/>
  <c r="I761" i="2"/>
  <c r="I764" i="2" s="1"/>
  <c r="I765" i="2" s="1"/>
  <c r="I766" i="2" s="1"/>
  <c r="I357" i="2" s="1"/>
  <c r="I804" i="2"/>
  <c r="I807" i="2" s="1"/>
  <c r="I808" i="2" s="1"/>
  <c r="I809" i="2" s="1"/>
  <c r="I530" i="2" s="1"/>
  <c r="I831" i="2" s="1"/>
  <c r="J761" i="2"/>
  <c r="J764" i="2" s="1"/>
  <c r="J765" i="2" s="1"/>
  <c r="J766" i="2" s="1"/>
  <c r="J413" i="2" s="1"/>
  <c r="J804" i="2"/>
  <c r="J807" i="2" s="1"/>
  <c r="J808" i="2" s="1"/>
  <c r="J809" i="2" s="1"/>
  <c r="J530" i="2" s="1"/>
  <c r="J831" i="2" s="1"/>
  <c r="H761" i="2"/>
  <c r="H764" i="2" s="1"/>
  <c r="H765" i="2" s="1"/>
  <c r="H766" i="2" s="1"/>
  <c r="H13" i="2" s="1"/>
  <c r="H804" i="2"/>
  <c r="H807" i="2" s="1"/>
  <c r="H808" i="2" s="1"/>
  <c r="H809" i="2" s="1"/>
  <c r="H530" i="2" s="1"/>
  <c r="H831" i="2" s="1"/>
  <c r="J754" i="2"/>
  <c r="J757" i="2" s="1"/>
  <c r="J758" i="2" s="1"/>
  <c r="J759" i="2" s="1"/>
  <c r="J241" i="2" s="1"/>
  <c r="J797" i="2"/>
  <c r="J800" i="2" s="1"/>
  <c r="J801" i="2" s="1"/>
  <c r="J802" i="2" s="1"/>
  <c r="J529" i="2" s="1"/>
  <c r="J830" i="2" s="1"/>
  <c r="M25" i="10"/>
  <c r="N14" i="10"/>
  <c r="U14" i="10" s="1"/>
  <c r="N10" i="10"/>
  <c r="N12" i="10"/>
  <c r="AE12" i="10" s="1"/>
  <c r="N16" i="10"/>
  <c r="AE16" i="10" s="1"/>
  <c r="U10" i="10"/>
  <c r="AE14" i="10"/>
  <c r="U12" i="10"/>
  <c r="V12" i="10" s="1"/>
  <c r="W12" i="10" s="1"/>
  <c r="V14" i="10"/>
  <c r="W14" i="10" s="1"/>
  <c r="AG622" i="2"/>
  <c r="AH622" i="2" s="1"/>
  <c r="AE10" i="10"/>
  <c r="N754" i="2"/>
  <c r="N757" i="2" s="1"/>
  <c r="N758" i="2" s="1"/>
  <c r="N759" i="2" s="1"/>
  <c r="N761" i="2"/>
  <c r="N764" i="2" s="1"/>
  <c r="N765" i="2" s="1"/>
  <c r="N766" i="2" s="1"/>
  <c r="U16" i="10"/>
  <c r="V16" i="10" s="1"/>
  <c r="W16" i="10" s="1"/>
  <c r="AG623" i="2"/>
  <c r="AH623" i="2" s="1"/>
  <c r="F761" i="2"/>
  <c r="F757" i="2"/>
  <c r="H298" i="2" l="1"/>
  <c r="H355" i="2"/>
  <c r="H70" i="2"/>
  <c r="G70" i="2"/>
  <c r="J242" i="2"/>
  <c r="G127" i="2"/>
  <c r="J128" i="2"/>
  <c r="J13" i="2"/>
  <c r="G355" i="2"/>
  <c r="G12" i="2"/>
  <c r="I71" i="2"/>
  <c r="I185" i="2"/>
  <c r="I299" i="2"/>
  <c r="I414" i="2"/>
  <c r="J243" i="2"/>
  <c r="I129" i="2"/>
  <c r="I413" i="2"/>
  <c r="I242" i="2"/>
  <c r="I128" i="2"/>
  <c r="J300" i="2"/>
  <c r="H241" i="2"/>
  <c r="I243" i="2"/>
  <c r="I300" i="2"/>
  <c r="H412" i="2"/>
  <c r="I13" i="2"/>
  <c r="I186" i="2"/>
  <c r="H184" i="2"/>
  <c r="I72" i="2"/>
  <c r="H127" i="2"/>
  <c r="I356" i="2"/>
  <c r="I14" i="2"/>
  <c r="I12" i="2"/>
  <c r="J70" i="2"/>
  <c r="J357" i="2"/>
  <c r="J356" i="2"/>
  <c r="J72" i="2"/>
  <c r="J14" i="2"/>
  <c r="J71" i="2"/>
  <c r="J299" i="2"/>
  <c r="J186" i="2"/>
  <c r="J185" i="2"/>
  <c r="J129" i="2"/>
  <c r="J414" i="2"/>
  <c r="J127" i="2"/>
  <c r="G71" i="2"/>
  <c r="G13" i="2"/>
  <c r="G357" i="2"/>
  <c r="G129" i="2"/>
  <c r="G185" i="2"/>
  <c r="G299" i="2"/>
  <c r="G72" i="2"/>
  <c r="G414" i="2"/>
  <c r="G128" i="2"/>
  <c r="G243" i="2"/>
  <c r="G14" i="2"/>
  <c r="G242" i="2"/>
  <c r="G186" i="2"/>
  <c r="G356" i="2"/>
  <c r="G300" i="2"/>
  <c r="H186" i="2"/>
  <c r="G412" i="2"/>
  <c r="H413" i="2"/>
  <c r="G241" i="2"/>
  <c r="G298" i="2"/>
  <c r="H300" i="2"/>
  <c r="H356" i="2"/>
  <c r="H242" i="2"/>
  <c r="H72" i="2"/>
  <c r="H299" i="2"/>
  <c r="H128" i="2"/>
  <c r="H129" i="2"/>
  <c r="H14" i="2"/>
  <c r="H16" i="2" s="1"/>
  <c r="H59" i="2" s="1"/>
  <c r="H553" i="2" s="1"/>
  <c r="H414" i="2"/>
  <c r="H357" i="2"/>
  <c r="H243" i="2"/>
  <c r="H71" i="2"/>
  <c r="H185" i="2"/>
  <c r="I127" i="2"/>
  <c r="J412" i="2"/>
  <c r="J298" i="2"/>
  <c r="I298" i="2"/>
  <c r="I241" i="2"/>
  <c r="J184" i="2"/>
  <c r="I184" i="2"/>
  <c r="J12" i="2"/>
  <c r="I355" i="2"/>
  <c r="I70" i="2"/>
  <c r="J355" i="2"/>
  <c r="N25" i="10"/>
  <c r="AE25" i="10"/>
  <c r="AE26" i="10" s="1"/>
  <c r="N807" i="2"/>
  <c r="AG804" i="2"/>
  <c r="AH804" i="2" s="1"/>
  <c r="AG754" i="2"/>
  <c r="AH754" i="2" s="1"/>
  <c r="N413" i="2"/>
  <c r="N299" i="2"/>
  <c r="N71" i="2"/>
  <c r="N14" i="2"/>
  <c r="N72" i="2"/>
  <c r="N243" i="2"/>
  <c r="N414" i="2"/>
  <c r="N186" i="2"/>
  <c r="N357" i="2"/>
  <c r="N185" i="2"/>
  <c r="N128" i="2"/>
  <c r="N300" i="2"/>
  <c r="N129" i="2"/>
  <c r="N356" i="2"/>
  <c r="N242" i="2"/>
  <c r="N13" i="2"/>
  <c r="U8" i="10"/>
  <c r="U25" i="10" s="1"/>
  <c r="N800" i="2"/>
  <c r="AG797" i="2"/>
  <c r="AH797" i="2" s="1"/>
  <c r="V10" i="10"/>
  <c r="V8" i="10" s="1"/>
  <c r="N298" i="2"/>
  <c r="N70" i="2"/>
  <c r="N127" i="2"/>
  <c r="N12" i="2"/>
  <c r="N184" i="2"/>
  <c r="N241" i="2"/>
  <c r="N412" i="2"/>
  <c r="N355" i="2"/>
  <c r="J875" i="2"/>
  <c r="J893" i="2" s="1"/>
  <c r="J911" i="2" s="1"/>
  <c r="AG757" i="2"/>
  <c r="AH757" i="2" s="1"/>
  <c r="F758" i="2"/>
  <c r="AG761" i="2"/>
  <c r="AH761" i="2" s="1"/>
  <c r="F764" i="2"/>
  <c r="J16" i="2" l="1"/>
  <c r="J59" i="2" s="1"/>
  <c r="J553" i="2" s="1"/>
  <c r="J245" i="2"/>
  <c r="J288" i="2" s="1"/>
  <c r="J532" i="2" s="1"/>
  <c r="I359" i="2"/>
  <c r="I402" i="2" s="1"/>
  <c r="I481" i="2" s="1"/>
  <c r="I302" i="2"/>
  <c r="I345" i="2" s="1"/>
  <c r="I540" i="2" s="1"/>
  <c r="I819" i="2"/>
  <c r="I848" i="2" s="1"/>
  <c r="I416" i="2"/>
  <c r="I459" i="2" s="1"/>
  <c r="I482" i="2" s="1"/>
  <c r="I245" i="2"/>
  <c r="I288" i="2" s="1"/>
  <c r="I532" i="2" s="1"/>
  <c r="I16" i="2"/>
  <c r="I59" i="2" s="1"/>
  <c r="I553" i="2" s="1"/>
  <c r="H818" i="2"/>
  <c r="H847" i="2" s="1"/>
  <c r="H359" i="2"/>
  <c r="H402" i="2" s="1"/>
  <c r="H481" i="2" s="1"/>
  <c r="G245" i="2"/>
  <c r="G288" i="2" s="1"/>
  <c r="G542" i="2" s="1"/>
  <c r="G16" i="2"/>
  <c r="G59" i="2" s="1"/>
  <c r="G553" i="2" s="1"/>
  <c r="G359" i="2"/>
  <c r="G402" i="2" s="1"/>
  <c r="G481" i="2" s="1"/>
  <c r="J302" i="2"/>
  <c r="J345" i="2" s="1"/>
  <c r="J480" i="2" s="1"/>
  <c r="J416" i="2"/>
  <c r="J459" i="2" s="1"/>
  <c r="J482" i="2" s="1"/>
  <c r="H131" i="2"/>
  <c r="H174" i="2" s="1"/>
  <c r="H474" i="2" s="1"/>
  <c r="I131" i="2"/>
  <c r="I174" i="2" s="1"/>
  <c r="I488" i="2" s="1"/>
  <c r="I552" i="2" s="1"/>
  <c r="G416" i="2"/>
  <c r="G459" i="2" s="1"/>
  <c r="G482" i="2" s="1"/>
  <c r="I188" i="2"/>
  <c r="J131" i="2"/>
  <c r="J174" i="2" s="1"/>
  <c r="J474" i="2" s="1"/>
  <c r="J74" i="2"/>
  <c r="J117" i="2" s="1"/>
  <c r="H74" i="2"/>
  <c r="H117" i="2" s="1"/>
  <c r="I74" i="2"/>
  <c r="I117" i="2" s="1"/>
  <c r="H245" i="2"/>
  <c r="H288" i="2" s="1"/>
  <c r="H541" i="2" s="1"/>
  <c r="J359" i="2"/>
  <c r="J402" i="2" s="1"/>
  <c r="J481" i="2" s="1"/>
  <c r="H188" i="2"/>
  <c r="H416" i="2"/>
  <c r="H459" i="2" s="1"/>
  <c r="H482" i="2" s="1"/>
  <c r="G818" i="2"/>
  <c r="G847" i="2" s="1"/>
  <c r="G131" i="2"/>
  <c r="G174" i="2" s="1"/>
  <c r="G488" i="2" s="1"/>
  <c r="G552" i="2" s="1"/>
  <c r="G74" i="2"/>
  <c r="G117" i="2" s="1"/>
  <c r="H302" i="2"/>
  <c r="H345" i="2" s="1"/>
  <c r="H480" i="2" s="1"/>
  <c r="G188" i="2"/>
  <c r="J819" i="2"/>
  <c r="J848" i="2" s="1"/>
  <c r="G819" i="2"/>
  <c r="G848" i="2" s="1"/>
  <c r="G302" i="2"/>
  <c r="G345" i="2" s="1"/>
  <c r="G480" i="2" s="1"/>
  <c r="H819" i="2"/>
  <c r="H848" i="2" s="1"/>
  <c r="J818" i="2"/>
  <c r="J188" i="2"/>
  <c r="I818" i="2"/>
  <c r="I847" i="2" s="1"/>
  <c r="N245" i="2"/>
  <c r="N288" i="2" s="1"/>
  <c r="N818" i="2"/>
  <c r="N819" i="2"/>
  <c r="N74" i="2"/>
  <c r="N117" i="2" s="1"/>
  <c r="N188" i="2"/>
  <c r="N531" i="2" s="1"/>
  <c r="N826" i="2" s="1"/>
  <c r="W8" i="10"/>
  <c r="V25" i="10"/>
  <c r="N801" i="2"/>
  <c r="AG800" i="2"/>
  <c r="AH800" i="2" s="1"/>
  <c r="N416" i="2"/>
  <c r="N459" i="2" s="1"/>
  <c r="N482" i="2" s="1"/>
  <c r="N16" i="2"/>
  <c r="N59" i="2" s="1"/>
  <c r="N553" i="2" s="1"/>
  <c r="N131" i="2"/>
  <c r="N174" i="2" s="1"/>
  <c r="W10" i="10"/>
  <c r="N808" i="2"/>
  <c r="AG807" i="2"/>
  <c r="AH807" i="2" s="1"/>
  <c r="H875" i="2"/>
  <c r="H893" i="2" s="1"/>
  <c r="H911" i="2" s="1"/>
  <c r="N359" i="2"/>
  <c r="N402" i="2" s="1"/>
  <c r="N875" i="2"/>
  <c r="N893" i="2" s="1"/>
  <c r="N911" i="2" s="1"/>
  <c r="N302" i="2"/>
  <c r="N345" i="2" s="1"/>
  <c r="AG764" i="2"/>
  <c r="AH764" i="2" s="1"/>
  <c r="F765" i="2"/>
  <c r="F759" i="2"/>
  <c r="AG758" i="2"/>
  <c r="AH758" i="2" s="1"/>
  <c r="N855" i="2" l="1"/>
  <c r="N843" i="2"/>
  <c r="G521" i="2"/>
  <c r="G531" i="2"/>
  <c r="G826" i="2" s="1"/>
  <c r="J521" i="2"/>
  <c r="J531" i="2"/>
  <c r="J826" i="2" s="1"/>
  <c r="I521" i="2"/>
  <c r="I531" i="2"/>
  <c r="I826" i="2" s="1"/>
  <c r="H231" i="2"/>
  <c r="H543" i="2" s="1"/>
  <c r="H531" i="2"/>
  <c r="H826" i="2" s="1"/>
  <c r="J541" i="2"/>
  <c r="I537" i="2"/>
  <c r="I480" i="2"/>
  <c r="I541" i="2"/>
  <c r="G532" i="2"/>
  <c r="G537" i="2"/>
  <c r="J542" i="2"/>
  <c r="I542" i="2"/>
  <c r="I474" i="2"/>
  <c r="I472" i="2"/>
  <c r="H473" i="2"/>
  <c r="J472" i="2"/>
  <c r="H537" i="2"/>
  <c r="I554" i="2"/>
  <c r="H488" i="2"/>
  <c r="H552" i="2" s="1"/>
  <c r="H554" i="2" s="1"/>
  <c r="J540" i="2"/>
  <c r="J537" i="2"/>
  <c r="I473" i="2"/>
  <c r="I498" i="2"/>
  <c r="I231" i="2"/>
  <c r="I538" i="2" s="1"/>
  <c r="G541" i="2"/>
  <c r="G554" i="2"/>
  <c r="H472" i="2"/>
  <c r="H498" i="2"/>
  <c r="J488" i="2"/>
  <c r="J552" i="2" s="1"/>
  <c r="J554" i="2" s="1"/>
  <c r="J473" i="2"/>
  <c r="G857" i="2"/>
  <c r="G498" i="2"/>
  <c r="H542" i="2"/>
  <c r="H532" i="2"/>
  <c r="H521" i="2"/>
  <c r="G231" i="2"/>
  <c r="G544" i="2" s="1"/>
  <c r="G473" i="2"/>
  <c r="G474" i="2"/>
  <c r="H540" i="2"/>
  <c r="G472" i="2"/>
  <c r="J857" i="2"/>
  <c r="J876" i="2" s="1"/>
  <c r="J847" i="2"/>
  <c r="G540" i="2"/>
  <c r="H857" i="2"/>
  <c r="H876" i="2" s="1"/>
  <c r="J231" i="2"/>
  <c r="J544" i="2" s="1"/>
  <c r="J498" i="2"/>
  <c r="I857" i="2"/>
  <c r="N231" i="2"/>
  <c r="N543" i="2" s="1"/>
  <c r="N521" i="2"/>
  <c r="AG808" i="2"/>
  <c r="AH808" i="2" s="1"/>
  <c r="N809" i="2"/>
  <c r="N532" i="2"/>
  <c r="N542" i="2"/>
  <c r="N541" i="2"/>
  <c r="N480" i="2"/>
  <c r="N540" i="2"/>
  <c r="N498" i="2"/>
  <c r="N802" i="2"/>
  <c r="AG801" i="2"/>
  <c r="AH801" i="2" s="1"/>
  <c r="N488" i="2"/>
  <c r="N552" i="2" s="1"/>
  <c r="N554" i="2" s="1"/>
  <c r="N473" i="2"/>
  <c r="N472" i="2"/>
  <c r="N474" i="2"/>
  <c r="G875" i="2"/>
  <c r="G893" i="2" s="1"/>
  <c r="G911" i="2" s="1"/>
  <c r="I875" i="2"/>
  <c r="I893" i="2" s="1"/>
  <c r="I911" i="2" s="1"/>
  <c r="W25" i="10"/>
  <c r="N481" i="2"/>
  <c r="N537" i="2"/>
  <c r="F241" i="2"/>
  <c r="F412" i="2"/>
  <c r="F127" i="2"/>
  <c r="F184" i="2"/>
  <c r="F355" i="2"/>
  <c r="F298" i="2"/>
  <c r="AG759" i="2"/>
  <c r="AH759" i="2" s="1"/>
  <c r="F12" i="2"/>
  <c r="F70" i="2"/>
  <c r="F766" i="2"/>
  <c r="AG765" i="2"/>
  <c r="AH765" i="2" s="1"/>
  <c r="J855" i="2" l="1"/>
  <c r="J843" i="2"/>
  <c r="G843" i="2"/>
  <c r="G855" i="2"/>
  <c r="H843" i="2"/>
  <c r="H855" i="2"/>
  <c r="H874" i="2" s="1"/>
  <c r="N874" i="2"/>
  <c r="N892" i="2"/>
  <c r="N910" i="2"/>
  <c r="I855" i="2"/>
  <c r="I843" i="2"/>
  <c r="H533" i="2"/>
  <c r="H538" i="2"/>
  <c r="H544" i="2"/>
  <c r="H479" i="2"/>
  <c r="H484" i="2" s="1"/>
  <c r="H520" i="2" s="1"/>
  <c r="H535" i="2"/>
  <c r="I479" i="2"/>
  <c r="I484" i="2" s="1"/>
  <c r="I520" i="2" s="1"/>
  <c r="I522" i="2" s="1"/>
  <c r="I535" i="2"/>
  <c r="J476" i="2"/>
  <c r="J509" i="2" s="1"/>
  <c r="I820" i="2"/>
  <c r="H586" i="2"/>
  <c r="E15" i="4" s="1"/>
  <c r="I586" i="2"/>
  <c r="E16" i="4" s="1"/>
  <c r="H476" i="2"/>
  <c r="H509" i="2" s="1"/>
  <c r="I543" i="2"/>
  <c r="I544" i="2"/>
  <c r="I476" i="2"/>
  <c r="I509" i="2" s="1"/>
  <c r="G586" i="2"/>
  <c r="E14" i="4" s="1"/>
  <c r="I533" i="2"/>
  <c r="H820" i="2"/>
  <c r="J820" i="2"/>
  <c r="J586" i="2"/>
  <c r="E17" i="4" s="1"/>
  <c r="G479" i="2"/>
  <c r="G484" i="2" s="1"/>
  <c r="G520" i="2" s="1"/>
  <c r="G522" i="2" s="1"/>
  <c r="G533" i="2"/>
  <c r="G538" i="2"/>
  <c r="G535" i="2"/>
  <c r="N544" i="2"/>
  <c r="G543" i="2"/>
  <c r="G476" i="2"/>
  <c r="G509" i="2" s="1"/>
  <c r="G515" i="2" s="1"/>
  <c r="G573" i="2" s="1"/>
  <c r="G578" i="2" s="1"/>
  <c r="H894" i="2"/>
  <c r="J543" i="2"/>
  <c r="H912" i="2"/>
  <c r="J533" i="2"/>
  <c r="G820" i="2"/>
  <c r="H522" i="2"/>
  <c r="N538" i="2"/>
  <c r="N535" i="2"/>
  <c r="AG802" i="2"/>
  <c r="AH802" i="2" s="1"/>
  <c r="N529" i="2"/>
  <c r="N830" i="2" s="1"/>
  <c r="N533" i="2"/>
  <c r="AG809" i="2"/>
  <c r="AH809" i="2" s="1"/>
  <c r="N530" i="2"/>
  <c r="N479" i="2"/>
  <c r="N484" i="2" s="1"/>
  <c r="J538" i="2"/>
  <c r="J479" i="2"/>
  <c r="J484" i="2" s="1"/>
  <c r="J520" i="2" s="1"/>
  <c r="J535" i="2"/>
  <c r="N820" i="2"/>
  <c r="J912" i="2"/>
  <c r="J894" i="2"/>
  <c r="F818" i="2"/>
  <c r="N476" i="2"/>
  <c r="N586" i="2"/>
  <c r="E21" i="4" s="1"/>
  <c r="I894" i="2"/>
  <c r="I876" i="2"/>
  <c r="I912" i="2"/>
  <c r="G894" i="2"/>
  <c r="G912" i="2"/>
  <c r="G913" i="2" s="1"/>
  <c r="G876" i="2"/>
  <c r="AG70" i="2"/>
  <c r="AH70" i="2" s="1"/>
  <c r="AG355" i="2"/>
  <c r="AH355" i="2" s="1"/>
  <c r="AG184" i="2"/>
  <c r="AH184" i="2" s="1"/>
  <c r="F243" i="2"/>
  <c r="AG243" i="2" s="1"/>
  <c r="AH243" i="2" s="1"/>
  <c r="AG766" i="2"/>
  <c r="AH766" i="2" s="1"/>
  <c r="F71" i="2"/>
  <c r="AG71" i="2" s="1"/>
  <c r="AH71" i="2" s="1"/>
  <c r="F72" i="2"/>
  <c r="AG72" i="2" s="1"/>
  <c r="AH72" i="2" s="1"/>
  <c r="F300" i="2"/>
  <c r="AG300" i="2" s="1"/>
  <c r="AH300" i="2" s="1"/>
  <c r="F14" i="2"/>
  <c r="AG14" i="2" s="1"/>
  <c r="AH14" i="2" s="1"/>
  <c r="F356" i="2"/>
  <c r="AG356" i="2" s="1"/>
  <c r="AH356" i="2" s="1"/>
  <c r="F128" i="2"/>
  <c r="AG128" i="2" s="1"/>
  <c r="AH128" i="2" s="1"/>
  <c r="F413" i="2"/>
  <c r="AG413" i="2" s="1"/>
  <c r="AH413" i="2" s="1"/>
  <c r="F357" i="2"/>
  <c r="AG357" i="2" s="1"/>
  <c r="AH357" i="2" s="1"/>
  <c r="F186" i="2"/>
  <c r="AG186" i="2" s="1"/>
  <c r="AH186" i="2" s="1"/>
  <c r="F299" i="2"/>
  <c r="AG299" i="2" s="1"/>
  <c r="AH299" i="2" s="1"/>
  <c r="F242" i="2"/>
  <c r="AG242" i="2" s="1"/>
  <c r="AH242" i="2" s="1"/>
  <c r="F414" i="2"/>
  <c r="AG414" i="2" s="1"/>
  <c r="AH414" i="2" s="1"/>
  <c r="F13" i="2"/>
  <c r="AG13" i="2" s="1"/>
  <c r="AH13" i="2" s="1"/>
  <c r="F185" i="2"/>
  <c r="F129" i="2"/>
  <c r="AG129" i="2" s="1"/>
  <c r="AH129" i="2" s="1"/>
  <c r="AG12" i="2"/>
  <c r="AH12" i="2" s="1"/>
  <c r="AG298" i="2"/>
  <c r="AH298" i="2" s="1"/>
  <c r="AG127" i="2"/>
  <c r="AH127" i="2" s="1"/>
  <c r="AG412" i="2"/>
  <c r="AH412" i="2" s="1"/>
  <c r="AG241" i="2"/>
  <c r="AH241" i="2" s="1"/>
  <c r="H892" i="2" l="1"/>
  <c r="H910" i="2"/>
  <c r="H545" i="2"/>
  <c r="H547" i="2" s="1"/>
  <c r="H582" i="2" s="1"/>
  <c r="C15" i="4" s="1"/>
  <c r="AG530" i="2"/>
  <c r="AH530" i="2" s="1"/>
  <c r="N831" i="2"/>
  <c r="N848" i="2" s="1"/>
  <c r="N847" i="2"/>
  <c r="N857" i="2"/>
  <c r="J822" i="2"/>
  <c r="J832" i="2"/>
  <c r="J833" i="2"/>
  <c r="G822" i="2"/>
  <c r="G832" i="2"/>
  <c r="G833" i="2"/>
  <c r="I822" i="2"/>
  <c r="I832" i="2"/>
  <c r="I833" i="2"/>
  <c r="H822" i="2"/>
  <c r="H832" i="2"/>
  <c r="H858" i="2" s="1"/>
  <c r="H833" i="2"/>
  <c r="H850" i="2" s="1"/>
  <c r="N832" i="2"/>
  <c r="N833" i="2"/>
  <c r="H486" i="2"/>
  <c r="H501" i="2" s="1"/>
  <c r="I486" i="2"/>
  <c r="I501" i="2" s="1"/>
  <c r="I545" i="2"/>
  <c r="G545" i="2"/>
  <c r="G486" i="2"/>
  <c r="G490" i="2" s="1"/>
  <c r="J545" i="2"/>
  <c r="J522" i="2"/>
  <c r="AG529" i="2"/>
  <c r="AH529" i="2" s="1"/>
  <c r="N545" i="2"/>
  <c r="J486" i="2"/>
  <c r="J501" i="2" s="1"/>
  <c r="F847" i="2"/>
  <c r="N822" i="2"/>
  <c r="F819" i="2"/>
  <c r="B14" i="4"/>
  <c r="N520" i="2"/>
  <c r="J892" i="2"/>
  <c r="J874" i="2"/>
  <c r="J910" i="2"/>
  <c r="I874" i="2"/>
  <c r="I892" i="2"/>
  <c r="I910" i="2"/>
  <c r="H515" i="2"/>
  <c r="H573" i="2" s="1"/>
  <c r="H578" i="2" s="1"/>
  <c r="I515" i="2"/>
  <c r="I573" i="2" s="1"/>
  <c r="I578" i="2" s="1"/>
  <c r="G892" i="2"/>
  <c r="G874" i="2"/>
  <c r="G910" i="2"/>
  <c r="J515" i="2"/>
  <c r="J573" i="2" s="1"/>
  <c r="J578" i="2" s="1"/>
  <c r="N509" i="2"/>
  <c r="N486" i="2"/>
  <c r="F302" i="2"/>
  <c r="F345" i="2" s="1"/>
  <c r="F540" i="2" s="1"/>
  <c r="AG540" i="2" s="1"/>
  <c r="AH540" i="2" s="1"/>
  <c r="F359" i="2"/>
  <c r="AG185" i="2"/>
  <c r="AH185" i="2" s="1"/>
  <c r="F245" i="2"/>
  <c r="F16" i="2"/>
  <c r="F416" i="2"/>
  <c r="F188" i="2"/>
  <c r="F131" i="2"/>
  <c r="F74" i="2"/>
  <c r="J858" i="2" l="1"/>
  <c r="J879" i="2" s="1"/>
  <c r="N912" i="2"/>
  <c r="N894" i="2"/>
  <c r="N876" i="2"/>
  <c r="J547" i="2"/>
  <c r="J582" i="2" s="1"/>
  <c r="C17" i="4" s="1"/>
  <c r="I547" i="2"/>
  <c r="I582" i="2" s="1"/>
  <c r="G547" i="2"/>
  <c r="G550" i="2" s="1"/>
  <c r="F521" i="2"/>
  <c r="AG521" i="2" s="1"/>
  <c r="AH521" i="2" s="1"/>
  <c r="F531" i="2"/>
  <c r="I490" i="2"/>
  <c r="H490" i="2"/>
  <c r="H849" i="2"/>
  <c r="H851" i="2" s="1"/>
  <c r="H859" i="2"/>
  <c r="H902" i="2" s="1"/>
  <c r="H920" i="2" s="1"/>
  <c r="H922" i="2" s="1"/>
  <c r="G14" i="14" s="1"/>
  <c r="H834" i="2"/>
  <c r="I858" i="2"/>
  <c r="I897" i="2" s="1"/>
  <c r="I850" i="2"/>
  <c r="G850" i="2"/>
  <c r="J850" i="2"/>
  <c r="G858" i="2"/>
  <c r="G897" i="2" s="1"/>
  <c r="G501" i="2"/>
  <c r="J490" i="2"/>
  <c r="N522" i="2"/>
  <c r="N547" i="2" s="1"/>
  <c r="N582" i="2" s="1"/>
  <c r="C21" i="4" s="1"/>
  <c r="N850" i="2"/>
  <c r="N859" i="2"/>
  <c r="J849" i="2"/>
  <c r="N858" i="2"/>
  <c r="AG819" i="2"/>
  <c r="AH819" i="2" s="1"/>
  <c r="F857" i="2"/>
  <c r="N515" i="2"/>
  <c r="N573" i="2" s="1"/>
  <c r="N578" i="2" s="1"/>
  <c r="B21" i="4" s="1"/>
  <c r="B17" i="4"/>
  <c r="B16" i="4"/>
  <c r="B15" i="4"/>
  <c r="D15" i="4" s="1"/>
  <c r="H584" i="2"/>
  <c r="H879" i="2"/>
  <c r="H897" i="2"/>
  <c r="I913" i="2"/>
  <c r="N501" i="2"/>
  <c r="N490" i="2"/>
  <c r="H550" i="2"/>
  <c r="AG302" i="2"/>
  <c r="AH302" i="2" s="1"/>
  <c r="F59" i="2"/>
  <c r="AG16" i="2"/>
  <c r="AH16" i="2" s="1"/>
  <c r="F459" i="2"/>
  <c r="AG416" i="2"/>
  <c r="AH416" i="2" s="1"/>
  <c r="F231" i="2"/>
  <c r="F498" i="2"/>
  <c r="AG188" i="2"/>
  <c r="AH188" i="2" s="1"/>
  <c r="AG74" i="2"/>
  <c r="AH74" i="2" s="1"/>
  <c r="F117" i="2"/>
  <c r="AG117" i="2" s="1"/>
  <c r="AH117" i="2" s="1"/>
  <c r="AG818" i="2"/>
  <c r="F174" i="2"/>
  <c r="AG131" i="2"/>
  <c r="AH131" i="2" s="1"/>
  <c r="AG245" i="2"/>
  <c r="AH245" i="2" s="1"/>
  <c r="F288" i="2"/>
  <c r="F480" i="2"/>
  <c r="AG480" i="2" s="1"/>
  <c r="AH480" i="2" s="1"/>
  <c r="AG345" i="2"/>
  <c r="AH345" i="2" s="1"/>
  <c r="F402" i="2"/>
  <c r="F537" i="2" s="1"/>
  <c r="AG359" i="2"/>
  <c r="AH359" i="2" s="1"/>
  <c r="AG531" i="2" l="1"/>
  <c r="AH531" i="2" s="1"/>
  <c r="F826" i="2"/>
  <c r="I550" i="2"/>
  <c r="G562" i="2"/>
  <c r="G556" i="2"/>
  <c r="G885" i="2" s="1"/>
  <c r="G560" i="2"/>
  <c r="C16" i="4"/>
  <c r="D16" i="4" s="1"/>
  <c r="I584" i="2"/>
  <c r="I592" i="2" s="1"/>
  <c r="G582" i="2"/>
  <c r="C14" i="4" s="1"/>
  <c r="D14" i="4" s="1"/>
  <c r="G14" i="4" s="1"/>
  <c r="H904" i="2"/>
  <c r="H884" i="2"/>
  <c r="I849" i="2"/>
  <c r="I851" i="2" s="1"/>
  <c r="I879" i="2"/>
  <c r="I859" i="2"/>
  <c r="I884" i="2" s="1"/>
  <c r="G849" i="2"/>
  <c r="G851" i="2" s="1"/>
  <c r="I834" i="2"/>
  <c r="G879" i="2"/>
  <c r="G834" i="2"/>
  <c r="G859" i="2"/>
  <c r="G902" i="2" s="1"/>
  <c r="J834" i="2"/>
  <c r="J859" i="2"/>
  <c r="J884" i="2" s="1"/>
  <c r="J851" i="2"/>
  <c r="J584" i="2"/>
  <c r="J592" i="2" s="1"/>
  <c r="D17" i="4"/>
  <c r="F17" i="4" s="1"/>
  <c r="J550" i="2"/>
  <c r="D21" i="4"/>
  <c r="F541" i="2"/>
  <c r="AG541" i="2" s="1"/>
  <c r="AH541" i="2" s="1"/>
  <c r="F542" i="2"/>
  <c r="AG542" i="2" s="1"/>
  <c r="AH542" i="2" s="1"/>
  <c r="F544" i="2"/>
  <c r="F543" i="2"/>
  <c r="AG543" i="2" s="1"/>
  <c r="AH543" i="2" s="1"/>
  <c r="N897" i="2"/>
  <c r="N879" i="2"/>
  <c r="N884" i="2"/>
  <c r="N902" i="2"/>
  <c r="J897" i="2"/>
  <c r="J915" i="2" s="1"/>
  <c r="J917" i="2" s="1"/>
  <c r="AG831" i="2"/>
  <c r="AH831" i="2" s="1"/>
  <c r="F848" i="2"/>
  <c r="N550" i="2"/>
  <c r="N849" i="2"/>
  <c r="N851" i="2" s="1"/>
  <c r="N834" i="2"/>
  <c r="N584" i="2"/>
  <c r="N588" i="2" s="1"/>
  <c r="G915" i="2"/>
  <c r="G917" i="2" s="1"/>
  <c r="G918" i="2" s="1"/>
  <c r="G899" i="2"/>
  <c r="I562" i="2"/>
  <c r="I556" i="2"/>
  <c r="I880" i="2" s="1"/>
  <c r="I560" i="2"/>
  <c r="I564" i="2"/>
  <c r="H588" i="2"/>
  <c r="H592" i="2"/>
  <c r="I915" i="2"/>
  <c r="I899" i="2"/>
  <c r="H562" i="2"/>
  <c r="H560" i="2"/>
  <c r="H556" i="2"/>
  <c r="H880" i="2" s="1"/>
  <c r="F15" i="4"/>
  <c r="G15" i="4"/>
  <c r="H915" i="2"/>
  <c r="H899" i="2"/>
  <c r="AG537" i="2"/>
  <c r="AH537" i="2" s="1"/>
  <c r="F533" i="2"/>
  <c r="F535" i="2"/>
  <c r="AG288" i="2"/>
  <c r="AH288" i="2" s="1"/>
  <c r="F532" i="2"/>
  <c r="F538" i="2"/>
  <c r="F479" i="2"/>
  <c r="AG231" i="2"/>
  <c r="AH231" i="2" s="1"/>
  <c r="AG459" i="2"/>
  <c r="AH459" i="2" s="1"/>
  <c r="F482" i="2"/>
  <c r="AG482" i="2" s="1"/>
  <c r="AH482" i="2" s="1"/>
  <c r="F474" i="2"/>
  <c r="AG474" i="2" s="1"/>
  <c r="AH474" i="2" s="1"/>
  <c r="F472" i="2"/>
  <c r="F473" i="2"/>
  <c r="AG473" i="2" s="1"/>
  <c r="AH473" i="2" s="1"/>
  <c r="F488" i="2"/>
  <c r="AG174" i="2"/>
  <c r="AH174" i="2" s="1"/>
  <c r="F481" i="2"/>
  <c r="AG481" i="2" s="1"/>
  <c r="AH481" i="2" s="1"/>
  <c r="AG402" i="2"/>
  <c r="AH402" i="2" s="1"/>
  <c r="AH818" i="2"/>
  <c r="AG59" i="2"/>
  <c r="AH59" i="2" s="1"/>
  <c r="F553" i="2"/>
  <c r="AG553" i="2" s="1"/>
  <c r="AH553" i="2" s="1"/>
  <c r="F843" i="2" l="1"/>
  <c r="AG843" i="2" s="1"/>
  <c r="AG826" i="2"/>
  <c r="AH826" i="2" s="1"/>
  <c r="F855" i="2"/>
  <c r="G880" i="2"/>
  <c r="G881" i="2" s="1"/>
  <c r="I588" i="2"/>
  <c r="F16" i="4"/>
  <c r="G16" i="4"/>
  <c r="F14" i="4"/>
  <c r="G584" i="2"/>
  <c r="G592" i="2" s="1"/>
  <c r="G884" i="2"/>
  <c r="G886" i="2" s="1"/>
  <c r="I902" i="2"/>
  <c r="I904" i="2" s="1"/>
  <c r="J902" i="2"/>
  <c r="J920" i="2" s="1"/>
  <c r="J922" i="2" s="1"/>
  <c r="G18" i="14" s="1"/>
  <c r="J556" i="2"/>
  <c r="J880" i="2" s="1"/>
  <c r="J881" i="2" s="1"/>
  <c r="J560" i="2"/>
  <c r="G17" i="4"/>
  <c r="J562" i="2"/>
  <c r="J588" i="2"/>
  <c r="AG544" i="2"/>
  <c r="AH544" i="2" s="1"/>
  <c r="F545" i="2"/>
  <c r="AG848" i="2"/>
  <c r="F853" i="2"/>
  <c r="N560" i="2"/>
  <c r="G21" i="4"/>
  <c r="F21" i="4"/>
  <c r="J899" i="2"/>
  <c r="F820" i="2"/>
  <c r="N904" i="2"/>
  <c r="N920" i="2"/>
  <c r="N922" i="2" s="1"/>
  <c r="N899" i="2"/>
  <c r="N915" i="2"/>
  <c r="N917" i="2" s="1"/>
  <c r="N562" i="2"/>
  <c r="N556" i="2"/>
  <c r="N885" i="2" s="1"/>
  <c r="N886" i="2" s="1"/>
  <c r="G920" i="2"/>
  <c r="G922" i="2" s="1"/>
  <c r="G12" i="14" s="1"/>
  <c r="G904" i="2"/>
  <c r="N592" i="2"/>
  <c r="H917" i="2"/>
  <c r="H885" i="2"/>
  <c r="H886" i="2" s="1"/>
  <c r="H881" i="2"/>
  <c r="I881" i="2"/>
  <c r="I885" i="2"/>
  <c r="I886" i="2" s="1"/>
  <c r="I917" i="2"/>
  <c r="AG830" i="2"/>
  <c r="AH830" i="2" s="1"/>
  <c r="AG533" i="2"/>
  <c r="AH533" i="2" s="1"/>
  <c r="AG535" i="2"/>
  <c r="AH535" i="2" s="1"/>
  <c r="AG829" i="2"/>
  <c r="AH829" i="2" s="1"/>
  <c r="AG532" i="2"/>
  <c r="AH532" i="2" s="1"/>
  <c r="AG472" i="2"/>
  <c r="AH472" i="2" s="1"/>
  <c r="F476" i="2"/>
  <c r="AG479" i="2"/>
  <c r="AH479" i="2" s="1"/>
  <c r="F484" i="2"/>
  <c r="F520" i="2" s="1"/>
  <c r="F552" i="2"/>
  <c r="AG488" i="2"/>
  <c r="AH488" i="2" s="1"/>
  <c r="AG538" i="2"/>
  <c r="AH538" i="2" s="1"/>
  <c r="F832" i="2" l="1"/>
  <c r="F833" i="2"/>
  <c r="G588" i="2"/>
  <c r="I920" i="2"/>
  <c r="I922" i="2" s="1"/>
  <c r="G16" i="14" s="1"/>
  <c r="J885" i="2"/>
  <c r="J886" i="2" s="1"/>
  <c r="J904" i="2"/>
  <c r="F522" i="2"/>
  <c r="F547" i="2" s="1"/>
  <c r="N880" i="2"/>
  <c r="N881" i="2" s="1"/>
  <c r="AG545" i="2"/>
  <c r="AH545" i="2" s="1"/>
  <c r="F859" i="2"/>
  <c r="AG847" i="2"/>
  <c r="F912" i="2"/>
  <c r="F894" i="2"/>
  <c r="F876" i="2"/>
  <c r="AG827" i="2"/>
  <c r="AH827" i="2" s="1"/>
  <c r="AG846" i="2"/>
  <c r="AG828" i="2"/>
  <c r="AH828" i="2" s="1"/>
  <c r="AG552" i="2"/>
  <c r="AH552" i="2" s="1"/>
  <c r="F554" i="2"/>
  <c r="AG484" i="2"/>
  <c r="AH484" i="2" s="1"/>
  <c r="F509" i="2"/>
  <c r="F486" i="2"/>
  <c r="AG476" i="2"/>
  <c r="AH476" i="2" s="1"/>
  <c r="AG820" i="2"/>
  <c r="F822" i="2"/>
  <c r="AG832" i="2" l="1"/>
  <c r="AG833" i="2"/>
  <c r="AH833" i="2"/>
  <c r="F850" i="2"/>
  <c r="AG850" i="2" s="1"/>
  <c r="F892" i="2"/>
  <c r="F910" i="2"/>
  <c r="F874" i="2"/>
  <c r="AG844" i="2"/>
  <c r="F875" i="2"/>
  <c r="F893" i="2" s="1"/>
  <c r="F911" i="2" s="1"/>
  <c r="F913" i="2" s="1"/>
  <c r="AG845" i="2"/>
  <c r="AG509" i="2"/>
  <c r="AH509" i="2" s="1"/>
  <c r="F515" i="2"/>
  <c r="F573" i="2" s="1"/>
  <c r="AH820" i="2"/>
  <c r="AG822" i="2"/>
  <c r="AH822" i="2" s="1"/>
  <c r="F586" i="2"/>
  <c r="AG554" i="2"/>
  <c r="AH554" i="2" s="1"/>
  <c r="AG486" i="2"/>
  <c r="F490" i="2"/>
  <c r="F501" i="2"/>
  <c r="F858" i="2"/>
  <c r="F849" i="2"/>
  <c r="F834" i="2"/>
  <c r="AG520" i="2"/>
  <c r="F902" i="2"/>
  <c r="F884" i="2"/>
  <c r="AH520" i="2" l="1"/>
  <c r="AG522" i="2"/>
  <c r="AH522" i="2" s="1"/>
  <c r="AG586" i="2"/>
  <c r="AH586" i="2" s="1"/>
  <c r="E13" i="4"/>
  <c r="E22" i="4" s="1"/>
  <c r="F851" i="2"/>
  <c r="AG851" i="2" s="1"/>
  <c r="AG849" i="2"/>
  <c r="F897" i="2"/>
  <c r="F879" i="2"/>
  <c r="AH832" i="2"/>
  <c r="AG834" i="2"/>
  <c r="AH834" i="2" s="1"/>
  <c r="F920" i="2"/>
  <c r="F922" i="2" s="1"/>
  <c r="G10" i="14" s="1"/>
  <c r="F904" i="2"/>
  <c r="F578" i="2"/>
  <c r="AG573" i="2"/>
  <c r="AH573" i="2" s="1"/>
  <c r="F582" i="2"/>
  <c r="AG547" i="2"/>
  <c r="AH547" i="2" s="1"/>
  <c r="AG501" i="2"/>
  <c r="AH501" i="2" s="1"/>
  <c r="AH486" i="2"/>
  <c r="AG490" i="2"/>
  <c r="AH490" i="2" s="1"/>
  <c r="AG515" i="2"/>
  <c r="AH515" i="2" s="1"/>
  <c r="F550" i="2"/>
  <c r="F556" i="2" l="1"/>
  <c r="F560" i="2"/>
  <c r="AG550" i="2"/>
  <c r="AH550" i="2" s="1"/>
  <c r="F562" i="2"/>
  <c r="AG582" i="2"/>
  <c r="AH582" i="2" s="1"/>
  <c r="C13" i="4"/>
  <c r="C22" i="4" s="1"/>
  <c r="F915" i="2"/>
  <c r="F917" i="2" s="1"/>
  <c r="F899" i="2"/>
  <c r="AG578" i="2"/>
  <c r="AH578" i="2" s="1"/>
  <c r="F584" i="2"/>
  <c r="B13" i="4"/>
  <c r="F918" i="2" l="1"/>
  <c r="F925" i="2"/>
  <c r="F592" i="2"/>
  <c r="F588" i="2"/>
  <c r="AG584" i="2"/>
  <c r="AH584" i="2" s="1"/>
  <c r="B22" i="4"/>
  <c r="D13" i="4"/>
  <c r="AG562" i="2"/>
  <c r="D562" i="2"/>
  <c r="F563" i="2" s="1"/>
  <c r="F885" i="2"/>
  <c r="F886" i="2" s="1"/>
  <c r="F880" i="2"/>
  <c r="F881" i="2" s="1"/>
  <c r="G13" i="4" l="1"/>
  <c r="D22" i="4"/>
  <c r="F13" i="4"/>
  <c r="G563" i="2"/>
  <c r="H563" i="2"/>
  <c r="K563" i="2"/>
  <c r="M563" i="2"/>
  <c r="N563" i="2"/>
  <c r="L563" i="2"/>
  <c r="J563" i="2"/>
  <c r="F565" i="2"/>
  <c r="F564" i="2"/>
  <c r="AG594" i="2" l="1"/>
  <c r="I566" i="2" s="1"/>
  <c r="I567" i="2" s="1"/>
  <c r="K565" i="2"/>
  <c r="K564" i="2"/>
  <c r="G565" i="2"/>
  <c r="G564" i="2"/>
  <c r="H564" i="2"/>
  <c r="H565" i="2"/>
  <c r="AG563" i="2"/>
  <c r="J565" i="2"/>
  <c r="J564" i="2"/>
  <c r="G22" i="4"/>
  <c r="F22" i="4"/>
  <c r="N565" i="2"/>
  <c r="N564" i="2"/>
  <c r="M564" i="2"/>
  <c r="M565" i="2"/>
  <c r="M567" i="2"/>
  <c r="L567" i="2"/>
  <c r="L565" i="2"/>
  <c r="L564" i="2"/>
  <c r="H566" i="2" l="1"/>
  <c r="H567" i="2" s="1"/>
  <c r="G566" i="2"/>
  <c r="G567" i="2" s="1"/>
  <c r="N566" i="2"/>
  <c r="N567" i="2" s="1"/>
  <c r="K566" i="2"/>
  <c r="K567" i="2" s="1"/>
  <c r="J566" i="2"/>
  <c r="J567" i="2" s="1"/>
  <c r="F566" i="2"/>
  <c r="F567" i="2" s="1"/>
  <c r="AG56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tc={786000A8-6163-49F6-968F-AF4A9900F483}</author>
    <author>tc={C51D5B87-467C-4097-BAAB-58C333E05AF2}</author>
    <author>tc={4BD5E5CE-F707-4200-A06F-10757B50E017}</author>
    <author>tc={92DF35C5-BE93-430B-B249-49D25CFD73F3}</author>
  </authors>
  <commentList>
    <comment ref="F161" authorId="0" shapeId="0" xr:uid="{786000A8-6163-49F6-968F-AF4A9900F483}">
      <text>
        <t>[Threaded comment]
Your version of Excel allows you to read this threaded comment; however, any edits to it will get removed if the file is opened in a newer version of Excel. Learn more: https://go.microsoft.com/fwlink/?linkid=870924
Comment:
    purchased power less environmental surcharge and DLC surcharge credit</t>
      </text>
    </comment>
    <comment ref="F182" authorId="1" shapeId="0" xr:uid="{C51D5B87-467C-4097-BAAB-58C333E05AF2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Moved $14,500 to 595</t>
      </text>
    </comment>
    <comment ref="F200" authorId="2" shapeId="0" xr:uid="{4BD5E5CE-F707-4200-A06F-10757B50E017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Moved $84,395.21 to 595</t>
      </text>
    </comment>
    <comment ref="F202" authorId="3" shapeId="0" xr:uid="{92DF35C5-BE93-430B-B249-49D25CFD73F3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Moved $14,500 from 583 and $84,395.21 from 593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Seelye</author>
  </authors>
  <commentList>
    <comment ref="O4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Direct assigned due to service line that was lighting specific but booked in services account</t>
        </r>
      </text>
    </comment>
  </commentList>
</comments>
</file>

<file path=xl/sharedStrings.xml><?xml version="1.0" encoding="utf-8"?>
<sst xmlns="http://schemas.openxmlformats.org/spreadsheetml/2006/main" count="4751" uniqueCount="1110">
  <si>
    <t>Functional</t>
  </si>
  <si>
    <t>Total</t>
  </si>
  <si>
    <t>Purchase Power</t>
  </si>
  <si>
    <t>Station Equipment</t>
  </si>
  <si>
    <t>Primary Distribution Plant</t>
  </si>
  <si>
    <t>Customer Services</t>
  </si>
  <si>
    <t>Meters</t>
  </si>
  <si>
    <t>Lighting Systems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</si>
  <si>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</si>
  <si>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</si>
  <si>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</si>
  <si>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</si>
  <si>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</si>
  <si>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</si>
  <si>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</si>
  <si>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</si>
  <si>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</si>
  <si>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</si>
  <si>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</si>
  <si>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LAND AND LAND RIGHTS</t>
  </si>
  <si>
    <t>P360</t>
  </si>
  <si>
    <t>Total Intangible Plant</t>
  </si>
  <si>
    <t>PINT</t>
  </si>
  <si>
    <t>Distribution</t>
  </si>
  <si>
    <t>STATION EQUIPMENT</t>
  </si>
  <si>
    <t>P362</t>
  </si>
  <si>
    <t>F001</t>
  </si>
  <si>
    <t>POLES, TOWERS AND FIXTURES</t>
  </si>
  <si>
    <t>P364</t>
  </si>
  <si>
    <t>F002</t>
  </si>
  <si>
    <t>OVERHEAD CONDUCTORS AND DEVICE</t>
  </si>
  <si>
    <t>P365</t>
  </si>
  <si>
    <t>F003</t>
  </si>
  <si>
    <t>UNDERGROUND CONDUIT</t>
  </si>
  <si>
    <t>P366</t>
  </si>
  <si>
    <t>F004</t>
  </si>
  <si>
    <t>UNDERGROUND CONDUCTORS AND DEV</t>
  </si>
  <si>
    <t>P367</t>
  </si>
  <si>
    <t>LINE TRANSFORMERS</t>
  </si>
  <si>
    <t>P368</t>
  </si>
  <si>
    <t>F005</t>
  </si>
  <si>
    <t>SERVICES</t>
  </si>
  <si>
    <t>P369</t>
  </si>
  <si>
    <t>F006</t>
  </si>
  <si>
    <t>METERS</t>
  </si>
  <si>
    <t>P370</t>
  </si>
  <si>
    <t>F007</t>
  </si>
  <si>
    <t>INSTALLATIONS ON CONSUMERS PRE</t>
  </si>
  <si>
    <t>P371</t>
  </si>
  <si>
    <t>STREET LIGHTING AND SIGNAL SYS</t>
  </si>
  <si>
    <t>P373</t>
  </si>
  <si>
    <t>F008</t>
  </si>
  <si>
    <t>Total Distribution Plant</t>
  </si>
  <si>
    <t>General Plant</t>
  </si>
  <si>
    <t>P389</t>
  </si>
  <si>
    <t>STRUCTURES AND IMPROVEMENTS</t>
  </si>
  <si>
    <t>P390</t>
  </si>
  <si>
    <t>OFFICE FURNITURE AND EQUIPMENT</t>
  </si>
  <si>
    <t>P391</t>
  </si>
  <si>
    <t>TRANSPORTATION EQUIPMENT</t>
  </si>
  <si>
    <t>P392</t>
  </si>
  <si>
    <t>STORES EQUIPMENT</t>
  </si>
  <si>
    <t>P393</t>
  </si>
  <si>
    <t>TOOLS, SHOP &amp; GARAGE EQUIPMENT</t>
  </si>
  <si>
    <t>P394</t>
  </si>
  <si>
    <t>LABORATORY EQUIPMENT</t>
  </si>
  <si>
    <t>P395</t>
  </si>
  <si>
    <t>POWER OPERATED EQUIPMENT</t>
  </si>
  <si>
    <t>P396</t>
  </si>
  <si>
    <t>COMMUNICATION EQUIPMENT</t>
  </si>
  <si>
    <t>P397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</si>
  <si>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</si>
  <si>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</si>
  <si>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</si>
  <si>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</si>
  <si>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</si>
  <si>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</si>
  <si>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</si>
  <si>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</si>
  <si>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</si>
  <si>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</si>
  <si>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</si>
  <si>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</si>
  <si>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Less: Acummulated Provision for Depreciation</t>
  </si>
  <si>
    <t xml:space="preserve">  General Plant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</si>
  <si>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</si>
  <si>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</si>
  <si>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</si>
  <si>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</si>
  <si>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</si>
  <si>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</si>
  <si>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</si>
  <si>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</si>
  <si>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</si>
  <si>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</si>
  <si>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</si>
  <si>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</si>
  <si>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</si>
  <si>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Less: Customer Deposits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</si>
  <si>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</si>
  <si>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</si>
  <si>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</si>
  <si>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</si>
  <si>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</si>
  <si>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</si>
  <si>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</si>
  <si>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</si>
  <si>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</si>
  <si>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</si>
  <si>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</si>
  <si>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</si>
  <si>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</si>
  <si>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</si>
  <si>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</si>
  <si>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</si>
  <si>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</si>
  <si>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</si>
  <si>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</si>
  <si>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</si>
  <si>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</si>
  <si>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</si>
  <si>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</si>
  <si>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</si>
  <si>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</si>
  <si>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</si>
  <si>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</si>
  <si>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</si>
  <si>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</si>
  <si>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</si>
  <si>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</si>
  <si>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</si>
  <si>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</si>
  <si>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</si>
  <si>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</si>
  <si>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</si>
  <si>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</si>
  <si>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</si>
  <si>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</si>
  <si>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</si>
  <si>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</si>
  <si>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</si>
  <si>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</si>
  <si>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</si>
  <si>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</si>
  <si>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</si>
  <si>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</si>
  <si>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</si>
  <si>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</si>
  <si>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</si>
  <si>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</si>
  <si>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</si>
  <si>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</si>
  <si>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</si>
  <si>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</si>
  <si>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</si>
  <si>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</si>
  <si>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</si>
  <si>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</si>
  <si>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</si>
  <si>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</si>
  <si>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</si>
  <si>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</si>
  <si>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</si>
  <si>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</si>
  <si>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</si>
  <si>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</si>
  <si>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</si>
  <si>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</si>
  <si>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</si>
  <si>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</si>
  <si>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</si>
  <si>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</si>
  <si>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</si>
  <si>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INJURIES AND DAMAGES - INSURAN</t>
  </si>
  <si>
    <t>OM925</t>
  </si>
  <si>
    <t>EMPLOYEE BENEFITS</t>
  </si>
  <si>
    <t>OM926</t>
  </si>
  <si>
    <t>REGULATORY COMMISSION EXPENSES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</si>
  <si>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</si>
  <si>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</si>
  <si>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</si>
  <si>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</si>
  <si>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</si>
  <si>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</si>
  <si>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</si>
  <si>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</si>
  <si>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</si>
  <si>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</si>
  <si>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</si>
  <si>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</si>
  <si>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</si>
  <si>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</si>
  <si>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</si>
  <si>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Property Taxes</t>
  </si>
  <si>
    <t>PTAX</t>
  </si>
  <si>
    <t>OT</t>
  </si>
  <si>
    <t>Interest -- LTD</t>
  </si>
  <si>
    <t>INTLTD</t>
  </si>
  <si>
    <t>Interest -- Other</t>
  </si>
  <si>
    <t>INTOTH</t>
  </si>
  <si>
    <t>Other Deductions</t>
  </si>
  <si>
    <t>DEDUCT</t>
  </si>
  <si>
    <t>Total Other Expenses</t>
  </si>
  <si>
    <t>TOE</t>
  </si>
  <si>
    <t>Functional Vectors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</si>
  <si>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</si>
  <si>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</si>
  <si>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</si>
  <si>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</si>
  <si>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</si>
  <si>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</si>
  <si>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</si>
  <si>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</si>
  <si>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</si>
  <si>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</si>
  <si>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D01</t>
  </si>
  <si>
    <t>PLPPE</t>
  </si>
  <si>
    <t>E01</t>
  </si>
  <si>
    <t>Total Purchase Power</t>
  </si>
  <si>
    <t>PLPPT</t>
  </si>
  <si>
    <t>PLSED</t>
  </si>
  <si>
    <t>D02</t>
  </si>
  <si>
    <t>D03</t>
  </si>
  <si>
    <t xml:space="preserve">  Customer</t>
  </si>
  <si>
    <t>Total Primary Distribution Plant</t>
  </si>
  <si>
    <t>PLCSD</t>
  </si>
  <si>
    <t>D04</t>
  </si>
  <si>
    <t>PLCSC</t>
  </si>
  <si>
    <t>C02</t>
  </si>
  <si>
    <t>Total Customer Services</t>
  </si>
  <si>
    <t>PLMC</t>
  </si>
  <si>
    <t>C03</t>
  </si>
  <si>
    <t>PLLSC</t>
  </si>
  <si>
    <t>C04</t>
  </si>
  <si>
    <t>PLMRBC</t>
  </si>
  <si>
    <t>C05</t>
  </si>
  <si>
    <t>C06</t>
  </si>
  <si>
    <t>PLT</t>
  </si>
  <si>
    <t>NPPPE</t>
  </si>
  <si>
    <t>NPPPT</t>
  </si>
  <si>
    <t>NPSED</t>
  </si>
  <si>
    <t>NPCSD</t>
  </si>
  <si>
    <t>NPCSC</t>
  </si>
  <si>
    <t>NPMC</t>
  </si>
  <si>
    <t>NPLSC</t>
  </si>
  <si>
    <t>NPMRBC</t>
  </si>
  <si>
    <t>NPT</t>
  </si>
  <si>
    <t>Net Cost Rate Base</t>
  </si>
  <si>
    <t>RBPPE</t>
  </si>
  <si>
    <t>RBPPT</t>
  </si>
  <si>
    <t>RBSED</t>
  </si>
  <si>
    <t>RBCSD</t>
  </si>
  <si>
    <t>RBCSC</t>
  </si>
  <si>
    <t>RBMC</t>
  </si>
  <si>
    <t>RBLSC</t>
  </si>
  <si>
    <t>RBMRBC</t>
  </si>
  <si>
    <t>RBT</t>
  </si>
  <si>
    <t>OMPPE</t>
  </si>
  <si>
    <t>OMPPT</t>
  </si>
  <si>
    <t>OMSED</t>
  </si>
  <si>
    <t>OMCSD</t>
  </si>
  <si>
    <t>OMCSC</t>
  </si>
  <si>
    <t>OMMC</t>
  </si>
  <si>
    <t>OMLSC</t>
  </si>
  <si>
    <t>OMMRBC</t>
  </si>
  <si>
    <t>OMT</t>
  </si>
  <si>
    <t>LBPPE</t>
  </si>
  <si>
    <t>LBPPT</t>
  </si>
  <si>
    <t>LBSED</t>
  </si>
  <si>
    <t>LBCSD</t>
  </si>
  <si>
    <t>LBCSC</t>
  </si>
  <si>
    <t>LBMC</t>
  </si>
  <si>
    <t>LBLSC</t>
  </si>
  <si>
    <t>LBMRBC</t>
  </si>
  <si>
    <t>LBT</t>
  </si>
  <si>
    <t>DPPPE</t>
  </si>
  <si>
    <t>DPPPT</t>
  </si>
  <si>
    <t>DPSED</t>
  </si>
  <si>
    <t>DPCSD</t>
  </si>
  <si>
    <t>DPCSC</t>
  </si>
  <si>
    <t>DPMC</t>
  </si>
  <si>
    <t>DPLSC</t>
  </si>
  <si>
    <t>DPMRBC</t>
  </si>
  <si>
    <t>DPT</t>
  </si>
  <si>
    <t>PTSED</t>
  </si>
  <si>
    <t>PTCSD</t>
  </si>
  <si>
    <t>PTCSC</t>
  </si>
  <si>
    <t>PTMC</t>
  </si>
  <si>
    <t>PTLSC</t>
  </si>
  <si>
    <t>PTMRBC</t>
  </si>
  <si>
    <t>PTT</t>
  </si>
  <si>
    <t>Other Taxes</t>
  </si>
  <si>
    <t>OTPPE</t>
  </si>
  <si>
    <t>OTPPT</t>
  </si>
  <si>
    <t>OTSED</t>
  </si>
  <si>
    <t>OTCSD</t>
  </si>
  <si>
    <t>OTCSC</t>
  </si>
  <si>
    <t>OTMC</t>
  </si>
  <si>
    <t>OTLSC</t>
  </si>
  <si>
    <t>OTMRBC</t>
  </si>
  <si>
    <t>OTT</t>
  </si>
  <si>
    <t>Operating Revenues</t>
  </si>
  <si>
    <t xml:space="preserve">  Sales to Members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</si>
  <si>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</si>
  <si>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</si>
  <si>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</si>
  <si>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</si>
  <si>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</si>
  <si>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</si>
  <si>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 xml:space="preserve">   Property Taxes</t>
  </si>
  <si>
    <t xml:space="preserve">   Other Taxes</t>
  </si>
  <si>
    <t>Total Operating Expenses</t>
  </si>
  <si>
    <t>Utility Operating Margin</t>
  </si>
  <si>
    <t>Rate of Return</t>
  </si>
  <si>
    <t>Energy Allocation Factors</t>
  </si>
  <si>
    <t>Energy Usage by Class</t>
  </si>
  <si>
    <t>Demand Allocation Factors</t>
  </si>
  <si>
    <t>Purchase Power -- Average 12 CP</t>
  </si>
  <si>
    <t>Station Equipment -- Maximum Class Demand</t>
  </si>
  <si>
    <t>Primary Distribution Plant -- Maximum Class Demand</t>
  </si>
  <si>
    <t>Services -- Maximum Individual Demand</t>
  </si>
  <si>
    <t>Customer Allocation Factors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</si>
  <si>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</si>
  <si>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</si>
  <si>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</si>
  <si>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</si>
  <si>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</si>
  <si>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Rev</t>
  </si>
  <si>
    <t>Transmission</t>
  </si>
  <si>
    <t>CONDUCTORS AND DEVICES</t>
  </si>
  <si>
    <t>P350</t>
  </si>
  <si>
    <t>P353</t>
  </si>
  <si>
    <t>P355</t>
  </si>
  <si>
    <t>P356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</si>
  <si>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</si>
  <si>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</si>
  <si>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</si>
  <si>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</si>
  <si>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</si>
  <si>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</si>
  <si>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</si>
  <si>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MISCELLANEOUS EQUIPMENT</t>
  </si>
  <si>
    <t>P398</t>
  </si>
  <si>
    <t>Plant in Service (Continued)</t>
  </si>
  <si>
    <t xml:space="preserve">  Total Utility Plant</t>
  </si>
  <si>
    <t xml:space="preserve">  Electric Plant Amortization</t>
  </si>
  <si>
    <t xml:space="preserve">  Retirement Work in Progress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</si>
  <si>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</si>
  <si>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</si>
  <si>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</si>
  <si>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</si>
  <si>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</si>
  <si>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</si>
  <si>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</si>
  <si>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</si>
  <si>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</si>
  <si>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</si>
  <si>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</si>
  <si>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</si>
  <si>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</si>
  <si>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</si>
  <si>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</si>
  <si>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</si>
  <si>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</si>
  <si>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</si>
  <si>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 xml:space="preserve">DEPR EXP-GENERAL PLANT        </t>
  </si>
  <si>
    <t>AMORT ELECT PLANT ACQUISIT ADJ</t>
  </si>
  <si>
    <t>Total Cost of Service (O&amp;M + Other Expenses)</t>
  </si>
  <si>
    <t>PTRAN</t>
  </si>
  <si>
    <t>F011</t>
  </si>
  <si>
    <t>Total Tranmission and Distribution Plant</t>
  </si>
  <si>
    <t>PT&amp;D</t>
  </si>
  <si>
    <t>ADEPREPA</t>
  </si>
  <si>
    <t>RWIP</t>
  </si>
  <si>
    <t>ADEPRTP</t>
  </si>
  <si>
    <t>M&amp;S</t>
  </si>
  <si>
    <t>DDEBPP</t>
  </si>
  <si>
    <t>OM555</t>
  </si>
  <si>
    <t>OTHER EXPENSES</t>
  </si>
  <si>
    <t>Total Purchased Power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</si>
  <si>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</si>
  <si>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</si>
  <si>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</si>
  <si>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</si>
  <si>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</si>
  <si>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</si>
  <si>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</si>
  <si>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</si>
  <si>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</si>
  <si>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</si>
  <si>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Sub-Total Transmission, Distribution, Cust Acct and Cust Service</t>
  </si>
  <si>
    <t>OMSUB2</t>
  </si>
  <si>
    <t>Operation and Maintenance Expenses Less Purchase Power</t>
  </si>
  <si>
    <t>Cash Working Capital - Operation and Maintenance Expenses</t>
  </si>
  <si>
    <t>DEPRTP</t>
  </si>
  <si>
    <t>DEPRGP</t>
  </si>
  <si>
    <t>DEPRLTEP</t>
  </si>
  <si>
    <t>DEPRAADJ</t>
  </si>
  <si>
    <t>P352</t>
  </si>
  <si>
    <t>TOWERS AND FIXTURES</t>
  </si>
  <si>
    <t>POLES AND FIXTURES</t>
  </si>
  <si>
    <t>P354</t>
  </si>
  <si>
    <t>ROADS AND TRAILS</t>
  </si>
  <si>
    <t>P359</t>
  </si>
  <si>
    <t>P361</t>
  </si>
  <si>
    <t>OTHER</t>
  </si>
  <si>
    <t xml:space="preserve">  CWIP Transmission</t>
  </si>
  <si>
    <t xml:space="preserve">  Dist-Structures</t>
  </si>
  <si>
    <t xml:space="preserve">  Dist-Station</t>
  </si>
  <si>
    <t xml:space="preserve">  Dist-Poles and Fixtures</t>
  </si>
  <si>
    <t xml:space="preserve">  Dist-OH Conductor</t>
  </si>
  <si>
    <t xml:space="preserve">  Dist-UG Conductor</t>
  </si>
  <si>
    <t xml:space="preserve">  Dist-Line Transformers</t>
  </si>
  <si>
    <t xml:space="preserve">  Dist-Services</t>
  </si>
  <si>
    <t xml:space="preserve">  Dist-Meters</t>
  </si>
  <si>
    <t xml:space="preserve">  Dist-Installations on Customer Premises</t>
  </si>
  <si>
    <t xml:space="preserve">  Dist-Lighting &amp; Signal Systems</t>
  </si>
  <si>
    <t>ADEPRD1</t>
  </si>
  <si>
    <t>ADEPRD2</t>
  </si>
  <si>
    <t>ADEPRD3</t>
  </si>
  <si>
    <t>ADEPRD4</t>
  </si>
  <si>
    <t>ADEPRD5</t>
  </si>
  <si>
    <t>ADEPRD6</t>
  </si>
  <si>
    <t>ADEPRD7</t>
  </si>
  <si>
    <t>ADEPRD8</t>
  </si>
  <si>
    <t>ADEPRD9</t>
  </si>
  <si>
    <t>ADEPRD10</t>
  </si>
  <si>
    <t>ADEPRD11</t>
  </si>
  <si>
    <t xml:space="preserve">  Dist-UG Conduit</t>
  </si>
  <si>
    <t>ADEPRD12</t>
  </si>
  <si>
    <t xml:space="preserve">  CWIP General Plant</t>
  </si>
  <si>
    <t xml:space="preserve">  CWIP Distribution Plant</t>
  </si>
  <si>
    <t xml:space="preserve">  RWIP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</si>
  <si>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</si>
  <si>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</si>
  <si>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</si>
  <si>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</si>
  <si>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</si>
  <si>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</si>
  <si>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</si>
  <si>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</si>
  <si>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</si>
  <si>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</si>
  <si>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</si>
  <si>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</si>
  <si>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</si>
  <si>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</si>
  <si>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DEPRDP7</t>
  </si>
  <si>
    <t>DEPRDP8</t>
  </si>
  <si>
    <t>DEPRDP9</t>
  </si>
  <si>
    <t>DEPRDP10</t>
  </si>
  <si>
    <t>DEPRDP11</t>
  </si>
  <si>
    <t>DEPRDP12</t>
  </si>
  <si>
    <t>Load Management</t>
  </si>
  <si>
    <t>F012</t>
  </si>
  <si>
    <t>PLTRD</t>
  </si>
  <si>
    <t>NPTRD</t>
  </si>
  <si>
    <t>RBTRD</t>
  </si>
  <si>
    <t>OMTRD</t>
  </si>
  <si>
    <t>DPTRD</t>
  </si>
  <si>
    <t>PTTRD</t>
  </si>
  <si>
    <t>OTTRD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</si>
  <si>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</si>
  <si>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</si>
  <si>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</si>
  <si>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</si>
  <si>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</si>
  <si>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</si>
  <si>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</si>
  <si>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LB568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</si>
  <si>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</si>
  <si>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</si>
  <si>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</si>
  <si>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</si>
  <si>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</si>
  <si>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</si>
  <si>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</si>
  <si>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</si>
  <si>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</si>
  <si>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</si>
  <si>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</si>
  <si>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</si>
  <si>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</si>
  <si>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</si>
  <si>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</si>
  <si>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</si>
  <si>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</si>
  <si>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</si>
  <si>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</si>
  <si>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</si>
  <si>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</si>
  <si>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</si>
  <si>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</si>
  <si>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</si>
  <si>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</si>
  <si>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</si>
  <si>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</si>
  <si>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</si>
  <si>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</si>
  <si>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</si>
  <si>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</si>
  <si>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</si>
  <si>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</si>
  <si>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</si>
  <si>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</si>
  <si>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</si>
  <si>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</si>
  <si>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</si>
  <si>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LB921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</si>
  <si>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</si>
  <si>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</si>
  <si>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</si>
  <si>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</si>
  <si>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</si>
  <si>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</si>
  <si>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</si>
  <si>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</si>
  <si>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</si>
  <si>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</si>
  <si>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</si>
  <si>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</si>
  <si>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</si>
  <si>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</si>
  <si>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</si>
  <si>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</si>
  <si>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</si>
  <si>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</si>
  <si>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</si>
  <si>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</si>
  <si>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</si>
  <si>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</si>
  <si>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</si>
  <si>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</si>
  <si>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Sub-Total Trans, Distr, Cust Acct and Cust Service Labor Exp</t>
  </si>
  <si>
    <t>Meter Reading, Billing and Customer Service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</si>
  <si>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</si>
  <si>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</si>
  <si>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</si>
  <si>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</si>
  <si>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</si>
  <si>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</si>
  <si>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</si>
  <si>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</si>
  <si>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CWIP1</t>
  </si>
  <si>
    <t>CWIP2</t>
  </si>
  <si>
    <t>CWIP3</t>
  </si>
  <si>
    <t>CWIP4</t>
  </si>
  <si>
    <t>CWIP5</t>
  </si>
  <si>
    <t>Customers (Monthly Bills)</t>
  </si>
  <si>
    <t>Average Customers (Bills/12)</t>
  </si>
  <si>
    <t>Average Customers (Lighting = Lights)</t>
  </si>
  <si>
    <t>R01</t>
  </si>
  <si>
    <t>Cust01</t>
  </si>
  <si>
    <t>Cust02</t>
  </si>
  <si>
    <t>Cust03</t>
  </si>
  <si>
    <t>Cust04</t>
  </si>
  <si>
    <t>Average Rate per kWh (Revenue/kWh)</t>
  </si>
  <si>
    <t>NCP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</si>
  <si>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</si>
  <si>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</si>
  <si>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</si>
  <si>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</si>
  <si>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</si>
  <si>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Utility Operating Margin -- Pro-Forma</t>
  </si>
  <si>
    <t>LEASED PROP. ON CONSUMERS PREMISES</t>
  </si>
  <si>
    <t>P372</t>
  </si>
  <si>
    <t>WATER HEATER - HEAT PUMP PROGRAM</t>
  </si>
  <si>
    <t>OM913</t>
  </si>
  <si>
    <t>ASSOCIATED DUES</t>
  </si>
  <si>
    <t>DIRECTORS EXPENSE</t>
  </si>
  <si>
    <t>PLANT HELD FOR FUTURE USE</t>
  </si>
  <si>
    <t>P105</t>
  </si>
  <si>
    <t>Kwh</t>
  </si>
  <si>
    <t xml:space="preserve">  Dist</t>
  </si>
  <si>
    <t>Service Pension Cost</t>
  </si>
  <si>
    <t>PENSCOST</t>
  </si>
  <si>
    <t xml:space="preserve">  Distribution Plant</t>
  </si>
  <si>
    <t xml:space="preserve">  CWIP General Plant -- Generators</t>
  </si>
  <si>
    <t>Average</t>
  </si>
  <si>
    <t>Cost of Service Summary -- Unadjusted Results</t>
  </si>
  <si>
    <t>Customers</t>
  </si>
  <si>
    <t>Meter</t>
  </si>
  <si>
    <t>Cost</t>
  </si>
  <si>
    <t>Factor</t>
  </si>
  <si>
    <t>P399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</si>
  <si>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</si>
  <si>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</si>
  <si>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</si>
  <si>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</si>
  <si>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</si>
  <si>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</si>
  <si>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</si>
  <si>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PAYROLL GENERAL LEDGER DEFAULT</t>
  </si>
  <si>
    <t>Coincident Load Factor</t>
  </si>
  <si>
    <t>Customer Specific Assignment</t>
  </si>
  <si>
    <t>Transmission Residual</t>
  </si>
  <si>
    <t xml:space="preserve">Transmission Plant In Service </t>
  </si>
  <si>
    <t>Transmission Residual Demand Allocator</t>
  </si>
  <si>
    <t>TRDA</t>
  </si>
  <si>
    <t>TA1</t>
  </si>
  <si>
    <t>Transmission Total</t>
  </si>
  <si>
    <t>T01</t>
  </si>
  <si>
    <t>Substation Residual Demand Allocator</t>
  </si>
  <si>
    <t xml:space="preserve">Substation Plant In Service </t>
  </si>
  <si>
    <t>Substation Residual</t>
  </si>
  <si>
    <t>Substation Total</t>
  </si>
  <si>
    <t>SDA</t>
  </si>
  <si>
    <t>ST1</t>
  </si>
  <si>
    <t>SA1</t>
  </si>
  <si>
    <t>Cust05</t>
  </si>
  <si>
    <t>Cust06</t>
  </si>
  <si>
    <t>CSA</t>
  </si>
  <si>
    <t>Customer Services Demand</t>
  </si>
  <si>
    <t>CSD</t>
  </si>
  <si>
    <t>Transmission Plant Allocator</t>
  </si>
  <si>
    <t>TOMDA</t>
  </si>
  <si>
    <t>TOMA</t>
  </si>
  <si>
    <t>T02</t>
  </si>
  <si>
    <t>SOMDA</t>
  </si>
  <si>
    <t>STOM</t>
  </si>
  <si>
    <t>SOMA</t>
  </si>
  <si>
    <t>Transmission O&amp;M Allocator</t>
  </si>
  <si>
    <t>Substation Plant Allocator</t>
  </si>
  <si>
    <t>Substation O&amp;M Allocator</t>
  </si>
  <si>
    <t xml:space="preserve">Other Deferred Debits </t>
  </si>
  <si>
    <t>ADVERTISING EXPENSES</t>
  </si>
  <si>
    <t>MDSE-JOBBING-CONTRACT</t>
  </si>
  <si>
    <t>MISC SALES EXPENSE</t>
  </si>
  <si>
    <t>OM916</t>
  </si>
  <si>
    <t>LB915</t>
  </si>
  <si>
    <t>LB916</t>
  </si>
  <si>
    <t>Non-Coincident</t>
  </si>
  <si>
    <t>Distribution Demand</t>
  </si>
  <si>
    <t>Distribution Customer</t>
  </si>
  <si>
    <t>Operating Expenses-Unit Costs</t>
  </si>
  <si>
    <t>Rate Base-Unit Costs</t>
  </si>
  <si>
    <t>Average Annual kWh (Annual kWh/Customer)</t>
  </si>
  <si>
    <t>Non-Coincident Load Factor</t>
  </si>
  <si>
    <t>Unit Revenue Requirement @ Current Class Revenues</t>
  </si>
  <si>
    <t xml:space="preserve">Distribution Demand </t>
  </si>
  <si>
    <t>Distribution Demand (Per Kwh or Kw)</t>
  </si>
  <si>
    <t>Distribution Demand Margin (Per Kwh or Kw)</t>
  </si>
  <si>
    <t>Total Distribution Demand (Per Kwh or Kw)</t>
  </si>
  <si>
    <t xml:space="preserve">Distribution Customer </t>
  </si>
  <si>
    <t>Distribution Customer (Per Customer Per Month)</t>
  </si>
  <si>
    <t>Distribution Customer Margin (Per Customer Per Month)</t>
  </si>
  <si>
    <t>Total Distribution Customer (Per Customer Per Month)</t>
  </si>
  <si>
    <t>Unit Revenue Requirement @ Total System Rate of Return</t>
  </si>
  <si>
    <t xml:space="preserve">Distribution Demand (Per Kwh or Kw) </t>
  </si>
  <si>
    <t xml:space="preserve">Operating </t>
  </si>
  <si>
    <t>Expenses</t>
  </si>
  <si>
    <t>Operating</t>
  </si>
  <si>
    <t>Summary of Billing Determinants and Demand Analysis</t>
  </si>
  <si>
    <t>OM911</t>
  </si>
  <si>
    <t>LB911</t>
  </si>
  <si>
    <t>Average Customers (Ligthing =45 Lights per Cust)</t>
  </si>
  <si>
    <t>Customer Services Customer</t>
  </si>
  <si>
    <t>Customer Services Demand Allocator</t>
  </si>
  <si>
    <t>Customer Services Customer Allocator</t>
  </si>
  <si>
    <t>CSC</t>
  </si>
  <si>
    <t>CSCA</t>
  </si>
  <si>
    <t>Avg. Purchased Power Cost</t>
  </si>
  <si>
    <t>Marketing/Economic Development</t>
  </si>
  <si>
    <t>Average Demand</t>
  </si>
  <si>
    <t>Non-Coincident Demand</t>
  </si>
  <si>
    <t>Coincidence Factor</t>
  </si>
  <si>
    <t>Coincident Demand</t>
  </si>
  <si>
    <t>Purchased Power Analysis</t>
  </si>
  <si>
    <t>Maximum</t>
  </si>
  <si>
    <t>Max</t>
  </si>
  <si>
    <t>Sum of Individual Customer Demands</t>
  </si>
  <si>
    <t>Diversified Load Factor</t>
  </si>
  <si>
    <t>Individual Customer Load Factor</t>
  </si>
  <si>
    <t>CNCP</t>
  </si>
  <si>
    <t>Summary of Pro-Formed Rates of Return by Class</t>
  </si>
  <si>
    <t>Service</t>
  </si>
  <si>
    <t>LOAD MANAGEMENT DEVICES</t>
  </si>
  <si>
    <t>MAINTENANCE OF SECURITY LIGHTS</t>
  </si>
  <si>
    <t>OM598.1</t>
  </si>
  <si>
    <t>CUSTOMER ASSISTANCE EXP-INCENTIVES</t>
  </si>
  <si>
    <t>Mtr Rdg, Blg &amp; Cust Service</t>
  </si>
  <si>
    <t>Not Used</t>
  </si>
  <si>
    <t>Customer Services -- Weighted cost of Services</t>
  </si>
  <si>
    <t>Unadjusted Purchase Power Allocation</t>
  </si>
  <si>
    <t>Pro-Formed Purchase Power Allocation</t>
  </si>
  <si>
    <t>OM942</t>
  </si>
  <si>
    <t>Installed</t>
  </si>
  <si>
    <t>Class Non-Coincident Peak Demands (Max)</t>
  </si>
  <si>
    <t>Sum of Ind</t>
  </si>
  <si>
    <t>Cust. Demand</t>
  </si>
  <si>
    <t>Sum of the Individual Customer Demands (Max)</t>
  </si>
  <si>
    <t xml:space="preserve">  Total Pro-forma Expense Adjustments</t>
  </si>
  <si>
    <t>Net Cost Rate Base - Unadjusted</t>
  </si>
  <si>
    <t>Net Cost Rate Base - Adjusted</t>
  </si>
  <si>
    <t>General Plant Demand Customer split</t>
  </si>
  <si>
    <t>MAINTENANCE OF DISTRIBUTION PLANT</t>
  </si>
  <si>
    <t>OM598</t>
  </si>
  <si>
    <t>Rate Base Adjustment</t>
  </si>
  <si>
    <t>Lighting - Plant Allocator</t>
  </si>
  <si>
    <t>Lighting - O&amp;M Allocator</t>
  </si>
  <si>
    <t>LPA</t>
  </si>
  <si>
    <t>LOMA</t>
  </si>
  <si>
    <t>R02</t>
  </si>
  <si>
    <t>Rate of Return - Rate Base</t>
  </si>
  <si>
    <t>Return on Revenue</t>
  </si>
  <si>
    <t>Table 1</t>
  </si>
  <si>
    <t>PLPPSID</t>
  </si>
  <si>
    <t>NPPPSID</t>
  </si>
  <si>
    <t>RBPPSID</t>
  </si>
  <si>
    <t>OMPPSID</t>
  </si>
  <si>
    <t>LBPPSID</t>
  </si>
  <si>
    <t>DPPPSID</t>
  </si>
  <si>
    <t>OTPPSID</t>
  </si>
  <si>
    <t>Rev - Extra Allocation Line</t>
  </si>
  <si>
    <t>Coincident</t>
  </si>
  <si>
    <t>Summer</t>
  </si>
  <si>
    <t>Winter</t>
  </si>
  <si>
    <t>Sum of 12 Month Coincident Peak Demands</t>
  </si>
  <si>
    <t>Sum of Summer Coincident Peak Demands</t>
  </si>
  <si>
    <t>Sum of Winter Coincident Peak Demands</t>
  </si>
  <si>
    <t>PPSCP</t>
  </si>
  <si>
    <t>PPWCP</t>
  </si>
  <si>
    <t>PPCP</t>
  </si>
  <si>
    <t xml:space="preserve">  Forfeited Discounts</t>
  </si>
  <si>
    <t>REVOFD</t>
  </si>
  <si>
    <t>REVOPC</t>
  </si>
  <si>
    <t>REVOERR</t>
  </si>
  <si>
    <t>REVOER</t>
  </si>
  <si>
    <t xml:space="preserve">  Misc. Service Revenues</t>
  </si>
  <si>
    <t>P101</t>
  </si>
  <si>
    <t>PROP. UNDER CAPITAL LEASES - TRNS. EQUIP&gt;</t>
  </si>
  <si>
    <t xml:space="preserve"> </t>
  </si>
  <si>
    <t>Primary Distr Plant</t>
  </si>
  <si>
    <t>Secondary Distr Plant</t>
  </si>
  <si>
    <t>Secondary Distribution Plant</t>
  </si>
  <si>
    <t>Primary Distribution Residual Demand Allocator</t>
  </si>
  <si>
    <t>Primary Distribution Total</t>
  </si>
  <si>
    <t>Primary Distribution Residual</t>
  </si>
  <si>
    <t xml:space="preserve">Primary Distribution Plant In Service </t>
  </si>
  <si>
    <t>Primary Distribution Plant Allocator</t>
  </si>
  <si>
    <t>Secondary Distribution Residual Demand Allocator</t>
  </si>
  <si>
    <t xml:space="preserve">Secondary Distribution Plant In Service </t>
  </si>
  <si>
    <t>Secondary Distribution Residual</t>
  </si>
  <si>
    <t>Secondary Distribution Total</t>
  </si>
  <si>
    <t>Secondary Distribution Plant Allocator</t>
  </si>
  <si>
    <t>PDDA</t>
  </si>
  <si>
    <t>PDOMDA</t>
  </si>
  <si>
    <t>PDT1</t>
  </si>
  <si>
    <t>PDA1</t>
  </si>
  <si>
    <t>PDOMA</t>
  </si>
  <si>
    <t>PDOM</t>
  </si>
  <si>
    <t>SDDA</t>
  </si>
  <si>
    <t>SDT1</t>
  </si>
  <si>
    <t>SDA1</t>
  </si>
  <si>
    <t>SDOMDA</t>
  </si>
  <si>
    <t>SDOMA</t>
  </si>
  <si>
    <t>SDOM</t>
  </si>
  <si>
    <t>Secondary Distribution Plant - Avg Number of Customers</t>
  </si>
  <si>
    <t>Primary Distribution Plant - Avg Number of Customers</t>
  </si>
  <si>
    <t>PCUS</t>
  </si>
  <si>
    <t>SCUS</t>
  </si>
  <si>
    <t>Cust07</t>
  </si>
  <si>
    <t>Other Production Plant</t>
  </si>
  <si>
    <t>P340</t>
  </si>
  <si>
    <t>FUEL HOLDERS, PRODUCER</t>
  </si>
  <si>
    <t>GENERATORS - B.I.</t>
  </si>
  <si>
    <t>P341</t>
  </si>
  <si>
    <t>P342</t>
  </si>
  <si>
    <t>P344</t>
  </si>
  <si>
    <t>P345</t>
  </si>
  <si>
    <t>ACCESSORY ELECTRIC EQUIPMENT</t>
  </si>
  <si>
    <t>STRUCTURES &amp; IMPROVEMENTS</t>
  </si>
  <si>
    <t>Production Plant</t>
  </si>
  <si>
    <t>Total Other Production Plant</t>
  </si>
  <si>
    <t>OM547</t>
  </si>
  <si>
    <t>OM548</t>
  </si>
  <si>
    <t>OM553</t>
  </si>
  <si>
    <t>DIESEL GENERATION - FUEL</t>
  </si>
  <si>
    <t>DIESEL GENERATION EXPENSES</t>
  </si>
  <si>
    <t>MAINTENANCE OF GEN &amp; ELEC EQUIP</t>
  </si>
  <si>
    <t>Other Power Generation Maintenance</t>
  </si>
  <si>
    <t>Total Other Power Generation Maintenance</t>
  </si>
  <si>
    <t>TOPG</t>
  </si>
  <si>
    <t>Production, Purchased Power, Trans. and Distr. Expenses</t>
  </si>
  <si>
    <t>LB547</t>
  </si>
  <si>
    <t>LB548</t>
  </si>
  <si>
    <t>LB553</t>
  </si>
  <si>
    <t>LBOPG</t>
  </si>
  <si>
    <t xml:space="preserve">  Production</t>
  </si>
  <si>
    <t>POPRO</t>
  </si>
  <si>
    <t xml:space="preserve">  Not Used</t>
  </si>
  <si>
    <t>PLPRD</t>
  </si>
  <si>
    <t>NPPRD</t>
  </si>
  <si>
    <t>RBPRD</t>
  </si>
  <si>
    <t>OMPRD</t>
  </si>
  <si>
    <t>NPSDPD</t>
  </si>
  <si>
    <t>NPPDPC</t>
  </si>
  <si>
    <t>NPPDPD</t>
  </si>
  <si>
    <t>NPSDPC</t>
  </si>
  <si>
    <t>PLPDPD</t>
  </si>
  <si>
    <t>PLPDPC</t>
  </si>
  <si>
    <t>PLSDPD</t>
  </si>
  <si>
    <t>PLSDPC</t>
  </si>
  <si>
    <t>RBPDPD</t>
  </si>
  <si>
    <t>RBPDPC</t>
  </si>
  <si>
    <t>RBSDPD</t>
  </si>
  <si>
    <t>RBSDPC</t>
  </si>
  <si>
    <t>OMPDPD</t>
  </si>
  <si>
    <t>OMPDPC</t>
  </si>
  <si>
    <t>OMSDPD</t>
  </si>
  <si>
    <t>OMSDPC</t>
  </si>
  <si>
    <t>LBPRD</t>
  </si>
  <si>
    <t>LBTRD</t>
  </si>
  <si>
    <t>LBPDPD</t>
  </si>
  <si>
    <t>LBPDPC</t>
  </si>
  <si>
    <t>LBSDPD</t>
  </si>
  <si>
    <t>LBSDPC</t>
  </si>
  <si>
    <t>DPPRD</t>
  </si>
  <si>
    <t>DPPDPD</t>
  </si>
  <si>
    <t>DPPDPC</t>
  </si>
  <si>
    <t>DPSDPD</t>
  </si>
  <si>
    <t>DPSDPC</t>
  </si>
  <si>
    <t>PTPPSID</t>
  </si>
  <si>
    <t>PTPPE</t>
  </si>
  <si>
    <t>PTPPT</t>
  </si>
  <si>
    <t>PTPRD</t>
  </si>
  <si>
    <t>PTPDPD</t>
  </si>
  <si>
    <t>PTPDPC</t>
  </si>
  <si>
    <t>PTSDPD</t>
  </si>
  <si>
    <t>PTSDPC</t>
  </si>
  <si>
    <t>OTPRD</t>
  </si>
  <si>
    <t>OTPDPD</t>
  </si>
  <si>
    <t>OTPDPC</t>
  </si>
  <si>
    <t>OTSDPD</t>
  </si>
  <si>
    <t>OTSDPC</t>
  </si>
  <si>
    <t>PPPTDRA</t>
  </si>
  <si>
    <t>PPPTDT</t>
  </si>
  <si>
    <t>PPSDDRA</t>
  </si>
  <si>
    <t>PPSDDT</t>
  </si>
  <si>
    <t>PPSDDA</t>
  </si>
  <si>
    <t>Transformers</t>
  </si>
  <si>
    <t>Total Transformers</t>
  </si>
  <si>
    <t>Transformer Residual Demand Allocator</t>
  </si>
  <si>
    <t xml:space="preserve">Transformer Plant In Service </t>
  </si>
  <si>
    <t>Transformer Residual</t>
  </si>
  <si>
    <t>Transformer Total</t>
  </si>
  <si>
    <t>Transformer Plant Allocator</t>
  </si>
  <si>
    <t>TRT1</t>
  </si>
  <si>
    <t>TRA1</t>
  </si>
  <si>
    <t>TROMDA</t>
  </si>
  <si>
    <t>TROMA</t>
  </si>
  <si>
    <t>TROM</t>
  </si>
  <si>
    <t>Cust08</t>
  </si>
  <si>
    <t>TCUS</t>
  </si>
  <si>
    <t>TRPDA</t>
  </si>
  <si>
    <t>PPLMCA</t>
  </si>
  <si>
    <t>PFPTDRA</t>
  </si>
  <si>
    <t>PFPTDT</t>
  </si>
  <si>
    <t>PFPTDA</t>
  </si>
  <si>
    <t>On-Peak Energy</t>
  </si>
  <si>
    <t>Off-Peak Energy</t>
  </si>
  <si>
    <t>SUBSCRIPTIONS</t>
  </si>
  <si>
    <t>OM914</t>
  </si>
  <si>
    <t>Units</t>
  </si>
  <si>
    <t>Rate</t>
  </si>
  <si>
    <t>Lighting</t>
  </si>
  <si>
    <t>Loss Adjusted energy</t>
  </si>
  <si>
    <t>Losenergy</t>
  </si>
  <si>
    <t>PLPPTD</t>
  </si>
  <si>
    <t>PLPPSD</t>
  </si>
  <si>
    <t>PLPPWD</t>
  </si>
  <si>
    <t>PLPPONE</t>
  </si>
  <si>
    <t>PLPPOFFE</t>
  </si>
  <si>
    <t>NPPPTD</t>
  </si>
  <si>
    <t>NPPPSD</t>
  </si>
  <si>
    <t>NPPPWD</t>
  </si>
  <si>
    <t>NPPPONE</t>
  </si>
  <si>
    <t>NPPPOFFE</t>
  </si>
  <si>
    <t>RBPPTD</t>
  </si>
  <si>
    <t>RBPPSD</t>
  </si>
  <si>
    <t>RBPPWD</t>
  </si>
  <si>
    <t>RBPPONE</t>
  </si>
  <si>
    <t>RBPPOFFE</t>
  </si>
  <si>
    <t>OMPPTD</t>
  </si>
  <si>
    <t>OMPPSD</t>
  </si>
  <si>
    <t>OMPPWD</t>
  </si>
  <si>
    <t>OMPPONE</t>
  </si>
  <si>
    <t>OMPPOFFE</t>
  </si>
  <si>
    <t>LBPPTD</t>
  </si>
  <si>
    <t>LBPPSD</t>
  </si>
  <si>
    <t>LBPPWD</t>
  </si>
  <si>
    <t>LBPPONE</t>
  </si>
  <si>
    <t>LBPPOFFE</t>
  </si>
  <si>
    <t>DPPPTD</t>
  </si>
  <si>
    <t>DPPPSD</t>
  </si>
  <si>
    <t>DPPPWD</t>
  </si>
  <si>
    <t>DPPONE</t>
  </si>
  <si>
    <t>DPPOFFE</t>
  </si>
  <si>
    <t>PTPPTD</t>
  </si>
  <si>
    <t>PTPPSD</t>
  </si>
  <si>
    <t>PTPPWD</t>
  </si>
  <si>
    <t>PTPPONE</t>
  </si>
  <si>
    <t>PTPPOFFE</t>
  </si>
  <si>
    <t>OTPPTD</t>
  </si>
  <si>
    <t>OTPPSD</t>
  </si>
  <si>
    <t>OTPPWD</t>
  </si>
  <si>
    <t>OTPPONE</t>
  </si>
  <si>
    <t>OTPPOFFE</t>
  </si>
  <si>
    <t>Purchased Power Sub. Demand Allocator</t>
  </si>
  <si>
    <t xml:space="preserve">Purchased Power Sub. Demand Costs </t>
  </si>
  <si>
    <t>Purchased Power Sub. Demand Residual</t>
  </si>
  <si>
    <t>Purchased Power Sub. Demand Total</t>
  </si>
  <si>
    <t>PPSUMRA</t>
  </si>
  <si>
    <t>PPSDT</t>
  </si>
  <si>
    <t>PPWDDRA</t>
  </si>
  <si>
    <t>PPWDDT</t>
  </si>
  <si>
    <t>PPONERA</t>
  </si>
  <si>
    <t>PPONET</t>
  </si>
  <si>
    <t>PPONEA</t>
  </si>
  <si>
    <t>Total Energy</t>
  </si>
  <si>
    <t>On-Peak Sales</t>
  </si>
  <si>
    <t>Off-Peak Sales</t>
  </si>
  <si>
    <t>Loss Adjusted On-Peak Energy</t>
  </si>
  <si>
    <t>Loss Adjusted Off-Peak Energy</t>
  </si>
  <si>
    <t>Purchased Power Off-Peak Energy Allocator</t>
  </si>
  <si>
    <t xml:space="preserve">Purchased Power Off-Peak Energy Costs </t>
  </si>
  <si>
    <t>Purchased Power Off-Peak Energy Residual</t>
  </si>
  <si>
    <t>Purchased Power Off-Peak Energy Total</t>
  </si>
  <si>
    <t>PPOFFEA</t>
  </si>
  <si>
    <t>PPOFFET</t>
  </si>
  <si>
    <t>Onpkkwh</t>
  </si>
  <si>
    <t>Offpkkwh</t>
  </si>
  <si>
    <t xml:space="preserve">  Other Revenue</t>
  </si>
  <si>
    <t xml:space="preserve">  Rents</t>
  </si>
  <si>
    <t>PFSDDRA</t>
  </si>
  <si>
    <t>PFSDDT</t>
  </si>
  <si>
    <t>PFSDDA</t>
  </si>
  <si>
    <t>PFSUMRA</t>
  </si>
  <si>
    <t>PFSDT</t>
  </si>
  <si>
    <t>PFSDA</t>
  </si>
  <si>
    <t>PFWDDRA</t>
  </si>
  <si>
    <t>PFWDDT</t>
  </si>
  <si>
    <t>PFWDA</t>
  </si>
  <si>
    <t>PFONERA</t>
  </si>
  <si>
    <t>PFONET</t>
  </si>
  <si>
    <t>PFONEA</t>
  </si>
  <si>
    <t>Actual Operating Expenses</t>
  </si>
  <si>
    <t>ProForma Operating Expenses</t>
  </si>
  <si>
    <t>Revenue Requirement Calculated at a ROR of</t>
  </si>
  <si>
    <t>Difference</t>
  </si>
  <si>
    <t>Meter Allocation</t>
  </si>
  <si>
    <t>Service Line Cost Allocation</t>
  </si>
  <si>
    <t>Actual Purchased Power</t>
  </si>
  <si>
    <t>PFOFFEA</t>
  </si>
  <si>
    <t>PFLMCA</t>
  </si>
  <si>
    <t>PFOFFET</t>
  </si>
  <si>
    <t>MISC DISTR EXP -- MAPPING</t>
  </si>
  <si>
    <t>Cost of Service Summary -- Rates of Return After Proposed Increase</t>
  </si>
  <si>
    <t>Proposed Increase</t>
  </si>
  <si>
    <t>Summary of Pro-Formed Rates of Return by Class After Proposed Increase</t>
  </si>
  <si>
    <t>DRU-DEMAND RESPONSE UNITS</t>
  </si>
  <si>
    <t>P374</t>
  </si>
  <si>
    <t>DONATED BACKBONE</t>
  </si>
  <si>
    <t>P375</t>
  </si>
  <si>
    <t>VEGETATION PROGRAM MANAGER</t>
  </si>
  <si>
    <t>OM922</t>
  </si>
  <si>
    <t>LB922</t>
  </si>
  <si>
    <t>LB950</t>
  </si>
  <si>
    <t>Finished</t>
  </si>
  <si>
    <t>Class</t>
  </si>
  <si>
    <t>N/A</t>
  </si>
  <si>
    <t>Purchased Power energy</t>
  </si>
  <si>
    <t>FRDCT</t>
  </si>
  <si>
    <t>Return on</t>
  </si>
  <si>
    <t>OM935</t>
  </si>
  <si>
    <t>LB935</t>
  </si>
  <si>
    <t>Amort Unrecovered Plant - Meters</t>
  </si>
  <si>
    <t>South Kentucky RECC</t>
  </si>
  <si>
    <t>Minimum Demand</t>
  </si>
  <si>
    <t>Excess of Minimum Demand</t>
  </si>
  <si>
    <t>Total Demand Charges</t>
  </si>
  <si>
    <t>Total Energy Charges</t>
  </si>
  <si>
    <t>Metering Point</t>
  </si>
  <si>
    <t>Sub/Wheeling</t>
  </si>
  <si>
    <t>FAC</t>
  </si>
  <si>
    <t>Sur Charge</t>
  </si>
  <si>
    <t>SubTotal</t>
  </si>
  <si>
    <t>Direct Load DLC</t>
  </si>
  <si>
    <t>Direct Load Surcharge</t>
  </si>
  <si>
    <t>Green Power</t>
  </si>
  <si>
    <t>Grand Total</t>
  </si>
  <si>
    <t>Panel Production Credit</t>
  </si>
  <si>
    <t>Rate E</t>
  </si>
  <si>
    <t>Rate B</t>
  </si>
  <si>
    <t>Rate C</t>
  </si>
  <si>
    <t>Actual Energy</t>
  </si>
  <si>
    <t>Ratchet Energy</t>
  </si>
  <si>
    <t>Kroger EDR Credit</t>
  </si>
  <si>
    <t>Power Bill</t>
  </si>
  <si>
    <t>Form 7 Total</t>
  </si>
  <si>
    <t>Residential, Farm and Non-Farm Service</t>
  </si>
  <si>
    <t>Annual Non-Coincident Demand</t>
  </si>
  <si>
    <t>Small Commercial</t>
  </si>
  <si>
    <t>Annual Sum of Individual Customer Demands</t>
  </si>
  <si>
    <t xml:space="preserve">Large Power </t>
  </si>
  <si>
    <t>Optional Power Service</t>
  </si>
  <si>
    <t>All Electric Schools</t>
  </si>
  <si>
    <t>Large Power Rate 1</t>
  </si>
  <si>
    <t>Large Power Rate 2</t>
  </si>
  <si>
    <t>Large Power Rate 3</t>
  </si>
  <si>
    <t>Residential, Farm and Non-Farm</t>
  </si>
  <si>
    <t>Rate 1,3,20,30,36,66</t>
  </si>
  <si>
    <t>Rate 2, 7, 22</t>
  </si>
  <si>
    <t>Large Power</t>
  </si>
  <si>
    <t>Rate 4</t>
  </si>
  <si>
    <t>Rate 5</t>
  </si>
  <si>
    <t>Rate 17</t>
  </si>
  <si>
    <t>Large Power 1</t>
  </si>
  <si>
    <t>Rate 9</t>
  </si>
  <si>
    <t>Large Power 2</t>
  </si>
  <si>
    <t>Rate 10</t>
  </si>
  <si>
    <t>Large Power 3</t>
  </si>
  <si>
    <t>Rate 14, 15</t>
  </si>
  <si>
    <t>On-Peak</t>
  </si>
  <si>
    <t>kWh</t>
  </si>
  <si>
    <t>Off-Peak</t>
  </si>
  <si>
    <t xml:space="preserve">  FAC - Monthly True-up Adjustment </t>
  </si>
  <si>
    <t xml:space="preserve">  Equity Group Generator Charges From EKPC</t>
  </si>
  <si>
    <t xml:space="preserve">  FAC Revenue</t>
  </si>
  <si>
    <t>FACREV</t>
  </si>
  <si>
    <t xml:space="preserve">  Equipment Charges</t>
  </si>
  <si>
    <t>Armstrong World Industries</t>
  </si>
  <si>
    <t>Walmart</t>
  </si>
  <si>
    <t>Eagle Hardwood</t>
  </si>
  <si>
    <t>Superior Battery</t>
  </si>
  <si>
    <t>Somerset Food Service</t>
  </si>
  <si>
    <t>Kroger</t>
  </si>
  <si>
    <t>American Woodmark 1</t>
  </si>
  <si>
    <t>American Woodmark 2</t>
  </si>
  <si>
    <t>Toyotetsu</t>
  </si>
  <si>
    <t>McCreary Prison</t>
  </si>
  <si>
    <t>Equity Group</t>
  </si>
  <si>
    <t>Grand Total Rate C</t>
  </si>
  <si>
    <t>Substation/ Metering Point</t>
  </si>
  <si>
    <t>Direct Load Control</t>
  </si>
  <si>
    <t>Total FAC</t>
  </si>
  <si>
    <t>Purchased Power Demand Allocator</t>
  </si>
  <si>
    <t xml:space="preserve">Purchased Power Demand Costs </t>
  </si>
  <si>
    <t>Purchased Power Demand Residual</t>
  </si>
  <si>
    <t>Purchased Power Demand Total</t>
  </si>
  <si>
    <t>Purchased Power Direct Load Control Allocator</t>
  </si>
  <si>
    <t xml:space="preserve">Purchased Power Direct Load Control Costs </t>
  </si>
  <si>
    <t>Purchased Power DLC Residual</t>
  </si>
  <si>
    <t>Purchased Power DLC Total</t>
  </si>
  <si>
    <t>Purchased Power DLC Allocator</t>
  </si>
  <si>
    <t>Purchased Power FAC Allocator</t>
  </si>
  <si>
    <t xml:space="preserve">Purchased Power FAC Costs </t>
  </si>
  <si>
    <t>Purchased Power FAC Residual</t>
  </si>
  <si>
    <t>Purchased Power FAC Total</t>
  </si>
  <si>
    <t>Purchased Power On-Peak Energy Allocator</t>
  </si>
  <si>
    <t xml:space="preserve">Purchased Power On-Peak Energy Costs </t>
  </si>
  <si>
    <t>Purchased Power On-Peak Energy Residual</t>
  </si>
  <si>
    <t>Purchased Power On-Peak Energy Total</t>
  </si>
  <si>
    <t xml:space="preserve">  On-Peak Energy</t>
  </si>
  <si>
    <t xml:space="preserve">  Off-Peak Energy/Direct Assigned</t>
  </si>
  <si>
    <t>Year End</t>
  </si>
  <si>
    <t xml:space="preserve">Year-End Primary Customers </t>
  </si>
  <si>
    <t xml:space="preserve">Year-End Secondary Customers </t>
  </si>
  <si>
    <t xml:space="preserve">Year-End Transformer Customers </t>
  </si>
  <si>
    <t xml:space="preserve">  Substation/Metering Point</t>
  </si>
  <si>
    <t xml:space="preserve">  Direct Load Control</t>
  </si>
  <si>
    <t xml:space="preserve">  FAC</t>
  </si>
  <si>
    <t>PPPDA</t>
  </si>
  <si>
    <t>PPDLCA</t>
  </si>
  <si>
    <t>PPFACA</t>
  </si>
  <si>
    <t xml:space="preserve">Cost of Service Summary </t>
  </si>
  <si>
    <t xml:space="preserve">  Move Toyotetsu from LP-1 to LP-2</t>
  </si>
  <si>
    <t>Adjustment to Annualize Wages and Salaries</t>
  </si>
  <si>
    <t>Adjustment to Normalize Board of Directors Elections</t>
  </si>
  <si>
    <t>Adjustment to Reflect Known Increase in Annual Audit Fees</t>
  </si>
  <si>
    <t>Adjustment to Eliminate Non-Recurring Back Tax Payment</t>
  </si>
  <si>
    <t>Adjustment to Reflect Rate Case Expenses</t>
  </si>
  <si>
    <t>Substation/Metering Point</t>
  </si>
  <si>
    <t>Off-Peak Energy/Direct Assigned</t>
  </si>
  <si>
    <t>Purchased Power Demand</t>
  </si>
  <si>
    <t>Purchased Power Substation Demand</t>
  </si>
  <si>
    <t>Adjustment to Reflect Bad Debt Expense Recapture</t>
  </si>
  <si>
    <t>Adjustment to Reflect Reduction in Annual Energy Assistance from EKPC</t>
  </si>
  <si>
    <t>Adjustment to Reflect Year End Customers</t>
  </si>
  <si>
    <t>Adjustment to Normalize Depreciation Expenses</t>
  </si>
  <si>
    <t>Adjustment to Remove 401K Match</t>
  </si>
  <si>
    <t>Adjustment to Normalize Life Insurance Premiums over $50,000</t>
  </si>
  <si>
    <t>Adjustment to Exclude Board of Directors Expenses</t>
  </si>
  <si>
    <t>Adjustment for Change in PSC Assessment Fee</t>
  </si>
  <si>
    <t>YREND</t>
  </si>
  <si>
    <t xml:space="preserve">  Year End Expense Adjustment</t>
  </si>
  <si>
    <t>Current</t>
  </si>
  <si>
    <t>Charge</t>
  </si>
  <si>
    <t>COSS</t>
  </si>
  <si>
    <t xml:space="preserve"> on Rate Base</t>
  </si>
  <si>
    <t>Acct. 555 Expense</t>
  </si>
  <si>
    <t>Less Purchased Power Expenses</t>
  </si>
  <si>
    <t>Net Expenses</t>
  </si>
  <si>
    <t>Adjustment to Reflect Flowthrough of EKPC Rate Increase</t>
  </si>
  <si>
    <t xml:space="preserve"> Substation/Metering Point</t>
  </si>
  <si>
    <t xml:space="preserve"> Direct Load Control</t>
  </si>
  <si>
    <t xml:space="preserve"> FAC</t>
  </si>
  <si>
    <t xml:space="preserve"> On-Peak Energy</t>
  </si>
  <si>
    <t xml:space="preserve"> Off-Peak Energy/Direct Assigned</t>
  </si>
  <si>
    <t>Adj to Purchased Power Cost to Match EKPC Flowthrough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</si>
</sst>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"/>
    <numFmt numFmtId="168" formatCode="0.000000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0.0000%"/>
    <numFmt numFmtId="177" formatCode="0.0%"/>
  </numFmts>
  <fonts count="32" x14ac:knownFonts="1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theme="3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>
      <alignment vertical="top"/>
    </xf>
    <xf numFmtId="0" fontId="1" fillId="0" borderId="0"/>
  </cellStyleXfs>
  <cellXfs count="235">
    <xf numFmtId="0" fontId="0" fillId="0" borderId="0" xfId="0"/>
    <xf numFmtId="0" fontId="10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0" fillId="0" borderId="0" xfId="0" quotePrefix="1" applyFill="1"/>
    <xf numFmtId="165" fontId="0" fillId="0" borderId="0" xfId="2" applyNumberFormat="1" applyFont="1" applyFill="1"/>
    <xf numFmtId="0" fontId="0" fillId="0" borderId="0" xfId="0" applyFill="1" applyAlignment="1">
      <alignment horizontal="center"/>
    </xf>
    <xf numFmtId="43" fontId="0" fillId="0" borderId="0" xfId="0" applyNumberFormat="1" applyFill="1"/>
    <xf numFmtId="165" fontId="0" fillId="0" borderId="0" xfId="0" applyNumberFormat="1" applyFill="1"/>
    <xf numFmtId="166" fontId="0" fillId="0" borderId="0" xfId="1" applyNumberFormat="1" applyFont="1" applyFill="1"/>
    <xf numFmtId="166" fontId="0" fillId="0" borderId="0" xfId="1" applyNumberFormat="1" applyFont="1" applyFill="1" applyBorder="1"/>
    <xf numFmtId="166" fontId="0" fillId="0" borderId="1" xfId="1" applyNumberFormat="1" applyFont="1" applyFill="1" applyBorder="1"/>
    <xf numFmtId="166" fontId="0" fillId="0" borderId="0" xfId="0" applyNumberFormat="1" applyFill="1"/>
    <xf numFmtId="44" fontId="0" fillId="0" borderId="0" xfId="2" applyFont="1" applyFill="1"/>
    <xf numFmtId="1" fontId="0" fillId="0" borderId="0" xfId="0" applyNumberFormat="1" applyFill="1"/>
    <xf numFmtId="166" fontId="7" fillId="0" borderId="0" xfId="1" applyNumberFormat="1" applyFont="1" applyFill="1" applyAlignment="1">
      <alignment horizontal="right"/>
    </xf>
    <xf numFmtId="10" fontId="0" fillId="0" borderId="0" xfId="3" applyNumberFormat="1" applyFont="1" applyFill="1"/>
    <xf numFmtId="43" fontId="0" fillId="0" borderId="0" xfId="1" applyNumberFormat="1" applyFont="1" applyFill="1"/>
    <xf numFmtId="166" fontId="0" fillId="0" borderId="0" xfId="0" applyNumberFormat="1" applyFill="1" applyBorder="1"/>
    <xf numFmtId="165" fontId="0" fillId="0" borderId="0" xfId="2" applyNumberFormat="1" applyFont="1" applyFill="1" applyBorder="1"/>
    <xf numFmtId="10" fontId="0" fillId="0" borderId="0" xfId="3" applyNumberFormat="1" applyFont="1" applyFill="1" applyBorder="1"/>
    <xf numFmtId="43" fontId="0" fillId="0" borderId="0" xfId="1" applyNumberFormat="1" applyFont="1" applyFill="1" applyBorder="1"/>
    <xf numFmtId="43" fontId="0" fillId="0" borderId="0" xfId="1" applyFont="1" applyFill="1"/>
    <xf numFmtId="166" fontId="3" fillId="0" borderId="0" xfId="1" applyNumberFormat="1" applyFill="1"/>
    <xf numFmtId="165" fontId="5" fillId="0" borderId="0" xfId="0" applyNumberFormat="1" applyFont="1" applyFill="1"/>
    <xf numFmtId="44" fontId="0" fillId="0" borderId="0" xfId="0" applyNumberFormat="1" applyFill="1"/>
    <xf numFmtId="165" fontId="5" fillId="0" borderId="1" xfId="0" applyNumberFormat="1" applyFont="1" applyFill="1" applyBorder="1"/>
    <xf numFmtId="10" fontId="0" fillId="0" borderId="1" xfId="3" applyNumberFormat="1" applyFont="1" applyFill="1" applyBorder="1"/>
    <xf numFmtId="0" fontId="12" fillId="0" borderId="0" xfId="0" applyFont="1" applyFill="1"/>
    <xf numFmtId="0" fontId="11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5" fontId="14" fillId="0" borderId="0" xfId="0" applyNumberFormat="1" applyFont="1" applyFill="1"/>
    <xf numFmtId="44" fontId="0" fillId="0" borderId="0" xfId="2" applyFont="1" applyFill="1" applyBorder="1"/>
    <xf numFmtId="17" fontId="7" fillId="0" borderId="0" xfId="0" applyNumberFormat="1" applyFont="1" applyFill="1" applyAlignment="1">
      <alignment horizontal="center"/>
    </xf>
    <xf numFmtId="171" fontId="0" fillId="0" borderId="0" xfId="1" applyNumberFormat="1" applyFont="1" applyFill="1"/>
    <xf numFmtId="43" fontId="7" fillId="0" borderId="0" xfId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0" fontId="7" fillId="0" borderId="0" xfId="0" applyFont="1" applyFill="1" applyBorder="1"/>
    <xf numFmtId="43" fontId="7" fillId="0" borderId="0" xfId="1" applyFont="1" applyFill="1" applyBorder="1" applyAlignment="1">
      <alignment horizontal="right"/>
    </xf>
    <xf numFmtId="171" fontId="7" fillId="0" borderId="0" xfId="1" applyNumberFormat="1" applyFont="1" applyFill="1" applyBorder="1" applyAlignment="1">
      <alignment horizontal="right" wrapText="1"/>
    </xf>
    <xf numFmtId="166" fontId="7" fillId="0" borderId="0" xfId="1" applyNumberFormat="1" applyFont="1" applyFill="1" applyBorder="1" applyAlignment="1">
      <alignment horizontal="right"/>
    </xf>
    <xf numFmtId="0" fontId="17" fillId="0" borderId="2" xfId="0" applyFont="1" applyFill="1" applyBorder="1" applyAlignment="1"/>
    <xf numFmtId="0" fontId="17" fillId="0" borderId="0" xfId="0" applyFont="1" applyFill="1" applyAlignment="1"/>
    <xf numFmtId="43" fontId="18" fillId="0" borderId="0" xfId="1" applyFont="1" applyFill="1"/>
    <xf numFmtId="43" fontId="17" fillId="0" borderId="0" xfId="1" applyFont="1" applyFill="1" applyAlignment="1">
      <alignment horizontal="right"/>
    </xf>
    <xf numFmtId="171" fontId="18" fillId="0" borderId="0" xfId="1" applyNumberFormat="1" applyFont="1" applyFill="1" applyAlignment="1">
      <alignment horizontal="right"/>
    </xf>
    <xf numFmtId="43" fontId="17" fillId="0" borderId="2" xfId="1" applyFont="1" applyFill="1" applyBorder="1" applyAlignment="1">
      <alignment horizontal="right"/>
    </xf>
    <xf numFmtId="171" fontId="17" fillId="0" borderId="2" xfId="1" applyNumberFormat="1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15" fillId="0" borderId="0" xfId="0" applyFont="1" applyFill="1"/>
    <xf numFmtId="0" fontId="7" fillId="0" borderId="2" xfId="0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165" fontId="3" fillId="0" borderId="0" xfId="2" applyNumberFormat="1" applyFill="1"/>
    <xf numFmtId="166" fontId="3" fillId="0" borderId="0" xfId="1" applyNumberFormat="1" applyFont="1" applyFill="1"/>
    <xf numFmtId="0" fontId="7" fillId="0" borderId="3" xfId="0" applyFont="1" applyFill="1" applyBorder="1"/>
    <xf numFmtId="0" fontId="7" fillId="0" borderId="4" xfId="0" applyFont="1" applyFill="1" applyBorder="1"/>
    <xf numFmtId="10" fontId="7" fillId="0" borderId="5" xfId="3" applyNumberFormat="1" applyFont="1" applyFill="1" applyBorder="1"/>
    <xf numFmtId="169" fontId="3" fillId="0" borderId="0" xfId="1" applyNumberFormat="1" applyFill="1"/>
    <xf numFmtId="167" fontId="0" fillId="0" borderId="0" xfId="0" applyNumberFormat="1" applyFill="1"/>
    <xf numFmtId="172" fontId="0" fillId="0" borderId="0" xfId="0" applyNumberFormat="1" applyFill="1"/>
    <xf numFmtId="173" fontId="0" fillId="0" borderId="0" xfId="0" applyNumberFormat="1" applyFill="1"/>
    <xf numFmtId="10" fontId="7" fillId="0" borderId="3" xfId="3" applyNumberFormat="1" applyFont="1" applyFill="1" applyBorder="1"/>
    <xf numFmtId="10" fontId="7" fillId="0" borderId="0" xfId="3" applyNumberFormat="1" applyFont="1" applyFill="1" applyBorder="1"/>
    <xf numFmtId="171" fontId="3" fillId="0" borderId="0" xfId="1" applyNumberFormat="1" applyFill="1"/>
    <xf numFmtId="170" fontId="3" fillId="0" borderId="0" xfId="1" applyNumberFormat="1" applyFill="1"/>
    <xf numFmtId="170" fontId="0" fillId="0" borderId="0" xfId="1" applyNumberFormat="1" applyFont="1" applyFill="1"/>
    <xf numFmtId="168" fontId="0" fillId="0" borderId="0" xfId="0" applyNumberFormat="1" applyFill="1"/>
    <xf numFmtId="43" fontId="3" fillId="0" borderId="0" xfId="1" applyFill="1"/>
    <xf numFmtId="164" fontId="0" fillId="0" borderId="0" xfId="0" applyNumberFormat="1" applyFill="1"/>
    <xf numFmtId="175" fontId="0" fillId="0" borderId="0" xfId="0" applyNumberFormat="1" applyFill="1"/>
    <xf numFmtId="171" fontId="0" fillId="0" borderId="0" xfId="0" applyNumberFormat="1" applyFill="1"/>
    <xf numFmtId="171" fontId="9" fillId="0" borderId="0" xfId="0" applyNumberFormat="1" applyFont="1" applyFill="1"/>
    <xf numFmtId="43" fontId="9" fillId="0" borderId="0" xfId="1" applyFont="1" applyFill="1"/>
    <xf numFmtId="0" fontId="9" fillId="0" borderId="0" xfId="0" applyNumberFormat="1" applyFont="1" applyFill="1"/>
    <xf numFmtId="170" fontId="9" fillId="0" borderId="0" xfId="0" applyNumberFormat="1" applyFont="1" applyFill="1"/>
    <xf numFmtId="43" fontId="9" fillId="0" borderId="0" xfId="1" applyNumberFormat="1" applyFont="1" applyFill="1"/>
    <xf numFmtId="43" fontId="0" fillId="0" borderId="0" xfId="0" applyNumberFormat="1" applyFill="1" applyBorder="1"/>
    <xf numFmtId="0" fontId="0" fillId="0" borderId="0" xfId="0" applyFill="1" applyAlignment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/>
    <xf numFmtId="0" fontId="7" fillId="0" borderId="2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Border="1"/>
    <xf numFmtId="168" fontId="0" fillId="0" borderId="0" xfId="1" applyNumberFormat="1" applyFont="1" applyFill="1"/>
    <xf numFmtId="168" fontId="0" fillId="0" borderId="0" xfId="0" applyNumberFormat="1" applyFill="1" applyAlignment="1">
      <alignment horizontal="centerContinuous"/>
    </xf>
    <xf numFmtId="166" fontId="0" fillId="0" borderId="0" xfId="1" applyNumberFormat="1" applyFont="1" applyFill="1" applyAlignment="1">
      <alignment horizontal="centerContinuous"/>
    </xf>
    <xf numFmtId="165" fontId="0" fillId="0" borderId="1" xfId="0" applyNumberFormat="1" applyFill="1" applyBorder="1"/>
    <xf numFmtId="44" fontId="0" fillId="0" borderId="0" xfId="0" applyNumberFormat="1"/>
    <xf numFmtId="17" fontId="6" fillId="0" borderId="0" xfId="0" applyNumberFormat="1" applyFont="1" applyFill="1" applyAlignment="1">
      <alignment horizontal="right"/>
    </xf>
    <xf numFmtId="165" fontId="19" fillId="0" borderId="0" xfId="2" applyNumberFormat="1" applyFont="1" applyFill="1"/>
    <xf numFmtId="166" fontId="19" fillId="0" borderId="0" xfId="1" applyNumberFormat="1" applyFont="1" applyFill="1"/>
    <xf numFmtId="168" fontId="20" fillId="0" borderId="0" xfId="1" applyNumberFormat="1" applyFont="1" applyFill="1"/>
    <xf numFmtId="166" fontId="21" fillId="0" borderId="0" xfId="1" applyNumberFormat="1" applyFont="1" applyFill="1"/>
    <xf numFmtId="165" fontId="3" fillId="0" borderId="0" xfId="2" applyNumberFormat="1" applyFont="1" applyFill="1"/>
    <xf numFmtId="0" fontId="13" fillId="0" borderId="0" xfId="0" applyFont="1" applyFill="1"/>
    <xf numFmtId="0" fontId="3" fillId="0" borderId="0" xfId="0" applyFont="1" applyFill="1" applyAlignment="1">
      <alignment horizontal="center"/>
    </xf>
    <xf numFmtId="44" fontId="23" fillId="0" borderId="0" xfId="2" applyNumberFormat="1" applyFont="1" applyFill="1"/>
    <xf numFmtId="44" fontId="23" fillId="0" borderId="1" xfId="2" applyNumberFormat="1" applyFont="1" applyFill="1" applyBorder="1"/>
    <xf numFmtId="166" fontId="23" fillId="0" borderId="0" xfId="1" applyNumberFormat="1" applyFont="1" applyFill="1"/>
    <xf numFmtId="0" fontId="7" fillId="0" borderId="0" xfId="0" applyFont="1" applyFill="1" applyBorder="1" applyAlignment="1">
      <alignment horizontal="center"/>
    </xf>
    <xf numFmtId="168" fontId="19" fillId="0" borderId="0" xfId="1" applyNumberFormat="1" applyFont="1" applyFill="1"/>
    <xf numFmtId="0" fontId="3" fillId="0" borderId="0" xfId="0" quotePrefix="1" applyFont="1" applyFill="1"/>
    <xf numFmtId="166" fontId="22" fillId="0" borderId="0" xfId="1" applyNumberFormat="1" applyFont="1" applyFill="1"/>
    <xf numFmtId="168" fontId="3" fillId="0" borderId="0" xfId="1" applyNumberFormat="1" applyFont="1" applyFill="1"/>
    <xf numFmtId="0" fontId="0" fillId="0" borderId="0" xfId="0" applyFont="1" applyFill="1"/>
    <xf numFmtId="165" fontId="25" fillId="0" borderId="0" xfId="2" applyNumberFormat="1" applyFont="1" applyFill="1"/>
    <xf numFmtId="43" fontId="3" fillId="0" borderId="0" xfId="1" applyNumberFormat="1" applyFill="1"/>
    <xf numFmtId="164" fontId="3" fillId="0" borderId="0" xfId="2" applyNumberFormat="1" applyFill="1"/>
    <xf numFmtId="174" fontId="0" fillId="0" borderId="0" xfId="2" applyNumberFormat="1" applyFont="1" applyFill="1"/>
    <xf numFmtId="174" fontId="0" fillId="0" borderId="0" xfId="0" applyNumberFormat="1" applyFill="1"/>
    <xf numFmtId="174" fontId="9" fillId="0" borderId="0" xfId="2" applyNumberFormat="1" applyFont="1" applyFill="1"/>
    <xf numFmtId="171" fontId="0" fillId="0" borderId="0" xfId="0" applyNumberFormat="1" applyFill="1" applyBorder="1"/>
    <xf numFmtId="44" fontId="9" fillId="0" borderId="0" xfId="2" applyFont="1" applyFill="1" applyBorder="1"/>
    <xf numFmtId="44" fontId="9" fillId="0" borderId="0" xfId="2" applyFont="1" applyFill="1"/>
    <xf numFmtId="166" fontId="0" fillId="0" borderId="0" xfId="3" applyNumberFormat="1" applyFont="1" applyFill="1"/>
    <xf numFmtId="10" fontId="25" fillId="0" borderId="0" xfId="3" applyNumberFormat="1" applyFont="1" applyFill="1"/>
    <xf numFmtId="165" fontId="25" fillId="0" borderId="0" xfId="2" applyNumberFormat="1" applyFont="1" applyFill="1" applyBorder="1"/>
    <xf numFmtId="0" fontId="24" fillId="0" borderId="6" xfId="0" applyFont="1" applyFill="1" applyBorder="1"/>
    <xf numFmtId="165" fontId="25" fillId="0" borderId="6" xfId="2" applyNumberFormat="1" applyFont="1" applyFill="1" applyBorder="1"/>
    <xf numFmtId="10" fontId="25" fillId="0" borderId="6" xfId="3" applyNumberFormat="1" applyFont="1" applyFill="1" applyBorder="1"/>
    <xf numFmtId="44" fontId="28" fillId="0" borderId="0" xfId="2" applyFont="1" applyFill="1"/>
    <xf numFmtId="44" fontId="26" fillId="0" borderId="0" xfId="2" applyFont="1" applyFill="1"/>
    <xf numFmtId="174" fontId="28" fillId="0" borderId="0" xfId="2" applyNumberFormat="1" applyFont="1" applyFill="1"/>
    <xf numFmtId="174" fontId="26" fillId="0" borderId="0" xfId="2" applyNumberFormat="1" applyFont="1" applyFill="1"/>
    <xf numFmtId="166" fontId="3" fillId="0" borderId="0" xfId="1" applyNumberFormat="1" applyFont="1" applyFill="1" applyAlignment="1">
      <alignment horizontal="right"/>
    </xf>
    <xf numFmtId="10" fontId="3" fillId="0" borderId="0" xfId="3" applyNumberFormat="1" applyFont="1" applyFill="1" applyAlignment="1">
      <alignment horizontal="right"/>
    </xf>
    <xf numFmtId="9" fontId="3" fillId="0" borderId="0" xfId="3" applyFont="1" applyFill="1" applyAlignment="1">
      <alignment horizontal="right"/>
    </xf>
    <xf numFmtId="171" fontId="3" fillId="0" borderId="0" xfId="1" applyNumberFormat="1" applyFont="1" applyFill="1"/>
    <xf numFmtId="170" fontId="3" fillId="0" borderId="0" xfId="1" applyNumberFormat="1" applyFont="1" applyFill="1"/>
    <xf numFmtId="0" fontId="0" fillId="2" borderId="0" xfId="0" applyFill="1"/>
    <xf numFmtId="44" fontId="0" fillId="0" borderId="0" xfId="0" applyNumberFormat="1" applyFill="1" applyBorder="1"/>
    <xf numFmtId="166" fontId="0" fillId="0" borderId="0" xfId="1" applyNumberFormat="1" applyFont="1"/>
    <xf numFmtId="44" fontId="30" fillId="0" borderId="0" xfId="2" applyFont="1"/>
    <xf numFmtId="44" fontId="0" fillId="0" borderId="0" xfId="2" applyFont="1"/>
    <xf numFmtId="174" fontId="0" fillId="0" borderId="0" xfId="2" applyNumberFormat="1" applyFont="1"/>
    <xf numFmtId="44" fontId="3" fillId="0" borderId="0" xfId="0" applyNumberFormat="1" applyFont="1" applyFill="1"/>
    <xf numFmtId="0" fontId="0" fillId="0" borderId="0" xfId="0" applyBorder="1"/>
    <xf numFmtId="44" fontId="0" fillId="0" borderId="0" xfId="0" applyNumberFormat="1" applyBorder="1"/>
    <xf numFmtId="17" fontId="6" fillId="0" borderId="0" xfId="0" applyNumberFormat="1" applyFont="1" applyFill="1"/>
    <xf numFmtId="17" fontId="6" fillId="0" borderId="0" xfId="0" applyNumberFormat="1" applyFont="1"/>
    <xf numFmtId="0" fontId="13" fillId="0" borderId="0" xfId="0" applyFont="1" applyAlignment="1">
      <alignment horizontal="right"/>
    </xf>
    <xf numFmtId="44" fontId="0" fillId="0" borderId="0" xfId="2" applyFont="1" applyAlignment="1">
      <alignment horizontal="right"/>
    </xf>
    <xf numFmtId="166" fontId="0" fillId="0" borderId="0" xfId="1" applyNumberFormat="1" applyFont="1" applyAlignment="1">
      <alignment horizontal="right"/>
    </xf>
    <xf numFmtId="174" fontId="0" fillId="0" borderId="0" xfId="2" applyNumberFormat="1" applyFont="1" applyAlignment="1">
      <alignment horizontal="right"/>
    </xf>
    <xf numFmtId="44" fontId="0" fillId="0" borderId="1" xfId="2" applyFont="1" applyBorder="1" applyAlignment="1">
      <alignment horizontal="right"/>
    </xf>
    <xf numFmtId="173" fontId="0" fillId="0" borderId="0" xfId="2" applyNumberFormat="1" applyFont="1" applyAlignment="1">
      <alignment horizontal="right"/>
    </xf>
    <xf numFmtId="0" fontId="13" fillId="0" borderId="0" xfId="0" applyFont="1" applyBorder="1" applyAlignment="1">
      <alignment horizontal="right"/>
    </xf>
    <xf numFmtId="44" fontId="0" fillId="0" borderId="0" xfId="2" applyFont="1" applyBorder="1" applyAlignment="1">
      <alignment horizontal="right"/>
    </xf>
    <xf numFmtId="0" fontId="6" fillId="0" borderId="0" xfId="0" applyFont="1"/>
    <xf numFmtId="0" fontId="29" fillId="0" borderId="0" xfId="0" applyFont="1" applyAlignment="1">
      <alignment horizontal="right" wrapText="1"/>
    </xf>
    <xf numFmtId="166" fontId="0" fillId="0" borderId="0" xfId="0" applyNumberFormat="1"/>
    <xf numFmtId="166" fontId="30" fillId="0" borderId="0" xfId="1" applyNumberFormat="1" applyFont="1"/>
    <xf numFmtId="165" fontId="0" fillId="0" borderId="1" xfId="2" applyNumberFormat="1" applyFont="1" applyFill="1" applyBorder="1"/>
    <xf numFmtId="173" fontId="0" fillId="0" borderId="0" xfId="2" applyNumberFormat="1" applyFont="1" applyFill="1"/>
    <xf numFmtId="170" fontId="0" fillId="0" borderId="0" xfId="1" applyNumberFormat="1" applyFont="1" applyFill="1" applyBorder="1"/>
    <xf numFmtId="0" fontId="3" fillId="2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166" fontId="3" fillId="0" borderId="0" xfId="1" applyNumberFormat="1" applyFont="1" applyFill="1" applyBorder="1"/>
    <xf numFmtId="177" fontId="0" fillId="0" borderId="0" xfId="3" applyNumberFormat="1" applyFont="1"/>
    <xf numFmtId="0" fontId="2" fillId="0" borderId="0" xfId="0" quotePrefix="1" applyFont="1" applyFill="1"/>
    <xf numFmtId="0" fontId="5" fillId="0" borderId="0" xfId="0" applyFont="1" applyFill="1"/>
    <xf numFmtId="0" fontId="5" fillId="0" borderId="0" xfId="0" quotePrefix="1" applyFont="1" applyFill="1"/>
    <xf numFmtId="0" fontId="2" fillId="0" borderId="2" xfId="0" applyFont="1" applyFill="1" applyBorder="1" applyAlignment="1">
      <alignment horizontal="right" wrapText="1"/>
    </xf>
    <xf numFmtId="0" fontId="2" fillId="0" borderId="0" xfId="0" applyFont="1" applyBorder="1"/>
    <xf numFmtId="174" fontId="0" fillId="0" borderId="0" xfId="0" applyNumberFormat="1" applyFill="1" applyBorder="1"/>
    <xf numFmtId="173" fontId="0" fillId="0" borderId="0" xfId="0" applyNumberFormat="1" applyFill="1" applyBorder="1"/>
    <xf numFmtId="18" fontId="0" fillId="0" borderId="0" xfId="0" applyNumberFormat="1" applyFill="1"/>
    <xf numFmtId="0" fontId="24" fillId="0" borderId="0" xfId="0" applyFont="1" applyFill="1"/>
    <xf numFmtId="9" fontId="0" fillId="0" borderId="0" xfId="3" applyFont="1" applyFill="1"/>
    <xf numFmtId="177" fontId="0" fillId="0" borderId="0" xfId="3" applyNumberFormat="1" applyFont="1" applyFill="1"/>
    <xf numFmtId="165" fontId="0" fillId="0" borderId="0" xfId="3" applyNumberFormat="1" applyFont="1" applyFill="1"/>
    <xf numFmtId="0" fontId="0" fillId="0" borderId="2" xfId="0" applyFill="1" applyBorder="1"/>
    <xf numFmtId="43" fontId="0" fillId="0" borderId="2" xfId="1" applyFont="1" applyFill="1" applyBorder="1"/>
    <xf numFmtId="0" fontId="2" fillId="0" borderId="0" xfId="0" applyFont="1" applyFill="1" applyBorder="1"/>
    <xf numFmtId="177" fontId="0" fillId="0" borderId="0" xfId="3" applyNumberFormat="1" applyFont="1" applyFill="1" applyBorder="1"/>
    <xf numFmtId="44" fontId="9" fillId="0" borderId="0" xfId="2" applyNumberFormat="1" applyFont="1" applyFill="1"/>
    <xf numFmtId="171" fontId="0" fillId="0" borderId="2" xfId="1" applyNumberFormat="1" applyFont="1" applyFill="1" applyBorder="1"/>
    <xf numFmtId="165" fontId="0" fillId="0" borderId="0" xfId="2" applyNumberFormat="1" applyFont="1"/>
    <xf numFmtId="165" fontId="3" fillId="0" borderId="0" xfId="2" applyNumberFormat="1" applyFont="1"/>
    <xf numFmtId="166" fontId="3" fillId="0" borderId="0" xfId="1" applyNumberFormat="1" applyFont="1"/>
    <xf numFmtId="0" fontId="2" fillId="0" borderId="0" xfId="0" applyFont="1" applyAlignment="1">
      <alignment horizontal="right"/>
    </xf>
    <xf numFmtId="170" fontId="0" fillId="0" borderId="0" xfId="0" applyNumberFormat="1" applyFill="1" applyBorder="1"/>
    <xf numFmtId="176" fontId="0" fillId="0" borderId="0" xfId="3" applyNumberFormat="1" applyFont="1" applyFill="1" applyBorder="1"/>
    <xf numFmtId="177" fontId="0" fillId="0" borderId="0" xfId="3" applyNumberFormat="1" applyFont="1" applyAlignment="1">
      <alignment horizontal="right"/>
    </xf>
    <xf numFmtId="0" fontId="17" fillId="0" borderId="0" xfId="0" applyFont="1" applyFill="1" applyAlignment="1">
      <alignment horizontal="right"/>
    </xf>
    <xf numFmtId="166" fontId="0" fillId="0" borderId="2" xfId="1" applyNumberFormat="1" applyFont="1" applyFill="1" applyBorder="1"/>
    <xf numFmtId="166" fontId="2" fillId="0" borderId="2" xfId="1" applyNumberFormat="1" applyFont="1" applyFill="1" applyBorder="1" applyAlignment="1">
      <alignment horizontal="right"/>
    </xf>
    <xf numFmtId="10" fontId="0" fillId="0" borderId="2" xfId="3" applyNumberFormat="1" applyFont="1" applyFill="1" applyBorder="1"/>
    <xf numFmtId="17" fontId="6" fillId="0" borderId="0" xfId="0" applyNumberFormat="1" applyFont="1" applyAlignment="1">
      <alignment horizontal="right"/>
    </xf>
    <xf numFmtId="166" fontId="30" fillId="0" borderId="1" xfId="1" applyNumberFormat="1" applyFont="1" applyBorder="1"/>
    <xf numFmtId="0" fontId="13" fillId="0" borderId="0" xfId="0" applyFont="1" applyFill="1" applyAlignment="1">
      <alignment horizontal="right"/>
    </xf>
    <xf numFmtId="166" fontId="30" fillId="0" borderId="0" xfId="1" applyNumberFormat="1" applyFont="1" applyBorder="1"/>
    <xf numFmtId="44" fontId="30" fillId="0" borderId="0" xfId="2" applyFont="1" applyBorder="1"/>
    <xf numFmtId="177" fontId="0" fillId="0" borderId="0" xfId="3" applyNumberFormat="1" applyFont="1" applyBorder="1"/>
    <xf numFmtId="166" fontId="0" fillId="0" borderId="0" xfId="0" applyNumberFormat="1" applyBorder="1"/>
    <xf numFmtId="44" fontId="3" fillId="2" borderId="1" xfId="2" applyFont="1" applyFill="1" applyBorder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4" fontId="3" fillId="0" borderId="0" xfId="2" applyFont="1" applyFill="1"/>
    <xf numFmtId="44" fontId="3" fillId="0" borderId="1" xfId="2" applyFont="1" applyFill="1" applyBorder="1"/>
    <xf numFmtId="44" fontId="0" fillId="2" borderId="0" xfId="0" applyNumberFormat="1" applyFill="1"/>
    <xf numFmtId="166" fontId="0" fillId="0" borderId="0" xfId="0" applyNumberFormat="1" applyFill="1" applyAlignment="1"/>
    <xf numFmtId="0" fontId="0" fillId="0" borderId="0" xfId="0" quotePrefix="1" applyFont="1" applyFill="1"/>
    <xf numFmtId="166" fontId="0" fillId="0" borderId="1" xfId="1" applyNumberFormat="1" applyFont="1" applyBorder="1"/>
    <xf numFmtId="166" fontId="0" fillId="0" borderId="1" xfId="0" applyNumberFormat="1" applyFill="1" applyBorder="1"/>
    <xf numFmtId="166" fontId="3" fillId="0" borderId="1" xfId="1" applyNumberFormat="1" applyFont="1" applyFill="1" applyBorder="1"/>
    <xf numFmtId="9" fontId="3" fillId="0" borderId="0" xfId="3" applyFont="1" applyFill="1" applyBorder="1"/>
    <xf numFmtId="44" fontId="23" fillId="0" borderId="0" xfId="2" applyNumberFormat="1" applyFont="1" applyFill="1" applyBorder="1"/>
    <xf numFmtId="165" fontId="5" fillId="0" borderId="0" xfId="0" applyNumberFormat="1" applyFont="1" applyFill="1" applyBorder="1"/>
    <xf numFmtId="177" fontId="0" fillId="0" borderId="0" xfId="0" applyNumberFormat="1"/>
    <xf numFmtId="10" fontId="0" fillId="0" borderId="0" xfId="0" applyNumberFormat="1" applyFill="1"/>
    <xf numFmtId="44" fontId="0" fillId="0" borderId="0" xfId="2" applyNumberFormat="1" applyFont="1" applyFill="1"/>
    <xf numFmtId="174" fontId="0" fillId="0" borderId="0" xfId="2" applyNumberFormat="1" applyFont="1" applyFill="1" applyBorder="1"/>
    <xf numFmtId="0" fontId="2" fillId="0" borderId="1" xfId="0" applyFont="1" applyBorder="1" applyAlignment="1">
      <alignment horizontal="right"/>
    </xf>
    <xf numFmtId="10" fontId="2" fillId="0" borderId="0" xfId="3" applyNumberFormat="1" applyFont="1"/>
    <xf numFmtId="0" fontId="7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3" xfId="5" xr:uid="{00000000-0005-0000-0000-000030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microsoft.com/office/2006/relationships/attachedToolbars" Target="attachedToolbars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/Shared%20Documents/Whitewater%20Valley/2016%20Test%20Year%20COS/Great%20Lakes%20Energy%202012%20COS%20-%20With%20Calcs%20-%20Copy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ssignment"/>
      <sheetName val="Allocation ProForma"/>
      <sheetName val="Summary of Returns"/>
      <sheetName val="Billing Det"/>
      <sheetName val="Billing Det (Proforma)"/>
      <sheetName val="Purchased Power"/>
      <sheetName val="Purchased Power (Proforma)"/>
      <sheetName val="Meters"/>
      <sheetName val="Services"/>
    </sheetNames>
    <sheetDataSet>
      <sheetData sheetId="0" refreshError="1">
        <row r="31">
          <cell r="O31">
            <v>0</v>
          </cell>
        </row>
        <row r="48">
          <cell r="Q48">
            <v>5221144.83</v>
          </cell>
          <cell r="S48">
            <v>108538108.16360888</v>
          </cell>
          <cell r="V48">
            <v>63829191.786388144</v>
          </cell>
          <cell r="Y48">
            <v>12726377.536532002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arry Feltner" id="{72E168B7-F3EC-4FE9-B5D4-3026DCDF3576}" userId="S::Larry.Feltner@PrimeGroupLLC.onmicrosoft.com::20156263-bed7-4c5d-966c-1c8887e1410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61" dT="2020-07-21T18:14:30.51" personId="{72E168B7-F3EC-4FE9-B5D4-3026DCDF3576}" id="{786000A8-6163-49F6-968F-AF4A9900F483}">
    <text>purchased power less environmental surcharge and DLC surcharge credit</text>
  </threadedComment>
  <threadedComment ref="F182" dT="2020-05-27T18:02:14.37" personId="{72E168B7-F3EC-4FE9-B5D4-3026DCDF3576}" id="{C51D5B87-467C-4097-BAAB-58C333E05AF2}">
    <text>Moved $14,500 to 595</text>
  </threadedComment>
  <threadedComment ref="F200" dT="2020-05-27T18:01:49.58" personId="{72E168B7-F3EC-4FE9-B5D4-3026DCDF3576}" id="{4BD5E5CE-F707-4200-A06F-10757B50E017}">
    <text>Moved $84,395.21 to 595</text>
  </threadedComment>
  <threadedComment ref="F202" dT="2020-05-27T18:01:00.75" personId="{72E168B7-F3EC-4FE9-B5D4-3026DCDF3576}" id="{92DF35C5-BE93-430B-B249-49D25CFD73F3}">
    <text>Moved $14,500 from 583 and $84,395.21 from 593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496"/>
  <sheetViews>
    <sheetView view="pageBreakPreview" zoomScale="140" zoomScaleNormal="85" zoomScaleSheetLayoutView="140" workbookViewId="0">
      <pane xSplit="2" ySplit="3" topLeftCell="W370" activePane="bottomRight" state="frozen"/>
      <selection pane="topRight" activeCell="C1" sqref="C1"/>
      <selection pane="bottomLeft" activeCell="A4" sqref="A4"/>
      <selection pane="bottomRight" activeCell="AC474" sqref="AC474"/>
    </sheetView>
  </sheetViews>
  <sheetFormatPr defaultRowHeight="15" x14ac:dyDescent="0.25"/>
  <cols>
    <col min="1" max="1" width="7.7109375" style="146" customWidth="1"/>
    <col min="2" max="2" width="50.42578125" style="146" customWidth="1"/>
    <col min="3" max="3" width="12.85546875" style="2" customWidth="1"/>
    <col min="4" max="4" width="12.42578125" style="2" customWidth="1"/>
    <col min="5" max="5" width="2.7109375" style="2" customWidth="1"/>
    <col min="6" max="6" width="17.42578125" style="2" customWidth="1"/>
    <col min="7" max="7" width="2.140625" style="2" customWidth="1"/>
    <col min="8" max="8" width="20.42578125" style="2" bestFit="1" customWidth="1"/>
    <col min="9" max="9" width="19" style="2" bestFit="1" customWidth="1"/>
    <col min="10" max="12" width="19" style="2" customWidth="1"/>
    <col min="13" max="13" width="19.7109375" style="2" customWidth="1"/>
    <col min="14" max="14" width="19.7109375" style="2" hidden="1" customWidth="1"/>
    <col min="15" max="15" width="2.140625" style="2" customWidth="1"/>
    <col min="16" max="16" width="19.28515625" style="2" customWidth="1"/>
    <col min="17" max="17" width="2.140625" style="2" customWidth="1"/>
    <col min="18" max="18" width="19.42578125" style="2" customWidth="1"/>
    <col min="19" max="19" width="2.140625" style="2" customWidth="1"/>
    <col min="20" max="20" width="14.7109375" style="2" customWidth="1"/>
    <col min="21" max="21" width="2.140625" style="2" customWidth="1"/>
    <col min="22" max="23" width="16.5703125" style="2" customWidth="1"/>
    <col min="24" max="24" width="2.140625" style="2" customWidth="1"/>
    <col min="25" max="26" width="14.42578125" style="2" customWidth="1"/>
    <col min="27" max="27" width="2.140625" style="2" customWidth="1"/>
    <col min="28" max="29" width="14.42578125" style="2" customWidth="1"/>
    <col min="30" max="30" width="2.140625" style="58" customWidth="1"/>
    <col min="31" max="32" width="16.140625" style="2" customWidth="1"/>
    <col min="33" max="33" width="2.140625" style="2" customWidth="1"/>
    <col min="34" max="34" width="16.7109375" style="2" customWidth="1"/>
    <col min="35" max="35" width="2.140625" style="2" customWidth="1"/>
    <col min="36" max="36" width="13.85546875" style="2" customWidth="1"/>
    <col min="37" max="37" width="2.140625" style="2" customWidth="1"/>
    <col min="38" max="38" width="15" style="2" customWidth="1"/>
    <col min="39" max="39" width="2.140625" style="2" customWidth="1"/>
    <col min="40" max="40" width="18.28515625" style="2" bestFit="1" customWidth="1"/>
    <col min="41" max="41" width="16.140625" style="2" customWidth="1"/>
    <col min="42" max="42" width="14.7109375" style="2" customWidth="1"/>
    <col min="43" max="16384" width="9.140625" style="2"/>
  </cols>
  <sheetData>
    <row r="1" spans="1:42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1:42" ht="42.75" customHeight="1" thickBot="1" x14ac:dyDescent="0.3">
      <c r="A2" s="7"/>
      <c r="B2" s="7"/>
      <c r="C2" s="4"/>
      <c r="D2" s="59" t="s">
        <v>0</v>
      </c>
      <c r="E2" s="4"/>
      <c r="F2" s="4" t="s">
        <v>1</v>
      </c>
      <c r="G2" s="4"/>
      <c r="H2" s="233" t="s">
        <v>2</v>
      </c>
      <c r="I2" s="233"/>
      <c r="J2" s="233"/>
      <c r="K2" s="233"/>
      <c r="L2" s="233"/>
      <c r="M2" s="233"/>
      <c r="N2" s="233"/>
      <c r="O2" s="116"/>
      <c r="P2" s="93" t="s">
        <v>772</v>
      </c>
      <c r="Q2" s="91"/>
      <c r="R2" s="93" t="s">
        <v>334</v>
      </c>
      <c r="S2" s="92"/>
      <c r="T2" s="93" t="s">
        <v>3</v>
      </c>
      <c r="U2" s="94"/>
      <c r="V2" s="233" t="s">
        <v>732</v>
      </c>
      <c r="W2" s="233"/>
      <c r="X2" s="91"/>
      <c r="Y2" s="233" t="s">
        <v>733</v>
      </c>
      <c r="Z2" s="233"/>
      <c r="AA2" s="116"/>
      <c r="AB2" s="233" t="s">
        <v>208</v>
      </c>
      <c r="AC2" s="233"/>
      <c r="AD2" s="92"/>
      <c r="AE2" s="95" t="s">
        <v>5</v>
      </c>
      <c r="AF2" s="95"/>
      <c r="AG2" s="92"/>
      <c r="AH2" s="64" t="s">
        <v>6</v>
      </c>
      <c r="AI2" s="60"/>
      <c r="AJ2" s="93" t="s">
        <v>7</v>
      </c>
      <c r="AK2" s="94"/>
      <c r="AL2" s="93" t="s">
        <v>680</v>
      </c>
      <c r="AM2" s="94"/>
      <c r="AN2" s="93" t="s">
        <v>453</v>
      </c>
      <c r="AO2" s="7"/>
      <c r="AP2" s="7"/>
    </row>
    <row r="3" spans="1:42" ht="49.5" customHeight="1" thickBot="1" x14ac:dyDescent="0.3">
      <c r="A3" s="62" t="s">
        <v>8</v>
      </c>
      <c r="B3" s="62"/>
      <c r="C3" s="63" t="s">
        <v>9</v>
      </c>
      <c r="D3" s="63" t="s">
        <v>10</v>
      </c>
      <c r="E3" s="64"/>
      <c r="F3" s="64" t="s">
        <v>11</v>
      </c>
      <c r="G3" s="96"/>
      <c r="H3" s="180" t="s">
        <v>12</v>
      </c>
      <c r="I3" s="180" t="s">
        <v>1043</v>
      </c>
      <c r="J3" s="180" t="s">
        <v>1044</v>
      </c>
      <c r="K3" s="180" t="s">
        <v>984</v>
      </c>
      <c r="L3" s="180" t="s">
        <v>859</v>
      </c>
      <c r="M3" s="180" t="s">
        <v>860</v>
      </c>
      <c r="N3" s="180" t="s">
        <v>970</v>
      </c>
      <c r="O3" s="93"/>
      <c r="P3" s="93" t="s">
        <v>12</v>
      </c>
      <c r="Q3" s="93"/>
      <c r="R3" s="93" t="s">
        <v>12</v>
      </c>
      <c r="S3" s="93"/>
      <c r="T3" s="93" t="s">
        <v>12</v>
      </c>
      <c r="U3" s="93"/>
      <c r="V3" s="93" t="s">
        <v>12</v>
      </c>
      <c r="W3" s="93" t="s">
        <v>14</v>
      </c>
      <c r="X3" s="93"/>
      <c r="Y3" s="93" t="s">
        <v>12</v>
      </c>
      <c r="Z3" s="93" t="s">
        <v>14</v>
      </c>
      <c r="AA3" s="93"/>
      <c r="AB3" s="93" t="s">
        <v>12</v>
      </c>
      <c r="AC3" s="93" t="s">
        <v>14</v>
      </c>
      <c r="AD3" s="93"/>
      <c r="AE3" s="93" t="s">
        <v>12</v>
      </c>
      <c r="AF3" s="93" t="s">
        <v>14</v>
      </c>
      <c r="AG3" s="93"/>
      <c r="AH3" s="93" t="s">
        <v>14</v>
      </c>
      <c r="AI3" s="93"/>
      <c r="AJ3" s="93" t="s">
        <v>14</v>
      </c>
      <c r="AK3" s="93"/>
      <c r="AL3" s="93" t="s">
        <v>14</v>
      </c>
      <c r="AM3" s="93"/>
      <c r="AN3" s="93" t="s">
        <v>14</v>
      </c>
      <c r="AO3" s="93" t="s">
        <v>15</v>
      </c>
      <c r="AP3" s="93" t="s">
        <v>16</v>
      </c>
    </row>
    <row r="4" spans="1:42" x14ac:dyDescent="0.25">
      <c r="A4" s="2"/>
      <c r="B4" s="2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8"/>
      <c r="AE4" s="97"/>
      <c r="AF4" s="97"/>
      <c r="AG4" s="97"/>
      <c r="AH4" s="97"/>
      <c r="AI4" s="97"/>
      <c r="AJ4" s="97"/>
      <c r="AK4" s="97"/>
      <c r="AL4" s="97"/>
      <c r="AM4" s="97"/>
      <c r="AN4" s="97"/>
      <c r="AP4" s="14"/>
    </row>
    <row r="5" spans="1:42" x14ac:dyDescent="0.25">
      <c r="A5" s="99" t="s">
        <v>17</v>
      </c>
      <c r="B5" s="2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8"/>
      <c r="AE5" s="97"/>
      <c r="AF5" s="97"/>
      <c r="AG5" s="97"/>
      <c r="AH5" s="97"/>
      <c r="AI5" s="97"/>
      <c r="AJ5" s="97"/>
      <c r="AK5" s="97"/>
      <c r="AL5" s="97"/>
      <c r="AM5" s="97"/>
      <c r="AN5" s="97"/>
      <c r="AP5" s="14"/>
    </row>
    <row r="6" spans="1:42" x14ac:dyDescent="0.25">
      <c r="A6" s="2"/>
      <c r="B6" s="2"/>
      <c r="AP6" s="14"/>
    </row>
    <row r="7" spans="1:42" x14ac:dyDescent="0.25">
      <c r="A7" s="6" t="s">
        <v>335</v>
      </c>
      <c r="B7" s="2"/>
      <c r="AP7" s="14"/>
    </row>
    <row r="8" spans="1:42" x14ac:dyDescent="0.25">
      <c r="A8" s="11">
        <v>301</v>
      </c>
      <c r="B8" s="2" t="s">
        <v>338</v>
      </c>
      <c r="C8" s="2" t="s">
        <v>339</v>
      </c>
      <c r="D8" s="2" t="s">
        <v>371</v>
      </c>
      <c r="F8" s="106">
        <v>0</v>
      </c>
      <c r="H8" s="17">
        <f>IF(VLOOKUP($D8,$C$5:$AN$495,6,)=0,0,((VLOOKUP($D8,$C$5:$AN$495,6,)/VLOOKUP($D8,$C$5:$AN$495,4,))*$F8))</f>
        <v>0</v>
      </c>
      <c r="I8" s="17">
        <f>IF(VLOOKUP($D8,$C$5:$AN$495,7,)=0,0,((VLOOKUP($D8,$C$5:$AN$495,7,)/VLOOKUP($D8,$C$5:$AN$495,4,))*$F8))</f>
        <v>0</v>
      </c>
      <c r="J8" s="17">
        <f>IF(VLOOKUP($D8,$C$5:$AN$495,8,)=0,0,((VLOOKUP($D8,$C$5:$AN$495,8,)/VLOOKUP($D8,$C$5:$AN$495,4,))*$F8))</f>
        <v>0</v>
      </c>
      <c r="K8" s="17">
        <f>IF(VLOOKUP($D8,$C$5:$AN$495,9,)=0,0,((VLOOKUP($D8,$C$5:$AN$495,9,)/VLOOKUP($D8,$C$5:$AN$495,4,))*$F8))</f>
        <v>0</v>
      </c>
      <c r="L8" s="17">
        <f>IF(VLOOKUP($D8,$C$5:$AN$495,10,)=0,0,((VLOOKUP($D8,$C$5:$AN$495,10,)/VLOOKUP($D8,$C$5:$AN$495,4,))*$F8))</f>
        <v>0</v>
      </c>
      <c r="M8" s="17">
        <f>IF(VLOOKUP($D8,$C$5:$AN$495,11,)=0,0,((VLOOKUP($D8,$C$5:$AN$495,11,)/VLOOKUP($D8,$C$5:$AN$495,4,))*$F8))</f>
        <v>0</v>
      </c>
      <c r="N8" s="17">
        <f>IF(VLOOKUP($D8,$C$5:$AN$495,12,)=0,0,((VLOOKUP($D8,$C$5:$AN$495,12,)/VLOOKUP($D8,$C$5:$AN$495,4,))*$F8))</f>
        <v>0</v>
      </c>
      <c r="O8" s="17"/>
      <c r="P8" s="17">
        <f>IF(VLOOKUP($D8,$C$5:$AN$495,14,)=0,0,((VLOOKUP($D8,$C$5:$AN$495,14,)/VLOOKUP($D8,$C$5:$AN$495,4,))*$F8))</f>
        <v>0</v>
      </c>
      <c r="Q8" s="17"/>
      <c r="R8" s="17">
        <f>IF(VLOOKUP($D8,$C$5:$AN$495,16,)=0,0,((VLOOKUP($D8,$C$5:$AN$495,16,)/VLOOKUP($D8,$C$5:$AN$495,4,))*$F8))</f>
        <v>0</v>
      </c>
      <c r="S8" s="17"/>
      <c r="T8" s="17">
        <f>IF(VLOOKUP($D8,$C$5:$AN$495,18,)=0,0,((VLOOKUP($D8,$C$5:$AN$495,18,)/VLOOKUP($D8,$C$5:$AN$495,4,))*$F8))</f>
        <v>0</v>
      </c>
      <c r="U8" s="17"/>
      <c r="V8" s="17">
        <f>IF(VLOOKUP($D8,$C$5:$AN$495,20,)=0,0,((VLOOKUP($D8,$C$5:$AN$495,20,)/VLOOKUP($D8,$C$5:$AN$495,4,))*$F8))</f>
        <v>0</v>
      </c>
      <c r="W8" s="17">
        <f>IF(VLOOKUP($D8,$C$5:$AN$495,21,)=0,0,((VLOOKUP($D8,$C$5:$AN$495,21,)/VLOOKUP($D8,$C$5:$AN$495,4,))*$F8))</f>
        <v>0</v>
      </c>
      <c r="X8" s="17"/>
      <c r="Y8" s="17">
        <f>IF(VLOOKUP($D8,$C$5:$AN$495,23,)=0,0,((VLOOKUP($D8,$C$5:$AN$495,23,)/VLOOKUP($D8,$C$5:$AN$495,4,))*$F8))</f>
        <v>0</v>
      </c>
      <c r="Z8" s="17">
        <f>IF(VLOOKUP($D8,$C$5:$AN$495,24,)=0,0,((VLOOKUP($D8,$C$5:$AN$495,24,)/VLOOKUP($D8,$C$5:$AN$495,4,))*$F8))</f>
        <v>0</v>
      </c>
      <c r="AA8" s="17"/>
      <c r="AB8" s="17">
        <f>IF(VLOOKUP($D8,$C$5:$AN$495,26,)=0,0,((VLOOKUP($D8,$C$5:$AN$495,26,)/VLOOKUP($D8,$C$5:$AN$495,4,))*$F8))</f>
        <v>0</v>
      </c>
      <c r="AC8" s="17">
        <f>IF(VLOOKUP($D8,$C$5:$AN$495,27,)=0,0,((VLOOKUP($D8,$C$5:$AN$495,27,)/VLOOKUP($D8,$C$5:$AN$495,4,))*$F8))</f>
        <v>0</v>
      </c>
      <c r="AD8" s="17"/>
      <c r="AE8" s="17">
        <f>IF(VLOOKUP($D8,$C$5:$AN$495,29,)=0,0,((VLOOKUP($D8,$C$5:$AN$495,29,)/VLOOKUP($D8,$C$5:$AN$495,4,))*$F8))</f>
        <v>0</v>
      </c>
      <c r="AF8" s="17">
        <f>IF(VLOOKUP($D8,$C$5:$AN$495,30,)=0,0,((VLOOKUP($D8,$C$5:$AN$495,30,)/VLOOKUP($D8,$C$5:$AN$495,4,))*$F8))</f>
        <v>0</v>
      </c>
      <c r="AG8" s="17"/>
      <c r="AH8" s="17">
        <f>IF(VLOOKUP($D8,$C$5:$AN$495,32,)=0,0,((VLOOKUP($D8,$C$5:$AN$495,32,)/VLOOKUP($D8,$C$5:$AN$495,4,))*$F8))</f>
        <v>0</v>
      </c>
      <c r="AI8" s="17"/>
      <c r="AJ8" s="17">
        <f>IF(VLOOKUP($D8,$C$5:$AN$495,34,)=0,0,((VLOOKUP($D8,$C$5:$AN$495,34,)/VLOOKUP($D8,$C$5:$AN$495,4,))*$F8))</f>
        <v>0</v>
      </c>
      <c r="AK8" s="17"/>
      <c r="AL8" s="17">
        <f>IF(VLOOKUP($D8,$C$5:$AN$495,36,)=0,0,((VLOOKUP($D8,$C$5:$AN$495,36,)/VLOOKUP($D8,$C$5:$AN$495,4,))*$F8))</f>
        <v>0</v>
      </c>
      <c r="AM8" s="17"/>
      <c r="AN8" s="17">
        <f>IF(VLOOKUP($D8,$C$5:$AN$495,38,)=0,0,((VLOOKUP($D8,$C$5:$AN$495,38,)/VLOOKUP($D8,$C$5:$AN$495,4,))*$F8))</f>
        <v>0</v>
      </c>
      <c r="AO8" s="17">
        <f>SUM(H8:AN8)</f>
        <v>0</v>
      </c>
      <c r="AP8" s="14" t="str">
        <f>IF(ABS(AO8-F8)&lt;1,"ok","err")</f>
        <v>ok</v>
      </c>
    </row>
    <row r="9" spans="1:42" x14ac:dyDescent="0.25">
      <c r="A9" s="11">
        <v>302</v>
      </c>
      <c r="B9" s="2" t="s">
        <v>337</v>
      </c>
      <c r="C9" s="2" t="s">
        <v>340</v>
      </c>
      <c r="D9" s="2" t="s">
        <v>371</v>
      </c>
      <c r="F9" s="106">
        <v>0</v>
      </c>
      <c r="H9" s="17">
        <f>IF(VLOOKUP($D9,$C$5:$AN$495,6,)=0,0,((VLOOKUP($D9,$C$5:$AN$495,6,)/VLOOKUP($D9,$C$5:$AN$495,4,))*$F9))</f>
        <v>0</v>
      </c>
      <c r="I9" s="17">
        <f>IF(VLOOKUP($D9,$C$5:$AN$495,7,)=0,0,((VLOOKUP($D9,$C$5:$AN$495,7,)/VLOOKUP($D9,$C$5:$AN$495,4,))*$F9))</f>
        <v>0</v>
      </c>
      <c r="J9" s="17">
        <f>IF(VLOOKUP($D9,$C$5:$AN$495,8,)=0,0,((VLOOKUP($D9,$C$5:$AN$495,8,)/VLOOKUP($D9,$C$5:$AN$495,4,))*$F9))</f>
        <v>0</v>
      </c>
      <c r="K9" s="17">
        <f>IF(VLOOKUP($D9,$C$5:$AN$495,9,)=0,0,((VLOOKUP($D9,$C$5:$AN$495,9,)/VLOOKUP($D9,$C$5:$AN$495,4,))*$F9))</f>
        <v>0</v>
      </c>
      <c r="L9" s="17">
        <f>IF(VLOOKUP($D9,$C$5:$AN$495,10,)=0,0,((VLOOKUP($D9,$C$5:$AN$495,10,)/VLOOKUP($D9,$C$5:$AN$495,4,))*$F9))</f>
        <v>0</v>
      </c>
      <c r="M9" s="17">
        <f>IF(VLOOKUP($D9,$C$5:$AN$495,11,)=0,0,((VLOOKUP($D9,$C$5:$AN$495,11,)/VLOOKUP($D9,$C$5:$AN$495,4,))*$F9))</f>
        <v>0</v>
      </c>
      <c r="N9" s="17">
        <f>IF(VLOOKUP($D9,$C$5:$AN$495,12,)=0,0,((VLOOKUP($D9,$C$5:$AN$495,12,)/VLOOKUP($D9,$C$5:$AN$495,4,))*$F9))</f>
        <v>0</v>
      </c>
      <c r="O9" s="17"/>
      <c r="P9" s="17">
        <f>IF(VLOOKUP($D9,$C$5:$AN$495,14,)=0,0,((VLOOKUP($D9,$C$5:$AN$495,14,)/VLOOKUP($D9,$C$5:$AN$495,4,))*$F9))</f>
        <v>0</v>
      </c>
      <c r="Q9" s="17"/>
      <c r="R9" s="17">
        <f>IF(VLOOKUP($D9,$C$5:$AN$495,16,)=0,0,((VLOOKUP($D9,$C$5:$AN$495,16,)/VLOOKUP($D9,$C$5:$AN$495,4,))*$F9))</f>
        <v>0</v>
      </c>
      <c r="S9" s="17"/>
      <c r="T9" s="17">
        <f>IF(VLOOKUP($D9,$C$5:$AN$495,18,)=0,0,((VLOOKUP($D9,$C$5:$AN$495,18,)/VLOOKUP($D9,$C$5:$AN$495,4,))*$F9))</f>
        <v>0</v>
      </c>
      <c r="U9" s="17"/>
      <c r="V9" s="17">
        <f>IF(VLOOKUP($D9,$C$5:$AN$495,20,)=0,0,((VLOOKUP($D9,$C$5:$AN$495,20,)/VLOOKUP($D9,$C$5:$AN$495,4,))*$F9))</f>
        <v>0</v>
      </c>
      <c r="W9" s="17">
        <f>IF(VLOOKUP($D9,$C$5:$AN$495,21,)=0,0,((VLOOKUP($D9,$C$5:$AN$495,21,)/VLOOKUP($D9,$C$5:$AN$495,4,))*$F9))</f>
        <v>0</v>
      </c>
      <c r="X9" s="17"/>
      <c r="Y9" s="17">
        <f>IF(VLOOKUP($D9,$C$5:$AN$495,23,)=0,0,((VLOOKUP($D9,$C$5:$AN$495,23,)/VLOOKUP($D9,$C$5:$AN$495,4,))*$F9))</f>
        <v>0</v>
      </c>
      <c r="Z9" s="17">
        <f>IF(VLOOKUP($D9,$C$5:$AN$495,24,)=0,0,((VLOOKUP($D9,$C$5:$AN$495,24,)/VLOOKUP($D9,$C$5:$AN$495,4,))*$F9))</f>
        <v>0</v>
      </c>
      <c r="AA9" s="17"/>
      <c r="AB9" s="17">
        <f>IF(VLOOKUP($D9,$C$5:$AN$495,26,)=0,0,((VLOOKUP($D9,$C$5:$AN$495,26,)/VLOOKUP($D9,$C$5:$AN$495,4,))*$F9))</f>
        <v>0</v>
      </c>
      <c r="AC9" s="17">
        <f>IF(VLOOKUP($D9,$C$5:$AN$495,27,)=0,0,((VLOOKUP($D9,$C$5:$AN$495,27,)/VLOOKUP($D9,$C$5:$AN$495,4,))*$F9))</f>
        <v>0</v>
      </c>
      <c r="AD9" s="17"/>
      <c r="AE9" s="17">
        <f>IF(VLOOKUP($D9,$C$5:$AN$495,29,)=0,0,((VLOOKUP($D9,$C$5:$AN$495,29,)/VLOOKUP($D9,$C$5:$AN$495,4,))*$F9))</f>
        <v>0</v>
      </c>
      <c r="AF9" s="17">
        <f>IF(VLOOKUP($D9,$C$5:$AN$495,30,)=0,0,((VLOOKUP($D9,$C$5:$AN$495,30,)/VLOOKUP($D9,$C$5:$AN$495,4,))*$F9))</f>
        <v>0</v>
      </c>
      <c r="AG9" s="17"/>
      <c r="AH9" s="17">
        <f>IF(VLOOKUP($D9,$C$5:$AN$495,32,)=0,0,((VLOOKUP($D9,$C$5:$AN$495,32,)/VLOOKUP($D9,$C$5:$AN$495,4,))*$F9))</f>
        <v>0</v>
      </c>
      <c r="AI9" s="17"/>
      <c r="AJ9" s="17">
        <f>IF(VLOOKUP($D9,$C$5:$AN$495,34,)=0,0,((VLOOKUP($D9,$C$5:$AN$495,34,)/VLOOKUP($D9,$C$5:$AN$495,4,))*$F9))</f>
        <v>0</v>
      </c>
      <c r="AK9" s="17"/>
      <c r="AL9" s="17">
        <f>IF(VLOOKUP($D9,$C$5:$AN$495,36,)=0,0,((VLOOKUP($D9,$C$5:$AN$495,36,)/VLOOKUP($D9,$C$5:$AN$495,4,))*$F9))</f>
        <v>0</v>
      </c>
      <c r="AM9" s="17"/>
      <c r="AN9" s="17">
        <f>IF(VLOOKUP($D9,$C$5:$AN$495,38,)=0,0,((VLOOKUP($D9,$C$5:$AN$495,38,)/VLOOKUP($D9,$C$5:$AN$495,4,))*$F9))</f>
        <v>0</v>
      </c>
      <c r="AO9" s="17">
        <f>SUM(H9:AN9)</f>
        <v>0</v>
      </c>
      <c r="AP9" s="14" t="str">
        <f>IF(ABS(AO9-F9)&lt;1,"ok","err")</f>
        <v>ok</v>
      </c>
    </row>
    <row r="10" spans="1:42" x14ac:dyDescent="0.25">
      <c r="A10" s="2"/>
      <c r="B10" s="2"/>
      <c r="AP10" s="14"/>
    </row>
    <row r="11" spans="1:42" x14ac:dyDescent="0.25">
      <c r="A11" s="2"/>
      <c r="B11" s="2" t="s">
        <v>21</v>
      </c>
      <c r="C11" s="2" t="s">
        <v>22</v>
      </c>
      <c r="F11" s="16">
        <f t="shared" ref="F11:P11" si="0">SUM(F8:F9)</f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/>
      <c r="P11" s="16">
        <f t="shared" si="0"/>
        <v>0</v>
      </c>
      <c r="Q11" s="16"/>
      <c r="R11" s="16">
        <f>SUM(R8:R9)</f>
        <v>0</v>
      </c>
      <c r="S11" s="16"/>
      <c r="T11" s="16">
        <f>SUM(T8:T9)</f>
        <v>0</v>
      </c>
      <c r="U11" s="16"/>
      <c r="V11" s="16">
        <f>SUM(V8:V9)</f>
        <v>0</v>
      </c>
      <c r="W11" s="16">
        <f>SUM(W8:W9)</f>
        <v>0</v>
      </c>
      <c r="X11" s="16"/>
      <c r="Y11" s="16">
        <f>SUM(Y8:Y9)</f>
        <v>0</v>
      </c>
      <c r="Z11" s="16">
        <f>SUM(Z8:Z9)</f>
        <v>0</v>
      </c>
      <c r="AA11" s="16"/>
      <c r="AB11" s="16">
        <f>SUM(AB8:AB9)</f>
        <v>0</v>
      </c>
      <c r="AC11" s="16">
        <f>SUM(AC8:AC9)</f>
        <v>0</v>
      </c>
      <c r="AD11" s="16"/>
      <c r="AE11" s="16">
        <f>SUM(AE8:AE9)</f>
        <v>0</v>
      </c>
      <c r="AF11" s="16">
        <f>SUM(AF8:AF9)</f>
        <v>0</v>
      </c>
      <c r="AG11" s="16"/>
      <c r="AH11" s="16">
        <f>SUM(AH8:AH9)</f>
        <v>0</v>
      </c>
      <c r="AI11" s="16"/>
      <c r="AJ11" s="16">
        <f>SUM(AJ8:AJ9)</f>
        <v>0</v>
      </c>
      <c r="AK11" s="16"/>
      <c r="AL11" s="16">
        <f>SUM(AL8:AL9)</f>
        <v>0</v>
      </c>
      <c r="AM11" s="16"/>
      <c r="AN11" s="16">
        <f>SUM(AN8:AN9)</f>
        <v>0</v>
      </c>
      <c r="AO11" s="17">
        <f>SUM(H11:AN11)</f>
        <v>0</v>
      </c>
      <c r="AP11" s="14" t="str">
        <f>IF(ABS(AO11-F11)&lt;1,"ok","err")</f>
        <v>ok</v>
      </c>
    </row>
    <row r="12" spans="1:42" x14ac:dyDescent="0.25">
      <c r="A12" s="2"/>
      <c r="B12" s="2"/>
      <c r="AP12" s="14"/>
    </row>
    <row r="13" spans="1:42" x14ac:dyDescent="0.25">
      <c r="A13" s="5" t="s">
        <v>762</v>
      </c>
      <c r="B13" s="2"/>
      <c r="AD13" s="2"/>
      <c r="AP13" s="14"/>
    </row>
    <row r="14" spans="1:42" x14ac:dyDescent="0.25">
      <c r="A14" s="10">
        <v>340</v>
      </c>
      <c r="B14" s="9" t="s">
        <v>19</v>
      </c>
      <c r="C14" s="9" t="s">
        <v>763</v>
      </c>
      <c r="D14" s="9" t="s">
        <v>540</v>
      </c>
      <c r="F14" s="106">
        <v>0</v>
      </c>
      <c r="H14" s="17">
        <f>IF(VLOOKUP($D14,$C$5:$AN$495,6,)=0,0,((VLOOKUP($D14,$C$5:$AN$495,6,)/VLOOKUP($D14,$C$5:$AN$495,4,))*$F14))</f>
        <v>0</v>
      </c>
      <c r="I14" s="17">
        <f>IF(VLOOKUP($D14,$C$5:$AN$495,7,)=0,0,((VLOOKUP($D14,$C$5:$AN$495,7,)/VLOOKUP($D14,$C$5:$AN$495,4,))*$F14))</f>
        <v>0</v>
      </c>
      <c r="J14" s="17">
        <f>IF(VLOOKUP($D14,$C$5:$AN$495,8,)=0,0,((VLOOKUP($D14,$C$5:$AN$495,8,)/VLOOKUP($D14,$C$5:$AN$495,4,))*$F14))</f>
        <v>0</v>
      </c>
      <c r="K14" s="17">
        <f>IF(VLOOKUP($D14,$C$5:$AN$495,9,)=0,0,((VLOOKUP($D14,$C$5:$AN$495,9,)/VLOOKUP($D14,$C$5:$AN$495,4,))*$F14))</f>
        <v>0</v>
      </c>
      <c r="L14" s="17">
        <f>IF(VLOOKUP($D14,$C$5:$AN$495,10,)=0,0,((VLOOKUP($D14,$C$5:$AN$495,10,)/VLOOKUP($D14,$C$5:$AN$495,4,))*$F14))</f>
        <v>0</v>
      </c>
      <c r="M14" s="17">
        <f>IF(VLOOKUP($D14,$C$5:$AN$495,11,)=0,0,((VLOOKUP($D14,$C$5:$AN$495,11,)/VLOOKUP($D14,$C$5:$AN$495,4,))*$F14))</f>
        <v>0</v>
      </c>
      <c r="N14" s="17">
        <f>IF(VLOOKUP($D14,$C$5:$AN$495,12,)=0,0,((VLOOKUP($D14,$C$5:$AN$495,12,)/VLOOKUP($D14,$C$5:$AN$495,4,))*$F14))</f>
        <v>0</v>
      </c>
      <c r="O14" s="17"/>
      <c r="P14" s="17">
        <f>IF(VLOOKUP($D14,$C$5:$AN$495,14,)=0,0,((VLOOKUP($D14,$C$5:$AN$495,14,)/VLOOKUP($D14,$C$5:$AN$495,4,))*$F14))</f>
        <v>0</v>
      </c>
      <c r="Q14" s="17"/>
      <c r="R14" s="17">
        <f>IF(VLOOKUP($D14,$C$5:$AN$495,16,)=0,0,((VLOOKUP($D14,$C$5:$AN$495,16,)/VLOOKUP($D14,$C$5:$AN$495,4,))*$F14))</f>
        <v>0</v>
      </c>
      <c r="S14" s="17"/>
      <c r="T14" s="17">
        <f>IF(VLOOKUP($D14,$C$5:$AN$495,18,)=0,0,((VLOOKUP($D14,$C$5:$AN$495,18,)/VLOOKUP($D14,$C$5:$AN$495,4,))*$F14))</f>
        <v>0</v>
      </c>
      <c r="U14" s="17"/>
      <c r="V14" s="17">
        <f>IF(VLOOKUP($D14,$C$5:$AN$495,20,)=0,0,((VLOOKUP($D14,$C$5:$AN$495,20,)/VLOOKUP($D14,$C$5:$AN$495,4,))*$F14))</f>
        <v>0</v>
      </c>
      <c r="W14" s="17">
        <f>IF(VLOOKUP($D14,$C$5:$AN$495,21,)=0,0,((VLOOKUP($D14,$C$5:$AN$495,21,)/VLOOKUP($D14,$C$5:$AN$495,4,))*$F14))</f>
        <v>0</v>
      </c>
      <c r="X14" s="17"/>
      <c r="Y14" s="17">
        <f>IF(VLOOKUP($D14,$C$5:$AN$495,23,)=0,0,((VLOOKUP($D14,$C$5:$AN$495,23,)/VLOOKUP($D14,$C$5:$AN$495,4,))*$F14))</f>
        <v>0</v>
      </c>
      <c r="Z14" s="17">
        <f>IF(VLOOKUP($D14,$C$5:$AN$495,24,)=0,0,((VLOOKUP($D14,$C$5:$AN$495,24,)/VLOOKUP($D14,$C$5:$AN$495,4,))*$F14))</f>
        <v>0</v>
      </c>
      <c r="AA14" s="17"/>
      <c r="AB14" s="17">
        <f>IF(VLOOKUP($D14,$C$5:$AN$495,26,)=0,0,((VLOOKUP($D14,$C$5:$AN$495,26,)/VLOOKUP($D14,$C$5:$AN$495,4,))*$F14))</f>
        <v>0</v>
      </c>
      <c r="AC14" s="17">
        <f>IF(VLOOKUP($D14,$C$5:$AN$495,27,)=0,0,((VLOOKUP($D14,$C$5:$AN$495,27,)/VLOOKUP($D14,$C$5:$AN$495,4,))*$F14))</f>
        <v>0</v>
      </c>
      <c r="AD14" s="17"/>
      <c r="AE14" s="17">
        <f>IF(VLOOKUP($D14,$C$5:$AN$495,29,)=0,0,((VLOOKUP($D14,$C$5:$AN$495,29,)/VLOOKUP($D14,$C$5:$AN$495,4,))*$F14))</f>
        <v>0</v>
      </c>
      <c r="AF14" s="17">
        <f>IF(VLOOKUP($D14,$C$5:$AN$495,30,)=0,0,((VLOOKUP($D14,$C$5:$AN$495,30,)/VLOOKUP($D14,$C$5:$AN$495,4,))*$F14))</f>
        <v>0</v>
      </c>
      <c r="AG14" s="17"/>
      <c r="AH14" s="17">
        <f>IF(VLOOKUP($D14,$C$5:$AN$495,32,)=0,0,((VLOOKUP($D14,$C$5:$AN$495,32,)/VLOOKUP($D14,$C$5:$AN$495,4,))*$F14))</f>
        <v>0</v>
      </c>
      <c r="AI14" s="17"/>
      <c r="AJ14" s="17">
        <f>IF(VLOOKUP($D14,$C$5:$AN$495,34,)=0,0,((VLOOKUP($D14,$C$5:$AN$495,34,)/VLOOKUP($D14,$C$5:$AN$495,4,))*$F14))</f>
        <v>0</v>
      </c>
      <c r="AK14" s="17"/>
      <c r="AL14" s="17">
        <f>IF(VLOOKUP($D14,$C$5:$AN$495,36,)=0,0,((VLOOKUP($D14,$C$5:$AN$495,36,)/VLOOKUP($D14,$C$5:$AN$495,4,))*$F14))</f>
        <v>0</v>
      </c>
      <c r="AM14" s="17"/>
      <c r="AN14" s="17">
        <f>IF(VLOOKUP($D14,$C$5:$AN$495,38,)=0,0,((VLOOKUP($D14,$C$5:$AN$495,38,)/VLOOKUP($D14,$C$5:$AN$495,4,))*$F14))</f>
        <v>0</v>
      </c>
      <c r="AO14" s="109">
        <f>SUM(H14:AN14)</f>
        <v>0</v>
      </c>
      <c r="AP14" s="14" t="str">
        <f>IF(ABS(AO14-F14)&lt;1,"ok","err")</f>
        <v>ok</v>
      </c>
    </row>
    <row r="15" spans="1:42" x14ac:dyDescent="0.25">
      <c r="A15" s="10">
        <v>341</v>
      </c>
      <c r="B15" s="9" t="s">
        <v>771</v>
      </c>
      <c r="C15" s="2" t="s">
        <v>766</v>
      </c>
      <c r="D15" s="9" t="s">
        <v>540</v>
      </c>
      <c r="F15" s="106">
        <v>0</v>
      </c>
      <c r="H15" s="17">
        <f>IF(VLOOKUP($D15,$C$5:$AN$495,6,)=0,0,((VLOOKUP($D15,$C$5:$AN$495,6,)/VLOOKUP($D15,$C$5:$AN$495,4,))*$F15))</f>
        <v>0</v>
      </c>
      <c r="I15" s="17">
        <f>IF(VLOOKUP($D15,$C$5:$AN$495,7,)=0,0,((VLOOKUP($D15,$C$5:$AN$495,7,)/VLOOKUP($D15,$C$5:$AN$495,4,))*$F15))</f>
        <v>0</v>
      </c>
      <c r="J15" s="17">
        <f>IF(VLOOKUP($D15,$C$5:$AN$495,8,)=0,0,((VLOOKUP($D15,$C$5:$AN$495,8,)/VLOOKUP($D15,$C$5:$AN$495,4,))*$F15))</f>
        <v>0</v>
      </c>
      <c r="K15" s="17">
        <f>IF(VLOOKUP($D15,$C$5:$AN$495,9,)=0,0,((VLOOKUP($D15,$C$5:$AN$495,9,)/VLOOKUP($D15,$C$5:$AN$495,4,))*$F15))</f>
        <v>0</v>
      </c>
      <c r="L15" s="17">
        <f>IF(VLOOKUP($D15,$C$5:$AN$495,10,)=0,0,((VLOOKUP($D15,$C$5:$AN$495,10,)/VLOOKUP($D15,$C$5:$AN$495,4,))*$F15))</f>
        <v>0</v>
      </c>
      <c r="M15" s="17">
        <f>IF(VLOOKUP($D15,$C$5:$AN$495,11,)=0,0,((VLOOKUP($D15,$C$5:$AN$495,11,)/VLOOKUP($D15,$C$5:$AN$495,4,))*$F15))</f>
        <v>0</v>
      </c>
      <c r="N15" s="17">
        <f>IF(VLOOKUP($D15,$C$5:$AN$495,12,)=0,0,((VLOOKUP($D15,$C$5:$AN$495,12,)/VLOOKUP($D15,$C$5:$AN$495,4,))*$F15))</f>
        <v>0</v>
      </c>
      <c r="O15" s="17"/>
      <c r="P15" s="17">
        <f>IF(VLOOKUP($D15,$C$5:$AN$495,14,)=0,0,((VLOOKUP($D15,$C$5:$AN$495,14,)/VLOOKUP($D15,$C$5:$AN$495,4,))*$F15))</f>
        <v>0</v>
      </c>
      <c r="Q15" s="17"/>
      <c r="R15" s="17">
        <f>IF(VLOOKUP($D15,$C$5:$AN$495,16,)=0,0,((VLOOKUP($D15,$C$5:$AN$495,16,)/VLOOKUP($D15,$C$5:$AN$495,4,))*$F15))</f>
        <v>0</v>
      </c>
      <c r="S15" s="17"/>
      <c r="T15" s="17">
        <f>IF(VLOOKUP($D15,$C$5:$AN$495,18,)=0,0,((VLOOKUP($D15,$C$5:$AN$495,18,)/VLOOKUP($D15,$C$5:$AN$495,4,))*$F15))</f>
        <v>0</v>
      </c>
      <c r="U15" s="17"/>
      <c r="V15" s="17">
        <f>IF(VLOOKUP($D15,$C$5:$AN$495,20,)=0,0,((VLOOKUP($D15,$C$5:$AN$495,20,)/VLOOKUP($D15,$C$5:$AN$495,4,))*$F15))</f>
        <v>0</v>
      </c>
      <c r="W15" s="17">
        <f>IF(VLOOKUP($D15,$C$5:$AN$495,21,)=0,0,((VLOOKUP($D15,$C$5:$AN$495,21,)/VLOOKUP($D15,$C$5:$AN$495,4,))*$F15))</f>
        <v>0</v>
      </c>
      <c r="X15" s="17"/>
      <c r="Y15" s="17">
        <f>IF(VLOOKUP($D15,$C$5:$AN$495,23,)=0,0,((VLOOKUP($D15,$C$5:$AN$495,23,)/VLOOKUP($D15,$C$5:$AN$495,4,))*$F15))</f>
        <v>0</v>
      </c>
      <c r="Z15" s="17">
        <f>IF(VLOOKUP($D15,$C$5:$AN$495,24,)=0,0,((VLOOKUP($D15,$C$5:$AN$495,24,)/VLOOKUP($D15,$C$5:$AN$495,4,))*$F15))</f>
        <v>0</v>
      </c>
      <c r="AA15" s="17"/>
      <c r="AB15" s="17">
        <f>IF(VLOOKUP($D15,$C$5:$AN$495,26,)=0,0,((VLOOKUP($D15,$C$5:$AN$495,26,)/VLOOKUP($D15,$C$5:$AN$495,4,))*$F15))</f>
        <v>0</v>
      </c>
      <c r="AC15" s="17">
        <f>IF(VLOOKUP($D15,$C$5:$AN$495,27,)=0,0,((VLOOKUP($D15,$C$5:$AN$495,27,)/VLOOKUP($D15,$C$5:$AN$495,4,))*$F15))</f>
        <v>0</v>
      </c>
      <c r="AD15" s="17"/>
      <c r="AE15" s="17">
        <f>IF(VLOOKUP($D15,$C$5:$AN$495,29,)=0,0,((VLOOKUP($D15,$C$5:$AN$495,29,)/VLOOKUP($D15,$C$5:$AN$495,4,))*$F15))</f>
        <v>0</v>
      </c>
      <c r="AF15" s="17">
        <f>IF(VLOOKUP($D15,$C$5:$AN$495,30,)=0,0,((VLOOKUP($D15,$C$5:$AN$495,30,)/VLOOKUP($D15,$C$5:$AN$495,4,))*$F15))</f>
        <v>0</v>
      </c>
      <c r="AG15" s="17"/>
      <c r="AH15" s="17">
        <f>IF(VLOOKUP($D15,$C$5:$AN$495,32,)=0,0,((VLOOKUP($D15,$C$5:$AN$495,32,)/VLOOKUP($D15,$C$5:$AN$495,4,))*$F15))</f>
        <v>0</v>
      </c>
      <c r="AI15" s="17"/>
      <c r="AJ15" s="17">
        <f>IF(VLOOKUP($D15,$C$5:$AN$495,34,)=0,0,((VLOOKUP($D15,$C$5:$AN$495,34,)/VLOOKUP($D15,$C$5:$AN$495,4,))*$F15))</f>
        <v>0</v>
      </c>
      <c r="AK15" s="17"/>
      <c r="AL15" s="17">
        <f>IF(VLOOKUP($D15,$C$5:$AN$495,36,)=0,0,((VLOOKUP($D15,$C$5:$AN$495,36,)/VLOOKUP($D15,$C$5:$AN$495,4,))*$F15))</f>
        <v>0</v>
      </c>
      <c r="AM15" s="17"/>
      <c r="AN15" s="17">
        <f>IF(VLOOKUP($D15,$C$5:$AN$495,38,)=0,0,((VLOOKUP($D15,$C$5:$AN$495,38,)/VLOOKUP($D15,$C$5:$AN$495,4,))*$F15))</f>
        <v>0</v>
      </c>
      <c r="AO15" s="109">
        <f>SUM(H15:AN15)</f>
        <v>0</v>
      </c>
      <c r="AP15" s="14" t="str">
        <f>IF(ABS(AO15-F15)&lt;1,"ok","err")</f>
        <v>ok</v>
      </c>
    </row>
    <row r="16" spans="1:42" x14ac:dyDescent="0.25">
      <c r="A16" s="10">
        <v>342</v>
      </c>
      <c r="B16" s="9" t="s">
        <v>764</v>
      </c>
      <c r="C16" s="2" t="s">
        <v>767</v>
      </c>
      <c r="D16" s="9" t="s">
        <v>540</v>
      </c>
      <c r="F16" s="106">
        <v>0</v>
      </c>
      <c r="H16" s="17">
        <f>IF(VLOOKUP($D16,$C$5:$AN$495,6,)=0,0,((VLOOKUP($D16,$C$5:$AN$495,6,)/VLOOKUP($D16,$C$5:$AN$495,4,))*$F16))</f>
        <v>0</v>
      </c>
      <c r="I16" s="17">
        <f>IF(VLOOKUP($D16,$C$5:$AN$495,7,)=0,0,((VLOOKUP($D16,$C$5:$AN$495,7,)/VLOOKUP($D16,$C$5:$AN$495,4,))*$F16))</f>
        <v>0</v>
      </c>
      <c r="J16" s="17">
        <f>IF(VLOOKUP($D16,$C$5:$AN$495,8,)=0,0,((VLOOKUP($D16,$C$5:$AN$495,8,)/VLOOKUP($D16,$C$5:$AN$495,4,))*$F16))</f>
        <v>0</v>
      </c>
      <c r="K16" s="17">
        <f>IF(VLOOKUP($D16,$C$5:$AN$495,9,)=0,0,((VLOOKUP($D16,$C$5:$AN$495,9,)/VLOOKUP($D16,$C$5:$AN$495,4,))*$F16))</f>
        <v>0</v>
      </c>
      <c r="L16" s="17">
        <f>IF(VLOOKUP($D16,$C$5:$AN$495,10,)=0,0,((VLOOKUP($D16,$C$5:$AN$495,10,)/VLOOKUP($D16,$C$5:$AN$495,4,))*$F16))</f>
        <v>0</v>
      </c>
      <c r="M16" s="17">
        <f>IF(VLOOKUP($D16,$C$5:$AN$495,11,)=0,0,((VLOOKUP($D16,$C$5:$AN$495,11,)/VLOOKUP($D16,$C$5:$AN$495,4,))*$F16))</f>
        <v>0</v>
      </c>
      <c r="N16" s="17">
        <f>IF(VLOOKUP($D16,$C$5:$AN$495,12,)=0,0,((VLOOKUP($D16,$C$5:$AN$495,12,)/VLOOKUP($D16,$C$5:$AN$495,4,))*$F16))</f>
        <v>0</v>
      </c>
      <c r="O16" s="17"/>
      <c r="P16" s="17">
        <f>IF(VLOOKUP($D16,$C$5:$AN$495,14,)=0,0,((VLOOKUP($D16,$C$5:$AN$495,14,)/VLOOKUP($D16,$C$5:$AN$495,4,))*$F16))</f>
        <v>0</v>
      </c>
      <c r="Q16" s="17"/>
      <c r="R16" s="17">
        <f>IF(VLOOKUP($D16,$C$5:$AN$495,16,)=0,0,((VLOOKUP($D16,$C$5:$AN$495,16,)/VLOOKUP($D16,$C$5:$AN$495,4,))*$F16))</f>
        <v>0</v>
      </c>
      <c r="S16" s="17"/>
      <c r="T16" s="17">
        <f>IF(VLOOKUP($D16,$C$5:$AN$495,18,)=0,0,((VLOOKUP($D16,$C$5:$AN$495,18,)/VLOOKUP($D16,$C$5:$AN$495,4,))*$F16))</f>
        <v>0</v>
      </c>
      <c r="U16" s="17"/>
      <c r="V16" s="17">
        <f>IF(VLOOKUP($D16,$C$5:$AN$495,20,)=0,0,((VLOOKUP($D16,$C$5:$AN$495,20,)/VLOOKUP($D16,$C$5:$AN$495,4,))*$F16))</f>
        <v>0</v>
      </c>
      <c r="W16" s="17">
        <f>IF(VLOOKUP($D16,$C$5:$AN$495,21,)=0,0,((VLOOKUP($D16,$C$5:$AN$495,21,)/VLOOKUP($D16,$C$5:$AN$495,4,))*$F16))</f>
        <v>0</v>
      </c>
      <c r="X16" s="17"/>
      <c r="Y16" s="17">
        <f>IF(VLOOKUP($D16,$C$5:$AN$495,23,)=0,0,((VLOOKUP($D16,$C$5:$AN$495,23,)/VLOOKUP($D16,$C$5:$AN$495,4,))*$F16))</f>
        <v>0</v>
      </c>
      <c r="Z16" s="17">
        <f>IF(VLOOKUP($D16,$C$5:$AN$495,24,)=0,0,((VLOOKUP($D16,$C$5:$AN$495,24,)/VLOOKUP($D16,$C$5:$AN$495,4,))*$F16))</f>
        <v>0</v>
      </c>
      <c r="AA16" s="17"/>
      <c r="AB16" s="17">
        <f>IF(VLOOKUP($D16,$C$5:$AN$495,26,)=0,0,((VLOOKUP($D16,$C$5:$AN$495,26,)/VLOOKUP($D16,$C$5:$AN$495,4,))*$F16))</f>
        <v>0</v>
      </c>
      <c r="AC16" s="17">
        <f>IF(VLOOKUP($D16,$C$5:$AN$495,27,)=0,0,((VLOOKUP($D16,$C$5:$AN$495,27,)/VLOOKUP($D16,$C$5:$AN$495,4,))*$F16))</f>
        <v>0</v>
      </c>
      <c r="AD16" s="17"/>
      <c r="AE16" s="17">
        <f>IF(VLOOKUP($D16,$C$5:$AN$495,29,)=0,0,((VLOOKUP($D16,$C$5:$AN$495,29,)/VLOOKUP($D16,$C$5:$AN$495,4,))*$F16))</f>
        <v>0</v>
      </c>
      <c r="AF16" s="17">
        <f>IF(VLOOKUP($D16,$C$5:$AN$495,30,)=0,0,((VLOOKUP($D16,$C$5:$AN$495,30,)/VLOOKUP($D16,$C$5:$AN$495,4,))*$F16))</f>
        <v>0</v>
      </c>
      <c r="AG16" s="17"/>
      <c r="AH16" s="17">
        <f>IF(VLOOKUP($D16,$C$5:$AN$495,32,)=0,0,((VLOOKUP($D16,$C$5:$AN$495,32,)/VLOOKUP($D16,$C$5:$AN$495,4,))*$F16))</f>
        <v>0</v>
      </c>
      <c r="AI16" s="17"/>
      <c r="AJ16" s="17">
        <f>IF(VLOOKUP($D16,$C$5:$AN$495,34,)=0,0,((VLOOKUP($D16,$C$5:$AN$495,34,)/VLOOKUP($D16,$C$5:$AN$495,4,))*$F16))</f>
        <v>0</v>
      </c>
      <c r="AK16" s="17"/>
      <c r="AL16" s="17">
        <f>IF(VLOOKUP($D16,$C$5:$AN$495,36,)=0,0,((VLOOKUP($D16,$C$5:$AN$495,36,)/VLOOKUP($D16,$C$5:$AN$495,4,))*$F16))</f>
        <v>0</v>
      </c>
      <c r="AM16" s="17"/>
      <c r="AN16" s="17">
        <f>IF(VLOOKUP($D16,$C$5:$AN$495,38,)=0,0,((VLOOKUP($D16,$C$5:$AN$495,38,)/VLOOKUP($D16,$C$5:$AN$495,4,))*$F16))</f>
        <v>0</v>
      </c>
      <c r="AO16" s="109">
        <f>SUM(H16:AN16)</f>
        <v>0</v>
      </c>
      <c r="AP16" s="14" t="str">
        <f>IF(ABS(AO16-F16)&lt;1,"ok","err")</f>
        <v>ok</v>
      </c>
    </row>
    <row r="17" spans="1:42" x14ac:dyDescent="0.25">
      <c r="A17" s="10">
        <v>344</v>
      </c>
      <c r="B17" s="9" t="s">
        <v>765</v>
      </c>
      <c r="C17" s="2" t="s">
        <v>768</v>
      </c>
      <c r="D17" s="9" t="s">
        <v>540</v>
      </c>
      <c r="F17" s="106">
        <v>0</v>
      </c>
      <c r="H17" s="17">
        <f>IF(VLOOKUP($D17,$C$5:$AN$495,6,)=0,0,((VLOOKUP($D17,$C$5:$AN$495,6,)/VLOOKUP($D17,$C$5:$AN$495,4,))*$F17))</f>
        <v>0</v>
      </c>
      <c r="I17" s="17">
        <f>IF(VLOOKUP($D17,$C$5:$AN$495,7,)=0,0,((VLOOKUP($D17,$C$5:$AN$495,7,)/VLOOKUP($D17,$C$5:$AN$495,4,))*$F17))</f>
        <v>0</v>
      </c>
      <c r="J17" s="17">
        <f>IF(VLOOKUP($D17,$C$5:$AN$495,8,)=0,0,((VLOOKUP($D17,$C$5:$AN$495,8,)/VLOOKUP($D17,$C$5:$AN$495,4,))*$F17))</f>
        <v>0</v>
      </c>
      <c r="K17" s="17">
        <f>IF(VLOOKUP($D17,$C$5:$AN$495,9,)=0,0,((VLOOKUP($D17,$C$5:$AN$495,9,)/VLOOKUP($D17,$C$5:$AN$495,4,))*$F17))</f>
        <v>0</v>
      </c>
      <c r="L17" s="17">
        <f>IF(VLOOKUP($D17,$C$5:$AN$495,10,)=0,0,((VLOOKUP($D17,$C$5:$AN$495,10,)/VLOOKUP($D17,$C$5:$AN$495,4,))*$F17))</f>
        <v>0</v>
      </c>
      <c r="M17" s="17">
        <f>IF(VLOOKUP($D17,$C$5:$AN$495,11,)=0,0,((VLOOKUP($D17,$C$5:$AN$495,11,)/VLOOKUP($D17,$C$5:$AN$495,4,))*$F17))</f>
        <v>0</v>
      </c>
      <c r="N17" s="17">
        <f>IF(VLOOKUP($D17,$C$5:$AN$495,12,)=0,0,((VLOOKUP($D17,$C$5:$AN$495,12,)/VLOOKUP($D17,$C$5:$AN$495,4,))*$F17))</f>
        <v>0</v>
      </c>
      <c r="O17" s="17"/>
      <c r="P17" s="17">
        <f>IF(VLOOKUP($D17,$C$5:$AN$495,14,)=0,0,((VLOOKUP($D17,$C$5:$AN$495,14,)/VLOOKUP($D17,$C$5:$AN$495,4,))*$F17))</f>
        <v>0</v>
      </c>
      <c r="Q17" s="17"/>
      <c r="R17" s="17">
        <f>IF(VLOOKUP($D17,$C$5:$AN$495,16,)=0,0,((VLOOKUP($D17,$C$5:$AN$495,16,)/VLOOKUP($D17,$C$5:$AN$495,4,))*$F17))</f>
        <v>0</v>
      </c>
      <c r="S17" s="17"/>
      <c r="T17" s="17">
        <f>IF(VLOOKUP($D17,$C$5:$AN$495,18,)=0,0,((VLOOKUP($D17,$C$5:$AN$495,18,)/VLOOKUP($D17,$C$5:$AN$495,4,))*$F17))</f>
        <v>0</v>
      </c>
      <c r="U17" s="17"/>
      <c r="V17" s="17">
        <f>IF(VLOOKUP($D17,$C$5:$AN$495,20,)=0,0,((VLOOKUP($D17,$C$5:$AN$495,20,)/VLOOKUP($D17,$C$5:$AN$495,4,))*$F17))</f>
        <v>0</v>
      </c>
      <c r="W17" s="17">
        <f>IF(VLOOKUP($D17,$C$5:$AN$495,21,)=0,0,((VLOOKUP($D17,$C$5:$AN$495,21,)/VLOOKUP($D17,$C$5:$AN$495,4,))*$F17))</f>
        <v>0</v>
      </c>
      <c r="X17" s="17"/>
      <c r="Y17" s="17">
        <f>IF(VLOOKUP($D17,$C$5:$AN$495,23,)=0,0,((VLOOKUP($D17,$C$5:$AN$495,23,)/VLOOKUP($D17,$C$5:$AN$495,4,))*$F17))</f>
        <v>0</v>
      </c>
      <c r="Z17" s="17">
        <f>IF(VLOOKUP($D17,$C$5:$AN$495,24,)=0,0,((VLOOKUP($D17,$C$5:$AN$495,24,)/VLOOKUP($D17,$C$5:$AN$495,4,))*$F17))</f>
        <v>0</v>
      </c>
      <c r="AA17" s="17"/>
      <c r="AB17" s="17">
        <f>IF(VLOOKUP($D17,$C$5:$AN$495,26,)=0,0,((VLOOKUP($D17,$C$5:$AN$495,26,)/VLOOKUP($D17,$C$5:$AN$495,4,))*$F17))</f>
        <v>0</v>
      </c>
      <c r="AC17" s="17">
        <f>IF(VLOOKUP($D17,$C$5:$AN$495,27,)=0,0,((VLOOKUP($D17,$C$5:$AN$495,27,)/VLOOKUP($D17,$C$5:$AN$495,4,))*$F17))</f>
        <v>0</v>
      </c>
      <c r="AD17" s="17"/>
      <c r="AE17" s="17">
        <f>IF(VLOOKUP($D17,$C$5:$AN$495,29,)=0,0,((VLOOKUP($D17,$C$5:$AN$495,29,)/VLOOKUP($D17,$C$5:$AN$495,4,))*$F17))</f>
        <v>0</v>
      </c>
      <c r="AF17" s="17">
        <f>IF(VLOOKUP($D17,$C$5:$AN$495,30,)=0,0,((VLOOKUP($D17,$C$5:$AN$495,30,)/VLOOKUP($D17,$C$5:$AN$495,4,))*$F17))</f>
        <v>0</v>
      </c>
      <c r="AG17" s="17"/>
      <c r="AH17" s="17">
        <f>IF(VLOOKUP($D17,$C$5:$AN$495,32,)=0,0,((VLOOKUP($D17,$C$5:$AN$495,32,)/VLOOKUP($D17,$C$5:$AN$495,4,))*$F17))</f>
        <v>0</v>
      </c>
      <c r="AI17" s="17"/>
      <c r="AJ17" s="17">
        <f>IF(VLOOKUP($D17,$C$5:$AN$495,34,)=0,0,((VLOOKUP($D17,$C$5:$AN$495,34,)/VLOOKUP($D17,$C$5:$AN$495,4,))*$F17))</f>
        <v>0</v>
      </c>
      <c r="AK17" s="17"/>
      <c r="AL17" s="17">
        <f>IF(VLOOKUP($D17,$C$5:$AN$495,36,)=0,0,((VLOOKUP($D17,$C$5:$AN$495,36,)/VLOOKUP($D17,$C$5:$AN$495,4,))*$F17))</f>
        <v>0</v>
      </c>
      <c r="AM17" s="17"/>
      <c r="AN17" s="17">
        <f>IF(VLOOKUP($D17,$C$5:$AN$495,38,)=0,0,((VLOOKUP($D17,$C$5:$AN$495,38,)/VLOOKUP($D17,$C$5:$AN$495,4,))*$F17))</f>
        <v>0</v>
      </c>
      <c r="AO17" s="109">
        <f>SUM(H17:AN17)</f>
        <v>0</v>
      </c>
      <c r="AP17" s="14" t="str">
        <f>IF(ABS(AO17-F17)&lt;1,"ok","err")</f>
        <v>ok</v>
      </c>
    </row>
    <row r="18" spans="1:42" x14ac:dyDescent="0.25">
      <c r="A18" s="10">
        <v>345</v>
      </c>
      <c r="B18" s="9" t="s">
        <v>770</v>
      </c>
      <c r="C18" s="2" t="s">
        <v>769</v>
      </c>
      <c r="D18" s="9" t="s">
        <v>540</v>
      </c>
      <c r="F18" s="106">
        <v>0</v>
      </c>
      <c r="H18" s="17">
        <f>IF(VLOOKUP($D18,$C$5:$AN$495,6,)=0,0,((VLOOKUP($D18,$C$5:$AN$495,6,)/VLOOKUP($D18,$C$5:$AN$495,4,))*$F18))</f>
        <v>0</v>
      </c>
      <c r="I18" s="17">
        <f>IF(VLOOKUP($D18,$C$5:$AN$495,7,)=0,0,((VLOOKUP($D18,$C$5:$AN$495,7,)/VLOOKUP($D18,$C$5:$AN$495,4,))*$F18))</f>
        <v>0</v>
      </c>
      <c r="J18" s="17">
        <f>IF(VLOOKUP($D18,$C$5:$AN$495,8,)=0,0,((VLOOKUP($D18,$C$5:$AN$495,8,)/VLOOKUP($D18,$C$5:$AN$495,4,))*$F18))</f>
        <v>0</v>
      </c>
      <c r="K18" s="17">
        <f>IF(VLOOKUP($D18,$C$5:$AN$495,9,)=0,0,((VLOOKUP($D18,$C$5:$AN$495,9,)/VLOOKUP($D18,$C$5:$AN$495,4,))*$F18))</f>
        <v>0</v>
      </c>
      <c r="L18" s="17">
        <f>IF(VLOOKUP($D18,$C$5:$AN$495,10,)=0,0,((VLOOKUP($D18,$C$5:$AN$495,10,)/VLOOKUP($D18,$C$5:$AN$495,4,))*$F18))</f>
        <v>0</v>
      </c>
      <c r="M18" s="17">
        <f>IF(VLOOKUP($D18,$C$5:$AN$495,11,)=0,0,((VLOOKUP($D18,$C$5:$AN$495,11,)/VLOOKUP($D18,$C$5:$AN$495,4,))*$F18))</f>
        <v>0</v>
      </c>
      <c r="N18" s="17">
        <f>IF(VLOOKUP($D18,$C$5:$AN$495,12,)=0,0,((VLOOKUP($D18,$C$5:$AN$495,12,)/VLOOKUP($D18,$C$5:$AN$495,4,))*$F18))</f>
        <v>0</v>
      </c>
      <c r="O18" s="17"/>
      <c r="P18" s="17">
        <f>IF(VLOOKUP($D18,$C$5:$AN$495,14,)=0,0,((VLOOKUP($D18,$C$5:$AN$495,14,)/VLOOKUP($D18,$C$5:$AN$495,4,))*$F18))</f>
        <v>0</v>
      </c>
      <c r="Q18" s="17"/>
      <c r="R18" s="17">
        <f>IF(VLOOKUP($D18,$C$5:$AN$495,16,)=0,0,((VLOOKUP($D18,$C$5:$AN$495,16,)/VLOOKUP($D18,$C$5:$AN$495,4,))*$F18))</f>
        <v>0</v>
      </c>
      <c r="S18" s="17"/>
      <c r="T18" s="17">
        <f>IF(VLOOKUP($D18,$C$5:$AN$495,18,)=0,0,((VLOOKUP($D18,$C$5:$AN$495,18,)/VLOOKUP($D18,$C$5:$AN$495,4,))*$F18))</f>
        <v>0</v>
      </c>
      <c r="U18" s="17"/>
      <c r="V18" s="17">
        <f>IF(VLOOKUP($D18,$C$5:$AN$495,20,)=0,0,((VLOOKUP($D18,$C$5:$AN$495,20,)/VLOOKUP($D18,$C$5:$AN$495,4,))*$F18))</f>
        <v>0</v>
      </c>
      <c r="W18" s="17">
        <f>IF(VLOOKUP($D18,$C$5:$AN$495,21,)=0,0,((VLOOKUP($D18,$C$5:$AN$495,21,)/VLOOKUP($D18,$C$5:$AN$495,4,))*$F18))</f>
        <v>0</v>
      </c>
      <c r="X18" s="17"/>
      <c r="Y18" s="17">
        <f>IF(VLOOKUP($D18,$C$5:$AN$495,23,)=0,0,((VLOOKUP($D18,$C$5:$AN$495,23,)/VLOOKUP($D18,$C$5:$AN$495,4,))*$F18))</f>
        <v>0</v>
      </c>
      <c r="Z18" s="17">
        <f>IF(VLOOKUP($D18,$C$5:$AN$495,24,)=0,0,((VLOOKUP($D18,$C$5:$AN$495,24,)/VLOOKUP($D18,$C$5:$AN$495,4,))*$F18))</f>
        <v>0</v>
      </c>
      <c r="AA18" s="17"/>
      <c r="AB18" s="17">
        <f>IF(VLOOKUP($D18,$C$5:$AN$495,26,)=0,0,((VLOOKUP($D18,$C$5:$AN$495,26,)/VLOOKUP($D18,$C$5:$AN$495,4,))*$F18))</f>
        <v>0</v>
      </c>
      <c r="AC18" s="17">
        <f>IF(VLOOKUP($D18,$C$5:$AN$495,27,)=0,0,((VLOOKUP($D18,$C$5:$AN$495,27,)/VLOOKUP($D18,$C$5:$AN$495,4,))*$F18))</f>
        <v>0</v>
      </c>
      <c r="AD18" s="17"/>
      <c r="AE18" s="17">
        <f>IF(VLOOKUP($D18,$C$5:$AN$495,29,)=0,0,((VLOOKUP($D18,$C$5:$AN$495,29,)/VLOOKUP($D18,$C$5:$AN$495,4,))*$F18))</f>
        <v>0</v>
      </c>
      <c r="AF18" s="17">
        <f>IF(VLOOKUP($D18,$C$5:$AN$495,30,)=0,0,((VLOOKUP($D18,$C$5:$AN$495,30,)/VLOOKUP($D18,$C$5:$AN$495,4,))*$F18))</f>
        <v>0</v>
      </c>
      <c r="AG18" s="17"/>
      <c r="AH18" s="17">
        <f>IF(VLOOKUP($D18,$C$5:$AN$495,32,)=0,0,((VLOOKUP($D18,$C$5:$AN$495,32,)/VLOOKUP($D18,$C$5:$AN$495,4,))*$F18))</f>
        <v>0</v>
      </c>
      <c r="AI18" s="17"/>
      <c r="AJ18" s="17">
        <f>IF(VLOOKUP($D18,$C$5:$AN$495,34,)=0,0,((VLOOKUP($D18,$C$5:$AN$495,34,)/VLOOKUP($D18,$C$5:$AN$495,4,))*$F18))</f>
        <v>0</v>
      </c>
      <c r="AK18" s="17"/>
      <c r="AL18" s="17">
        <f>IF(VLOOKUP($D18,$C$5:$AN$495,36,)=0,0,((VLOOKUP($D18,$C$5:$AN$495,36,)/VLOOKUP($D18,$C$5:$AN$495,4,))*$F18))</f>
        <v>0</v>
      </c>
      <c r="AM18" s="17"/>
      <c r="AN18" s="17">
        <f>IF(VLOOKUP($D18,$C$5:$AN$495,38,)=0,0,((VLOOKUP($D18,$C$5:$AN$495,38,)/VLOOKUP($D18,$C$5:$AN$495,4,))*$F18))</f>
        <v>0</v>
      </c>
      <c r="AO18" s="109">
        <f>SUM(H18:AN18)</f>
        <v>0</v>
      </c>
      <c r="AP18" s="14" t="str">
        <f>IF(ABS(AO18-F18)&lt;1,"ok","err")</f>
        <v>ok</v>
      </c>
    </row>
    <row r="19" spans="1:42" x14ac:dyDescent="0.25">
      <c r="A19" s="10"/>
      <c r="B19" s="9"/>
      <c r="F19" s="106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4"/>
    </row>
    <row r="20" spans="1:42" x14ac:dyDescent="0.25">
      <c r="A20" s="2"/>
      <c r="B20" s="2" t="s">
        <v>773</v>
      </c>
      <c r="C20" s="2" t="s">
        <v>789</v>
      </c>
      <c r="F20" s="16">
        <f>SUM(F14:F19)</f>
        <v>0</v>
      </c>
      <c r="G20" s="16">
        <f>SUM(G12:G19)</f>
        <v>0</v>
      </c>
      <c r="H20" s="16">
        <f t="shared" ref="H20:N20" si="1">SUM(H14:H19)</f>
        <v>0</v>
      </c>
      <c r="I20" s="16">
        <f t="shared" si="1"/>
        <v>0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  <c r="N20" s="16">
        <f t="shared" si="1"/>
        <v>0</v>
      </c>
      <c r="O20" s="16"/>
      <c r="P20" s="16">
        <f>SUM(P12:P19)</f>
        <v>0</v>
      </c>
      <c r="Q20" s="16"/>
      <c r="R20" s="16">
        <f>SUM(R14:R19)</f>
        <v>0</v>
      </c>
      <c r="S20" s="16"/>
      <c r="T20" s="16">
        <f>SUM(T14:T19)</f>
        <v>0</v>
      </c>
      <c r="U20" s="16"/>
      <c r="V20" s="16">
        <f>SUM(V14:V19)</f>
        <v>0</v>
      </c>
      <c r="W20" s="16">
        <f>SUM(W14:W19)</f>
        <v>0</v>
      </c>
      <c r="X20" s="16"/>
      <c r="Y20" s="16">
        <f>SUM(Y14:Y19)</f>
        <v>0</v>
      </c>
      <c r="Z20" s="16">
        <f>SUM(Z14:Z19)</f>
        <v>0</v>
      </c>
      <c r="AA20" s="16"/>
      <c r="AB20" s="16">
        <f>SUM(AB14:AB19)</f>
        <v>0</v>
      </c>
      <c r="AC20" s="16">
        <f>SUM(AC14:AC19)</f>
        <v>0</v>
      </c>
      <c r="AD20" s="16"/>
      <c r="AE20" s="16">
        <f>SUM(AE14:AE19)</f>
        <v>0</v>
      </c>
      <c r="AF20" s="16">
        <f>SUM(AF14:AF19)</f>
        <v>0</v>
      </c>
      <c r="AG20" s="16"/>
      <c r="AH20" s="16">
        <f>SUM(AH14:AH19)</f>
        <v>0</v>
      </c>
      <c r="AI20" s="16"/>
      <c r="AJ20" s="16">
        <f>SUM(AJ14:AJ19)</f>
        <v>0</v>
      </c>
      <c r="AK20" s="16"/>
      <c r="AL20" s="16">
        <f>SUM(AL14:AL19)</f>
        <v>0</v>
      </c>
      <c r="AM20" s="16"/>
      <c r="AN20" s="16">
        <f>SUM(AN14:AN19)</f>
        <v>0</v>
      </c>
      <c r="AO20" s="17">
        <f>SUM(H20:AN20)</f>
        <v>0</v>
      </c>
      <c r="AP20" s="14" t="str">
        <f>IF(ABS(AO20-F20)&lt;1,"ok","err")</f>
        <v>ok</v>
      </c>
    </row>
    <row r="21" spans="1:42" x14ac:dyDescent="0.25">
      <c r="A21" s="2"/>
      <c r="B21" s="2"/>
      <c r="AP21" s="14"/>
    </row>
    <row r="22" spans="1:42" x14ac:dyDescent="0.25">
      <c r="A22" s="6" t="s">
        <v>328</v>
      </c>
      <c r="B22" s="2"/>
      <c r="AD22" s="2"/>
      <c r="AP22" s="14"/>
    </row>
    <row r="23" spans="1:42" x14ac:dyDescent="0.25">
      <c r="A23" s="10">
        <v>350</v>
      </c>
      <c r="B23" s="2" t="s">
        <v>19</v>
      </c>
      <c r="C23" s="2" t="s">
        <v>330</v>
      </c>
      <c r="D23" s="2" t="s">
        <v>369</v>
      </c>
      <c r="F23" s="106">
        <v>0</v>
      </c>
      <c r="H23" s="17">
        <f t="shared" ref="H23:H29" si="2">IF(VLOOKUP($D23,$C$5:$AN$495,6,)=0,0,((VLOOKUP($D23,$C$5:$AN$495,6,)/VLOOKUP($D23,$C$5:$AN$495,4,))*$F23))</f>
        <v>0</v>
      </c>
      <c r="I23" s="17">
        <f t="shared" ref="I23:I29" si="3">IF(VLOOKUP($D23,$C$5:$AN$495,7,)=0,0,((VLOOKUP($D23,$C$5:$AN$495,7,)/VLOOKUP($D23,$C$5:$AN$495,4,))*$F23))</f>
        <v>0</v>
      </c>
      <c r="J23" s="17">
        <f t="shared" ref="J23:J29" si="4">IF(VLOOKUP($D23,$C$5:$AN$495,8,)=0,0,((VLOOKUP($D23,$C$5:$AN$495,8,)/VLOOKUP($D23,$C$5:$AN$495,4,))*$F23))</f>
        <v>0</v>
      </c>
      <c r="K23" s="17">
        <f t="shared" ref="K23:K29" si="5">IF(VLOOKUP($D23,$C$5:$AN$495,9,)=0,0,((VLOOKUP($D23,$C$5:$AN$495,9,)/VLOOKUP($D23,$C$5:$AN$495,4,))*$F23))</f>
        <v>0</v>
      </c>
      <c r="L23" s="17">
        <f t="shared" ref="L23:L29" si="6">IF(VLOOKUP($D23,$C$5:$AN$495,10,)=0,0,((VLOOKUP($D23,$C$5:$AN$495,10,)/VLOOKUP($D23,$C$5:$AN$495,4,))*$F23))</f>
        <v>0</v>
      </c>
      <c r="M23" s="17">
        <f t="shared" ref="M23:M29" si="7">IF(VLOOKUP($D23,$C$5:$AN$495,11,)=0,0,((VLOOKUP($D23,$C$5:$AN$495,11,)/VLOOKUP($D23,$C$5:$AN$495,4,))*$F23))</f>
        <v>0</v>
      </c>
      <c r="N23" s="17">
        <f t="shared" ref="N23:N29" si="8">IF(VLOOKUP($D23,$C$5:$AN$495,12,)=0,0,((VLOOKUP($D23,$C$5:$AN$495,12,)/VLOOKUP($D23,$C$5:$AN$495,4,))*$F23))</f>
        <v>0</v>
      </c>
      <c r="O23" s="17"/>
      <c r="P23" s="17">
        <f t="shared" ref="P23:P29" si="9">IF(VLOOKUP($D23,$C$5:$AN$495,14,)=0,0,((VLOOKUP($D23,$C$5:$AN$495,14,)/VLOOKUP($D23,$C$5:$AN$495,4,))*$F23))</f>
        <v>0</v>
      </c>
      <c r="Q23" s="17"/>
      <c r="R23" s="17">
        <f t="shared" ref="R23:R29" si="10">IF(VLOOKUP($D23,$C$5:$AN$495,16,)=0,0,((VLOOKUP($D23,$C$5:$AN$495,16,)/VLOOKUP($D23,$C$5:$AN$495,4,))*$F23))</f>
        <v>0</v>
      </c>
      <c r="S23" s="17"/>
      <c r="T23" s="17">
        <f t="shared" ref="T23:T29" si="11">IF(VLOOKUP($D23,$C$5:$AN$495,18,)=0,0,((VLOOKUP($D23,$C$5:$AN$495,18,)/VLOOKUP($D23,$C$5:$AN$495,4,))*$F23))</f>
        <v>0</v>
      </c>
      <c r="U23" s="17"/>
      <c r="V23" s="17">
        <f t="shared" ref="V23:V29" si="12">IF(VLOOKUP($D23,$C$5:$AN$495,20,)=0,0,((VLOOKUP($D23,$C$5:$AN$495,20,)/VLOOKUP($D23,$C$5:$AN$495,4,))*$F23))</f>
        <v>0</v>
      </c>
      <c r="W23" s="17">
        <f t="shared" ref="W23:W29" si="13">IF(VLOOKUP($D23,$C$5:$AN$495,21,)=0,0,((VLOOKUP($D23,$C$5:$AN$495,21,)/VLOOKUP($D23,$C$5:$AN$495,4,))*$F23))</f>
        <v>0</v>
      </c>
      <c r="X23" s="17"/>
      <c r="Y23" s="17">
        <f t="shared" ref="Y23:Y29" si="14">IF(VLOOKUP($D23,$C$5:$AN$495,23,)=0,0,((VLOOKUP($D23,$C$5:$AN$495,23,)/VLOOKUP($D23,$C$5:$AN$495,4,))*$F23))</f>
        <v>0</v>
      </c>
      <c r="Z23" s="17">
        <f t="shared" ref="Z23:Z29" si="15">IF(VLOOKUP($D23,$C$5:$AN$495,24,)=0,0,((VLOOKUP($D23,$C$5:$AN$495,24,)/VLOOKUP($D23,$C$5:$AN$495,4,))*$F23))</f>
        <v>0</v>
      </c>
      <c r="AA23" s="17"/>
      <c r="AB23" s="17">
        <f t="shared" ref="AB23:AB29" si="16">IF(VLOOKUP($D23,$C$5:$AN$495,26,)=0,0,((VLOOKUP($D23,$C$5:$AN$495,26,)/VLOOKUP($D23,$C$5:$AN$495,4,))*$F23))</f>
        <v>0</v>
      </c>
      <c r="AC23" s="17">
        <f t="shared" ref="AC23:AC29" si="17">IF(VLOOKUP($D23,$C$5:$AN$495,27,)=0,0,((VLOOKUP($D23,$C$5:$AN$495,27,)/VLOOKUP($D23,$C$5:$AN$495,4,))*$F23))</f>
        <v>0</v>
      </c>
      <c r="AD23" s="17"/>
      <c r="AE23" s="17">
        <f t="shared" ref="AE23:AE29" si="18">IF(VLOOKUP($D23,$C$5:$AN$495,29,)=0,0,((VLOOKUP($D23,$C$5:$AN$495,29,)/VLOOKUP($D23,$C$5:$AN$495,4,))*$F23))</f>
        <v>0</v>
      </c>
      <c r="AF23" s="17">
        <f t="shared" ref="AF23:AF29" si="19">IF(VLOOKUP($D23,$C$5:$AN$495,30,)=0,0,((VLOOKUP($D23,$C$5:$AN$495,30,)/VLOOKUP($D23,$C$5:$AN$495,4,))*$F23))</f>
        <v>0</v>
      </c>
      <c r="AG23" s="17"/>
      <c r="AH23" s="17">
        <f t="shared" ref="AH23:AH29" si="20">IF(VLOOKUP($D23,$C$5:$AN$495,32,)=0,0,((VLOOKUP($D23,$C$5:$AN$495,32,)/VLOOKUP($D23,$C$5:$AN$495,4,))*$F23))</f>
        <v>0</v>
      </c>
      <c r="AI23" s="17"/>
      <c r="AJ23" s="17">
        <f t="shared" ref="AJ23:AJ29" si="21">IF(VLOOKUP($D23,$C$5:$AN$495,34,)=0,0,((VLOOKUP($D23,$C$5:$AN$495,34,)/VLOOKUP($D23,$C$5:$AN$495,4,))*$F23))</f>
        <v>0</v>
      </c>
      <c r="AK23" s="17"/>
      <c r="AL23" s="17">
        <f t="shared" ref="AL23:AL29" si="22">IF(VLOOKUP($D23,$C$5:$AN$495,36,)=0,0,((VLOOKUP($D23,$C$5:$AN$495,36,)/VLOOKUP($D23,$C$5:$AN$495,4,))*$F23))</f>
        <v>0</v>
      </c>
      <c r="AM23" s="17"/>
      <c r="AN23" s="17">
        <f t="shared" ref="AN23:AN29" si="23">IF(VLOOKUP($D23,$C$5:$AN$495,38,)=0,0,((VLOOKUP($D23,$C$5:$AN$495,38,)/VLOOKUP($D23,$C$5:$AN$495,4,))*$F23))</f>
        <v>0</v>
      </c>
      <c r="AO23" s="17">
        <f>SUM(H23:AN23)</f>
        <v>0</v>
      </c>
      <c r="AP23" s="14" t="str">
        <f>IF(ABS(AO23-F23)&lt;1,"ok","err")</f>
        <v>ok</v>
      </c>
    </row>
    <row r="24" spans="1:42" x14ac:dyDescent="0.25">
      <c r="A24" s="10">
        <v>352</v>
      </c>
      <c r="B24" s="2" t="s">
        <v>55</v>
      </c>
      <c r="C24" s="2" t="s">
        <v>398</v>
      </c>
      <c r="D24" s="2" t="s">
        <v>369</v>
      </c>
      <c r="F24" s="106">
        <v>0</v>
      </c>
      <c r="H24" s="17">
        <f t="shared" si="2"/>
        <v>0</v>
      </c>
      <c r="I24" s="17">
        <f t="shared" si="3"/>
        <v>0</v>
      </c>
      <c r="J24" s="17">
        <f t="shared" si="4"/>
        <v>0</v>
      </c>
      <c r="K24" s="17">
        <f t="shared" si="5"/>
        <v>0</v>
      </c>
      <c r="L24" s="17">
        <f t="shared" si="6"/>
        <v>0</v>
      </c>
      <c r="M24" s="17">
        <f t="shared" si="7"/>
        <v>0</v>
      </c>
      <c r="N24" s="17">
        <f t="shared" si="8"/>
        <v>0</v>
      </c>
      <c r="O24" s="17"/>
      <c r="P24" s="17">
        <f t="shared" si="9"/>
        <v>0</v>
      </c>
      <c r="Q24" s="17"/>
      <c r="R24" s="17">
        <f t="shared" si="10"/>
        <v>0</v>
      </c>
      <c r="S24" s="17"/>
      <c r="T24" s="17">
        <f t="shared" si="11"/>
        <v>0</v>
      </c>
      <c r="U24" s="17"/>
      <c r="V24" s="17">
        <f t="shared" si="12"/>
        <v>0</v>
      </c>
      <c r="W24" s="17">
        <f t="shared" si="13"/>
        <v>0</v>
      </c>
      <c r="X24" s="17"/>
      <c r="Y24" s="17">
        <f t="shared" si="14"/>
        <v>0</v>
      </c>
      <c r="Z24" s="17">
        <f t="shared" si="15"/>
        <v>0</v>
      </c>
      <c r="AA24" s="17"/>
      <c r="AB24" s="17">
        <f t="shared" si="16"/>
        <v>0</v>
      </c>
      <c r="AC24" s="17">
        <f t="shared" si="17"/>
        <v>0</v>
      </c>
      <c r="AD24" s="17"/>
      <c r="AE24" s="17">
        <f t="shared" si="18"/>
        <v>0</v>
      </c>
      <c r="AF24" s="17">
        <f t="shared" si="19"/>
        <v>0</v>
      </c>
      <c r="AG24" s="17"/>
      <c r="AH24" s="17">
        <f t="shared" si="20"/>
        <v>0</v>
      </c>
      <c r="AI24" s="17"/>
      <c r="AJ24" s="17">
        <f t="shared" si="21"/>
        <v>0</v>
      </c>
      <c r="AK24" s="17"/>
      <c r="AL24" s="17">
        <f t="shared" si="22"/>
        <v>0</v>
      </c>
      <c r="AM24" s="17"/>
      <c r="AN24" s="17">
        <f t="shared" si="23"/>
        <v>0</v>
      </c>
      <c r="AO24" s="17">
        <f t="shared" ref="AO24:AO29" si="24">SUM(H24:AN24)</f>
        <v>0</v>
      </c>
      <c r="AP24" s="14" t="str">
        <f t="shared" ref="AP24:AP29" si="25">IF(ABS(AO24-F24)&lt;1,"ok","err")</f>
        <v>ok</v>
      </c>
    </row>
    <row r="25" spans="1:42" x14ac:dyDescent="0.25">
      <c r="A25" s="10">
        <v>353</v>
      </c>
      <c r="B25" s="2" t="s">
        <v>24</v>
      </c>
      <c r="C25" s="2" t="s">
        <v>331</v>
      </c>
      <c r="D25" s="2" t="s">
        <v>369</v>
      </c>
      <c r="F25" s="106">
        <v>0</v>
      </c>
      <c r="H25" s="17">
        <f t="shared" si="2"/>
        <v>0</v>
      </c>
      <c r="I25" s="17">
        <f t="shared" si="3"/>
        <v>0</v>
      </c>
      <c r="J25" s="17">
        <f t="shared" si="4"/>
        <v>0</v>
      </c>
      <c r="K25" s="17">
        <f t="shared" si="5"/>
        <v>0</v>
      </c>
      <c r="L25" s="17">
        <f t="shared" si="6"/>
        <v>0</v>
      </c>
      <c r="M25" s="17">
        <f t="shared" si="7"/>
        <v>0</v>
      </c>
      <c r="N25" s="17">
        <f t="shared" si="8"/>
        <v>0</v>
      </c>
      <c r="O25" s="17"/>
      <c r="P25" s="17">
        <f t="shared" si="9"/>
        <v>0</v>
      </c>
      <c r="Q25" s="17"/>
      <c r="R25" s="17">
        <f t="shared" si="10"/>
        <v>0</v>
      </c>
      <c r="S25" s="17"/>
      <c r="T25" s="17">
        <f t="shared" si="11"/>
        <v>0</v>
      </c>
      <c r="U25" s="17"/>
      <c r="V25" s="17">
        <f t="shared" si="12"/>
        <v>0</v>
      </c>
      <c r="W25" s="17">
        <f t="shared" si="13"/>
        <v>0</v>
      </c>
      <c r="X25" s="17"/>
      <c r="Y25" s="17">
        <f t="shared" si="14"/>
        <v>0</v>
      </c>
      <c r="Z25" s="17">
        <f t="shared" si="15"/>
        <v>0</v>
      </c>
      <c r="AA25" s="17"/>
      <c r="AB25" s="17">
        <f t="shared" si="16"/>
        <v>0</v>
      </c>
      <c r="AC25" s="17">
        <f t="shared" si="17"/>
        <v>0</v>
      </c>
      <c r="AD25" s="17"/>
      <c r="AE25" s="17">
        <f t="shared" si="18"/>
        <v>0</v>
      </c>
      <c r="AF25" s="17">
        <f t="shared" si="19"/>
        <v>0</v>
      </c>
      <c r="AG25" s="17"/>
      <c r="AH25" s="17">
        <f t="shared" si="20"/>
        <v>0</v>
      </c>
      <c r="AI25" s="17"/>
      <c r="AJ25" s="17">
        <f t="shared" si="21"/>
        <v>0</v>
      </c>
      <c r="AK25" s="17"/>
      <c r="AL25" s="17">
        <f t="shared" si="22"/>
        <v>0</v>
      </c>
      <c r="AM25" s="17"/>
      <c r="AN25" s="17">
        <f t="shared" si="23"/>
        <v>0</v>
      </c>
      <c r="AO25" s="17">
        <f t="shared" si="24"/>
        <v>0</v>
      </c>
      <c r="AP25" s="14" t="str">
        <f t="shared" si="25"/>
        <v>ok</v>
      </c>
    </row>
    <row r="26" spans="1:42" x14ac:dyDescent="0.25">
      <c r="A26" s="10">
        <v>354</v>
      </c>
      <c r="B26" s="2" t="s">
        <v>399</v>
      </c>
      <c r="C26" s="2" t="s">
        <v>401</v>
      </c>
      <c r="D26" s="2" t="s">
        <v>369</v>
      </c>
      <c r="F26" s="106">
        <v>0</v>
      </c>
      <c r="H26" s="17">
        <f t="shared" si="2"/>
        <v>0</v>
      </c>
      <c r="I26" s="17">
        <f t="shared" si="3"/>
        <v>0</v>
      </c>
      <c r="J26" s="17">
        <f t="shared" si="4"/>
        <v>0</v>
      </c>
      <c r="K26" s="17">
        <f t="shared" si="5"/>
        <v>0</v>
      </c>
      <c r="L26" s="17">
        <f t="shared" si="6"/>
        <v>0</v>
      </c>
      <c r="M26" s="17">
        <f t="shared" si="7"/>
        <v>0</v>
      </c>
      <c r="N26" s="17">
        <f t="shared" si="8"/>
        <v>0</v>
      </c>
      <c r="O26" s="17"/>
      <c r="P26" s="17">
        <f t="shared" si="9"/>
        <v>0</v>
      </c>
      <c r="Q26" s="17"/>
      <c r="R26" s="17">
        <f t="shared" si="10"/>
        <v>0</v>
      </c>
      <c r="S26" s="17"/>
      <c r="T26" s="17">
        <f t="shared" si="11"/>
        <v>0</v>
      </c>
      <c r="U26" s="17"/>
      <c r="V26" s="17">
        <f t="shared" si="12"/>
        <v>0</v>
      </c>
      <c r="W26" s="17">
        <f t="shared" si="13"/>
        <v>0</v>
      </c>
      <c r="X26" s="17"/>
      <c r="Y26" s="17">
        <f t="shared" si="14"/>
        <v>0</v>
      </c>
      <c r="Z26" s="17">
        <f t="shared" si="15"/>
        <v>0</v>
      </c>
      <c r="AA26" s="17"/>
      <c r="AB26" s="17">
        <f t="shared" si="16"/>
        <v>0</v>
      </c>
      <c r="AC26" s="17">
        <f t="shared" si="17"/>
        <v>0</v>
      </c>
      <c r="AD26" s="17"/>
      <c r="AE26" s="17">
        <f t="shared" si="18"/>
        <v>0</v>
      </c>
      <c r="AF26" s="17">
        <f t="shared" si="19"/>
        <v>0</v>
      </c>
      <c r="AG26" s="17"/>
      <c r="AH26" s="17">
        <f t="shared" si="20"/>
        <v>0</v>
      </c>
      <c r="AI26" s="17"/>
      <c r="AJ26" s="17">
        <f t="shared" si="21"/>
        <v>0</v>
      </c>
      <c r="AK26" s="17"/>
      <c r="AL26" s="17">
        <f t="shared" si="22"/>
        <v>0</v>
      </c>
      <c r="AM26" s="17"/>
      <c r="AN26" s="17">
        <f t="shared" si="23"/>
        <v>0</v>
      </c>
      <c r="AO26" s="17">
        <f t="shared" si="24"/>
        <v>0</v>
      </c>
      <c r="AP26" s="14" t="str">
        <f t="shared" si="25"/>
        <v>ok</v>
      </c>
    </row>
    <row r="27" spans="1:42" x14ac:dyDescent="0.25">
      <c r="A27" s="10">
        <v>355</v>
      </c>
      <c r="B27" s="2" t="s">
        <v>400</v>
      </c>
      <c r="C27" s="2" t="s">
        <v>332</v>
      </c>
      <c r="D27" s="2" t="s">
        <v>369</v>
      </c>
      <c r="F27" s="106">
        <v>0</v>
      </c>
      <c r="H27" s="17">
        <f t="shared" si="2"/>
        <v>0</v>
      </c>
      <c r="I27" s="17">
        <f t="shared" si="3"/>
        <v>0</v>
      </c>
      <c r="J27" s="17">
        <f t="shared" si="4"/>
        <v>0</v>
      </c>
      <c r="K27" s="17">
        <f t="shared" si="5"/>
        <v>0</v>
      </c>
      <c r="L27" s="17">
        <f t="shared" si="6"/>
        <v>0</v>
      </c>
      <c r="M27" s="17">
        <f t="shared" si="7"/>
        <v>0</v>
      </c>
      <c r="N27" s="17">
        <f t="shared" si="8"/>
        <v>0</v>
      </c>
      <c r="O27" s="17"/>
      <c r="P27" s="17">
        <f t="shared" si="9"/>
        <v>0</v>
      </c>
      <c r="Q27" s="17"/>
      <c r="R27" s="17">
        <f t="shared" si="10"/>
        <v>0</v>
      </c>
      <c r="S27" s="17"/>
      <c r="T27" s="17">
        <f t="shared" si="11"/>
        <v>0</v>
      </c>
      <c r="U27" s="17"/>
      <c r="V27" s="17">
        <f t="shared" si="12"/>
        <v>0</v>
      </c>
      <c r="W27" s="17">
        <f t="shared" si="13"/>
        <v>0</v>
      </c>
      <c r="X27" s="17"/>
      <c r="Y27" s="17">
        <f t="shared" si="14"/>
        <v>0</v>
      </c>
      <c r="Z27" s="17">
        <f t="shared" si="15"/>
        <v>0</v>
      </c>
      <c r="AA27" s="17"/>
      <c r="AB27" s="17">
        <f t="shared" si="16"/>
        <v>0</v>
      </c>
      <c r="AC27" s="17">
        <f t="shared" si="17"/>
        <v>0</v>
      </c>
      <c r="AD27" s="17"/>
      <c r="AE27" s="17">
        <f t="shared" si="18"/>
        <v>0</v>
      </c>
      <c r="AF27" s="17">
        <f t="shared" si="19"/>
        <v>0</v>
      </c>
      <c r="AG27" s="17"/>
      <c r="AH27" s="17">
        <f t="shared" si="20"/>
        <v>0</v>
      </c>
      <c r="AI27" s="17"/>
      <c r="AJ27" s="17">
        <f t="shared" si="21"/>
        <v>0</v>
      </c>
      <c r="AK27" s="17"/>
      <c r="AL27" s="17">
        <f t="shared" si="22"/>
        <v>0</v>
      </c>
      <c r="AM27" s="17"/>
      <c r="AN27" s="17">
        <f t="shared" si="23"/>
        <v>0</v>
      </c>
      <c r="AO27" s="17">
        <f t="shared" si="24"/>
        <v>0</v>
      </c>
      <c r="AP27" s="14" t="str">
        <f t="shared" si="25"/>
        <v>ok</v>
      </c>
    </row>
    <row r="28" spans="1:42" x14ac:dyDescent="0.25">
      <c r="A28" s="10">
        <v>356</v>
      </c>
      <c r="B28" s="2" t="s">
        <v>329</v>
      </c>
      <c r="C28" s="2" t="s">
        <v>333</v>
      </c>
      <c r="D28" s="2" t="s">
        <v>369</v>
      </c>
      <c r="F28" s="106">
        <v>0</v>
      </c>
      <c r="H28" s="17">
        <f t="shared" si="2"/>
        <v>0</v>
      </c>
      <c r="I28" s="17">
        <f t="shared" si="3"/>
        <v>0</v>
      </c>
      <c r="J28" s="17">
        <f t="shared" si="4"/>
        <v>0</v>
      </c>
      <c r="K28" s="17">
        <f t="shared" si="5"/>
        <v>0</v>
      </c>
      <c r="L28" s="17">
        <f t="shared" si="6"/>
        <v>0</v>
      </c>
      <c r="M28" s="17">
        <f t="shared" si="7"/>
        <v>0</v>
      </c>
      <c r="N28" s="17">
        <f t="shared" si="8"/>
        <v>0</v>
      </c>
      <c r="O28" s="17"/>
      <c r="P28" s="17">
        <f t="shared" si="9"/>
        <v>0</v>
      </c>
      <c r="Q28" s="17"/>
      <c r="R28" s="17">
        <f t="shared" si="10"/>
        <v>0</v>
      </c>
      <c r="S28" s="17"/>
      <c r="T28" s="17">
        <f t="shared" si="11"/>
        <v>0</v>
      </c>
      <c r="U28" s="17"/>
      <c r="V28" s="17">
        <f t="shared" si="12"/>
        <v>0</v>
      </c>
      <c r="W28" s="17">
        <f t="shared" si="13"/>
        <v>0</v>
      </c>
      <c r="X28" s="17"/>
      <c r="Y28" s="17">
        <f t="shared" si="14"/>
        <v>0</v>
      </c>
      <c r="Z28" s="17">
        <f t="shared" si="15"/>
        <v>0</v>
      </c>
      <c r="AA28" s="17"/>
      <c r="AB28" s="17">
        <f t="shared" si="16"/>
        <v>0</v>
      </c>
      <c r="AC28" s="17">
        <f t="shared" si="17"/>
        <v>0</v>
      </c>
      <c r="AD28" s="17"/>
      <c r="AE28" s="17">
        <f t="shared" si="18"/>
        <v>0</v>
      </c>
      <c r="AF28" s="17">
        <f t="shared" si="19"/>
        <v>0</v>
      </c>
      <c r="AG28" s="17"/>
      <c r="AH28" s="17">
        <f t="shared" si="20"/>
        <v>0</v>
      </c>
      <c r="AI28" s="17"/>
      <c r="AJ28" s="17">
        <f t="shared" si="21"/>
        <v>0</v>
      </c>
      <c r="AK28" s="17"/>
      <c r="AL28" s="17">
        <f t="shared" si="22"/>
        <v>0</v>
      </c>
      <c r="AM28" s="17"/>
      <c r="AN28" s="17">
        <f t="shared" si="23"/>
        <v>0</v>
      </c>
      <c r="AO28" s="17">
        <f t="shared" si="24"/>
        <v>0</v>
      </c>
      <c r="AP28" s="14" t="str">
        <f t="shared" si="25"/>
        <v>ok</v>
      </c>
    </row>
    <row r="29" spans="1:42" x14ac:dyDescent="0.25">
      <c r="A29" s="10">
        <v>359</v>
      </c>
      <c r="B29" s="2" t="s">
        <v>402</v>
      </c>
      <c r="C29" s="2" t="s">
        <v>403</v>
      </c>
      <c r="D29" s="2" t="s">
        <v>369</v>
      </c>
      <c r="F29" s="106">
        <v>0</v>
      </c>
      <c r="H29" s="17">
        <f t="shared" si="2"/>
        <v>0</v>
      </c>
      <c r="I29" s="17">
        <f t="shared" si="3"/>
        <v>0</v>
      </c>
      <c r="J29" s="17">
        <f t="shared" si="4"/>
        <v>0</v>
      </c>
      <c r="K29" s="17">
        <f t="shared" si="5"/>
        <v>0</v>
      </c>
      <c r="L29" s="17">
        <f t="shared" si="6"/>
        <v>0</v>
      </c>
      <c r="M29" s="17">
        <f t="shared" si="7"/>
        <v>0</v>
      </c>
      <c r="N29" s="17">
        <f t="shared" si="8"/>
        <v>0</v>
      </c>
      <c r="O29" s="17"/>
      <c r="P29" s="17">
        <f t="shared" si="9"/>
        <v>0</v>
      </c>
      <c r="Q29" s="17"/>
      <c r="R29" s="17">
        <f t="shared" si="10"/>
        <v>0</v>
      </c>
      <c r="S29" s="17"/>
      <c r="T29" s="17">
        <f t="shared" si="11"/>
        <v>0</v>
      </c>
      <c r="U29" s="17"/>
      <c r="V29" s="17">
        <f t="shared" si="12"/>
        <v>0</v>
      </c>
      <c r="W29" s="17">
        <f t="shared" si="13"/>
        <v>0</v>
      </c>
      <c r="X29" s="17"/>
      <c r="Y29" s="17">
        <f t="shared" si="14"/>
        <v>0</v>
      </c>
      <c r="Z29" s="17">
        <f t="shared" si="15"/>
        <v>0</v>
      </c>
      <c r="AA29" s="17"/>
      <c r="AB29" s="17">
        <f t="shared" si="16"/>
        <v>0</v>
      </c>
      <c r="AC29" s="17">
        <f t="shared" si="17"/>
        <v>0</v>
      </c>
      <c r="AD29" s="17"/>
      <c r="AE29" s="17">
        <f t="shared" si="18"/>
        <v>0</v>
      </c>
      <c r="AF29" s="17">
        <f t="shared" si="19"/>
        <v>0</v>
      </c>
      <c r="AG29" s="17"/>
      <c r="AH29" s="17">
        <f t="shared" si="20"/>
        <v>0</v>
      </c>
      <c r="AI29" s="17"/>
      <c r="AJ29" s="17">
        <f t="shared" si="21"/>
        <v>0</v>
      </c>
      <c r="AK29" s="17"/>
      <c r="AL29" s="17">
        <f t="shared" si="22"/>
        <v>0</v>
      </c>
      <c r="AM29" s="17"/>
      <c r="AN29" s="17">
        <f t="shared" si="23"/>
        <v>0</v>
      </c>
      <c r="AO29" s="17">
        <f t="shared" si="24"/>
        <v>0</v>
      </c>
      <c r="AP29" s="14" t="str">
        <f t="shared" si="25"/>
        <v>ok</v>
      </c>
    </row>
    <row r="30" spans="1:42" x14ac:dyDescent="0.25">
      <c r="A30" s="2"/>
      <c r="B30" s="2"/>
      <c r="AD30" s="2"/>
      <c r="AO30" s="17"/>
      <c r="AP30" s="14"/>
    </row>
    <row r="31" spans="1:42" x14ac:dyDescent="0.25">
      <c r="A31" s="2"/>
      <c r="B31" s="2" t="s">
        <v>336</v>
      </c>
      <c r="C31" s="2" t="s">
        <v>368</v>
      </c>
      <c r="F31" s="16">
        <f t="shared" ref="F31:P31" si="26">SUM(F23:F30)</f>
        <v>0</v>
      </c>
      <c r="G31" s="16">
        <f t="shared" si="26"/>
        <v>0</v>
      </c>
      <c r="H31" s="16">
        <f t="shared" si="26"/>
        <v>0</v>
      </c>
      <c r="I31" s="16">
        <f t="shared" si="26"/>
        <v>0</v>
      </c>
      <c r="J31" s="16">
        <f t="shared" si="26"/>
        <v>0</v>
      </c>
      <c r="K31" s="16">
        <f t="shared" si="26"/>
        <v>0</v>
      </c>
      <c r="L31" s="16">
        <f t="shared" si="26"/>
        <v>0</v>
      </c>
      <c r="M31" s="16">
        <f t="shared" si="26"/>
        <v>0</v>
      </c>
      <c r="N31" s="16">
        <f t="shared" si="26"/>
        <v>0</v>
      </c>
      <c r="O31" s="16"/>
      <c r="P31" s="16">
        <f t="shared" si="26"/>
        <v>0</v>
      </c>
      <c r="Q31" s="16"/>
      <c r="R31" s="16">
        <f>SUM(R23:R30)</f>
        <v>0</v>
      </c>
      <c r="S31" s="16"/>
      <c r="T31" s="16">
        <f>SUM(T23:T30)</f>
        <v>0</v>
      </c>
      <c r="U31" s="16"/>
      <c r="V31" s="16">
        <f>SUM(V23:V30)</f>
        <v>0</v>
      </c>
      <c r="W31" s="16">
        <f>SUM(W23:W30)</f>
        <v>0</v>
      </c>
      <c r="X31" s="16"/>
      <c r="Y31" s="16">
        <f>SUM(Y23:Y30)</f>
        <v>0</v>
      </c>
      <c r="Z31" s="16">
        <f>SUM(Z23:Z30)</f>
        <v>0</v>
      </c>
      <c r="AA31" s="16"/>
      <c r="AB31" s="16">
        <f>SUM(AB23:AB30)</f>
        <v>0</v>
      </c>
      <c r="AC31" s="16">
        <f>SUM(AC23:AC30)</f>
        <v>0</v>
      </c>
      <c r="AD31" s="16"/>
      <c r="AE31" s="16">
        <f>SUM(AE23:AE30)</f>
        <v>0</v>
      </c>
      <c r="AF31" s="16">
        <f>SUM(AF23:AF30)</f>
        <v>0</v>
      </c>
      <c r="AG31" s="16"/>
      <c r="AH31" s="16">
        <f>SUM(AH23:AH30)</f>
        <v>0</v>
      </c>
      <c r="AI31" s="16"/>
      <c r="AJ31" s="16">
        <f>SUM(AJ23:AJ30)</f>
        <v>0</v>
      </c>
      <c r="AK31" s="16"/>
      <c r="AL31" s="16">
        <f>SUM(AL23:AL30)</f>
        <v>0</v>
      </c>
      <c r="AM31" s="16"/>
      <c r="AN31" s="16">
        <f>SUM(AN23:AN30)</f>
        <v>0</v>
      </c>
      <c r="AO31" s="17">
        <f>SUM(H31:AN31)</f>
        <v>0</v>
      </c>
      <c r="AP31" s="14" t="str">
        <f>IF(ABS(AO31-F31)&lt;1,"ok","err")</f>
        <v>ok</v>
      </c>
    </row>
    <row r="32" spans="1:42" x14ac:dyDescent="0.25">
      <c r="A32" s="2"/>
      <c r="B32" s="2"/>
      <c r="AD32" s="2"/>
      <c r="AP32" s="14"/>
    </row>
    <row r="33" spans="1:42" x14ac:dyDescent="0.25">
      <c r="A33" s="6" t="s">
        <v>23</v>
      </c>
      <c r="B33" s="2"/>
      <c r="AD33" s="2"/>
      <c r="AP33" s="14"/>
    </row>
    <row r="34" spans="1:42" x14ac:dyDescent="0.25">
      <c r="A34" s="10">
        <v>360</v>
      </c>
      <c r="B34" s="2" t="s">
        <v>19</v>
      </c>
      <c r="C34" s="2" t="s">
        <v>20</v>
      </c>
      <c r="D34" s="2" t="s">
        <v>26</v>
      </c>
      <c r="F34" s="195">
        <v>52264.44</v>
      </c>
      <c r="H34" s="17">
        <f t="shared" ref="H34:H48" si="27">IF(VLOOKUP($D34,$C$5:$AN$495,6,)=0,0,((VLOOKUP($D34,$C$5:$AN$495,6,)/VLOOKUP($D34,$C$5:$AN$495,4,))*$F34))</f>
        <v>0</v>
      </c>
      <c r="I34" s="17">
        <f t="shared" ref="I34:I48" si="28">IF(VLOOKUP($D34,$C$5:$AN$495,7,)=0,0,((VLOOKUP($D34,$C$5:$AN$495,7,)/VLOOKUP($D34,$C$5:$AN$495,4,))*$F34))</f>
        <v>0</v>
      </c>
      <c r="J34" s="17">
        <f t="shared" ref="J34:J48" si="29">IF(VLOOKUP($D34,$C$5:$AN$495,8,)=0,0,((VLOOKUP($D34,$C$5:$AN$495,8,)/VLOOKUP($D34,$C$5:$AN$495,4,))*$F34))</f>
        <v>0</v>
      </c>
      <c r="K34" s="17">
        <f t="shared" ref="K34:K48" si="30">IF(VLOOKUP($D34,$C$5:$AN$495,9,)=0,0,((VLOOKUP($D34,$C$5:$AN$495,9,)/VLOOKUP($D34,$C$5:$AN$495,4,))*$F34))</f>
        <v>0</v>
      </c>
      <c r="L34" s="17">
        <f t="shared" ref="L34:L48" si="31">IF(VLOOKUP($D34,$C$5:$AN$495,10,)=0,0,((VLOOKUP($D34,$C$5:$AN$495,10,)/VLOOKUP($D34,$C$5:$AN$495,4,))*$F34))</f>
        <v>0</v>
      </c>
      <c r="M34" s="17">
        <f t="shared" ref="M34:M48" si="32">IF(VLOOKUP($D34,$C$5:$AN$495,11,)=0,0,((VLOOKUP($D34,$C$5:$AN$495,11,)/VLOOKUP($D34,$C$5:$AN$495,4,))*$F34))</f>
        <v>0</v>
      </c>
      <c r="N34" s="17">
        <f t="shared" ref="N34:N48" si="33">IF(VLOOKUP($D34,$C$5:$AN$495,12,)=0,0,((VLOOKUP($D34,$C$5:$AN$495,12,)/VLOOKUP($D34,$C$5:$AN$495,4,))*$F34))</f>
        <v>0</v>
      </c>
      <c r="O34" s="17"/>
      <c r="P34" s="17">
        <f t="shared" ref="P34:P48" si="34">IF(VLOOKUP($D34,$C$5:$AN$495,14,)=0,0,((VLOOKUP($D34,$C$5:$AN$495,14,)/VLOOKUP($D34,$C$5:$AN$495,4,))*$F34))</f>
        <v>0</v>
      </c>
      <c r="Q34" s="17"/>
      <c r="R34" s="17">
        <f t="shared" ref="R34:R48" si="35">IF(VLOOKUP($D34,$C$5:$AN$495,16,)=0,0,((VLOOKUP($D34,$C$5:$AN$495,16,)/VLOOKUP($D34,$C$5:$AN$495,4,))*$F34))</f>
        <v>0</v>
      </c>
      <c r="S34" s="17"/>
      <c r="T34" s="17">
        <f t="shared" ref="T34:T48" si="36">IF(VLOOKUP($D34,$C$5:$AN$495,18,)=0,0,((VLOOKUP($D34,$C$5:$AN$495,18,)/VLOOKUP($D34,$C$5:$AN$495,4,))*$F34))</f>
        <v>52264.44</v>
      </c>
      <c r="U34" s="17"/>
      <c r="V34" s="17">
        <f t="shared" ref="V34:V48" si="37">IF(VLOOKUP($D34,$C$5:$AN$495,20,)=0,0,((VLOOKUP($D34,$C$5:$AN$495,20,)/VLOOKUP($D34,$C$5:$AN$495,4,))*$F34))</f>
        <v>0</v>
      </c>
      <c r="W34" s="17">
        <f t="shared" ref="W34:W48" si="38">IF(VLOOKUP($D34,$C$5:$AN$495,21,)=0,0,((VLOOKUP($D34,$C$5:$AN$495,21,)/VLOOKUP($D34,$C$5:$AN$495,4,))*$F34))</f>
        <v>0</v>
      </c>
      <c r="X34" s="17"/>
      <c r="Y34" s="17">
        <f t="shared" ref="Y34:Y48" si="39">IF(VLOOKUP($D34,$C$5:$AN$495,23,)=0,0,((VLOOKUP($D34,$C$5:$AN$495,23,)/VLOOKUP($D34,$C$5:$AN$495,4,))*$F34))</f>
        <v>0</v>
      </c>
      <c r="Z34" s="17">
        <f t="shared" ref="Z34:Z48" si="40">IF(VLOOKUP($D34,$C$5:$AN$495,24,)=0,0,((VLOOKUP($D34,$C$5:$AN$495,24,)/VLOOKUP($D34,$C$5:$AN$495,4,))*$F34))</f>
        <v>0</v>
      </c>
      <c r="AA34" s="17"/>
      <c r="AB34" s="17">
        <f t="shared" ref="AB34:AB48" si="41">IF(VLOOKUP($D34,$C$5:$AN$495,26,)=0,0,((VLOOKUP($D34,$C$5:$AN$495,26,)/VLOOKUP($D34,$C$5:$AN$495,4,))*$F34))</f>
        <v>0</v>
      </c>
      <c r="AC34" s="17">
        <f t="shared" ref="AC34:AC48" si="42">IF(VLOOKUP($D34,$C$5:$AN$495,27,)=0,0,((VLOOKUP($D34,$C$5:$AN$495,27,)/VLOOKUP($D34,$C$5:$AN$495,4,))*$F34))</f>
        <v>0</v>
      </c>
      <c r="AD34" s="17"/>
      <c r="AE34" s="17">
        <f t="shared" ref="AE34:AE48" si="43">IF(VLOOKUP($D34,$C$5:$AN$495,29,)=0,0,((VLOOKUP($D34,$C$5:$AN$495,29,)/VLOOKUP($D34,$C$5:$AN$495,4,))*$F34))</f>
        <v>0</v>
      </c>
      <c r="AF34" s="17">
        <f t="shared" ref="AF34:AF48" si="44">IF(VLOOKUP($D34,$C$5:$AN$495,30,)=0,0,((VLOOKUP($D34,$C$5:$AN$495,30,)/VLOOKUP($D34,$C$5:$AN$495,4,))*$F34))</f>
        <v>0</v>
      </c>
      <c r="AG34" s="17"/>
      <c r="AH34" s="17">
        <f t="shared" ref="AH34:AH48" si="45">IF(VLOOKUP($D34,$C$5:$AN$495,32,)=0,0,((VLOOKUP($D34,$C$5:$AN$495,32,)/VLOOKUP($D34,$C$5:$AN$495,4,))*$F34))</f>
        <v>0</v>
      </c>
      <c r="AI34" s="17"/>
      <c r="AJ34" s="17">
        <f t="shared" ref="AJ34:AJ48" si="46">IF(VLOOKUP($D34,$C$5:$AN$495,34,)=0,0,((VLOOKUP($D34,$C$5:$AN$495,34,)/VLOOKUP($D34,$C$5:$AN$495,4,))*$F34))</f>
        <v>0</v>
      </c>
      <c r="AK34" s="17"/>
      <c r="AL34" s="17">
        <f t="shared" ref="AL34:AL48" si="47">IF(VLOOKUP($D34,$C$5:$AN$495,36,)=0,0,((VLOOKUP($D34,$C$5:$AN$495,36,)/VLOOKUP($D34,$C$5:$AN$495,4,))*$F34))</f>
        <v>0</v>
      </c>
      <c r="AM34" s="17"/>
      <c r="AN34" s="17">
        <f t="shared" ref="AN34:AN48" si="48">IF(VLOOKUP($D34,$C$5:$AN$495,38,)=0,0,((VLOOKUP($D34,$C$5:$AN$495,38,)/VLOOKUP($D34,$C$5:$AN$495,4,))*$F34))</f>
        <v>0</v>
      </c>
      <c r="AO34" s="17">
        <f>SUM(H34:AN34)</f>
        <v>52264.44</v>
      </c>
      <c r="AP34" s="14" t="str">
        <f>IF(ABS(AO34-F34)&lt;1,"ok","err")</f>
        <v>ok</v>
      </c>
    </row>
    <row r="35" spans="1:42" x14ac:dyDescent="0.25">
      <c r="A35" s="10">
        <v>361</v>
      </c>
      <c r="B35" s="2" t="s">
        <v>55</v>
      </c>
      <c r="C35" s="2" t="s">
        <v>404</v>
      </c>
      <c r="D35" s="2" t="s">
        <v>26</v>
      </c>
      <c r="F35" s="148">
        <v>17823.849999999999</v>
      </c>
      <c r="H35" s="17">
        <f t="shared" si="27"/>
        <v>0</v>
      </c>
      <c r="I35" s="17">
        <f t="shared" si="28"/>
        <v>0</v>
      </c>
      <c r="J35" s="17">
        <f t="shared" si="29"/>
        <v>0</v>
      </c>
      <c r="K35" s="17">
        <f t="shared" si="30"/>
        <v>0</v>
      </c>
      <c r="L35" s="17">
        <f t="shared" si="31"/>
        <v>0</v>
      </c>
      <c r="M35" s="17">
        <f t="shared" si="32"/>
        <v>0</v>
      </c>
      <c r="N35" s="17">
        <f t="shared" si="33"/>
        <v>0</v>
      </c>
      <c r="O35" s="17"/>
      <c r="P35" s="17">
        <f t="shared" si="34"/>
        <v>0</v>
      </c>
      <c r="Q35" s="17"/>
      <c r="R35" s="17">
        <f t="shared" si="35"/>
        <v>0</v>
      </c>
      <c r="S35" s="17"/>
      <c r="T35" s="17">
        <f t="shared" si="36"/>
        <v>17823.849999999999</v>
      </c>
      <c r="U35" s="17"/>
      <c r="V35" s="17">
        <f t="shared" si="37"/>
        <v>0</v>
      </c>
      <c r="W35" s="17">
        <f t="shared" si="38"/>
        <v>0</v>
      </c>
      <c r="X35" s="17"/>
      <c r="Y35" s="17">
        <f t="shared" si="39"/>
        <v>0</v>
      </c>
      <c r="Z35" s="17">
        <f t="shared" si="40"/>
        <v>0</v>
      </c>
      <c r="AA35" s="17"/>
      <c r="AB35" s="17">
        <f t="shared" si="41"/>
        <v>0</v>
      </c>
      <c r="AC35" s="17">
        <f t="shared" si="42"/>
        <v>0</v>
      </c>
      <c r="AD35" s="17"/>
      <c r="AE35" s="17">
        <f t="shared" si="43"/>
        <v>0</v>
      </c>
      <c r="AF35" s="17">
        <f t="shared" si="44"/>
        <v>0</v>
      </c>
      <c r="AG35" s="17"/>
      <c r="AH35" s="17">
        <f t="shared" si="45"/>
        <v>0</v>
      </c>
      <c r="AI35" s="17"/>
      <c r="AJ35" s="17">
        <f t="shared" si="46"/>
        <v>0</v>
      </c>
      <c r="AK35" s="17"/>
      <c r="AL35" s="17">
        <f t="shared" si="47"/>
        <v>0</v>
      </c>
      <c r="AM35" s="17"/>
      <c r="AN35" s="17">
        <f t="shared" si="48"/>
        <v>0</v>
      </c>
      <c r="AO35" s="17">
        <f t="shared" ref="AO35:AO46" si="49">SUM(H35:AN35)</f>
        <v>17823.849999999999</v>
      </c>
      <c r="AP35" s="14" t="str">
        <f t="shared" ref="AP35:AP46" si="50">IF(ABS(AO35-F35)&lt;1,"ok","err")</f>
        <v>ok</v>
      </c>
    </row>
    <row r="36" spans="1:42" x14ac:dyDescent="0.25">
      <c r="A36" s="10">
        <v>362</v>
      </c>
      <c r="B36" s="2" t="s">
        <v>24</v>
      </c>
      <c r="C36" s="2" t="s">
        <v>25</v>
      </c>
      <c r="D36" s="2" t="s">
        <v>26</v>
      </c>
      <c r="F36" s="148">
        <v>804677.79</v>
      </c>
      <c r="H36" s="17">
        <f t="shared" si="27"/>
        <v>0</v>
      </c>
      <c r="I36" s="17">
        <f t="shared" si="28"/>
        <v>0</v>
      </c>
      <c r="J36" s="17">
        <f t="shared" si="29"/>
        <v>0</v>
      </c>
      <c r="K36" s="17">
        <f t="shared" si="30"/>
        <v>0</v>
      </c>
      <c r="L36" s="17">
        <f t="shared" si="31"/>
        <v>0</v>
      </c>
      <c r="M36" s="17">
        <f t="shared" si="32"/>
        <v>0</v>
      </c>
      <c r="N36" s="17">
        <f t="shared" si="33"/>
        <v>0</v>
      </c>
      <c r="O36" s="17"/>
      <c r="P36" s="17">
        <f t="shared" si="34"/>
        <v>0</v>
      </c>
      <c r="Q36" s="17"/>
      <c r="R36" s="17">
        <f t="shared" si="35"/>
        <v>0</v>
      </c>
      <c r="S36" s="17"/>
      <c r="T36" s="17">
        <f t="shared" si="36"/>
        <v>804677.79</v>
      </c>
      <c r="U36" s="17"/>
      <c r="V36" s="17">
        <f t="shared" si="37"/>
        <v>0</v>
      </c>
      <c r="W36" s="17">
        <f t="shared" si="38"/>
        <v>0</v>
      </c>
      <c r="X36" s="17"/>
      <c r="Y36" s="17">
        <f t="shared" si="39"/>
        <v>0</v>
      </c>
      <c r="Z36" s="17">
        <f t="shared" si="40"/>
        <v>0</v>
      </c>
      <c r="AA36" s="17"/>
      <c r="AB36" s="17">
        <f t="shared" si="41"/>
        <v>0</v>
      </c>
      <c r="AC36" s="17">
        <f t="shared" si="42"/>
        <v>0</v>
      </c>
      <c r="AD36" s="17"/>
      <c r="AE36" s="17">
        <f t="shared" si="43"/>
        <v>0</v>
      </c>
      <c r="AF36" s="17">
        <f t="shared" si="44"/>
        <v>0</v>
      </c>
      <c r="AG36" s="17"/>
      <c r="AH36" s="17">
        <f t="shared" si="45"/>
        <v>0</v>
      </c>
      <c r="AI36" s="17"/>
      <c r="AJ36" s="17">
        <f t="shared" si="46"/>
        <v>0</v>
      </c>
      <c r="AK36" s="17"/>
      <c r="AL36" s="17">
        <f t="shared" si="47"/>
        <v>0</v>
      </c>
      <c r="AM36" s="17"/>
      <c r="AN36" s="17">
        <f t="shared" si="48"/>
        <v>0</v>
      </c>
      <c r="AO36" s="17">
        <f t="shared" si="49"/>
        <v>804677.79</v>
      </c>
      <c r="AP36" s="14" t="str">
        <f t="shared" si="50"/>
        <v>ok</v>
      </c>
    </row>
    <row r="37" spans="1:42" x14ac:dyDescent="0.25">
      <c r="A37" s="10">
        <v>364</v>
      </c>
      <c r="B37" s="2" t="s">
        <v>27</v>
      </c>
      <c r="C37" s="2" t="s">
        <v>28</v>
      </c>
      <c r="D37" s="2" t="s">
        <v>29</v>
      </c>
      <c r="F37" s="148">
        <v>64682568.649999999</v>
      </c>
      <c r="H37" s="17">
        <f t="shared" si="27"/>
        <v>0</v>
      </c>
      <c r="I37" s="17">
        <f t="shared" si="28"/>
        <v>0</v>
      </c>
      <c r="J37" s="17">
        <f t="shared" si="29"/>
        <v>0</v>
      </c>
      <c r="K37" s="17">
        <f t="shared" si="30"/>
        <v>0</v>
      </c>
      <c r="L37" s="17">
        <f t="shared" si="31"/>
        <v>0</v>
      </c>
      <c r="M37" s="17">
        <f t="shared" si="32"/>
        <v>0</v>
      </c>
      <c r="N37" s="17">
        <f t="shared" si="33"/>
        <v>0</v>
      </c>
      <c r="O37" s="17"/>
      <c r="P37" s="17">
        <f t="shared" si="34"/>
        <v>0</v>
      </c>
      <c r="Q37" s="17"/>
      <c r="R37" s="17">
        <f t="shared" si="35"/>
        <v>0</v>
      </c>
      <c r="S37" s="17"/>
      <c r="T37" s="17">
        <f t="shared" si="36"/>
        <v>0</v>
      </c>
      <c r="U37" s="17"/>
      <c r="V37" s="17">
        <f t="shared" si="37"/>
        <v>40470589.552932002</v>
      </c>
      <c r="W37" s="17">
        <f t="shared" si="38"/>
        <v>17743722.232067998</v>
      </c>
      <c r="X37" s="17"/>
      <c r="Y37" s="17">
        <f t="shared" si="39"/>
        <v>4496732.1725480007</v>
      </c>
      <c r="Z37" s="17">
        <f t="shared" si="40"/>
        <v>1971524.6924520002</v>
      </c>
      <c r="AA37" s="17"/>
      <c r="AB37" s="17">
        <f t="shared" si="41"/>
        <v>0</v>
      </c>
      <c r="AC37" s="17">
        <f t="shared" si="42"/>
        <v>0</v>
      </c>
      <c r="AD37" s="17"/>
      <c r="AE37" s="17">
        <f t="shared" si="43"/>
        <v>0</v>
      </c>
      <c r="AF37" s="17">
        <f t="shared" si="44"/>
        <v>0</v>
      </c>
      <c r="AG37" s="17"/>
      <c r="AH37" s="17">
        <f t="shared" si="45"/>
        <v>0</v>
      </c>
      <c r="AI37" s="17"/>
      <c r="AJ37" s="17">
        <f t="shared" si="46"/>
        <v>0</v>
      </c>
      <c r="AK37" s="17"/>
      <c r="AL37" s="17">
        <f t="shared" si="47"/>
        <v>0</v>
      </c>
      <c r="AM37" s="17"/>
      <c r="AN37" s="17">
        <f t="shared" si="48"/>
        <v>0</v>
      </c>
      <c r="AO37" s="17">
        <f t="shared" si="49"/>
        <v>64682568.649999999</v>
      </c>
      <c r="AP37" s="14" t="str">
        <f t="shared" si="50"/>
        <v>ok</v>
      </c>
    </row>
    <row r="38" spans="1:42" x14ac:dyDescent="0.25">
      <c r="A38" s="10">
        <v>365</v>
      </c>
      <c r="B38" s="2" t="s">
        <v>30</v>
      </c>
      <c r="C38" s="2" t="s">
        <v>31</v>
      </c>
      <c r="D38" s="2" t="s">
        <v>32</v>
      </c>
      <c r="F38" s="148">
        <v>66367201.479999997</v>
      </c>
      <c r="H38" s="17">
        <f t="shared" si="27"/>
        <v>0</v>
      </c>
      <c r="I38" s="17">
        <f t="shared" si="28"/>
        <v>0</v>
      </c>
      <c r="J38" s="17">
        <f t="shared" si="29"/>
        <v>0</v>
      </c>
      <c r="K38" s="17">
        <f t="shared" si="30"/>
        <v>0</v>
      </c>
      <c r="L38" s="17">
        <f t="shared" si="31"/>
        <v>0</v>
      </c>
      <c r="M38" s="17">
        <f t="shared" si="32"/>
        <v>0</v>
      </c>
      <c r="N38" s="17">
        <f t="shared" si="33"/>
        <v>0</v>
      </c>
      <c r="O38" s="17"/>
      <c r="P38" s="17">
        <f t="shared" si="34"/>
        <v>0</v>
      </c>
      <c r="Q38" s="17"/>
      <c r="R38" s="17">
        <f t="shared" si="35"/>
        <v>0</v>
      </c>
      <c r="S38" s="17"/>
      <c r="T38" s="17">
        <f t="shared" si="36"/>
        <v>0</v>
      </c>
      <c r="U38" s="17"/>
      <c r="V38" s="17">
        <f t="shared" si="37"/>
        <v>41524630.622006401</v>
      </c>
      <c r="W38" s="17">
        <f t="shared" si="38"/>
        <v>18205850.709993601</v>
      </c>
      <c r="X38" s="17"/>
      <c r="Y38" s="17">
        <f t="shared" si="39"/>
        <v>4613847.8468896002</v>
      </c>
      <c r="Z38" s="17">
        <f t="shared" si="40"/>
        <v>2022872.3011104001</v>
      </c>
      <c r="AA38" s="17"/>
      <c r="AB38" s="17">
        <f t="shared" si="41"/>
        <v>0</v>
      </c>
      <c r="AC38" s="17">
        <f t="shared" si="42"/>
        <v>0</v>
      </c>
      <c r="AD38" s="17"/>
      <c r="AE38" s="17">
        <f t="shared" si="43"/>
        <v>0</v>
      </c>
      <c r="AF38" s="17">
        <f t="shared" si="44"/>
        <v>0</v>
      </c>
      <c r="AG38" s="17"/>
      <c r="AH38" s="17">
        <f t="shared" si="45"/>
        <v>0</v>
      </c>
      <c r="AI38" s="17"/>
      <c r="AJ38" s="17">
        <f t="shared" si="46"/>
        <v>0</v>
      </c>
      <c r="AK38" s="17"/>
      <c r="AL38" s="17">
        <f t="shared" si="47"/>
        <v>0</v>
      </c>
      <c r="AM38" s="17"/>
      <c r="AN38" s="17">
        <f t="shared" si="48"/>
        <v>0</v>
      </c>
      <c r="AO38" s="17">
        <f t="shared" si="49"/>
        <v>66367201.480000004</v>
      </c>
      <c r="AP38" s="14" t="str">
        <f t="shared" si="50"/>
        <v>ok</v>
      </c>
    </row>
    <row r="39" spans="1:42" x14ac:dyDescent="0.25">
      <c r="A39" s="10">
        <v>366</v>
      </c>
      <c r="B39" s="2" t="s">
        <v>33</v>
      </c>
      <c r="C39" s="2" t="s">
        <v>34</v>
      </c>
      <c r="D39" s="2" t="s">
        <v>35</v>
      </c>
      <c r="F39" s="148">
        <v>634716.06999999995</v>
      </c>
      <c r="H39" s="17">
        <f t="shared" si="27"/>
        <v>0</v>
      </c>
      <c r="I39" s="17">
        <f t="shared" si="28"/>
        <v>0</v>
      </c>
      <c r="J39" s="17">
        <f t="shared" si="29"/>
        <v>0</v>
      </c>
      <c r="K39" s="17">
        <f t="shared" si="30"/>
        <v>0</v>
      </c>
      <c r="L39" s="17">
        <f t="shared" si="31"/>
        <v>0</v>
      </c>
      <c r="M39" s="17">
        <f t="shared" si="32"/>
        <v>0</v>
      </c>
      <c r="N39" s="17">
        <f t="shared" si="33"/>
        <v>0</v>
      </c>
      <c r="O39" s="17"/>
      <c r="P39" s="17">
        <f t="shared" si="34"/>
        <v>0</v>
      </c>
      <c r="Q39" s="17"/>
      <c r="R39" s="17">
        <f t="shared" si="35"/>
        <v>0</v>
      </c>
      <c r="S39" s="17"/>
      <c r="T39" s="17">
        <f t="shared" si="36"/>
        <v>0</v>
      </c>
      <c r="U39" s="17"/>
      <c r="V39" s="17">
        <f t="shared" si="37"/>
        <v>183483.72151559999</v>
      </c>
      <c r="W39" s="17">
        <f t="shared" si="38"/>
        <v>387760.7414844</v>
      </c>
      <c r="X39" s="17"/>
      <c r="Y39" s="17">
        <f t="shared" si="39"/>
        <v>20387.0801684</v>
      </c>
      <c r="Z39" s="17">
        <f t="shared" si="40"/>
        <v>43084.526831599993</v>
      </c>
      <c r="AA39" s="17"/>
      <c r="AB39" s="17">
        <f t="shared" si="41"/>
        <v>0</v>
      </c>
      <c r="AC39" s="17">
        <f t="shared" si="42"/>
        <v>0</v>
      </c>
      <c r="AD39" s="17"/>
      <c r="AE39" s="17">
        <f t="shared" si="43"/>
        <v>0</v>
      </c>
      <c r="AF39" s="17">
        <f t="shared" si="44"/>
        <v>0</v>
      </c>
      <c r="AG39" s="17"/>
      <c r="AH39" s="17">
        <f t="shared" si="45"/>
        <v>0</v>
      </c>
      <c r="AI39" s="17"/>
      <c r="AJ39" s="17">
        <f t="shared" si="46"/>
        <v>0</v>
      </c>
      <c r="AK39" s="17"/>
      <c r="AL39" s="17">
        <f t="shared" si="47"/>
        <v>0</v>
      </c>
      <c r="AM39" s="17"/>
      <c r="AN39" s="17">
        <f t="shared" si="48"/>
        <v>0</v>
      </c>
      <c r="AO39" s="17">
        <f t="shared" si="49"/>
        <v>634716.06999999995</v>
      </c>
      <c r="AP39" s="14" t="str">
        <f t="shared" si="50"/>
        <v>ok</v>
      </c>
    </row>
    <row r="40" spans="1:42" x14ac:dyDescent="0.25">
      <c r="A40" s="10">
        <v>367</v>
      </c>
      <c r="B40" s="2" t="s">
        <v>36</v>
      </c>
      <c r="C40" s="2" t="s">
        <v>37</v>
      </c>
      <c r="D40" s="2" t="s">
        <v>35</v>
      </c>
      <c r="F40" s="148">
        <v>8799636.5800000001</v>
      </c>
      <c r="H40" s="17">
        <f t="shared" si="27"/>
        <v>0</v>
      </c>
      <c r="I40" s="17">
        <f t="shared" si="28"/>
        <v>0</v>
      </c>
      <c r="J40" s="17">
        <f t="shared" si="29"/>
        <v>0</v>
      </c>
      <c r="K40" s="17">
        <f t="shared" si="30"/>
        <v>0</v>
      </c>
      <c r="L40" s="17">
        <f t="shared" si="31"/>
        <v>0</v>
      </c>
      <c r="M40" s="17">
        <f t="shared" si="32"/>
        <v>0</v>
      </c>
      <c r="N40" s="17">
        <f t="shared" si="33"/>
        <v>0</v>
      </c>
      <c r="O40" s="17"/>
      <c r="P40" s="17">
        <f t="shared" si="34"/>
        <v>0</v>
      </c>
      <c r="Q40" s="17"/>
      <c r="R40" s="17">
        <f t="shared" si="35"/>
        <v>0</v>
      </c>
      <c r="S40" s="17"/>
      <c r="T40" s="17">
        <f t="shared" si="36"/>
        <v>0</v>
      </c>
      <c r="U40" s="17"/>
      <c r="V40" s="17">
        <f t="shared" si="37"/>
        <v>2543798.9425464002</v>
      </c>
      <c r="W40" s="17">
        <f t="shared" si="38"/>
        <v>5375873.9794536</v>
      </c>
      <c r="X40" s="17"/>
      <c r="Y40" s="17">
        <f t="shared" si="39"/>
        <v>282644.32694960001</v>
      </c>
      <c r="Z40" s="17">
        <f t="shared" si="40"/>
        <v>597319.33105039992</v>
      </c>
      <c r="AA40" s="17"/>
      <c r="AB40" s="17">
        <f t="shared" si="41"/>
        <v>0</v>
      </c>
      <c r="AC40" s="17">
        <f t="shared" si="42"/>
        <v>0</v>
      </c>
      <c r="AD40" s="17"/>
      <c r="AE40" s="17">
        <f t="shared" si="43"/>
        <v>0</v>
      </c>
      <c r="AF40" s="17">
        <f t="shared" si="44"/>
        <v>0</v>
      </c>
      <c r="AG40" s="17"/>
      <c r="AH40" s="17">
        <f t="shared" si="45"/>
        <v>0</v>
      </c>
      <c r="AI40" s="17"/>
      <c r="AJ40" s="17">
        <f t="shared" si="46"/>
        <v>0</v>
      </c>
      <c r="AK40" s="17"/>
      <c r="AL40" s="17">
        <f t="shared" si="47"/>
        <v>0</v>
      </c>
      <c r="AM40" s="17"/>
      <c r="AN40" s="17">
        <f t="shared" si="48"/>
        <v>0</v>
      </c>
      <c r="AO40" s="17">
        <f t="shared" si="49"/>
        <v>8799636.5800000001</v>
      </c>
      <c r="AP40" s="14" t="str">
        <f t="shared" si="50"/>
        <v>ok</v>
      </c>
    </row>
    <row r="41" spans="1:42" x14ac:dyDescent="0.25">
      <c r="A41" s="10">
        <v>368</v>
      </c>
      <c r="B41" s="2" t="s">
        <v>38</v>
      </c>
      <c r="C41" s="2" t="s">
        <v>39</v>
      </c>
      <c r="D41" s="2" t="s">
        <v>40</v>
      </c>
      <c r="F41" s="148">
        <v>42438200.770000003</v>
      </c>
      <c r="H41" s="17">
        <f t="shared" si="27"/>
        <v>0</v>
      </c>
      <c r="I41" s="17">
        <f t="shared" si="28"/>
        <v>0</v>
      </c>
      <c r="J41" s="17">
        <f t="shared" si="29"/>
        <v>0</v>
      </c>
      <c r="K41" s="17">
        <f t="shared" si="30"/>
        <v>0</v>
      </c>
      <c r="L41" s="17">
        <f t="shared" si="31"/>
        <v>0</v>
      </c>
      <c r="M41" s="17">
        <f t="shared" si="32"/>
        <v>0</v>
      </c>
      <c r="N41" s="17">
        <f t="shared" si="33"/>
        <v>0</v>
      </c>
      <c r="O41" s="17"/>
      <c r="P41" s="17">
        <f t="shared" si="34"/>
        <v>0</v>
      </c>
      <c r="Q41" s="17"/>
      <c r="R41" s="17">
        <f t="shared" si="35"/>
        <v>0</v>
      </c>
      <c r="S41" s="17"/>
      <c r="T41" s="17">
        <f t="shared" si="36"/>
        <v>0</v>
      </c>
      <c r="U41" s="17"/>
      <c r="V41" s="17">
        <f t="shared" si="37"/>
        <v>0</v>
      </c>
      <c r="W41" s="17">
        <f t="shared" si="38"/>
        <v>0</v>
      </c>
      <c r="X41" s="17"/>
      <c r="Y41" s="17">
        <f t="shared" si="39"/>
        <v>0</v>
      </c>
      <c r="Z41" s="17">
        <f t="shared" si="40"/>
        <v>0</v>
      </c>
      <c r="AA41" s="17"/>
      <c r="AB41" s="17">
        <f t="shared" si="41"/>
        <v>18430910.594411001</v>
      </c>
      <c r="AC41" s="17">
        <f t="shared" si="42"/>
        <v>24007290.175589003</v>
      </c>
      <c r="AD41" s="17"/>
      <c r="AE41" s="17">
        <f t="shared" si="43"/>
        <v>0</v>
      </c>
      <c r="AF41" s="17">
        <f t="shared" si="44"/>
        <v>0</v>
      </c>
      <c r="AG41" s="17"/>
      <c r="AH41" s="17">
        <f t="shared" si="45"/>
        <v>0</v>
      </c>
      <c r="AI41" s="17"/>
      <c r="AJ41" s="17">
        <f t="shared" si="46"/>
        <v>0</v>
      </c>
      <c r="AK41" s="17"/>
      <c r="AL41" s="17">
        <f t="shared" si="47"/>
        <v>0</v>
      </c>
      <c r="AM41" s="17"/>
      <c r="AN41" s="17">
        <f t="shared" si="48"/>
        <v>0</v>
      </c>
      <c r="AO41" s="17">
        <f t="shared" si="49"/>
        <v>42438200.770000003</v>
      </c>
      <c r="AP41" s="14" t="str">
        <f t="shared" si="50"/>
        <v>ok</v>
      </c>
    </row>
    <row r="42" spans="1:42" x14ac:dyDescent="0.25">
      <c r="A42" s="10">
        <v>369</v>
      </c>
      <c r="B42" s="2" t="s">
        <v>41</v>
      </c>
      <c r="C42" s="2" t="s">
        <v>42</v>
      </c>
      <c r="D42" s="2" t="s">
        <v>43</v>
      </c>
      <c r="F42" s="148">
        <v>29932855.140000001</v>
      </c>
      <c r="H42" s="17">
        <f t="shared" si="27"/>
        <v>0</v>
      </c>
      <c r="I42" s="17">
        <f t="shared" si="28"/>
        <v>0</v>
      </c>
      <c r="J42" s="17">
        <f t="shared" si="29"/>
        <v>0</v>
      </c>
      <c r="K42" s="17">
        <f t="shared" si="30"/>
        <v>0</v>
      </c>
      <c r="L42" s="17">
        <f t="shared" si="31"/>
        <v>0</v>
      </c>
      <c r="M42" s="17">
        <f t="shared" si="32"/>
        <v>0</v>
      </c>
      <c r="N42" s="17">
        <f t="shared" si="33"/>
        <v>0</v>
      </c>
      <c r="O42" s="17"/>
      <c r="P42" s="17">
        <f t="shared" si="34"/>
        <v>0</v>
      </c>
      <c r="Q42" s="17"/>
      <c r="R42" s="17">
        <f t="shared" si="35"/>
        <v>0</v>
      </c>
      <c r="S42" s="17"/>
      <c r="T42" s="17">
        <f t="shared" si="36"/>
        <v>0</v>
      </c>
      <c r="U42" s="17"/>
      <c r="V42" s="17">
        <f t="shared" si="37"/>
        <v>0</v>
      </c>
      <c r="W42" s="17">
        <f t="shared" si="38"/>
        <v>0</v>
      </c>
      <c r="X42" s="17"/>
      <c r="Y42" s="17">
        <f t="shared" si="39"/>
        <v>0</v>
      </c>
      <c r="Z42" s="17">
        <f t="shared" si="40"/>
        <v>0</v>
      </c>
      <c r="AA42" s="17"/>
      <c r="AB42" s="17">
        <f t="shared" si="41"/>
        <v>0</v>
      </c>
      <c r="AC42" s="17">
        <f t="shared" si="42"/>
        <v>0</v>
      </c>
      <c r="AD42" s="17"/>
      <c r="AE42" s="17">
        <f t="shared" si="43"/>
        <v>0</v>
      </c>
      <c r="AF42" s="17">
        <f t="shared" si="44"/>
        <v>29932855.140000001</v>
      </c>
      <c r="AG42" s="17"/>
      <c r="AH42" s="17">
        <f t="shared" si="45"/>
        <v>0</v>
      </c>
      <c r="AI42" s="17"/>
      <c r="AJ42" s="17">
        <f t="shared" si="46"/>
        <v>0</v>
      </c>
      <c r="AK42" s="17"/>
      <c r="AL42" s="17">
        <f t="shared" si="47"/>
        <v>0</v>
      </c>
      <c r="AM42" s="17"/>
      <c r="AN42" s="17">
        <f t="shared" si="48"/>
        <v>0</v>
      </c>
      <c r="AO42" s="17">
        <f t="shared" si="49"/>
        <v>29932855.140000001</v>
      </c>
      <c r="AP42" s="14" t="str">
        <f t="shared" si="50"/>
        <v>ok</v>
      </c>
    </row>
    <row r="43" spans="1:42" x14ac:dyDescent="0.25">
      <c r="A43" s="10">
        <v>370</v>
      </c>
      <c r="B43" s="2" t="s">
        <v>44</v>
      </c>
      <c r="C43" s="2" t="s">
        <v>45</v>
      </c>
      <c r="D43" s="2" t="s">
        <v>46</v>
      </c>
      <c r="F43" s="148">
        <v>11460989.460000001</v>
      </c>
      <c r="H43" s="17">
        <f t="shared" si="27"/>
        <v>0</v>
      </c>
      <c r="I43" s="17">
        <f t="shared" si="28"/>
        <v>0</v>
      </c>
      <c r="J43" s="17">
        <f t="shared" si="29"/>
        <v>0</v>
      </c>
      <c r="K43" s="17">
        <f t="shared" si="30"/>
        <v>0</v>
      </c>
      <c r="L43" s="17">
        <f t="shared" si="31"/>
        <v>0</v>
      </c>
      <c r="M43" s="17">
        <f t="shared" si="32"/>
        <v>0</v>
      </c>
      <c r="N43" s="17">
        <f t="shared" si="33"/>
        <v>0</v>
      </c>
      <c r="O43" s="17"/>
      <c r="P43" s="17">
        <f t="shared" si="34"/>
        <v>0</v>
      </c>
      <c r="Q43" s="17"/>
      <c r="R43" s="17">
        <f t="shared" si="35"/>
        <v>0</v>
      </c>
      <c r="S43" s="17"/>
      <c r="T43" s="17">
        <f t="shared" si="36"/>
        <v>0</v>
      </c>
      <c r="U43" s="17"/>
      <c r="V43" s="17">
        <f t="shared" si="37"/>
        <v>0</v>
      </c>
      <c r="W43" s="17">
        <f t="shared" si="38"/>
        <v>0</v>
      </c>
      <c r="X43" s="17"/>
      <c r="Y43" s="17">
        <f t="shared" si="39"/>
        <v>0</v>
      </c>
      <c r="Z43" s="17">
        <f t="shared" si="40"/>
        <v>0</v>
      </c>
      <c r="AA43" s="17"/>
      <c r="AB43" s="17">
        <f t="shared" si="41"/>
        <v>0</v>
      </c>
      <c r="AC43" s="17">
        <f t="shared" si="42"/>
        <v>0</v>
      </c>
      <c r="AD43" s="17"/>
      <c r="AE43" s="17">
        <f t="shared" si="43"/>
        <v>0</v>
      </c>
      <c r="AF43" s="17">
        <f t="shared" si="44"/>
        <v>0</v>
      </c>
      <c r="AG43" s="17"/>
      <c r="AH43" s="17">
        <f t="shared" si="45"/>
        <v>11460989.460000001</v>
      </c>
      <c r="AI43" s="17"/>
      <c r="AJ43" s="17">
        <f t="shared" si="46"/>
        <v>0</v>
      </c>
      <c r="AK43" s="17"/>
      <c r="AL43" s="17">
        <f t="shared" si="47"/>
        <v>0</v>
      </c>
      <c r="AM43" s="17"/>
      <c r="AN43" s="17">
        <f t="shared" si="48"/>
        <v>0</v>
      </c>
      <c r="AO43" s="17">
        <f t="shared" si="49"/>
        <v>11460989.460000001</v>
      </c>
      <c r="AP43" s="14" t="str">
        <f t="shared" si="50"/>
        <v>ok</v>
      </c>
    </row>
    <row r="44" spans="1:42" x14ac:dyDescent="0.25">
      <c r="A44" s="10">
        <v>371</v>
      </c>
      <c r="B44" s="2" t="s">
        <v>47</v>
      </c>
      <c r="C44" s="2" t="s">
        <v>48</v>
      </c>
      <c r="D44" s="2" t="s">
        <v>535</v>
      </c>
      <c r="F44" s="148">
        <v>11177609.92</v>
      </c>
      <c r="H44" s="17">
        <f t="shared" si="27"/>
        <v>0</v>
      </c>
      <c r="I44" s="17">
        <f t="shared" si="28"/>
        <v>0</v>
      </c>
      <c r="J44" s="17">
        <f t="shared" si="29"/>
        <v>0</v>
      </c>
      <c r="K44" s="17">
        <f t="shared" si="30"/>
        <v>0</v>
      </c>
      <c r="L44" s="17">
        <f t="shared" si="31"/>
        <v>0</v>
      </c>
      <c r="M44" s="17">
        <f t="shared" si="32"/>
        <v>0</v>
      </c>
      <c r="N44" s="17">
        <f t="shared" si="33"/>
        <v>0</v>
      </c>
      <c r="O44" s="17"/>
      <c r="P44" s="17">
        <f t="shared" si="34"/>
        <v>0</v>
      </c>
      <c r="Q44" s="17"/>
      <c r="R44" s="17">
        <f t="shared" si="35"/>
        <v>0</v>
      </c>
      <c r="S44" s="17"/>
      <c r="T44" s="17">
        <f t="shared" si="36"/>
        <v>0</v>
      </c>
      <c r="U44" s="17"/>
      <c r="V44" s="17">
        <f t="shared" si="37"/>
        <v>0</v>
      </c>
      <c r="W44" s="17">
        <f t="shared" si="38"/>
        <v>0</v>
      </c>
      <c r="X44" s="17"/>
      <c r="Y44" s="17">
        <f t="shared" si="39"/>
        <v>0</v>
      </c>
      <c r="Z44" s="17">
        <f t="shared" si="40"/>
        <v>0</v>
      </c>
      <c r="AA44" s="17"/>
      <c r="AB44" s="17">
        <f t="shared" si="41"/>
        <v>0</v>
      </c>
      <c r="AC44" s="17">
        <f t="shared" si="42"/>
        <v>0</v>
      </c>
      <c r="AD44" s="17"/>
      <c r="AE44" s="17">
        <f t="shared" si="43"/>
        <v>0</v>
      </c>
      <c r="AF44" s="17">
        <f t="shared" si="44"/>
        <v>0</v>
      </c>
      <c r="AG44" s="17"/>
      <c r="AH44" s="17">
        <f t="shared" si="45"/>
        <v>0</v>
      </c>
      <c r="AI44" s="17"/>
      <c r="AJ44" s="17">
        <f t="shared" si="46"/>
        <v>11177609.92</v>
      </c>
      <c r="AK44" s="17"/>
      <c r="AL44" s="17">
        <f t="shared" si="47"/>
        <v>0</v>
      </c>
      <c r="AM44" s="17"/>
      <c r="AN44" s="17">
        <f t="shared" si="48"/>
        <v>0</v>
      </c>
      <c r="AO44" s="17">
        <f t="shared" si="49"/>
        <v>11177609.92</v>
      </c>
      <c r="AP44" s="14" t="str">
        <f t="shared" si="50"/>
        <v>ok</v>
      </c>
    </row>
    <row r="45" spans="1:42" x14ac:dyDescent="0.25">
      <c r="A45" s="10">
        <v>372</v>
      </c>
      <c r="B45" s="2" t="s">
        <v>564</v>
      </c>
      <c r="C45" s="2" t="s">
        <v>565</v>
      </c>
      <c r="D45" s="9" t="s">
        <v>46</v>
      </c>
      <c r="F45" s="148">
        <v>0</v>
      </c>
      <c r="H45" s="17">
        <f t="shared" si="27"/>
        <v>0</v>
      </c>
      <c r="I45" s="17">
        <f t="shared" si="28"/>
        <v>0</v>
      </c>
      <c r="J45" s="17">
        <f t="shared" si="29"/>
        <v>0</v>
      </c>
      <c r="K45" s="17">
        <f t="shared" si="30"/>
        <v>0</v>
      </c>
      <c r="L45" s="17">
        <f t="shared" si="31"/>
        <v>0</v>
      </c>
      <c r="M45" s="17">
        <f t="shared" si="32"/>
        <v>0</v>
      </c>
      <c r="N45" s="17">
        <f t="shared" si="33"/>
        <v>0</v>
      </c>
      <c r="O45" s="17"/>
      <c r="P45" s="17">
        <f t="shared" si="34"/>
        <v>0</v>
      </c>
      <c r="Q45" s="17"/>
      <c r="R45" s="17">
        <f t="shared" si="35"/>
        <v>0</v>
      </c>
      <c r="S45" s="17"/>
      <c r="T45" s="17">
        <f t="shared" si="36"/>
        <v>0</v>
      </c>
      <c r="U45" s="17"/>
      <c r="V45" s="17">
        <f t="shared" si="37"/>
        <v>0</v>
      </c>
      <c r="W45" s="17">
        <f t="shared" si="38"/>
        <v>0</v>
      </c>
      <c r="X45" s="17"/>
      <c r="Y45" s="17">
        <f t="shared" si="39"/>
        <v>0</v>
      </c>
      <c r="Z45" s="17">
        <f t="shared" si="40"/>
        <v>0</v>
      </c>
      <c r="AA45" s="17"/>
      <c r="AB45" s="17">
        <f t="shared" si="41"/>
        <v>0</v>
      </c>
      <c r="AC45" s="17">
        <f t="shared" si="42"/>
        <v>0</v>
      </c>
      <c r="AD45" s="17"/>
      <c r="AE45" s="17">
        <f t="shared" si="43"/>
        <v>0</v>
      </c>
      <c r="AF45" s="17">
        <f t="shared" si="44"/>
        <v>0</v>
      </c>
      <c r="AG45" s="17"/>
      <c r="AH45" s="17">
        <f t="shared" si="45"/>
        <v>0</v>
      </c>
      <c r="AI45" s="17"/>
      <c r="AJ45" s="17">
        <f t="shared" si="46"/>
        <v>0</v>
      </c>
      <c r="AK45" s="17"/>
      <c r="AL45" s="17">
        <f t="shared" si="47"/>
        <v>0</v>
      </c>
      <c r="AM45" s="17"/>
      <c r="AN45" s="17">
        <f t="shared" si="48"/>
        <v>0</v>
      </c>
      <c r="AO45" s="17">
        <f t="shared" si="49"/>
        <v>0</v>
      </c>
      <c r="AP45" s="14" t="str">
        <f t="shared" si="50"/>
        <v>ok</v>
      </c>
    </row>
    <row r="46" spans="1:42" x14ac:dyDescent="0.25">
      <c r="A46" s="10">
        <v>373</v>
      </c>
      <c r="B46" s="2" t="s">
        <v>49</v>
      </c>
      <c r="C46" s="2" t="s">
        <v>50</v>
      </c>
      <c r="D46" s="2" t="s">
        <v>51</v>
      </c>
      <c r="F46" s="148">
        <v>1215417.51</v>
      </c>
      <c r="H46" s="17">
        <f t="shared" si="27"/>
        <v>0</v>
      </c>
      <c r="I46" s="17">
        <f t="shared" si="28"/>
        <v>0</v>
      </c>
      <c r="J46" s="17">
        <f t="shared" si="29"/>
        <v>0</v>
      </c>
      <c r="K46" s="17">
        <f t="shared" si="30"/>
        <v>0</v>
      </c>
      <c r="L46" s="17">
        <f t="shared" si="31"/>
        <v>0</v>
      </c>
      <c r="M46" s="17">
        <f t="shared" si="32"/>
        <v>0</v>
      </c>
      <c r="N46" s="17">
        <f t="shared" si="33"/>
        <v>0</v>
      </c>
      <c r="O46" s="17"/>
      <c r="P46" s="17">
        <f t="shared" si="34"/>
        <v>0</v>
      </c>
      <c r="Q46" s="17"/>
      <c r="R46" s="17">
        <f t="shared" si="35"/>
        <v>0</v>
      </c>
      <c r="S46" s="17"/>
      <c r="T46" s="17">
        <f t="shared" si="36"/>
        <v>0</v>
      </c>
      <c r="U46" s="17"/>
      <c r="V46" s="17">
        <f t="shared" si="37"/>
        <v>0</v>
      </c>
      <c r="W46" s="17">
        <f t="shared" si="38"/>
        <v>0</v>
      </c>
      <c r="X46" s="17"/>
      <c r="Y46" s="17">
        <f t="shared" si="39"/>
        <v>0</v>
      </c>
      <c r="Z46" s="17">
        <f t="shared" si="40"/>
        <v>0</v>
      </c>
      <c r="AA46" s="17"/>
      <c r="AB46" s="17">
        <f t="shared" si="41"/>
        <v>0</v>
      </c>
      <c r="AC46" s="17">
        <f t="shared" si="42"/>
        <v>0</v>
      </c>
      <c r="AD46" s="17"/>
      <c r="AE46" s="17">
        <f t="shared" si="43"/>
        <v>0</v>
      </c>
      <c r="AF46" s="17">
        <f t="shared" si="44"/>
        <v>0</v>
      </c>
      <c r="AG46" s="17"/>
      <c r="AH46" s="17">
        <f t="shared" si="45"/>
        <v>0</v>
      </c>
      <c r="AI46" s="17"/>
      <c r="AJ46" s="17">
        <f t="shared" si="46"/>
        <v>1215417.51</v>
      </c>
      <c r="AK46" s="17"/>
      <c r="AL46" s="17">
        <f t="shared" si="47"/>
        <v>0</v>
      </c>
      <c r="AM46" s="17"/>
      <c r="AN46" s="17">
        <f t="shared" si="48"/>
        <v>0</v>
      </c>
      <c r="AO46" s="17">
        <f t="shared" si="49"/>
        <v>1215417.51</v>
      </c>
      <c r="AP46" s="14" t="str">
        <f t="shared" si="50"/>
        <v>ok</v>
      </c>
    </row>
    <row r="47" spans="1:42" customFormat="1" x14ac:dyDescent="0.25">
      <c r="A47" s="10">
        <v>374</v>
      </c>
      <c r="B47" s="2" t="s">
        <v>960</v>
      </c>
      <c r="C47" t="s">
        <v>961</v>
      </c>
      <c r="D47" t="s">
        <v>26</v>
      </c>
      <c r="F47" s="148">
        <v>0</v>
      </c>
      <c r="H47" s="17">
        <f t="shared" si="27"/>
        <v>0</v>
      </c>
      <c r="I47" s="17">
        <f t="shared" si="28"/>
        <v>0</v>
      </c>
      <c r="J47" s="17">
        <f t="shared" si="29"/>
        <v>0</v>
      </c>
      <c r="K47" s="17">
        <f t="shared" si="30"/>
        <v>0</v>
      </c>
      <c r="L47" s="17">
        <f t="shared" si="31"/>
        <v>0</v>
      </c>
      <c r="M47" s="17">
        <f t="shared" si="32"/>
        <v>0</v>
      </c>
      <c r="N47" s="17">
        <f t="shared" si="33"/>
        <v>0</v>
      </c>
      <c r="O47" s="17"/>
      <c r="P47" s="17">
        <f t="shared" si="34"/>
        <v>0</v>
      </c>
      <c r="Q47" s="17"/>
      <c r="R47" s="17">
        <f t="shared" si="35"/>
        <v>0</v>
      </c>
      <c r="S47" s="17"/>
      <c r="T47" s="17">
        <f t="shared" si="36"/>
        <v>0</v>
      </c>
      <c r="U47" s="17"/>
      <c r="V47" s="17">
        <f t="shared" si="37"/>
        <v>0</v>
      </c>
      <c r="W47" s="17">
        <f t="shared" si="38"/>
        <v>0</v>
      </c>
      <c r="X47" s="17"/>
      <c r="Y47" s="17">
        <f t="shared" si="39"/>
        <v>0</v>
      </c>
      <c r="Z47" s="17">
        <f t="shared" si="40"/>
        <v>0</v>
      </c>
      <c r="AA47" s="17"/>
      <c r="AB47" s="17">
        <f t="shared" si="41"/>
        <v>0</v>
      </c>
      <c r="AC47" s="17">
        <f t="shared" si="42"/>
        <v>0</v>
      </c>
      <c r="AD47" s="17"/>
      <c r="AE47" s="17">
        <f t="shared" si="43"/>
        <v>0</v>
      </c>
      <c r="AF47" s="17">
        <f t="shared" si="44"/>
        <v>0</v>
      </c>
      <c r="AG47" s="17"/>
      <c r="AH47" s="17">
        <f t="shared" si="45"/>
        <v>0</v>
      </c>
      <c r="AI47" s="17"/>
      <c r="AJ47" s="17">
        <f t="shared" si="46"/>
        <v>0</v>
      </c>
      <c r="AK47" s="17"/>
      <c r="AL47" s="17">
        <f t="shared" si="47"/>
        <v>0</v>
      </c>
      <c r="AM47" s="17"/>
      <c r="AN47" s="17">
        <f t="shared" si="48"/>
        <v>0</v>
      </c>
      <c r="AO47" s="17">
        <f t="shared" ref="AO47:AO48" si="51">SUM(H47:AN47)</f>
        <v>0</v>
      </c>
      <c r="AP47" s="14" t="str">
        <f t="shared" ref="AP47:AP48" si="52">IF(ABS(AO47-F47)&lt;1,"ok","err")</f>
        <v>ok</v>
      </c>
    </row>
    <row r="48" spans="1:42" customFormat="1" x14ac:dyDescent="0.25">
      <c r="A48" s="10">
        <v>375</v>
      </c>
      <c r="B48" s="2" t="s">
        <v>962</v>
      </c>
      <c r="C48" t="s">
        <v>963</v>
      </c>
      <c r="D48" t="s">
        <v>32</v>
      </c>
      <c r="F48" s="148">
        <v>0</v>
      </c>
      <c r="H48" s="17">
        <f t="shared" si="27"/>
        <v>0</v>
      </c>
      <c r="I48" s="17">
        <f t="shared" si="28"/>
        <v>0</v>
      </c>
      <c r="J48" s="17">
        <f t="shared" si="29"/>
        <v>0</v>
      </c>
      <c r="K48" s="17">
        <f t="shared" si="30"/>
        <v>0</v>
      </c>
      <c r="L48" s="17">
        <f t="shared" si="31"/>
        <v>0</v>
      </c>
      <c r="M48" s="17">
        <f t="shared" si="32"/>
        <v>0</v>
      </c>
      <c r="N48" s="17">
        <f t="shared" si="33"/>
        <v>0</v>
      </c>
      <c r="O48" s="17"/>
      <c r="P48" s="17">
        <f t="shared" si="34"/>
        <v>0</v>
      </c>
      <c r="Q48" s="17"/>
      <c r="R48" s="17">
        <f t="shared" si="35"/>
        <v>0</v>
      </c>
      <c r="S48" s="17"/>
      <c r="T48" s="17">
        <f t="shared" si="36"/>
        <v>0</v>
      </c>
      <c r="U48" s="17"/>
      <c r="V48" s="17">
        <f t="shared" si="37"/>
        <v>0</v>
      </c>
      <c r="W48" s="17">
        <f t="shared" si="38"/>
        <v>0</v>
      </c>
      <c r="X48" s="17"/>
      <c r="Y48" s="17">
        <f t="shared" si="39"/>
        <v>0</v>
      </c>
      <c r="Z48" s="17">
        <f t="shared" si="40"/>
        <v>0</v>
      </c>
      <c r="AA48" s="17"/>
      <c r="AB48" s="17">
        <f t="shared" si="41"/>
        <v>0</v>
      </c>
      <c r="AC48" s="17">
        <f t="shared" si="42"/>
        <v>0</v>
      </c>
      <c r="AD48" s="17"/>
      <c r="AE48" s="17">
        <f t="shared" si="43"/>
        <v>0</v>
      </c>
      <c r="AF48" s="17">
        <f t="shared" si="44"/>
        <v>0</v>
      </c>
      <c r="AG48" s="17"/>
      <c r="AH48" s="17">
        <f t="shared" si="45"/>
        <v>0</v>
      </c>
      <c r="AI48" s="17"/>
      <c r="AJ48" s="17">
        <f t="shared" si="46"/>
        <v>0</v>
      </c>
      <c r="AK48" s="17"/>
      <c r="AL48" s="17">
        <f t="shared" si="47"/>
        <v>0</v>
      </c>
      <c r="AM48" s="17"/>
      <c r="AN48" s="17">
        <f t="shared" si="48"/>
        <v>0</v>
      </c>
      <c r="AO48" s="17">
        <f t="shared" si="51"/>
        <v>0</v>
      </c>
      <c r="AP48" s="14" t="str">
        <f t="shared" si="52"/>
        <v>ok</v>
      </c>
    </row>
    <row r="49" spans="1:42" x14ac:dyDescent="0.25">
      <c r="A49" s="2"/>
      <c r="B49" s="2"/>
      <c r="AD49" s="2"/>
      <c r="AO49" s="17"/>
      <c r="AP49" s="14"/>
    </row>
    <row r="50" spans="1:42" x14ac:dyDescent="0.25">
      <c r="A50" s="2"/>
      <c r="B50" s="2" t="s">
        <v>52</v>
      </c>
      <c r="C50" s="2" t="s">
        <v>18</v>
      </c>
      <c r="F50" s="106">
        <f>SUM(F34:F49)</f>
        <v>237583961.65999997</v>
      </c>
      <c r="G50" s="20">
        <f>SUM(G36:G49)</f>
        <v>0</v>
      </c>
      <c r="H50" s="13">
        <f t="shared" ref="H50:P50" si="53">SUM(H34:H49)</f>
        <v>0</v>
      </c>
      <c r="I50" s="13">
        <f t="shared" si="53"/>
        <v>0</v>
      </c>
      <c r="J50" s="13">
        <f t="shared" si="53"/>
        <v>0</v>
      </c>
      <c r="K50" s="13">
        <f t="shared" si="53"/>
        <v>0</v>
      </c>
      <c r="L50" s="13">
        <f t="shared" si="53"/>
        <v>0</v>
      </c>
      <c r="M50" s="13">
        <f t="shared" si="53"/>
        <v>0</v>
      </c>
      <c r="N50" s="13">
        <f t="shared" si="53"/>
        <v>0</v>
      </c>
      <c r="O50" s="13"/>
      <c r="P50" s="13">
        <f t="shared" si="53"/>
        <v>0</v>
      </c>
      <c r="Q50" s="13"/>
      <c r="R50" s="13"/>
      <c r="S50" s="13"/>
      <c r="T50" s="13">
        <f t="shared" ref="T50:AN50" si="54">SUM(T34:T49)</f>
        <v>874766.08000000007</v>
      </c>
      <c r="U50" s="13"/>
      <c r="V50" s="13">
        <f t="shared" si="54"/>
        <v>84722502.839000404</v>
      </c>
      <c r="W50" s="13">
        <f t="shared" si="54"/>
        <v>41713207.662999608</v>
      </c>
      <c r="X50" s="13"/>
      <c r="Y50" s="13">
        <f t="shared" si="54"/>
        <v>9413611.4265556</v>
      </c>
      <c r="Z50" s="13">
        <f t="shared" si="54"/>
        <v>4634800.8514443999</v>
      </c>
      <c r="AA50" s="13"/>
      <c r="AB50" s="13">
        <f>SUM(AB34:AB49)</f>
        <v>18430910.594411001</v>
      </c>
      <c r="AC50" s="13">
        <f>SUM(AC34:AC49)</f>
        <v>24007290.175589003</v>
      </c>
      <c r="AD50" s="13"/>
      <c r="AE50" s="13">
        <f t="shared" si="54"/>
        <v>0</v>
      </c>
      <c r="AF50" s="13">
        <f t="shared" si="54"/>
        <v>29932855.140000001</v>
      </c>
      <c r="AG50" s="13"/>
      <c r="AH50" s="13">
        <f t="shared" si="54"/>
        <v>11460989.460000001</v>
      </c>
      <c r="AI50" s="13"/>
      <c r="AJ50" s="13">
        <f t="shared" si="54"/>
        <v>12393027.43</v>
      </c>
      <c r="AK50" s="13"/>
      <c r="AL50" s="13">
        <f t="shared" si="54"/>
        <v>0</v>
      </c>
      <c r="AM50" s="13"/>
      <c r="AN50" s="13">
        <f t="shared" si="54"/>
        <v>0</v>
      </c>
      <c r="AO50" s="17">
        <f>SUM(H50:AN50)</f>
        <v>237583961.66000006</v>
      </c>
      <c r="AP50" s="14" t="str">
        <f>IF(ABS(AO50-F50)&lt;1,"ok","err")</f>
        <v>ok</v>
      </c>
    </row>
    <row r="51" spans="1:42" x14ac:dyDescent="0.25">
      <c r="A51" s="2"/>
      <c r="B51" s="2"/>
      <c r="AD51" s="2"/>
      <c r="AP51" s="14"/>
    </row>
    <row r="52" spans="1:42" x14ac:dyDescent="0.25">
      <c r="A52" s="2"/>
      <c r="B52" s="2" t="s">
        <v>370</v>
      </c>
      <c r="C52" s="2" t="s">
        <v>371</v>
      </c>
      <c r="F52" s="16">
        <f>F31+F50</f>
        <v>237583961.65999997</v>
      </c>
      <c r="G52" s="16">
        <f t="shared" ref="G52:AN52" si="55">G31+G50</f>
        <v>0</v>
      </c>
      <c r="H52" s="16">
        <f t="shared" si="55"/>
        <v>0</v>
      </c>
      <c r="I52" s="16">
        <f t="shared" si="55"/>
        <v>0</v>
      </c>
      <c r="J52" s="16">
        <f t="shared" si="55"/>
        <v>0</v>
      </c>
      <c r="K52" s="16">
        <f t="shared" si="55"/>
        <v>0</v>
      </c>
      <c r="L52" s="16">
        <f t="shared" si="55"/>
        <v>0</v>
      </c>
      <c r="M52" s="16">
        <f t="shared" si="55"/>
        <v>0</v>
      </c>
      <c r="N52" s="16">
        <f>N31+N50</f>
        <v>0</v>
      </c>
      <c r="O52" s="16"/>
      <c r="P52" s="16">
        <f t="shared" si="55"/>
        <v>0</v>
      </c>
      <c r="Q52" s="16"/>
      <c r="R52" s="16">
        <f t="shared" si="55"/>
        <v>0</v>
      </c>
      <c r="S52" s="16"/>
      <c r="T52" s="16">
        <f t="shared" si="55"/>
        <v>874766.08000000007</v>
      </c>
      <c r="U52" s="16"/>
      <c r="V52" s="16">
        <f t="shared" si="55"/>
        <v>84722502.839000404</v>
      </c>
      <c r="W52" s="16">
        <f t="shared" si="55"/>
        <v>41713207.662999608</v>
      </c>
      <c r="X52" s="16"/>
      <c r="Y52" s="16">
        <f t="shared" si="55"/>
        <v>9413611.4265556</v>
      </c>
      <c r="Z52" s="16">
        <f t="shared" si="55"/>
        <v>4634800.8514443999</v>
      </c>
      <c r="AA52" s="16"/>
      <c r="AB52" s="16">
        <f>AB31+AB50</f>
        <v>18430910.594411001</v>
      </c>
      <c r="AC52" s="16">
        <f>AC31+AC50</f>
        <v>24007290.175589003</v>
      </c>
      <c r="AD52" s="16"/>
      <c r="AE52" s="16">
        <f t="shared" si="55"/>
        <v>0</v>
      </c>
      <c r="AF52" s="16">
        <f t="shared" si="55"/>
        <v>29932855.140000001</v>
      </c>
      <c r="AG52" s="16"/>
      <c r="AH52" s="16">
        <f t="shared" si="55"/>
        <v>11460989.460000001</v>
      </c>
      <c r="AI52" s="16"/>
      <c r="AJ52" s="16">
        <f t="shared" si="55"/>
        <v>12393027.43</v>
      </c>
      <c r="AK52" s="16"/>
      <c r="AL52" s="16">
        <f t="shared" si="55"/>
        <v>0</v>
      </c>
      <c r="AM52" s="16"/>
      <c r="AN52" s="16">
        <f t="shared" si="55"/>
        <v>0</v>
      </c>
      <c r="AO52" s="17">
        <f>SUM(H52:AN52)</f>
        <v>237583961.66000006</v>
      </c>
      <c r="AP52" s="14" t="str">
        <f>IF(ABS(AO52-F52)&lt;1,"ok","err")</f>
        <v>ok</v>
      </c>
    </row>
    <row r="53" spans="1:42" x14ac:dyDescent="0.25">
      <c r="A53" s="2"/>
      <c r="B53" s="2"/>
      <c r="AD53" s="2"/>
      <c r="AP53" s="14"/>
    </row>
    <row r="54" spans="1:42" x14ac:dyDescent="0.25">
      <c r="A54" s="2"/>
      <c r="B54" s="2"/>
      <c r="AD54" s="2"/>
      <c r="AP54" s="14"/>
    </row>
    <row r="55" spans="1:42" x14ac:dyDescent="0.25">
      <c r="A55" s="2"/>
      <c r="B55" s="2"/>
      <c r="AD55" s="2"/>
      <c r="AP55" s="14"/>
    </row>
    <row r="56" spans="1:42" x14ac:dyDescent="0.25">
      <c r="A56" s="2"/>
      <c r="B56" s="2"/>
      <c r="AD56" s="2"/>
      <c r="AP56" s="14"/>
    </row>
    <row r="57" spans="1:42" x14ac:dyDescent="0.25">
      <c r="A57" s="6" t="s">
        <v>343</v>
      </c>
      <c r="B57" s="2"/>
      <c r="AD57" s="2"/>
      <c r="AP57" s="14"/>
    </row>
    <row r="58" spans="1:42" x14ac:dyDescent="0.25">
      <c r="A58" s="2"/>
      <c r="B58" s="2"/>
      <c r="AD58" s="2"/>
      <c r="AP58" s="14"/>
    </row>
    <row r="59" spans="1:42" x14ac:dyDescent="0.25">
      <c r="A59" s="6" t="s">
        <v>53</v>
      </c>
      <c r="B59" s="2"/>
      <c r="AD59" s="2"/>
      <c r="AP59" s="14"/>
    </row>
    <row r="60" spans="1:42" x14ac:dyDescent="0.25">
      <c r="A60" s="10">
        <v>389</v>
      </c>
      <c r="B60" s="2" t="s">
        <v>19</v>
      </c>
      <c r="C60" s="2" t="s">
        <v>54</v>
      </c>
      <c r="D60" s="2" t="s">
        <v>371</v>
      </c>
      <c r="F60" s="148">
        <v>2878535.84</v>
      </c>
      <c r="H60" s="17">
        <f t="shared" ref="H60:H70" si="56">IF(VLOOKUP($D60,$C$5:$AN$495,6,)=0,0,((VLOOKUP($D60,$C$5:$AN$495,6,)/VLOOKUP($D60,$C$5:$AN$495,4,))*$F60))</f>
        <v>0</v>
      </c>
      <c r="I60" s="17">
        <f t="shared" ref="I60:I70" si="57">IF(VLOOKUP($D60,$C$5:$AN$495,7,)=0,0,((VLOOKUP($D60,$C$5:$AN$495,7,)/VLOOKUP($D60,$C$5:$AN$495,4,))*$F60))</f>
        <v>0</v>
      </c>
      <c r="J60" s="17">
        <f t="shared" ref="J60:J70" si="58">IF(VLOOKUP($D60,$C$5:$AN$495,8,)=0,0,((VLOOKUP($D60,$C$5:$AN$495,8,)/VLOOKUP($D60,$C$5:$AN$495,4,))*$F60))</f>
        <v>0</v>
      </c>
      <c r="K60" s="17">
        <f t="shared" ref="K60:K70" si="59">IF(VLOOKUP($D60,$C$5:$AN$495,9,)=0,0,((VLOOKUP($D60,$C$5:$AN$495,9,)/VLOOKUP($D60,$C$5:$AN$495,4,))*$F60))</f>
        <v>0</v>
      </c>
      <c r="L60" s="17">
        <f t="shared" ref="L60:L70" si="60">IF(VLOOKUP($D60,$C$5:$AN$495,10,)=0,0,((VLOOKUP($D60,$C$5:$AN$495,10,)/VLOOKUP($D60,$C$5:$AN$495,4,))*$F60))</f>
        <v>0</v>
      </c>
      <c r="M60" s="17">
        <f t="shared" ref="M60:M70" si="61">IF(VLOOKUP($D60,$C$5:$AN$495,11,)=0,0,((VLOOKUP($D60,$C$5:$AN$495,11,)/VLOOKUP($D60,$C$5:$AN$495,4,))*$F60))</f>
        <v>0</v>
      </c>
      <c r="N60" s="17">
        <f t="shared" ref="N60:N70" si="62">IF(VLOOKUP($D60,$C$5:$AN$495,12,)=0,0,((VLOOKUP($D60,$C$5:$AN$495,12,)/VLOOKUP($D60,$C$5:$AN$495,4,))*$F60))</f>
        <v>0</v>
      </c>
      <c r="O60" s="17"/>
      <c r="P60" s="17">
        <f t="shared" ref="P60:P70" si="63">IF(VLOOKUP($D60,$C$5:$AN$495,14,)=0,0,((VLOOKUP($D60,$C$5:$AN$495,14,)/VLOOKUP($D60,$C$5:$AN$495,4,))*$F60))</f>
        <v>0</v>
      </c>
      <c r="Q60" s="17"/>
      <c r="R60" s="17">
        <f t="shared" ref="R60:R70" si="64">IF(VLOOKUP($D60,$C$5:$AN$495,16,)=0,0,((VLOOKUP($D60,$C$5:$AN$495,16,)/VLOOKUP($D60,$C$5:$AN$495,4,))*$F60))</f>
        <v>0</v>
      </c>
      <c r="S60" s="17"/>
      <c r="T60" s="17">
        <f t="shared" ref="T60:T70" si="65">IF(VLOOKUP($D60,$C$5:$AN$495,18,)=0,0,((VLOOKUP($D60,$C$5:$AN$495,18,)/VLOOKUP($D60,$C$5:$AN$495,4,))*$F60))</f>
        <v>10598.550067532819</v>
      </c>
      <c r="U60" s="17"/>
      <c r="V60" s="17">
        <f t="shared" ref="V60:V70" si="66">IF(VLOOKUP($D60,$C$5:$AN$495,20,)=0,0,((VLOOKUP($D60,$C$5:$AN$495,20,)/VLOOKUP($D60,$C$5:$AN$495,4,))*$F60))</f>
        <v>1026486.633073195</v>
      </c>
      <c r="W60" s="17">
        <f t="shared" ref="W60:W70" si="67">IF(VLOOKUP($D60,$C$5:$AN$495,21,)=0,0,((VLOOKUP($D60,$C$5:$AN$495,21,)/VLOOKUP($D60,$C$5:$AN$495,4,))*$F60))</f>
        <v>505391.70413843088</v>
      </c>
      <c r="X60" s="17"/>
      <c r="Y60" s="17">
        <f t="shared" ref="Y60:Y70" si="68">IF(VLOOKUP($D60,$C$5:$AN$495,23,)=0,0,((VLOOKUP($D60,$C$5:$AN$495,23,)/VLOOKUP($D60,$C$5:$AN$495,4,))*$F60))</f>
        <v>114054.0703414661</v>
      </c>
      <c r="Z60" s="17">
        <f t="shared" ref="Z60:Z70" si="69">IF(VLOOKUP($D60,$C$5:$AN$495,24,)=0,0,((VLOOKUP($D60,$C$5:$AN$495,24,)/VLOOKUP($D60,$C$5:$AN$495,4,))*$F60))</f>
        <v>56154.633793158981</v>
      </c>
      <c r="AA60" s="17"/>
      <c r="AB60" s="17">
        <f t="shared" ref="AB60:AB70" si="70">IF(VLOOKUP($D60,$C$5:$AN$495,26,)=0,0,((VLOOKUP($D60,$C$5:$AN$495,26,)/VLOOKUP($D60,$C$5:$AN$495,4,))*$F60))</f>
        <v>223306.47380049995</v>
      </c>
      <c r="AC60" s="17">
        <f t="shared" ref="AC60:AC70" si="71">IF(VLOOKUP($D60,$C$5:$AN$495,27,)=0,0,((VLOOKUP($D60,$C$5:$AN$495,27,)/VLOOKUP($D60,$C$5:$AN$495,4,))*$F60))</f>
        <v>290869.15088404977</v>
      </c>
      <c r="AD60" s="17"/>
      <c r="AE60" s="17">
        <f t="shared" ref="AE60:AE70" si="72">IF(VLOOKUP($D60,$C$5:$AN$495,29,)=0,0,((VLOOKUP($D60,$C$5:$AN$495,29,)/VLOOKUP($D60,$C$5:$AN$495,4,))*$F60))</f>
        <v>0</v>
      </c>
      <c r="AF60" s="17">
        <f t="shared" ref="AF60:AF70" si="73">IF(VLOOKUP($D60,$C$5:$AN$495,30,)=0,0,((VLOOKUP($D60,$C$5:$AN$495,30,)/VLOOKUP($D60,$C$5:$AN$495,4,))*$F60))</f>
        <v>362662.5118631681</v>
      </c>
      <c r="AG60" s="17"/>
      <c r="AH60" s="17">
        <f t="shared" ref="AH60:AH70" si="74">IF(VLOOKUP($D60,$C$5:$AN$495,32,)=0,0,((VLOOKUP($D60,$C$5:$AN$495,32,)/VLOOKUP($D60,$C$5:$AN$495,4,))*$F60))</f>
        <v>138859.83166525606</v>
      </c>
      <c r="AI60" s="17"/>
      <c r="AJ60" s="17">
        <f t="shared" ref="AJ60:AJ70" si="75">IF(VLOOKUP($D60,$C$5:$AN$495,34,)=0,0,((VLOOKUP($D60,$C$5:$AN$495,34,)/VLOOKUP($D60,$C$5:$AN$495,4,))*$F60))</f>
        <v>150152.28037324283</v>
      </c>
      <c r="AK60" s="17"/>
      <c r="AL60" s="17">
        <f t="shared" ref="AL60:AL70" si="76">IF(VLOOKUP($D60,$C$5:$AN$495,36,)=0,0,((VLOOKUP($D60,$C$5:$AN$495,36,)/VLOOKUP($D60,$C$5:$AN$495,4,))*$F60))</f>
        <v>0</v>
      </c>
      <c r="AM60" s="17"/>
      <c r="AN60" s="17">
        <f t="shared" ref="AN60:AN70" si="77">IF(VLOOKUP($D60,$C$5:$AN$495,38,)=0,0,((VLOOKUP($D60,$C$5:$AN$495,38,)/VLOOKUP($D60,$C$5:$AN$495,4,))*$F60))</f>
        <v>0</v>
      </c>
      <c r="AO60" s="17">
        <f t="shared" ref="AO60:AO70" si="78">SUM(H60:AN60)</f>
        <v>2878535.84</v>
      </c>
      <c r="AP60" s="14" t="str">
        <f t="shared" ref="AP60:AP70" si="79">IF(ABS(AO60-F60)&lt;1,"ok","err")</f>
        <v>ok</v>
      </c>
    </row>
    <row r="61" spans="1:42" x14ac:dyDescent="0.25">
      <c r="A61" s="10">
        <v>390</v>
      </c>
      <c r="B61" s="2" t="s">
        <v>55</v>
      </c>
      <c r="C61" s="2" t="s">
        <v>56</v>
      </c>
      <c r="D61" s="2" t="s">
        <v>371</v>
      </c>
      <c r="F61" s="148">
        <v>20631974.68</v>
      </c>
      <c r="H61" s="17">
        <f t="shared" si="56"/>
        <v>0</v>
      </c>
      <c r="I61" s="17">
        <f t="shared" si="57"/>
        <v>0</v>
      </c>
      <c r="J61" s="17">
        <f t="shared" si="58"/>
        <v>0</v>
      </c>
      <c r="K61" s="17">
        <f t="shared" si="59"/>
        <v>0</v>
      </c>
      <c r="L61" s="17">
        <f t="shared" si="60"/>
        <v>0</v>
      </c>
      <c r="M61" s="17">
        <f t="shared" si="61"/>
        <v>0</v>
      </c>
      <c r="N61" s="17">
        <f t="shared" si="62"/>
        <v>0</v>
      </c>
      <c r="O61" s="17"/>
      <c r="P61" s="17">
        <f t="shared" si="63"/>
        <v>0</v>
      </c>
      <c r="Q61" s="17"/>
      <c r="R61" s="17">
        <f t="shared" si="64"/>
        <v>0</v>
      </c>
      <c r="S61" s="17"/>
      <c r="T61" s="17">
        <f t="shared" si="65"/>
        <v>75965.36183410848</v>
      </c>
      <c r="U61" s="17"/>
      <c r="V61" s="17">
        <f t="shared" si="66"/>
        <v>7357367.5646590563</v>
      </c>
      <c r="W61" s="17">
        <f t="shared" si="67"/>
        <v>3622407.1621307861</v>
      </c>
      <c r="X61" s="17"/>
      <c r="Y61" s="17">
        <f t="shared" si="68"/>
        <v>817485.28496211732</v>
      </c>
      <c r="Z61" s="17">
        <f t="shared" si="69"/>
        <v>402489.68468119833</v>
      </c>
      <c r="AA61" s="17"/>
      <c r="AB61" s="17">
        <f t="shared" si="70"/>
        <v>1600554.5073678843</v>
      </c>
      <c r="AC61" s="17">
        <f t="shared" si="71"/>
        <v>2084811.6159751602</v>
      </c>
      <c r="AD61" s="17"/>
      <c r="AE61" s="17">
        <f t="shared" si="72"/>
        <v>0</v>
      </c>
      <c r="AF61" s="17">
        <f t="shared" si="73"/>
        <v>2599392.2528843982</v>
      </c>
      <c r="AG61" s="17"/>
      <c r="AH61" s="17">
        <f t="shared" si="74"/>
        <v>995281.17426067044</v>
      </c>
      <c r="AI61" s="17"/>
      <c r="AJ61" s="17">
        <f t="shared" si="75"/>
        <v>1076220.0712446251</v>
      </c>
      <c r="AK61" s="17"/>
      <c r="AL61" s="17">
        <f t="shared" si="76"/>
        <v>0</v>
      </c>
      <c r="AM61" s="17"/>
      <c r="AN61" s="17">
        <f t="shared" si="77"/>
        <v>0</v>
      </c>
      <c r="AO61" s="17">
        <f t="shared" si="78"/>
        <v>20631974.680000007</v>
      </c>
      <c r="AP61" s="14" t="str">
        <f t="shared" si="79"/>
        <v>ok</v>
      </c>
    </row>
    <row r="62" spans="1:42" x14ac:dyDescent="0.25">
      <c r="A62" s="10">
        <v>391</v>
      </c>
      <c r="B62" s="2" t="s">
        <v>57</v>
      </c>
      <c r="C62" s="2" t="s">
        <v>58</v>
      </c>
      <c r="D62" s="2" t="s">
        <v>371</v>
      </c>
      <c r="F62" s="148">
        <v>2903738.58</v>
      </c>
      <c r="H62" s="17">
        <f t="shared" si="56"/>
        <v>0</v>
      </c>
      <c r="I62" s="17">
        <f t="shared" si="57"/>
        <v>0</v>
      </c>
      <c r="J62" s="17">
        <f t="shared" si="58"/>
        <v>0</v>
      </c>
      <c r="K62" s="17">
        <f t="shared" si="59"/>
        <v>0</v>
      </c>
      <c r="L62" s="17">
        <f t="shared" si="60"/>
        <v>0</v>
      </c>
      <c r="M62" s="17">
        <f t="shared" si="61"/>
        <v>0</v>
      </c>
      <c r="N62" s="17">
        <f t="shared" si="62"/>
        <v>0</v>
      </c>
      <c r="O62" s="17"/>
      <c r="P62" s="17">
        <f t="shared" si="63"/>
        <v>0</v>
      </c>
      <c r="Q62" s="17"/>
      <c r="R62" s="17">
        <f t="shared" si="64"/>
        <v>0</v>
      </c>
      <c r="S62" s="17"/>
      <c r="T62" s="17">
        <f t="shared" si="65"/>
        <v>10691.344639695941</v>
      </c>
      <c r="U62" s="17"/>
      <c r="V62" s="17">
        <f t="shared" si="66"/>
        <v>1035473.9367458911</v>
      </c>
      <c r="W62" s="17">
        <f t="shared" si="67"/>
        <v>509816.61194765865</v>
      </c>
      <c r="X62" s="17"/>
      <c r="Y62" s="17">
        <f t="shared" si="68"/>
        <v>115052.65963843233</v>
      </c>
      <c r="Z62" s="17">
        <f t="shared" si="69"/>
        <v>56646.290216406502</v>
      </c>
      <c r="AA62" s="17"/>
      <c r="AB62" s="17">
        <f t="shared" si="70"/>
        <v>225261.61186802213</v>
      </c>
      <c r="AC62" s="17">
        <f t="shared" si="71"/>
        <v>293415.82738600072</v>
      </c>
      <c r="AD62" s="17"/>
      <c r="AE62" s="17">
        <f t="shared" si="72"/>
        <v>0</v>
      </c>
      <c r="AF62" s="17">
        <f t="shared" si="73"/>
        <v>365837.7681400656</v>
      </c>
      <c r="AG62" s="17"/>
      <c r="AH62" s="17">
        <f t="shared" si="74"/>
        <v>140075.60538788</v>
      </c>
      <c r="AI62" s="17"/>
      <c r="AJ62" s="17">
        <f t="shared" si="75"/>
        <v>151466.92402994781</v>
      </c>
      <c r="AK62" s="17"/>
      <c r="AL62" s="17">
        <f t="shared" si="76"/>
        <v>0</v>
      </c>
      <c r="AM62" s="17"/>
      <c r="AN62" s="17">
        <f t="shared" si="77"/>
        <v>0</v>
      </c>
      <c r="AO62" s="17">
        <f t="shared" si="78"/>
        <v>2903738.5800000005</v>
      </c>
      <c r="AP62" s="14" t="str">
        <f t="shared" si="79"/>
        <v>ok</v>
      </c>
    </row>
    <row r="63" spans="1:42" x14ac:dyDescent="0.25">
      <c r="A63" s="10">
        <v>392</v>
      </c>
      <c r="B63" s="2" t="s">
        <v>59</v>
      </c>
      <c r="C63" s="2" t="s">
        <v>60</v>
      </c>
      <c r="D63" s="2" t="s">
        <v>371</v>
      </c>
      <c r="F63" s="148">
        <v>9227782.5399999991</v>
      </c>
      <c r="H63" s="17">
        <f t="shared" si="56"/>
        <v>0</v>
      </c>
      <c r="I63" s="17">
        <f t="shared" si="57"/>
        <v>0</v>
      </c>
      <c r="J63" s="17">
        <f t="shared" si="58"/>
        <v>0</v>
      </c>
      <c r="K63" s="17">
        <f t="shared" si="59"/>
        <v>0</v>
      </c>
      <c r="L63" s="17">
        <f t="shared" si="60"/>
        <v>0</v>
      </c>
      <c r="M63" s="17">
        <f t="shared" si="61"/>
        <v>0</v>
      </c>
      <c r="N63" s="17">
        <f t="shared" si="62"/>
        <v>0</v>
      </c>
      <c r="O63" s="17"/>
      <c r="P63" s="17">
        <f t="shared" si="63"/>
        <v>0</v>
      </c>
      <c r="Q63" s="17"/>
      <c r="R63" s="17">
        <f t="shared" si="64"/>
        <v>0</v>
      </c>
      <c r="S63" s="17"/>
      <c r="T63" s="17">
        <f t="shared" si="65"/>
        <v>33975.993594887863</v>
      </c>
      <c r="U63" s="17"/>
      <c r="V63" s="17">
        <f t="shared" si="66"/>
        <v>3290629.6661625775</v>
      </c>
      <c r="W63" s="17">
        <f t="shared" si="67"/>
        <v>1620144.7550187383</v>
      </c>
      <c r="X63" s="17"/>
      <c r="Y63" s="17">
        <f t="shared" si="68"/>
        <v>365625.51846250857</v>
      </c>
      <c r="Z63" s="17">
        <f t="shared" si="69"/>
        <v>180016.08389097088</v>
      </c>
      <c r="AA63" s="17"/>
      <c r="AB63" s="17">
        <f t="shared" si="70"/>
        <v>715858.23298459291</v>
      </c>
      <c r="AC63" s="17">
        <f t="shared" si="71"/>
        <v>932445.31982358778</v>
      </c>
      <c r="AD63" s="17"/>
      <c r="AE63" s="17">
        <f t="shared" si="72"/>
        <v>0</v>
      </c>
      <c r="AF63" s="17">
        <f t="shared" si="73"/>
        <v>1162594.7985012704</v>
      </c>
      <c r="AG63" s="17"/>
      <c r="AH63" s="17">
        <f t="shared" si="74"/>
        <v>445145.86629152024</v>
      </c>
      <c r="AI63" s="17"/>
      <c r="AJ63" s="17">
        <f t="shared" si="75"/>
        <v>481346.30526934651</v>
      </c>
      <c r="AK63" s="17"/>
      <c r="AL63" s="17">
        <f t="shared" si="76"/>
        <v>0</v>
      </c>
      <c r="AM63" s="17"/>
      <c r="AN63" s="17">
        <f t="shared" si="77"/>
        <v>0</v>
      </c>
      <c r="AO63" s="17">
        <f t="shared" si="78"/>
        <v>9227782.540000001</v>
      </c>
      <c r="AP63" s="14" t="str">
        <f t="shared" si="79"/>
        <v>ok</v>
      </c>
    </row>
    <row r="64" spans="1:42" x14ac:dyDescent="0.25">
      <c r="A64" s="10">
        <v>393</v>
      </c>
      <c r="B64" s="2" t="s">
        <v>61</v>
      </c>
      <c r="C64" s="2" t="s">
        <v>62</v>
      </c>
      <c r="D64" s="2" t="s">
        <v>371</v>
      </c>
      <c r="F64" s="148">
        <v>301828.14</v>
      </c>
      <c r="H64" s="17">
        <f t="shared" si="56"/>
        <v>0</v>
      </c>
      <c r="I64" s="17">
        <f t="shared" si="57"/>
        <v>0</v>
      </c>
      <c r="J64" s="17">
        <f t="shared" si="58"/>
        <v>0</v>
      </c>
      <c r="K64" s="17">
        <f t="shared" si="59"/>
        <v>0</v>
      </c>
      <c r="L64" s="17">
        <f t="shared" si="60"/>
        <v>0</v>
      </c>
      <c r="M64" s="17">
        <f t="shared" si="61"/>
        <v>0</v>
      </c>
      <c r="N64" s="17">
        <f t="shared" si="62"/>
        <v>0</v>
      </c>
      <c r="O64" s="17"/>
      <c r="P64" s="17">
        <f t="shared" si="63"/>
        <v>0</v>
      </c>
      <c r="Q64" s="17"/>
      <c r="R64" s="17">
        <f t="shared" si="64"/>
        <v>0</v>
      </c>
      <c r="S64" s="17"/>
      <c r="T64" s="17">
        <f t="shared" si="65"/>
        <v>1111.308259264302</v>
      </c>
      <c r="U64" s="17"/>
      <c r="V64" s="17">
        <f t="shared" si="66"/>
        <v>107631.99363025646</v>
      </c>
      <c r="W64" s="17">
        <f t="shared" si="67"/>
        <v>52992.718003307164</v>
      </c>
      <c r="X64" s="17"/>
      <c r="Y64" s="17">
        <f t="shared" si="68"/>
        <v>11959.110403361829</v>
      </c>
      <c r="Z64" s="17">
        <f t="shared" si="69"/>
        <v>5888.0797781452393</v>
      </c>
      <c r="AA64" s="17"/>
      <c r="AB64" s="17">
        <f t="shared" si="70"/>
        <v>23414.743252654323</v>
      </c>
      <c r="AC64" s="17">
        <f t="shared" si="71"/>
        <v>30499.010495110637</v>
      </c>
      <c r="AD64" s="17"/>
      <c r="AE64" s="17">
        <f t="shared" si="72"/>
        <v>0</v>
      </c>
      <c r="AF64" s="17">
        <f t="shared" si="73"/>
        <v>38026.88501644224</v>
      </c>
      <c r="AG64" s="17"/>
      <c r="AH64" s="17">
        <f t="shared" si="74"/>
        <v>14560.112168774436</v>
      </c>
      <c r="AI64" s="17"/>
      <c r="AJ64" s="17">
        <f t="shared" si="75"/>
        <v>15744.178992683444</v>
      </c>
      <c r="AK64" s="17"/>
      <c r="AL64" s="17">
        <f t="shared" si="76"/>
        <v>0</v>
      </c>
      <c r="AM64" s="17"/>
      <c r="AN64" s="17">
        <f t="shared" si="77"/>
        <v>0</v>
      </c>
      <c r="AO64" s="17">
        <f t="shared" si="78"/>
        <v>301828.14</v>
      </c>
      <c r="AP64" s="14" t="str">
        <f t="shared" si="79"/>
        <v>ok</v>
      </c>
    </row>
    <row r="65" spans="1:42" x14ac:dyDescent="0.25">
      <c r="A65" s="10">
        <v>394</v>
      </c>
      <c r="B65" s="2" t="s">
        <v>63</v>
      </c>
      <c r="C65" s="2" t="s">
        <v>64</v>
      </c>
      <c r="D65" s="2" t="s">
        <v>371</v>
      </c>
      <c r="F65" s="148">
        <v>444820.95</v>
      </c>
      <c r="H65" s="17">
        <f t="shared" si="56"/>
        <v>0</v>
      </c>
      <c r="I65" s="17">
        <f t="shared" si="57"/>
        <v>0</v>
      </c>
      <c r="J65" s="17">
        <f t="shared" si="58"/>
        <v>0</v>
      </c>
      <c r="K65" s="17">
        <f t="shared" si="59"/>
        <v>0</v>
      </c>
      <c r="L65" s="17">
        <f t="shared" si="60"/>
        <v>0</v>
      </c>
      <c r="M65" s="17">
        <f t="shared" si="61"/>
        <v>0</v>
      </c>
      <c r="N65" s="17">
        <f t="shared" si="62"/>
        <v>0</v>
      </c>
      <c r="O65" s="17"/>
      <c r="P65" s="17">
        <f t="shared" si="63"/>
        <v>0</v>
      </c>
      <c r="Q65" s="17"/>
      <c r="R65" s="17">
        <f t="shared" si="64"/>
        <v>0</v>
      </c>
      <c r="S65" s="17"/>
      <c r="T65" s="17">
        <f t="shared" si="65"/>
        <v>1637.7969119406596</v>
      </c>
      <c r="U65" s="17"/>
      <c r="V65" s="17">
        <f t="shared" si="66"/>
        <v>158623.26705854738</v>
      </c>
      <c r="W65" s="17">
        <f t="shared" si="67"/>
        <v>78098.321665147581</v>
      </c>
      <c r="X65" s="17"/>
      <c r="Y65" s="17">
        <f t="shared" si="68"/>
        <v>17624.807450949709</v>
      </c>
      <c r="Z65" s="17">
        <f t="shared" si="69"/>
        <v>8677.5912961275062</v>
      </c>
      <c r="AA65" s="17"/>
      <c r="AB65" s="17">
        <f t="shared" si="70"/>
        <v>34507.611972998224</v>
      </c>
      <c r="AC65" s="17">
        <f t="shared" si="71"/>
        <v>44948.091395636875</v>
      </c>
      <c r="AD65" s="17"/>
      <c r="AE65" s="17">
        <f t="shared" si="72"/>
        <v>0</v>
      </c>
      <c r="AF65" s="17">
        <f t="shared" si="73"/>
        <v>56042.33958621155</v>
      </c>
      <c r="AG65" s="17"/>
      <c r="AH65" s="17">
        <f t="shared" si="74"/>
        <v>21458.048699570572</v>
      </c>
      <c r="AI65" s="17"/>
      <c r="AJ65" s="17">
        <f t="shared" si="75"/>
        <v>23203.073962870039</v>
      </c>
      <c r="AK65" s="17"/>
      <c r="AL65" s="17">
        <f t="shared" si="76"/>
        <v>0</v>
      </c>
      <c r="AM65" s="17"/>
      <c r="AN65" s="17">
        <f t="shared" si="77"/>
        <v>0</v>
      </c>
      <c r="AO65" s="17">
        <f t="shared" si="78"/>
        <v>444820.95000000013</v>
      </c>
      <c r="AP65" s="14" t="str">
        <f t="shared" si="79"/>
        <v>ok</v>
      </c>
    </row>
    <row r="66" spans="1:42" x14ac:dyDescent="0.25">
      <c r="A66" s="10">
        <v>395</v>
      </c>
      <c r="B66" s="2" t="s">
        <v>65</v>
      </c>
      <c r="C66" s="2" t="s">
        <v>66</v>
      </c>
      <c r="D66" s="2" t="s">
        <v>371</v>
      </c>
      <c r="F66" s="148">
        <v>179777.13</v>
      </c>
      <c r="H66" s="17">
        <f t="shared" si="56"/>
        <v>0</v>
      </c>
      <c r="I66" s="17">
        <f t="shared" si="57"/>
        <v>0</v>
      </c>
      <c r="J66" s="17">
        <f t="shared" si="58"/>
        <v>0</v>
      </c>
      <c r="K66" s="17">
        <f t="shared" si="59"/>
        <v>0</v>
      </c>
      <c r="L66" s="17">
        <f t="shared" si="60"/>
        <v>0</v>
      </c>
      <c r="M66" s="17">
        <f t="shared" si="61"/>
        <v>0</v>
      </c>
      <c r="N66" s="17">
        <f t="shared" si="62"/>
        <v>0</v>
      </c>
      <c r="O66" s="17"/>
      <c r="P66" s="17">
        <f t="shared" si="63"/>
        <v>0</v>
      </c>
      <c r="Q66" s="17"/>
      <c r="R66" s="17">
        <f t="shared" si="64"/>
        <v>0</v>
      </c>
      <c r="S66" s="17"/>
      <c r="T66" s="17">
        <f t="shared" si="65"/>
        <v>661.92572168993956</v>
      </c>
      <c r="U66" s="17"/>
      <c r="V66" s="17">
        <f t="shared" si="66"/>
        <v>64108.571556733536</v>
      </c>
      <c r="W66" s="17">
        <f t="shared" si="67"/>
        <v>31563.918306404077</v>
      </c>
      <c r="X66" s="17"/>
      <c r="Y66" s="17">
        <f t="shared" si="68"/>
        <v>7123.1746174148375</v>
      </c>
      <c r="Z66" s="17">
        <f t="shared" si="69"/>
        <v>3507.1020340448968</v>
      </c>
      <c r="AA66" s="17"/>
      <c r="AB66" s="17">
        <f t="shared" si="70"/>
        <v>13946.464175437912</v>
      </c>
      <c r="AC66" s="17">
        <f t="shared" si="71"/>
        <v>18166.048316935819</v>
      </c>
      <c r="AD66" s="17"/>
      <c r="AE66" s="17">
        <f t="shared" si="72"/>
        <v>0</v>
      </c>
      <c r="AF66" s="17">
        <f t="shared" si="73"/>
        <v>22649.857137561754</v>
      </c>
      <c r="AG66" s="17"/>
      <c r="AH66" s="17">
        <f t="shared" si="74"/>
        <v>8672.4027063226895</v>
      </c>
      <c r="AI66" s="17"/>
      <c r="AJ66" s="17">
        <f t="shared" si="75"/>
        <v>9377.6654274545799</v>
      </c>
      <c r="AK66" s="17"/>
      <c r="AL66" s="17">
        <f t="shared" si="76"/>
        <v>0</v>
      </c>
      <c r="AM66" s="17"/>
      <c r="AN66" s="17">
        <f t="shared" si="77"/>
        <v>0</v>
      </c>
      <c r="AO66" s="17">
        <f t="shared" si="78"/>
        <v>179777.13000000006</v>
      </c>
      <c r="AP66" s="14" t="str">
        <f t="shared" si="79"/>
        <v>ok</v>
      </c>
    </row>
    <row r="67" spans="1:42" x14ac:dyDescent="0.25">
      <c r="A67" s="10">
        <v>396</v>
      </c>
      <c r="B67" s="2" t="s">
        <v>67</v>
      </c>
      <c r="C67" s="2" t="s">
        <v>68</v>
      </c>
      <c r="D67" s="2" t="s">
        <v>371</v>
      </c>
      <c r="F67" s="148">
        <v>54145.62</v>
      </c>
      <c r="H67" s="17">
        <f t="shared" si="56"/>
        <v>0</v>
      </c>
      <c r="I67" s="17">
        <f t="shared" si="57"/>
        <v>0</v>
      </c>
      <c r="J67" s="17">
        <f t="shared" si="58"/>
        <v>0</v>
      </c>
      <c r="K67" s="17">
        <f t="shared" si="59"/>
        <v>0</v>
      </c>
      <c r="L67" s="17">
        <f t="shared" si="60"/>
        <v>0</v>
      </c>
      <c r="M67" s="17">
        <f t="shared" si="61"/>
        <v>0</v>
      </c>
      <c r="N67" s="17">
        <f t="shared" si="62"/>
        <v>0</v>
      </c>
      <c r="O67" s="17"/>
      <c r="P67" s="17">
        <f t="shared" si="63"/>
        <v>0</v>
      </c>
      <c r="Q67" s="17"/>
      <c r="R67" s="17">
        <f t="shared" si="64"/>
        <v>0</v>
      </c>
      <c r="S67" s="17"/>
      <c r="T67" s="17">
        <f t="shared" si="65"/>
        <v>199.3600553910791</v>
      </c>
      <c r="U67" s="17"/>
      <c r="V67" s="17">
        <f t="shared" si="66"/>
        <v>19308.342247168493</v>
      </c>
      <c r="W67" s="17">
        <f t="shared" si="67"/>
        <v>9506.4813101065683</v>
      </c>
      <c r="X67" s="17"/>
      <c r="Y67" s="17">
        <f t="shared" si="68"/>
        <v>2145.3713607964992</v>
      </c>
      <c r="Z67" s="17">
        <f t="shared" si="69"/>
        <v>1056.2757011229517</v>
      </c>
      <c r="AA67" s="17"/>
      <c r="AB67" s="17">
        <f t="shared" si="70"/>
        <v>4200.422765603581</v>
      </c>
      <c r="AC67" s="17">
        <f t="shared" si="71"/>
        <v>5471.2851911166144</v>
      </c>
      <c r="AD67" s="17"/>
      <c r="AE67" s="17">
        <f t="shared" si="72"/>
        <v>0</v>
      </c>
      <c r="AF67" s="17">
        <f t="shared" si="73"/>
        <v>6821.7273110584556</v>
      </c>
      <c r="AG67" s="17"/>
      <c r="AH67" s="17">
        <f t="shared" si="74"/>
        <v>2611.9708409157492</v>
      </c>
      <c r="AI67" s="17"/>
      <c r="AJ67" s="17">
        <f t="shared" si="75"/>
        <v>2824.3832167200203</v>
      </c>
      <c r="AK67" s="17"/>
      <c r="AL67" s="17">
        <f t="shared" si="76"/>
        <v>0</v>
      </c>
      <c r="AM67" s="17"/>
      <c r="AN67" s="17">
        <f t="shared" si="77"/>
        <v>0</v>
      </c>
      <c r="AO67" s="17">
        <f t="shared" si="78"/>
        <v>54145.620000000017</v>
      </c>
      <c r="AP67" s="14" t="str">
        <f t="shared" si="79"/>
        <v>ok</v>
      </c>
    </row>
    <row r="68" spans="1:42" x14ac:dyDescent="0.25">
      <c r="A68" s="10">
        <v>397</v>
      </c>
      <c r="B68" s="2" t="s">
        <v>69</v>
      </c>
      <c r="C68" s="2" t="s">
        <v>70</v>
      </c>
      <c r="D68" s="2" t="s">
        <v>371</v>
      </c>
      <c r="F68" s="148">
        <v>3133789.66</v>
      </c>
      <c r="H68" s="17">
        <f t="shared" si="56"/>
        <v>0</v>
      </c>
      <c r="I68" s="17">
        <f t="shared" si="57"/>
        <v>0</v>
      </c>
      <c r="J68" s="17">
        <f t="shared" si="58"/>
        <v>0</v>
      </c>
      <c r="K68" s="17">
        <f t="shared" si="59"/>
        <v>0</v>
      </c>
      <c r="L68" s="17">
        <f t="shared" si="60"/>
        <v>0</v>
      </c>
      <c r="M68" s="17">
        <f t="shared" si="61"/>
        <v>0</v>
      </c>
      <c r="N68" s="17">
        <f t="shared" si="62"/>
        <v>0</v>
      </c>
      <c r="O68" s="17"/>
      <c r="P68" s="17">
        <f t="shared" si="63"/>
        <v>0</v>
      </c>
      <c r="Q68" s="17"/>
      <c r="R68" s="17">
        <f t="shared" si="64"/>
        <v>0</v>
      </c>
      <c r="S68" s="17"/>
      <c r="T68" s="17">
        <f t="shared" si="65"/>
        <v>11538.37522225419</v>
      </c>
      <c r="U68" s="17"/>
      <c r="V68" s="17">
        <f t="shared" si="66"/>
        <v>1117510.2120156311</v>
      </c>
      <c r="W68" s="17">
        <f t="shared" si="67"/>
        <v>550207.25282294699</v>
      </c>
      <c r="X68" s="17"/>
      <c r="Y68" s="17">
        <f t="shared" si="68"/>
        <v>124167.80133507012</v>
      </c>
      <c r="Z68" s="17">
        <f t="shared" si="69"/>
        <v>61134.139202549653</v>
      </c>
      <c r="AA68" s="17"/>
      <c r="AB68" s="17">
        <f t="shared" si="70"/>
        <v>243108.14855342143</v>
      </c>
      <c r="AC68" s="17">
        <f t="shared" si="71"/>
        <v>316661.93791542825</v>
      </c>
      <c r="AD68" s="17"/>
      <c r="AE68" s="17">
        <f t="shared" si="72"/>
        <v>0</v>
      </c>
      <c r="AF68" s="17">
        <f t="shared" si="73"/>
        <v>394821.56655948522</v>
      </c>
      <c r="AG68" s="17"/>
      <c r="AH68" s="17">
        <f t="shared" si="74"/>
        <v>151173.21056593829</v>
      </c>
      <c r="AI68" s="17"/>
      <c r="AJ68" s="17">
        <f t="shared" si="75"/>
        <v>163467.0158072756</v>
      </c>
      <c r="AK68" s="17"/>
      <c r="AL68" s="17">
        <f t="shared" si="76"/>
        <v>0</v>
      </c>
      <c r="AM68" s="17"/>
      <c r="AN68" s="17">
        <f t="shared" si="77"/>
        <v>0</v>
      </c>
      <c r="AO68" s="17">
        <f t="shared" si="78"/>
        <v>3133789.66</v>
      </c>
      <c r="AP68" s="14" t="str">
        <f t="shared" si="79"/>
        <v>ok</v>
      </c>
    </row>
    <row r="69" spans="1:42" x14ac:dyDescent="0.25">
      <c r="A69" s="10">
        <v>398</v>
      </c>
      <c r="B69" s="2" t="s">
        <v>341</v>
      </c>
      <c r="C69" s="2" t="s">
        <v>342</v>
      </c>
      <c r="D69" s="2" t="s">
        <v>371</v>
      </c>
      <c r="F69" s="148">
        <v>828346.61</v>
      </c>
      <c r="H69" s="17">
        <f t="shared" si="56"/>
        <v>0</v>
      </c>
      <c r="I69" s="17">
        <f t="shared" si="57"/>
        <v>0</v>
      </c>
      <c r="J69" s="17">
        <f t="shared" si="58"/>
        <v>0</v>
      </c>
      <c r="K69" s="17">
        <f t="shared" si="59"/>
        <v>0</v>
      </c>
      <c r="L69" s="17">
        <f t="shared" si="60"/>
        <v>0</v>
      </c>
      <c r="M69" s="17">
        <f t="shared" si="61"/>
        <v>0</v>
      </c>
      <c r="N69" s="17">
        <f t="shared" si="62"/>
        <v>0</v>
      </c>
      <c r="O69" s="17"/>
      <c r="P69" s="17">
        <f t="shared" si="63"/>
        <v>0</v>
      </c>
      <c r="Q69" s="17"/>
      <c r="R69" s="17">
        <f t="shared" si="64"/>
        <v>0</v>
      </c>
      <c r="S69" s="17"/>
      <c r="T69" s="17">
        <f t="shared" si="65"/>
        <v>3049.9092272396656</v>
      </c>
      <c r="U69" s="17"/>
      <c r="V69" s="17">
        <f t="shared" si="66"/>
        <v>295388.61767880403</v>
      </c>
      <c r="W69" s="17">
        <f t="shared" si="67"/>
        <v>145434.87665770811</v>
      </c>
      <c r="X69" s="17"/>
      <c r="Y69" s="17">
        <f t="shared" si="68"/>
        <v>32820.957519867108</v>
      </c>
      <c r="Z69" s="17">
        <f t="shared" si="69"/>
        <v>16159.430739745343</v>
      </c>
      <c r="AA69" s="17"/>
      <c r="AB69" s="17">
        <f t="shared" si="70"/>
        <v>64260.155455871609</v>
      </c>
      <c r="AC69" s="17">
        <f t="shared" si="71"/>
        <v>83702.440574226493</v>
      </c>
      <c r="AD69" s="17"/>
      <c r="AE69" s="17">
        <f t="shared" si="72"/>
        <v>0</v>
      </c>
      <c r="AF69" s="17">
        <f t="shared" si="73"/>
        <v>104362.17541621441</v>
      </c>
      <c r="AG69" s="17"/>
      <c r="AH69" s="17">
        <f t="shared" si="74"/>
        <v>39959.228308613143</v>
      </c>
      <c r="AI69" s="17"/>
      <c r="AJ69" s="17">
        <f t="shared" si="75"/>
        <v>43208.818421710268</v>
      </c>
      <c r="AK69" s="17"/>
      <c r="AL69" s="17">
        <f t="shared" si="76"/>
        <v>0</v>
      </c>
      <c r="AM69" s="17"/>
      <c r="AN69" s="17">
        <f t="shared" si="77"/>
        <v>0</v>
      </c>
      <c r="AO69" s="17">
        <f t="shared" si="78"/>
        <v>828346.61000000034</v>
      </c>
      <c r="AP69" s="14" t="str">
        <f t="shared" si="79"/>
        <v>ok</v>
      </c>
    </row>
    <row r="70" spans="1:42" x14ac:dyDescent="0.25">
      <c r="A70" s="10">
        <v>399</v>
      </c>
      <c r="B70" s="2" t="s">
        <v>676</v>
      </c>
      <c r="C70" s="2" t="s">
        <v>584</v>
      </c>
      <c r="D70" s="2" t="s">
        <v>454</v>
      </c>
      <c r="F70" s="148">
        <v>0</v>
      </c>
      <c r="H70" s="17">
        <f t="shared" si="56"/>
        <v>0</v>
      </c>
      <c r="I70" s="17">
        <f t="shared" si="57"/>
        <v>0</v>
      </c>
      <c r="J70" s="17">
        <f t="shared" si="58"/>
        <v>0</v>
      </c>
      <c r="K70" s="17">
        <f t="shared" si="59"/>
        <v>0</v>
      </c>
      <c r="L70" s="17">
        <f t="shared" si="60"/>
        <v>0</v>
      </c>
      <c r="M70" s="17">
        <f t="shared" si="61"/>
        <v>0</v>
      </c>
      <c r="N70" s="17">
        <f t="shared" si="62"/>
        <v>0</v>
      </c>
      <c r="O70" s="17"/>
      <c r="P70" s="17">
        <f t="shared" si="63"/>
        <v>0</v>
      </c>
      <c r="Q70" s="17"/>
      <c r="R70" s="17">
        <f t="shared" si="64"/>
        <v>0</v>
      </c>
      <c r="S70" s="17"/>
      <c r="T70" s="17">
        <f t="shared" si="65"/>
        <v>0</v>
      </c>
      <c r="U70" s="17"/>
      <c r="V70" s="17">
        <f t="shared" si="66"/>
        <v>0</v>
      </c>
      <c r="W70" s="17">
        <f t="shared" si="67"/>
        <v>0</v>
      </c>
      <c r="X70" s="17"/>
      <c r="Y70" s="17">
        <f t="shared" si="68"/>
        <v>0</v>
      </c>
      <c r="Z70" s="17">
        <f t="shared" si="69"/>
        <v>0</v>
      </c>
      <c r="AA70" s="17"/>
      <c r="AB70" s="17">
        <f t="shared" si="70"/>
        <v>0</v>
      </c>
      <c r="AC70" s="17">
        <f t="shared" si="71"/>
        <v>0</v>
      </c>
      <c r="AD70" s="17"/>
      <c r="AE70" s="17">
        <f t="shared" si="72"/>
        <v>0</v>
      </c>
      <c r="AF70" s="17">
        <f t="shared" si="73"/>
        <v>0</v>
      </c>
      <c r="AG70" s="17"/>
      <c r="AH70" s="17">
        <f t="shared" si="74"/>
        <v>0</v>
      </c>
      <c r="AI70" s="17"/>
      <c r="AJ70" s="17">
        <f t="shared" si="75"/>
        <v>0</v>
      </c>
      <c r="AK70" s="17"/>
      <c r="AL70" s="17">
        <f t="shared" si="76"/>
        <v>0</v>
      </c>
      <c r="AM70" s="17"/>
      <c r="AN70" s="17">
        <f t="shared" si="77"/>
        <v>0</v>
      </c>
      <c r="AO70" s="17">
        <f t="shared" si="78"/>
        <v>0</v>
      </c>
      <c r="AP70" s="14" t="str">
        <f t="shared" si="79"/>
        <v>ok</v>
      </c>
    </row>
    <row r="71" spans="1:42" x14ac:dyDescent="0.25">
      <c r="A71" s="2"/>
      <c r="B71" s="2"/>
      <c r="AD71" s="2"/>
      <c r="AO71" s="17"/>
      <c r="AP71" s="14"/>
    </row>
    <row r="72" spans="1:42" x14ac:dyDescent="0.25">
      <c r="A72" s="2"/>
      <c r="B72" s="2" t="s">
        <v>71</v>
      </c>
      <c r="C72" s="2" t="s">
        <v>72</v>
      </c>
      <c r="F72" s="106">
        <f t="shared" ref="F72:P72" si="80">SUM(F60:F71)</f>
        <v>40584739.75</v>
      </c>
      <c r="G72" s="13">
        <f t="shared" si="80"/>
        <v>0</v>
      </c>
      <c r="H72" s="13">
        <f t="shared" si="80"/>
        <v>0</v>
      </c>
      <c r="I72" s="13">
        <f t="shared" si="80"/>
        <v>0</v>
      </c>
      <c r="J72" s="13">
        <f t="shared" si="80"/>
        <v>0</v>
      </c>
      <c r="K72" s="13">
        <f t="shared" si="80"/>
        <v>0</v>
      </c>
      <c r="L72" s="13">
        <f t="shared" si="80"/>
        <v>0</v>
      </c>
      <c r="M72" s="13">
        <f t="shared" si="80"/>
        <v>0</v>
      </c>
      <c r="N72" s="13">
        <f t="shared" si="80"/>
        <v>0</v>
      </c>
      <c r="O72" s="13"/>
      <c r="P72" s="13">
        <f t="shared" si="80"/>
        <v>0</v>
      </c>
      <c r="Q72" s="13"/>
      <c r="R72" s="13">
        <f>SUM(R60:R71)</f>
        <v>0</v>
      </c>
      <c r="S72" s="13"/>
      <c r="T72" s="13">
        <f>SUM(T60:T71)</f>
        <v>149429.92553400493</v>
      </c>
      <c r="U72" s="13"/>
      <c r="V72" s="13">
        <f>SUM(V60:V71)</f>
        <v>14472528.804827861</v>
      </c>
      <c r="W72" s="13">
        <f>SUM(W60:W71)</f>
        <v>7125563.8020012341</v>
      </c>
      <c r="X72" s="13"/>
      <c r="Y72" s="13">
        <f>SUM(Y60:Y71)</f>
        <v>1608058.7560919845</v>
      </c>
      <c r="Z72" s="13">
        <f>SUM(Z60:Z71)</f>
        <v>791729.3113334704</v>
      </c>
      <c r="AA72" s="13"/>
      <c r="AB72" s="13">
        <f>SUM(AB60:AB71)</f>
        <v>3148418.3721969859</v>
      </c>
      <c r="AC72" s="13">
        <f>SUM(AC60:AC71)</f>
        <v>4100990.7279572529</v>
      </c>
      <c r="AD72" s="13"/>
      <c r="AE72" s="13">
        <f>SUM(AE60:AE71)</f>
        <v>0</v>
      </c>
      <c r="AF72" s="13">
        <f>SUM(AF60:AF71)</f>
        <v>5113211.8824158758</v>
      </c>
      <c r="AG72" s="13"/>
      <c r="AH72" s="13">
        <f>SUM(AH60:AH71)</f>
        <v>1957797.4508954617</v>
      </c>
      <c r="AI72" s="13"/>
      <c r="AJ72" s="13">
        <f>SUM(AJ60:AJ71)</f>
        <v>2117010.7167458762</v>
      </c>
      <c r="AK72" s="13"/>
      <c r="AL72" s="13">
        <f>SUM(AL60:AL71)</f>
        <v>0</v>
      </c>
      <c r="AM72" s="13"/>
      <c r="AN72" s="13">
        <f>SUM(AN60:AN71)</f>
        <v>0</v>
      </c>
      <c r="AO72" s="17">
        <f>SUM(H72:AN72)</f>
        <v>40584739.750000007</v>
      </c>
      <c r="AP72" s="14" t="str">
        <f>IF(ABS(AO72-F72)&lt;1,"ok","err")</f>
        <v>ok</v>
      </c>
    </row>
    <row r="73" spans="1:42" x14ac:dyDescent="0.25">
      <c r="A73" s="2"/>
      <c r="B73" s="2"/>
      <c r="AD73" s="2"/>
      <c r="AO73" s="17"/>
      <c r="AP73" s="14"/>
    </row>
    <row r="74" spans="1:42" x14ac:dyDescent="0.25">
      <c r="A74" s="11">
        <v>101</v>
      </c>
      <c r="B74" s="2" t="s">
        <v>730</v>
      </c>
      <c r="C74" s="2" t="s">
        <v>729</v>
      </c>
      <c r="D74" s="2" t="s">
        <v>371</v>
      </c>
      <c r="F74" s="106">
        <v>0</v>
      </c>
      <c r="H74" s="17">
        <f>IF(VLOOKUP($D74,$C$5:$AN$495,6,)=0,0,((VLOOKUP($D74,$C$5:$AN$495,6,)/VLOOKUP($D74,$C$5:$AN$495,4,))*$F74))</f>
        <v>0</v>
      </c>
      <c r="I74" s="17">
        <f>IF(VLOOKUP($D74,$C$5:$AN$495,7,)=0,0,((VLOOKUP($D74,$C$5:$AN$495,7,)/VLOOKUP($D74,$C$5:$AN$495,4,))*$F74))</f>
        <v>0</v>
      </c>
      <c r="J74" s="17">
        <f>IF(VLOOKUP($D74,$C$5:$AN$495,8,)=0,0,((VLOOKUP($D74,$C$5:$AN$495,8,)/VLOOKUP($D74,$C$5:$AN$495,4,))*$F74))</f>
        <v>0</v>
      </c>
      <c r="K74" s="17">
        <f>IF(VLOOKUP($D74,$C$5:$AN$495,9,)=0,0,((VLOOKUP($D74,$C$5:$AN$495,9,)/VLOOKUP($D74,$C$5:$AN$495,4,))*$F74))</f>
        <v>0</v>
      </c>
      <c r="L74" s="17">
        <f>IF(VLOOKUP($D74,$C$5:$AN$495,10,)=0,0,((VLOOKUP($D74,$C$5:$AN$495,10,)/VLOOKUP($D74,$C$5:$AN$495,4,))*$F74))</f>
        <v>0</v>
      </c>
      <c r="M74" s="17">
        <f>IF(VLOOKUP($D74,$C$5:$AN$495,11,)=0,0,((VLOOKUP($D74,$C$5:$AN$495,11,)/VLOOKUP($D74,$C$5:$AN$495,4,))*$F74))</f>
        <v>0</v>
      </c>
      <c r="N74" s="17">
        <f>IF(VLOOKUP($D74,$C$5:$AN$495,12,)=0,0,((VLOOKUP($D74,$C$5:$AN$495,12,)/VLOOKUP($D74,$C$5:$AN$495,4,))*$F74))</f>
        <v>0</v>
      </c>
      <c r="O74" s="17"/>
      <c r="P74" s="17">
        <f>IF(VLOOKUP($D74,$C$5:$AN$495,14,)=0,0,((VLOOKUP($D74,$C$5:$AN$495,14,)/VLOOKUP($D74,$C$5:$AN$495,4,))*$F74))</f>
        <v>0</v>
      </c>
      <c r="Q74" s="17"/>
      <c r="R74" s="17">
        <f>IF(VLOOKUP($D74,$C$5:$AN$495,16,)=0,0,((VLOOKUP($D74,$C$5:$AN$495,16,)/VLOOKUP($D74,$C$5:$AN$495,4,))*$F74))</f>
        <v>0</v>
      </c>
      <c r="S74" s="17"/>
      <c r="T74" s="17">
        <f>IF(VLOOKUP($D74,$C$5:$AN$495,18,)=0,0,((VLOOKUP($D74,$C$5:$AN$495,18,)/VLOOKUP($D74,$C$5:$AN$495,4,))*$F74))</f>
        <v>0</v>
      </c>
      <c r="U74" s="17"/>
      <c r="V74" s="17">
        <f>IF(VLOOKUP($D74,$C$5:$AN$495,20,)=0,0,((VLOOKUP($D74,$C$5:$AN$495,20,)/VLOOKUP($D74,$C$5:$AN$495,4,))*$F74))</f>
        <v>0</v>
      </c>
      <c r="W74" s="17">
        <f>IF(VLOOKUP($D74,$C$5:$AN$495,21,)=0,0,((VLOOKUP($D74,$C$5:$AN$495,21,)/VLOOKUP($D74,$C$5:$AN$495,4,))*$F74))</f>
        <v>0</v>
      </c>
      <c r="X74" s="17"/>
      <c r="Y74" s="17">
        <f>IF(VLOOKUP($D74,$C$5:$AN$495,23,)=0,0,((VLOOKUP($D74,$C$5:$AN$495,23,)/VLOOKUP($D74,$C$5:$AN$495,4,))*$F74))</f>
        <v>0</v>
      </c>
      <c r="Z74" s="17">
        <f>IF(VLOOKUP($D74,$C$5:$AN$495,24,)=0,0,((VLOOKUP($D74,$C$5:$AN$495,24,)/VLOOKUP($D74,$C$5:$AN$495,4,))*$F74))</f>
        <v>0</v>
      </c>
      <c r="AA74" s="17"/>
      <c r="AB74" s="17">
        <f>IF(VLOOKUP($D74,$C$5:$AN$495,26,)=0,0,((VLOOKUP($D74,$C$5:$AN$495,26,)/VLOOKUP($D74,$C$5:$AN$495,4,))*$F74))</f>
        <v>0</v>
      </c>
      <c r="AC74" s="17">
        <f>IF(VLOOKUP($D74,$C$5:$AN$495,27,)=0,0,((VLOOKUP($D74,$C$5:$AN$495,27,)/VLOOKUP($D74,$C$5:$AN$495,4,))*$F74))</f>
        <v>0</v>
      </c>
      <c r="AD74" s="17"/>
      <c r="AE74" s="17">
        <f>IF(VLOOKUP($D74,$C$5:$AN$495,29,)=0,0,((VLOOKUP($D74,$C$5:$AN$495,29,)/VLOOKUP($D74,$C$5:$AN$495,4,))*$F74))</f>
        <v>0</v>
      </c>
      <c r="AF74" s="17">
        <f>IF(VLOOKUP($D74,$C$5:$AN$495,30,)=0,0,((VLOOKUP($D74,$C$5:$AN$495,30,)/VLOOKUP($D74,$C$5:$AN$495,4,))*$F74))</f>
        <v>0</v>
      </c>
      <c r="AG74" s="17"/>
      <c r="AH74" s="17">
        <f>IF(VLOOKUP($D74,$C$5:$AN$495,32,)=0,0,((VLOOKUP($D74,$C$5:$AN$495,32,)/VLOOKUP($D74,$C$5:$AN$495,4,))*$F74))</f>
        <v>0</v>
      </c>
      <c r="AI74" s="17"/>
      <c r="AJ74" s="17">
        <f>IF(VLOOKUP($D74,$C$5:$AN$495,34,)=0,0,((VLOOKUP($D74,$C$5:$AN$495,34,)/VLOOKUP($D74,$C$5:$AN$495,4,))*$F74))</f>
        <v>0</v>
      </c>
      <c r="AK74" s="17"/>
      <c r="AL74" s="17">
        <f>IF(VLOOKUP($D74,$C$5:$AN$495,36,)=0,0,((VLOOKUP($D74,$C$5:$AN$495,36,)/VLOOKUP($D74,$C$5:$AN$495,4,))*$F74))</f>
        <v>0</v>
      </c>
      <c r="AM74" s="17"/>
      <c r="AN74" s="17">
        <f>IF(VLOOKUP($D74,$C$5:$AN$495,38,)=0,0,((VLOOKUP($D74,$C$5:$AN$495,38,)/VLOOKUP($D74,$C$5:$AN$495,4,))*$F74))</f>
        <v>0</v>
      </c>
      <c r="AO74" s="17">
        <f>SUM(H74:AN74)</f>
        <v>0</v>
      </c>
      <c r="AP74" s="14" t="str">
        <f>IF(ABS(AO74-F74)&lt;1,"ok","err")</f>
        <v>ok</v>
      </c>
    </row>
    <row r="75" spans="1:42" x14ac:dyDescent="0.25">
      <c r="A75" s="11">
        <v>105</v>
      </c>
      <c r="B75" s="2" t="s">
        <v>570</v>
      </c>
      <c r="C75" s="2" t="s">
        <v>571</v>
      </c>
      <c r="D75" s="2" t="s">
        <v>18</v>
      </c>
      <c r="F75" s="106">
        <v>0</v>
      </c>
      <c r="H75" s="17">
        <f>IF(VLOOKUP($D75,$C$5:$AN$495,6,)=0,0,((VLOOKUP($D75,$C$5:$AN$495,6,)/VLOOKUP($D75,$C$5:$AN$495,4,))*$F75))</f>
        <v>0</v>
      </c>
      <c r="I75" s="17">
        <f>IF(VLOOKUP($D75,$C$5:$AN$495,7,)=0,0,((VLOOKUP($D75,$C$5:$AN$495,7,)/VLOOKUP($D75,$C$5:$AN$495,4,))*$F75))</f>
        <v>0</v>
      </c>
      <c r="J75" s="17">
        <f>IF(VLOOKUP($D75,$C$5:$AN$495,8,)=0,0,((VLOOKUP($D75,$C$5:$AN$495,8,)/VLOOKUP($D75,$C$5:$AN$495,4,))*$F75))</f>
        <v>0</v>
      </c>
      <c r="K75" s="17">
        <f>IF(VLOOKUP($D75,$C$5:$AN$495,9,)=0,0,((VLOOKUP($D75,$C$5:$AN$495,9,)/VLOOKUP($D75,$C$5:$AN$495,4,))*$F75))</f>
        <v>0</v>
      </c>
      <c r="L75" s="17">
        <f>IF(VLOOKUP($D75,$C$5:$AN$495,10,)=0,0,((VLOOKUP($D75,$C$5:$AN$495,10,)/VLOOKUP($D75,$C$5:$AN$495,4,))*$F75))</f>
        <v>0</v>
      </c>
      <c r="M75" s="17">
        <f>IF(VLOOKUP($D75,$C$5:$AN$495,11,)=0,0,((VLOOKUP($D75,$C$5:$AN$495,11,)/VLOOKUP($D75,$C$5:$AN$495,4,))*$F75))</f>
        <v>0</v>
      </c>
      <c r="N75" s="17">
        <f>IF(VLOOKUP($D75,$C$5:$AN$495,12,)=0,0,((VLOOKUP($D75,$C$5:$AN$495,12,)/VLOOKUP($D75,$C$5:$AN$495,4,))*$F75))</f>
        <v>0</v>
      </c>
      <c r="O75" s="17"/>
      <c r="P75" s="17">
        <f>IF(VLOOKUP($D75,$C$5:$AN$495,14,)=0,0,((VLOOKUP($D75,$C$5:$AN$495,14,)/VLOOKUP($D75,$C$5:$AN$495,4,))*$F75))</f>
        <v>0</v>
      </c>
      <c r="Q75" s="17"/>
      <c r="R75" s="17">
        <f>IF(VLOOKUP($D75,$C$5:$AN$495,16,)=0,0,((VLOOKUP($D75,$C$5:$AN$495,16,)/VLOOKUP($D75,$C$5:$AN$495,4,))*$F75))</f>
        <v>0</v>
      </c>
      <c r="S75" s="17"/>
      <c r="T75" s="17">
        <f>IF(VLOOKUP($D75,$C$5:$AN$495,18,)=0,0,((VLOOKUP($D75,$C$5:$AN$495,18,)/VLOOKUP($D75,$C$5:$AN$495,4,))*$F75))</f>
        <v>0</v>
      </c>
      <c r="U75" s="17"/>
      <c r="V75" s="17">
        <f>IF(VLOOKUP($D75,$C$5:$AN$495,20,)=0,0,((VLOOKUP($D75,$C$5:$AN$495,20,)/VLOOKUP($D75,$C$5:$AN$495,4,))*$F75))</f>
        <v>0</v>
      </c>
      <c r="W75" s="17">
        <f>IF(VLOOKUP($D75,$C$5:$AN$495,21,)=0,0,((VLOOKUP($D75,$C$5:$AN$495,21,)/VLOOKUP($D75,$C$5:$AN$495,4,))*$F75))</f>
        <v>0</v>
      </c>
      <c r="X75" s="17"/>
      <c r="Y75" s="17">
        <f>IF(VLOOKUP($D75,$C$5:$AN$495,23,)=0,0,((VLOOKUP($D75,$C$5:$AN$495,23,)/VLOOKUP($D75,$C$5:$AN$495,4,))*$F75))</f>
        <v>0</v>
      </c>
      <c r="Z75" s="17">
        <f>IF(VLOOKUP($D75,$C$5:$AN$495,24,)=0,0,((VLOOKUP($D75,$C$5:$AN$495,24,)/VLOOKUP($D75,$C$5:$AN$495,4,))*$F75))</f>
        <v>0</v>
      </c>
      <c r="AA75" s="17"/>
      <c r="AB75" s="17">
        <f>IF(VLOOKUP($D75,$C$5:$AN$495,26,)=0,0,((VLOOKUP($D75,$C$5:$AN$495,26,)/VLOOKUP($D75,$C$5:$AN$495,4,))*$F75))</f>
        <v>0</v>
      </c>
      <c r="AC75" s="17">
        <f>IF(VLOOKUP($D75,$C$5:$AN$495,27,)=0,0,((VLOOKUP($D75,$C$5:$AN$495,27,)/VLOOKUP($D75,$C$5:$AN$495,4,))*$F75))</f>
        <v>0</v>
      </c>
      <c r="AD75" s="17"/>
      <c r="AE75" s="17">
        <f>IF(VLOOKUP($D75,$C$5:$AN$495,29,)=0,0,((VLOOKUP($D75,$C$5:$AN$495,29,)/VLOOKUP($D75,$C$5:$AN$495,4,))*$F75))</f>
        <v>0</v>
      </c>
      <c r="AF75" s="17">
        <f>IF(VLOOKUP($D75,$C$5:$AN$495,30,)=0,0,((VLOOKUP($D75,$C$5:$AN$495,30,)/VLOOKUP($D75,$C$5:$AN$495,4,))*$F75))</f>
        <v>0</v>
      </c>
      <c r="AG75" s="17"/>
      <c r="AH75" s="17">
        <f>IF(VLOOKUP($D75,$C$5:$AN$495,32,)=0,0,((VLOOKUP($D75,$C$5:$AN$495,32,)/VLOOKUP($D75,$C$5:$AN$495,4,))*$F75))</f>
        <v>0</v>
      </c>
      <c r="AI75" s="17"/>
      <c r="AJ75" s="17">
        <f>IF(VLOOKUP($D75,$C$5:$AN$495,34,)=0,0,((VLOOKUP($D75,$C$5:$AN$495,34,)/VLOOKUP($D75,$C$5:$AN$495,4,))*$F75))</f>
        <v>0</v>
      </c>
      <c r="AK75" s="17"/>
      <c r="AL75" s="17">
        <f>IF(VLOOKUP($D75,$C$5:$AN$495,36,)=0,0,((VLOOKUP($D75,$C$5:$AN$495,36,)/VLOOKUP($D75,$C$5:$AN$495,4,))*$F75))</f>
        <v>0</v>
      </c>
      <c r="AM75" s="17"/>
      <c r="AN75" s="17">
        <f>IF(VLOOKUP($D75,$C$5:$AN$495,38,)=0,0,((VLOOKUP($D75,$C$5:$AN$495,38,)/VLOOKUP($D75,$C$5:$AN$495,4,))*$F75))</f>
        <v>0</v>
      </c>
      <c r="AO75" s="17">
        <f>SUM(H75:AN75)</f>
        <v>0</v>
      </c>
      <c r="AP75" s="14" t="str">
        <f>IF(ABS(AO75-F75)&lt;1,"ok","err")</f>
        <v>ok</v>
      </c>
    </row>
    <row r="76" spans="1:42" x14ac:dyDescent="0.25">
      <c r="A76" s="2"/>
      <c r="B76" s="2"/>
      <c r="AD76" s="2"/>
      <c r="AO76" s="17"/>
      <c r="AP76" s="14"/>
    </row>
    <row r="77" spans="1:42" x14ac:dyDescent="0.25">
      <c r="A77" s="11"/>
      <c r="B77" s="2" t="s">
        <v>405</v>
      </c>
      <c r="D77" s="2" t="s">
        <v>18</v>
      </c>
      <c r="F77" s="106">
        <v>0</v>
      </c>
      <c r="H77" s="17">
        <f>IF(VLOOKUP($D77,$C$5:$AN$495,6,)=0,0,((VLOOKUP($D77,$C$5:$AN$495,6,)/VLOOKUP($D77,$C$5:$AN$495,4,))*$F77))</f>
        <v>0</v>
      </c>
      <c r="I77" s="17">
        <f>IF(VLOOKUP($D77,$C$5:$AN$495,7,)=0,0,((VLOOKUP($D77,$C$5:$AN$495,7,)/VLOOKUP($D77,$C$5:$AN$495,4,))*$F77))</f>
        <v>0</v>
      </c>
      <c r="J77" s="17">
        <f>IF(VLOOKUP($D77,$C$5:$AN$495,7,)=0,0,((VLOOKUP($D77,$C$5:$AN$495,7,)/VLOOKUP($D77,$C$5:$AN$495,4,))*$F77))</f>
        <v>0</v>
      </c>
      <c r="K77" s="17">
        <f>IF(VLOOKUP($D77,$C$5:$AN$495,7,)=0,0,((VLOOKUP($D77,$C$5:$AN$495,7,)/VLOOKUP($D77,$C$5:$AN$495,4,))*$F77))</f>
        <v>0</v>
      </c>
      <c r="L77" s="17">
        <f>IF(VLOOKUP($D77,$C$5:$AN$495,7,)=0,0,((VLOOKUP($D77,$C$5:$AN$495,7,)/VLOOKUP($D77,$C$5:$AN$495,4,))*$F77))</f>
        <v>0</v>
      </c>
      <c r="M77" s="17">
        <f>IF(VLOOKUP($D77,$C$5:$AN$495,8,)=0,0,((VLOOKUP($D77,$C$5:$AN$495,8,)/VLOOKUP($D77,$C$5:$AN$495,4,))*$F77))</f>
        <v>0</v>
      </c>
      <c r="N77" s="17">
        <f>IF(VLOOKUP($D77,$C$5:$AN$495,9,)=0,0,((VLOOKUP($D77,$C$5:$AN$495,9,)/VLOOKUP($D77,$C$5:$AN$495,4,))*$F77))</f>
        <v>0</v>
      </c>
      <c r="O77" s="17"/>
      <c r="P77" s="17">
        <f>IF(VLOOKUP($D77,$C$5:$AN$495,11,)=0,0,((VLOOKUP($D77,$C$5:$AN$495,11,)/VLOOKUP($D77,$C$5:$AN$495,4,))*$F77))</f>
        <v>0</v>
      </c>
      <c r="Q77" s="17"/>
      <c r="R77" s="17">
        <f>IF(VLOOKUP($D77,$C$5:$AN$495,13,)=0,0,((VLOOKUP($D77,$C$5:$AN$495,13,)/VLOOKUP($D77,$C$5:$AN$495,4,))*$F77))</f>
        <v>0</v>
      </c>
      <c r="S77" s="17"/>
      <c r="T77" s="17">
        <f>IF(VLOOKUP($D77,$C$5:$AN$495,15,)=0,0,((VLOOKUP($D77,$C$5:$AN$495,15,)/VLOOKUP($D77,$C$5:$AN$495,4,))*$F77))</f>
        <v>0</v>
      </c>
      <c r="U77" s="17"/>
      <c r="V77" s="17">
        <f>IF(VLOOKUP($D77,$C$5:$AN$495,17,)=0,0,((VLOOKUP($D77,$C$5:$AN$495,17,)/VLOOKUP($D77,$C$5:$AN$495,4,))*$F77))</f>
        <v>0</v>
      </c>
      <c r="W77" s="17">
        <f>IF(VLOOKUP($D77,$C$5:$AN$495,18,)=0,0,((VLOOKUP($D77,$C$5:$AN$495,18,)/VLOOKUP($D77,$C$5:$AN$495,4,))*$F77))</f>
        <v>0</v>
      </c>
      <c r="X77" s="17"/>
      <c r="Y77" s="17">
        <f>IF(VLOOKUP($D77,$C$5:$AN$495,20,)=0,0,((VLOOKUP($D77,$C$5:$AN$495,20,)/VLOOKUP($D77,$C$5:$AN$495,4,))*$F77))</f>
        <v>0</v>
      </c>
      <c r="Z77" s="17">
        <f>IF(VLOOKUP($D77,$C$5:$AN$495,21,)=0,0,((VLOOKUP($D77,$C$5:$AN$495,21,)/VLOOKUP($D77,$C$5:$AN$495,4,))*$F77))</f>
        <v>0</v>
      </c>
      <c r="AA77" s="17"/>
      <c r="AB77" s="17">
        <f>IF(VLOOKUP($D77,$C$5:$AN$495,23,)=0,0,((VLOOKUP($D77,$C$5:$AN$495,23,)/VLOOKUP($D77,$C$5:$AN$495,4,))*$F77))</f>
        <v>0</v>
      </c>
      <c r="AC77" s="17">
        <f>IF(VLOOKUP($D77,$C$5:$AN$495,24,)=0,0,((VLOOKUP($D77,$C$5:$AN$495,24,)/VLOOKUP($D77,$C$5:$AN$495,4,))*$F77))</f>
        <v>0</v>
      </c>
      <c r="AD77" s="17"/>
      <c r="AE77" s="17">
        <f>IF(VLOOKUP($D77,$C$5:$AN$495,26,)=0,0,((VLOOKUP($D77,$C$5:$AN$495,26,)/VLOOKUP($D77,$C$5:$AN$495,4,))*$F77))</f>
        <v>0</v>
      </c>
      <c r="AF77" s="17">
        <f>IF(VLOOKUP($D77,$C$5:$AN$495,27,)=0,0,((VLOOKUP($D77,$C$5:$AN$495,27,)/VLOOKUP($D77,$C$5:$AN$495,4,))*$F77))</f>
        <v>0</v>
      </c>
      <c r="AG77" s="17"/>
      <c r="AH77" s="17">
        <f>IF(VLOOKUP($D77,$C$5:$AN$495,29,)=0,0,((VLOOKUP($D77,$C$5:$AN$495,29,)/VLOOKUP($D77,$C$5:$AN$495,4,))*$F77))</f>
        <v>0</v>
      </c>
      <c r="AI77" s="17"/>
      <c r="AJ77" s="17">
        <f>IF(VLOOKUP($D77,$C$5:$AN$495,31,)=0,0,((VLOOKUP($D77,$C$5:$AN$495,31,)/VLOOKUP($D77,$C$5:$AN$495,4,))*$F77))</f>
        <v>0</v>
      </c>
      <c r="AK77" s="17"/>
      <c r="AL77" s="17">
        <f>IF(VLOOKUP($D77,$C$5:$AN$495,33,)=0,0,((VLOOKUP($D77,$C$5:$AN$495,33,)/VLOOKUP($D77,$C$5:$AN$495,4,))*$F77))</f>
        <v>0</v>
      </c>
      <c r="AM77" s="17"/>
      <c r="AN77" s="17">
        <f>IF(VLOOKUP($D77,$C$5:$AN$495,35,)=0,0,((VLOOKUP($D77,$C$5:$AN$495,35,)/VLOOKUP($D77,$C$5:$AN$495,4,))*$F77))</f>
        <v>0</v>
      </c>
      <c r="AO77" s="17">
        <f>SUM(H77:AN77)</f>
        <v>0</v>
      </c>
      <c r="AP77" s="14" t="str">
        <f>IF(ABS(AO77-F77)&lt;1,"ok","err")</f>
        <v>ok</v>
      </c>
    </row>
    <row r="78" spans="1:42" x14ac:dyDescent="0.25">
      <c r="A78" s="2"/>
      <c r="B78" s="2"/>
      <c r="AD78" s="2"/>
      <c r="AO78" s="17"/>
      <c r="AP78" s="14"/>
    </row>
    <row r="79" spans="1:42" x14ac:dyDescent="0.25">
      <c r="A79" s="2"/>
      <c r="B79" s="9" t="s">
        <v>73</v>
      </c>
      <c r="C79" s="2" t="s">
        <v>74</v>
      </c>
      <c r="F79" s="16">
        <f>F11+F20+F31+F50+F72+F74+F75+F77</f>
        <v>278168701.40999997</v>
      </c>
      <c r="G79" s="16">
        <f>G11+G31+G50+G72+G74+G77</f>
        <v>0</v>
      </c>
      <c r="H79" s="16">
        <f t="shared" ref="H79:N79" si="81">H11+H20+H31+H50+H72+H74+H75+H77</f>
        <v>0</v>
      </c>
      <c r="I79" s="16">
        <f t="shared" si="81"/>
        <v>0</v>
      </c>
      <c r="J79" s="16">
        <f t="shared" si="81"/>
        <v>0</v>
      </c>
      <c r="K79" s="16">
        <f t="shared" si="81"/>
        <v>0</v>
      </c>
      <c r="L79" s="16">
        <f t="shared" si="81"/>
        <v>0</v>
      </c>
      <c r="M79" s="16">
        <f t="shared" si="81"/>
        <v>0</v>
      </c>
      <c r="N79" s="16">
        <f t="shared" si="81"/>
        <v>0</v>
      </c>
      <c r="O79" s="16"/>
      <c r="P79" s="16">
        <f>P11+P20+P31+P50+P72+P74+P75+P77</f>
        <v>0</v>
      </c>
      <c r="Q79" s="16"/>
      <c r="R79" s="16">
        <f>R11+R20+R31+R50+R72+R74+R75+R77</f>
        <v>0</v>
      </c>
      <c r="S79" s="16"/>
      <c r="T79" s="16">
        <f>T11+T20+T31+T50+T72+T74+T75+T77</f>
        <v>1024196.005534005</v>
      </c>
      <c r="U79" s="16"/>
      <c r="V79" s="16">
        <f>V11+V20+V31+V50+V72+V74+V75+V77</f>
        <v>99195031.643828273</v>
      </c>
      <c r="W79" s="16">
        <f>W11+W20+W31+W50+W72+W74+W75+W77</f>
        <v>48838771.465000838</v>
      </c>
      <c r="X79" s="16"/>
      <c r="Y79" s="16">
        <f>Y11+Y20+Y31+Y50+Y72+Y74+Y75+Y77</f>
        <v>11021670.182647584</v>
      </c>
      <c r="Z79" s="16">
        <f>Z11+Z20+Z31+Z50+Z72+Z74+Z75+Z77</f>
        <v>5426530.16277787</v>
      </c>
      <c r="AA79" s="16"/>
      <c r="AB79" s="16">
        <f>AB11+AB20+AB31+AB50+AB72+AB74+AB75+AB77</f>
        <v>21579328.966607988</v>
      </c>
      <c r="AC79" s="16">
        <f>AC11+AC20+AC31+AC50+AC72+AC74+AC75+AC77</f>
        <v>28108280.903546255</v>
      </c>
      <c r="AD79" s="16"/>
      <c r="AE79" s="16">
        <f>AE11+AE20+AE31+AE50+AE72+AE74+AE75+AE77</f>
        <v>0</v>
      </c>
      <c r="AF79" s="16">
        <f>AF11+AF20+AF31+AF50+AF72+AF74+AF75+AF77</f>
        <v>35046067.022415876</v>
      </c>
      <c r="AG79" s="16"/>
      <c r="AH79" s="16">
        <f>AH11+AH20+AH31+AH50+AH72+AH74+AH75+AH77</f>
        <v>13418786.910895463</v>
      </c>
      <c r="AI79" s="16"/>
      <c r="AJ79" s="16">
        <f>AJ11+AJ20+AJ31+AJ50+AJ72+AJ74+AJ75+AJ77</f>
        <v>14510038.146745875</v>
      </c>
      <c r="AK79" s="16"/>
      <c r="AL79" s="16">
        <f>AL11+AL20+AL31+AL50+AL72+AL74+AL75+AL77</f>
        <v>0</v>
      </c>
      <c r="AM79" s="16"/>
      <c r="AN79" s="16">
        <f>AN11+AN20+AN31+AN50+AN72+AN74+AN75+AN77</f>
        <v>0</v>
      </c>
      <c r="AO79" s="17">
        <f>SUM(H79:AN79)</f>
        <v>278168701.41000003</v>
      </c>
      <c r="AP79" s="14" t="str">
        <f>IF(ABS(AO79-F79)&lt;1,"ok","err")</f>
        <v>ok</v>
      </c>
    </row>
    <row r="80" spans="1:42" x14ac:dyDescent="0.25">
      <c r="A80" s="2"/>
      <c r="B80" s="2"/>
      <c r="D80" s="16"/>
      <c r="AP80" s="14"/>
    </row>
    <row r="81" spans="1:42" x14ac:dyDescent="0.25">
      <c r="A81" s="5"/>
      <c r="B81" s="2"/>
      <c r="F81" s="16"/>
      <c r="AP81" s="14"/>
    </row>
    <row r="82" spans="1:42" x14ac:dyDescent="0.25">
      <c r="A82" s="5" t="s">
        <v>75</v>
      </c>
      <c r="B82" s="2"/>
      <c r="AP82" s="14"/>
    </row>
    <row r="83" spans="1:42" x14ac:dyDescent="0.25">
      <c r="A83" s="5"/>
      <c r="B83" s="2"/>
      <c r="AP83" s="14"/>
    </row>
    <row r="84" spans="1:42" x14ac:dyDescent="0.25">
      <c r="A84" s="2"/>
      <c r="B84" s="2" t="s">
        <v>406</v>
      </c>
      <c r="C84" s="2" t="s">
        <v>543</v>
      </c>
      <c r="D84" s="2" t="s">
        <v>369</v>
      </c>
      <c r="F84" s="196">
        <v>0</v>
      </c>
      <c r="H84" s="17">
        <f>IF(VLOOKUP($D84,$C$5:$AN$495,6,)=0,0,((VLOOKUP($D84,$C$5:$AN$495,6,)/VLOOKUP($D84,$C$5:$AN$495,4,))*$F84))</f>
        <v>0</v>
      </c>
      <c r="I84" s="17">
        <f>IF(VLOOKUP($D84,$C$5:$AN$495,7,)=0,0,((VLOOKUP($D84,$C$5:$AN$495,7,)/VLOOKUP($D84,$C$5:$AN$495,4,))*$F84))</f>
        <v>0</v>
      </c>
      <c r="J84" s="17">
        <f>IF(VLOOKUP($D84,$C$5:$AN$495,8,)=0,0,((VLOOKUP($D84,$C$5:$AN$495,8,)/VLOOKUP($D84,$C$5:$AN$495,4,))*$F84))</f>
        <v>0</v>
      </c>
      <c r="K84" s="17">
        <f>IF(VLOOKUP($D84,$C$5:$AN$495,9,)=0,0,((VLOOKUP($D84,$C$5:$AN$495,9,)/VLOOKUP($D84,$C$5:$AN$495,4,))*$F84))</f>
        <v>0</v>
      </c>
      <c r="L84" s="17">
        <f>IF(VLOOKUP($D84,$C$5:$AN$495,10,)=0,0,((VLOOKUP($D84,$C$5:$AN$495,10,)/VLOOKUP($D84,$C$5:$AN$495,4,))*$F84))</f>
        <v>0</v>
      </c>
      <c r="M84" s="17">
        <f>IF(VLOOKUP($D84,$C$5:$AN$495,11,)=0,0,((VLOOKUP($D84,$C$5:$AN$495,11,)/VLOOKUP($D84,$C$5:$AN$495,4,))*$F84))</f>
        <v>0</v>
      </c>
      <c r="N84" s="17">
        <f>IF(VLOOKUP($D84,$C$5:$AN$495,12,)=0,0,((VLOOKUP($D84,$C$5:$AN$495,12,)/VLOOKUP($D84,$C$5:$AN$495,4,))*$F84))</f>
        <v>0</v>
      </c>
      <c r="O84" s="17"/>
      <c r="P84" s="17">
        <f>IF(VLOOKUP($D84,$C$5:$AN$495,14,)=0,0,((VLOOKUP($D84,$C$5:$AN$495,14,)/VLOOKUP($D84,$C$5:$AN$495,4,))*$F84))</f>
        <v>0</v>
      </c>
      <c r="Q84" s="17"/>
      <c r="R84" s="17">
        <f>IF(VLOOKUP($D84,$C$5:$AN$495,16,)=0,0,((VLOOKUP($D84,$C$5:$AN$495,16,)/VLOOKUP($D84,$C$5:$AN$495,4,))*$F84))</f>
        <v>0</v>
      </c>
      <c r="S84" s="17"/>
      <c r="T84" s="17">
        <f>IF(VLOOKUP($D84,$C$5:$AN$495,18,)=0,0,((VLOOKUP($D84,$C$5:$AN$495,18,)/VLOOKUP($D84,$C$5:$AN$495,4,))*$F84))</f>
        <v>0</v>
      </c>
      <c r="U84" s="17"/>
      <c r="V84" s="17">
        <f>IF(VLOOKUP($D84,$C$5:$AN$495,20,)=0,0,((VLOOKUP($D84,$C$5:$AN$495,20,)/VLOOKUP($D84,$C$5:$AN$495,4,))*$F84))</f>
        <v>0</v>
      </c>
      <c r="W84" s="17">
        <f>IF(VLOOKUP($D84,$C$5:$AN$495,21,)=0,0,((VLOOKUP($D84,$C$5:$AN$495,21,)/VLOOKUP($D84,$C$5:$AN$495,4,))*$F84))</f>
        <v>0</v>
      </c>
      <c r="X84" s="17"/>
      <c r="Y84" s="17">
        <f>IF(VLOOKUP($D84,$C$5:$AN$495,23,)=0,0,((VLOOKUP($D84,$C$5:$AN$495,23,)/VLOOKUP($D84,$C$5:$AN$495,4,))*$F84))</f>
        <v>0</v>
      </c>
      <c r="Z84" s="17">
        <f>IF(VLOOKUP($D84,$C$5:$AN$495,24,)=0,0,((VLOOKUP($D84,$C$5:$AN$495,24,)/VLOOKUP($D84,$C$5:$AN$495,4,))*$F84))</f>
        <v>0</v>
      </c>
      <c r="AA84" s="17"/>
      <c r="AB84" s="17">
        <f>IF(VLOOKUP($D84,$C$5:$AN$495,26,)=0,0,((VLOOKUP($D84,$C$5:$AN$495,26,)/VLOOKUP($D84,$C$5:$AN$495,4,))*$F84))</f>
        <v>0</v>
      </c>
      <c r="AC84" s="17">
        <f>IF(VLOOKUP($D84,$C$5:$AN$495,27,)=0,0,((VLOOKUP($D84,$C$5:$AN$495,27,)/VLOOKUP($D84,$C$5:$AN$495,4,))*$F84))</f>
        <v>0</v>
      </c>
      <c r="AD84" s="17"/>
      <c r="AE84" s="17">
        <f>IF(VLOOKUP($D84,$C$5:$AN$495,29,)=0,0,((VLOOKUP($D84,$C$5:$AN$495,29,)/VLOOKUP($D84,$C$5:$AN$495,4,))*$F84))</f>
        <v>0</v>
      </c>
      <c r="AF84" s="17">
        <f>IF(VLOOKUP($D84,$C$5:$AN$495,30,)=0,0,((VLOOKUP($D84,$C$5:$AN$495,30,)/VLOOKUP($D84,$C$5:$AN$495,4,))*$F84))</f>
        <v>0</v>
      </c>
      <c r="AG84" s="17"/>
      <c r="AH84" s="17">
        <f>IF(VLOOKUP($D84,$C$5:$AN$495,32,)=0,0,((VLOOKUP($D84,$C$5:$AN$495,32,)/VLOOKUP($D84,$C$5:$AN$495,4,))*$F84))</f>
        <v>0</v>
      </c>
      <c r="AI84" s="17"/>
      <c r="AJ84" s="17">
        <f>IF(VLOOKUP($D84,$C$5:$AN$495,34,)=0,0,((VLOOKUP($D84,$C$5:$AN$495,34,)/VLOOKUP($D84,$C$5:$AN$495,4,))*$F84))</f>
        <v>0</v>
      </c>
      <c r="AK84" s="17"/>
      <c r="AL84" s="17">
        <f>IF(VLOOKUP($D84,$C$5:$AN$495,36,)=0,0,((VLOOKUP($D84,$C$5:$AN$495,36,)/VLOOKUP($D84,$C$5:$AN$495,4,))*$F84))</f>
        <v>0</v>
      </c>
      <c r="AM84" s="17"/>
      <c r="AN84" s="17">
        <f>IF(VLOOKUP($D84,$C$5:$AN$495,38,)=0,0,((VLOOKUP($D84,$C$5:$AN$495,38,)/VLOOKUP($D84,$C$5:$AN$495,4,))*$F84))</f>
        <v>0</v>
      </c>
      <c r="AO84" s="17">
        <f>SUM(H84:AN84)</f>
        <v>0</v>
      </c>
      <c r="AP84" s="14" t="str">
        <f>IF(ABS(AO84-F84)&lt;1,"ok","err")</f>
        <v>ok</v>
      </c>
    </row>
    <row r="85" spans="1:42" x14ac:dyDescent="0.25">
      <c r="A85" s="2"/>
      <c r="B85" s="2" t="s">
        <v>431</v>
      </c>
      <c r="C85" s="2" t="s">
        <v>544</v>
      </c>
      <c r="D85" s="2" t="s">
        <v>18</v>
      </c>
      <c r="F85" s="197">
        <v>911505.39</v>
      </c>
      <c r="H85" s="17">
        <f>IF(VLOOKUP($D85,$C$5:$AN$495,6,)=0,0,((VLOOKUP($D85,$C$5:$AN$495,6,)/VLOOKUP($D85,$C$5:$AN$495,4,))*$F85))</f>
        <v>0</v>
      </c>
      <c r="I85" s="17">
        <f>IF(VLOOKUP($D85,$C$5:$AN$495,7,)=0,0,((VLOOKUP($D85,$C$5:$AN$495,7,)/VLOOKUP($D85,$C$5:$AN$495,4,))*$F85))</f>
        <v>0</v>
      </c>
      <c r="J85" s="17">
        <f>IF(VLOOKUP($D85,$C$5:$AN$495,8,)=0,0,((VLOOKUP($D85,$C$5:$AN$495,8,)/VLOOKUP($D85,$C$5:$AN$495,4,))*$F85))</f>
        <v>0</v>
      </c>
      <c r="K85" s="17">
        <f>IF(VLOOKUP($D85,$C$5:$AN$495,9,)=0,0,((VLOOKUP($D85,$C$5:$AN$495,9,)/VLOOKUP($D85,$C$5:$AN$495,4,))*$F85))</f>
        <v>0</v>
      </c>
      <c r="L85" s="17">
        <f>IF(VLOOKUP($D85,$C$5:$AN$495,10,)=0,0,((VLOOKUP($D85,$C$5:$AN$495,10,)/VLOOKUP($D85,$C$5:$AN$495,4,))*$F85))</f>
        <v>0</v>
      </c>
      <c r="M85" s="17">
        <f>IF(VLOOKUP($D85,$C$5:$AN$495,11,)=0,0,((VLOOKUP($D85,$C$5:$AN$495,11,)/VLOOKUP($D85,$C$5:$AN$495,4,))*$F85))</f>
        <v>0</v>
      </c>
      <c r="N85" s="17">
        <f>IF(VLOOKUP($D85,$C$5:$AN$495,12,)=0,0,((VLOOKUP($D85,$C$5:$AN$495,12,)/VLOOKUP($D85,$C$5:$AN$495,4,))*$F85))</f>
        <v>0</v>
      </c>
      <c r="O85" s="17"/>
      <c r="P85" s="17">
        <f>IF(VLOOKUP($D85,$C$5:$AN$495,14,)=0,0,((VLOOKUP($D85,$C$5:$AN$495,14,)/VLOOKUP($D85,$C$5:$AN$495,4,))*$F85))</f>
        <v>0</v>
      </c>
      <c r="Q85" s="17"/>
      <c r="R85" s="17">
        <f>IF(VLOOKUP($D85,$C$5:$AN$495,16,)=0,0,((VLOOKUP($D85,$C$5:$AN$495,16,)/VLOOKUP($D85,$C$5:$AN$495,4,))*$F85))</f>
        <v>0</v>
      </c>
      <c r="S85" s="17"/>
      <c r="T85" s="17">
        <f>IF(VLOOKUP($D85,$C$5:$AN$495,18,)=0,0,((VLOOKUP($D85,$C$5:$AN$495,18,)/VLOOKUP($D85,$C$5:$AN$495,4,))*$F85))</f>
        <v>3356.0935314743306</v>
      </c>
      <c r="U85" s="17"/>
      <c r="V85" s="17">
        <f>IF(VLOOKUP($D85,$C$5:$AN$495,20,)=0,0,((VLOOKUP($D85,$C$5:$AN$495,20,)/VLOOKUP($D85,$C$5:$AN$495,4,))*$F85))</f>
        <v>325043.06036681816</v>
      </c>
      <c r="W85" s="17">
        <f>IF(VLOOKUP($D85,$C$5:$AN$495,21,)=0,0,((VLOOKUP($D85,$C$5:$AN$495,21,)/VLOOKUP($D85,$C$5:$AN$495,4,))*$F85))</f>
        <v>160035.27070327013</v>
      </c>
      <c r="X85" s="17"/>
      <c r="Y85" s="17">
        <f>IF(VLOOKUP($D85,$C$5:$AN$495,23,)=0,0,((VLOOKUP($D85,$C$5:$AN$495,23,)/VLOOKUP($D85,$C$5:$AN$495,4,))*$F85))</f>
        <v>36115.895596313123</v>
      </c>
      <c r="Z85" s="17">
        <f>IF(VLOOKUP($D85,$C$5:$AN$495,24,)=0,0,((VLOOKUP($D85,$C$5:$AN$495,24,)/VLOOKUP($D85,$C$5:$AN$495,4,))*$F85))</f>
        <v>17781.696744807788</v>
      </c>
      <c r="AA85" s="17"/>
      <c r="AB85" s="17">
        <f>IF(VLOOKUP($D85,$C$5:$AN$495,26,)=0,0,((VLOOKUP($D85,$C$5:$AN$495,26,)/VLOOKUP($D85,$C$5:$AN$495,4,))*$F85))</f>
        <v>70711.314989584949</v>
      </c>
      <c r="AC85" s="17">
        <f>IF(VLOOKUP($D85,$C$5:$AN$495,27,)=0,0,((VLOOKUP($D85,$C$5:$AN$495,27,)/VLOOKUP($D85,$C$5:$AN$495,4,))*$F85))</f>
        <v>92105.436080147832</v>
      </c>
      <c r="AD85" s="17"/>
      <c r="AE85" s="17">
        <f>IF(VLOOKUP($D85,$C$5:$AN$495,29,)=0,0,((VLOOKUP($D85,$C$5:$AN$495,29,)/VLOOKUP($D85,$C$5:$AN$495,4,))*$F85))</f>
        <v>0</v>
      </c>
      <c r="AF85" s="17">
        <f>IF(VLOOKUP($D85,$C$5:$AN$495,30,)=0,0,((VLOOKUP($D85,$C$5:$AN$495,30,)/VLOOKUP($D85,$C$5:$AN$495,4,))*$F85))</f>
        <v>114839.22823563547</v>
      </c>
      <c r="AG85" s="17"/>
      <c r="AH85" s="17">
        <f>IF(VLOOKUP($D85,$C$5:$AN$495,32,)=0,0,((VLOOKUP($D85,$C$5:$AN$495,32,)/VLOOKUP($D85,$C$5:$AN$495,4,))*$F85))</f>
        <v>43970.786557020459</v>
      </c>
      <c r="AI85" s="17"/>
      <c r="AJ85" s="17">
        <f>IF(VLOOKUP($D85,$C$5:$AN$495,34,)=0,0,((VLOOKUP($D85,$C$5:$AN$495,34,)/VLOOKUP($D85,$C$5:$AN$495,4,))*$F85))</f>
        <v>47546.607194927979</v>
      </c>
      <c r="AK85" s="17"/>
      <c r="AL85" s="17">
        <f>IF(VLOOKUP($D85,$C$5:$AN$495,36,)=0,0,((VLOOKUP($D85,$C$5:$AN$495,36,)/VLOOKUP($D85,$C$5:$AN$495,4,))*$F85))</f>
        <v>0</v>
      </c>
      <c r="AM85" s="17"/>
      <c r="AN85" s="17">
        <f>IF(VLOOKUP($D85,$C$5:$AN$495,38,)=0,0,((VLOOKUP($D85,$C$5:$AN$495,38,)/VLOOKUP($D85,$C$5:$AN$495,4,))*$F85))</f>
        <v>0</v>
      </c>
      <c r="AO85" s="17">
        <f>SUM(H85:AN85)</f>
        <v>911505.39000000036</v>
      </c>
      <c r="AP85" s="14" t="str">
        <f>IF(ABS(AO85-F85)&lt;1,"ok","err")</f>
        <v>ok</v>
      </c>
    </row>
    <row r="86" spans="1:42" x14ac:dyDescent="0.25">
      <c r="A86" s="2"/>
      <c r="B86" s="2" t="s">
        <v>430</v>
      </c>
      <c r="C86" s="2" t="s">
        <v>545</v>
      </c>
      <c r="D86" s="2" t="s">
        <v>32</v>
      </c>
      <c r="F86" s="197">
        <v>0</v>
      </c>
      <c r="H86" s="17">
        <f>IF(VLOOKUP($D86,$C$5:$AN$495,6,)=0,0,((VLOOKUP($D86,$C$5:$AN$495,6,)/VLOOKUP($D86,$C$5:$AN$495,4,))*$F86))</f>
        <v>0</v>
      </c>
      <c r="I86" s="17">
        <f>IF(VLOOKUP($D86,$C$5:$AN$495,7,)=0,0,((VLOOKUP($D86,$C$5:$AN$495,7,)/VLOOKUP($D86,$C$5:$AN$495,4,))*$F86))</f>
        <v>0</v>
      </c>
      <c r="J86" s="17">
        <f>IF(VLOOKUP($D86,$C$5:$AN$495,8,)=0,0,((VLOOKUP($D86,$C$5:$AN$495,8,)/VLOOKUP($D86,$C$5:$AN$495,4,))*$F86))</f>
        <v>0</v>
      </c>
      <c r="K86" s="17">
        <f>IF(VLOOKUP($D86,$C$5:$AN$495,9,)=0,0,((VLOOKUP($D86,$C$5:$AN$495,9,)/VLOOKUP($D86,$C$5:$AN$495,4,))*$F86))</f>
        <v>0</v>
      </c>
      <c r="L86" s="17">
        <f>IF(VLOOKUP($D86,$C$5:$AN$495,10,)=0,0,((VLOOKUP($D86,$C$5:$AN$495,10,)/VLOOKUP($D86,$C$5:$AN$495,4,))*$F86))</f>
        <v>0</v>
      </c>
      <c r="M86" s="17">
        <f>IF(VLOOKUP($D86,$C$5:$AN$495,11,)=0,0,((VLOOKUP($D86,$C$5:$AN$495,11,)/VLOOKUP($D86,$C$5:$AN$495,4,))*$F86))</f>
        <v>0</v>
      </c>
      <c r="N86" s="17">
        <f>IF(VLOOKUP($D86,$C$5:$AN$495,12,)=0,0,((VLOOKUP($D86,$C$5:$AN$495,12,)/VLOOKUP($D86,$C$5:$AN$495,4,))*$F86))</f>
        <v>0</v>
      </c>
      <c r="O86" s="17"/>
      <c r="P86" s="17">
        <f>IF(VLOOKUP($D86,$C$5:$AN$495,14,)=0,0,((VLOOKUP($D86,$C$5:$AN$495,14,)/VLOOKUP($D86,$C$5:$AN$495,4,))*$F86))</f>
        <v>0</v>
      </c>
      <c r="Q86" s="17"/>
      <c r="R86" s="17">
        <f>IF(VLOOKUP($D86,$C$5:$AN$495,16,)=0,0,((VLOOKUP($D86,$C$5:$AN$495,16,)/VLOOKUP($D86,$C$5:$AN$495,4,))*$F86))</f>
        <v>0</v>
      </c>
      <c r="S86" s="17"/>
      <c r="T86" s="17">
        <f>IF(VLOOKUP($D86,$C$5:$AN$495,18,)=0,0,((VLOOKUP($D86,$C$5:$AN$495,18,)/VLOOKUP($D86,$C$5:$AN$495,4,))*$F86))</f>
        <v>0</v>
      </c>
      <c r="U86" s="17"/>
      <c r="V86" s="17">
        <f>IF(VLOOKUP($D86,$C$5:$AN$495,20,)=0,0,((VLOOKUP($D86,$C$5:$AN$495,20,)/VLOOKUP($D86,$C$5:$AN$495,4,))*$F86))</f>
        <v>0</v>
      </c>
      <c r="W86" s="17">
        <f>IF(VLOOKUP($D86,$C$5:$AN$495,21,)=0,0,((VLOOKUP($D86,$C$5:$AN$495,21,)/VLOOKUP($D86,$C$5:$AN$495,4,))*$F86))</f>
        <v>0</v>
      </c>
      <c r="X86" s="17"/>
      <c r="Y86" s="17">
        <f>IF(VLOOKUP($D86,$C$5:$AN$495,23,)=0,0,((VLOOKUP($D86,$C$5:$AN$495,23,)/VLOOKUP($D86,$C$5:$AN$495,4,))*$F86))</f>
        <v>0</v>
      </c>
      <c r="Z86" s="17">
        <f>IF(VLOOKUP($D86,$C$5:$AN$495,24,)=0,0,((VLOOKUP($D86,$C$5:$AN$495,24,)/VLOOKUP($D86,$C$5:$AN$495,4,))*$F86))</f>
        <v>0</v>
      </c>
      <c r="AA86" s="17"/>
      <c r="AB86" s="17">
        <f>IF(VLOOKUP($D86,$C$5:$AN$495,26,)=0,0,((VLOOKUP($D86,$C$5:$AN$495,26,)/VLOOKUP($D86,$C$5:$AN$495,4,))*$F86))</f>
        <v>0</v>
      </c>
      <c r="AC86" s="17">
        <f>IF(VLOOKUP($D86,$C$5:$AN$495,27,)=0,0,((VLOOKUP($D86,$C$5:$AN$495,27,)/VLOOKUP($D86,$C$5:$AN$495,4,))*$F86))</f>
        <v>0</v>
      </c>
      <c r="AD86" s="17"/>
      <c r="AE86" s="17">
        <f>IF(VLOOKUP($D86,$C$5:$AN$495,29,)=0,0,((VLOOKUP($D86,$C$5:$AN$495,29,)/VLOOKUP($D86,$C$5:$AN$495,4,))*$F86))</f>
        <v>0</v>
      </c>
      <c r="AF86" s="17">
        <f>IF(VLOOKUP($D86,$C$5:$AN$495,30,)=0,0,((VLOOKUP($D86,$C$5:$AN$495,30,)/VLOOKUP($D86,$C$5:$AN$495,4,))*$F86))</f>
        <v>0</v>
      </c>
      <c r="AG86" s="17"/>
      <c r="AH86" s="17">
        <f>IF(VLOOKUP($D86,$C$5:$AN$495,32,)=0,0,((VLOOKUP($D86,$C$5:$AN$495,32,)/VLOOKUP($D86,$C$5:$AN$495,4,))*$F86))</f>
        <v>0</v>
      </c>
      <c r="AI86" s="17"/>
      <c r="AJ86" s="17">
        <f>IF(VLOOKUP($D86,$C$5:$AN$495,34,)=0,0,((VLOOKUP($D86,$C$5:$AN$495,34,)/VLOOKUP($D86,$C$5:$AN$495,4,))*$F86))</f>
        <v>0</v>
      </c>
      <c r="AK86" s="17"/>
      <c r="AL86" s="17">
        <f>IF(VLOOKUP($D86,$C$5:$AN$495,36,)=0,0,((VLOOKUP($D86,$C$5:$AN$495,36,)/VLOOKUP($D86,$C$5:$AN$495,4,))*$F86))</f>
        <v>0</v>
      </c>
      <c r="AM86" s="17"/>
      <c r="AN86" s="17">
        <f>IF(VLOOKUP($D86,$C$5:$AN$495,38,)=0,0,((VLOOKUP($D86,$C$5:$AN$495,38,)/VLOOKUP($D86,$C$5:$AN$495,4,))*$F86))</f>
        <v>0</v>
      </c>
      <c r="AO86" s="17">
        <f>SUM(H86:AN86)</f>
        <v>0</v>
      </c>
      <c r="AP86" s="14" t="str">
        <f>IF(ABS(AO86-F86)&lt;1,"ok","err")</f>
        <v>ok</v>
      </c>
    </row>
    <row r="87" spans="1:42" x14ac:dyDescent="0.25">
      <c r="A87" s="2"/>
      <c r="B87" s="2" t="s">
        <v>577</v>
      </c>
      <c r="C87" s="2" t="s">
        <v>546</v>
      </c>
      <c r="D87" s="2" t="s">
        <v>541</v>
      </c>
      <c r="F87" s="197">
        <v>0</v>
      </c>
      <c r="H87" s="17">
        <f>IF(VLOOKUP($D87,$C$5:$AN$495,6,)=0,0,((VLOOKUP($D87,$C$5:$AN$495,6,)/VLOOKUP($D87,$C$5:$AN$495,4,))*$F87))</f>
        <v>0</v>
      </c>
      <c r="I87" s="17">
        <f>IF(VLOOKUP($D87,$C$5:$AN$495,7,)=0,0,((VLOOKUP($D87,$C$5:$AN$495,7,)/VLOOKUP($D87,$C$5:$AN$495,4,))*$F87))</f>
        <v>0</v>
      </c>
      <c r="J87" s="17">
        <f>IF(VLOOKUP($D87,$C$5:$AN$495,8,)=0,0,((VLOOKUP($D87,$C$5:$AN$495,8,)/VLOOKUP($D87,$C$5:$AN$495,4,))*$F87))</f>
        <v>0</v>
      </c>
      <c r="K87" s="17">
        <f>IF(VLOOKUP($D87,$C$5:$AN$495,9,)=0,0,((VLOOKUP($D87,$C$5:$AN$495,9,)/VLOOKUP($D87,$C$5:$AN$495,4,))*$F87))</f>
        <v>0</v>
      </c>
      <c r="L87" s="17">
        <f>IF(VLOOKUP($D87,$C$5:$AN$495,10,)=0,0,((VLOOKUP($D87,$C$5:$AN$495,10,)/VLOOKUP($D87,$C$5:$AN$495,4,))*$F87))</f>
        <v>0</v>
      </c>
      <c r="M87" s="17">
        <f>IF(VLOOKUP($D87,$C$5:$AN$495,11,)=0,0,((VLOOKUP($D87,$C$5:$AN$495,11,)/VLOOKUP($D87,$C$5:$AN$495,4,))*$F87))</f>
        <v>0</v>
      </c>
      <c r="N87" s="17">
        <f>IF(VLOOKUP($D87,$C$5:$AN$495,12,)=0,0,((VLOOKUP($D87,$C$5:$AN$495,12,)/VLOOKUP($D87,$C$5:$AN$495,4,))*$F87))</f>
        <v>0</v>
      </c>
      <c r="O87" s="17"/>
      <c r="P87" s="17">
        <f>IF(VLOOKUP($D87,$C$5:$AN$495,14,)=0,0,((VLOOKUP($D87,$C$5:$AN$495,14,)/VLOOKUP($D87,$C$5:$AN$495,4,))*$F87))</f>
        <v>0</v>
      </c>
      <c r="Q87" s="17"/>
      <c r="R87" s="17">
        <f>IF(VLOOKUP($D87,$C$5:$AN$495,16,)=0,0,((VLOOKUP($D87,$C$5:$AN$495,16,)/VLOOKUP($D87,$C$5:$AN$495,4,))*$F87))</f>
        <v>0</v>
      </c>
      <c r="S87" s="17"/>
      <c r="T87" s="17">
        <f>IF(VLOOKUP($D87,$C$5:$AN$495,18,)=0,0,((VLOOKUP($D87,$C$5:$AN$495,18,)/VLOOKUP($D87,$C$5:$AN$495,4,))*$F87))</f>
        <v>0</v>
      </c>
      <c r="U87" s="17"/>
      <c r="V87" s="17">
        <f>IF(VLOOKUP($D87,$C$5:$AN$495,20,)=0,0,((VLOOKUP($D87,$C$5:$AN$495,20,)/VLOOKUP($D87,$C$5:$AN$495,4,))*$F87))</f>
        <v>0</v>
      </c>
      <c r="W87" s="17">
        <f>IF(VLOOKUP($D87,$C$5:$AN$495,21,)=0,0,((VLOOKUP($D87,$C$5:$AN$495,21,)/VLOOKUP($D87,$C$5:$AN$495,4,))*$F87))</f>
        <v>0</v>
      </c>
      <c r="X87" s="17"/>
      <c r="Y87" s="17">
        <f>IF(VLOOKUP($D87,$C$5:$AN$495,23,)=0,0,((VLOOKUP($D87,$C$5:$AN$495,23,)/VLOOKUP($D87,$C$5:$AN$495,4,))*$F87))</f>
        <v>0</v>
      </c>
      <c r="Z87" s="17">
        <f>IF(VLOOKUP($D87,$C$5:$AN$495,24,)=0,0,((VLOOKUP($D87,$C$5:$AN$495,24,)/VLOOKUP($D87,$C$5:$AN$495,4,))*$F87))</f>
        <v>0</v>
      </c>
      <c r="AA87" s="17"/>
      <c r="AB87" s="17">
        <f>IF(VLOOKUP($D87,$C$5:$AN$495,26,)=0,0,((VLOOKUP($D87,$C$5:$AN$495,26,)/VLOOKUP($D87,$C$5:$AN$495,4,))*$F87))</f>
        <v>0</v>
      </c>
      <c r="AC87" s="17">
        <f>IF(VLOOKUP($D87,$C$5:$AN$495,27,)=0,0,((VLOOKUP($D87,$C$5:$AN$495,27,)/VLOOKUP($D87,$C$5:$AN$495,4,))*$F87))</f>
        <v>0</v>
      </c>
      <c r="AD87" s="17"/>
      <c r="AE87" s="17">
        <f>IF(VLOOKUP($D87,$C$5:$AN$495,29,)=0,0,((VLOOKUP($D87,$C$5:$AN$495,29,)/VLOOKUP($D87,$C$5:$AN$495,4,))*$F87))</f>
        <v>0</v>
      </c>
      <c r="AF87" s="17">
        <f>IF(VLOOKUP($D87,$C$5:$AN$495,30,)=0,0,((VLOOKUP($D87,$C$5:$AN$495,30,)/VLOOKUP($D87,$C$5:$AN$495,4,))*$F87))</f>
        <v>0</v>
      </c>
      <c r="AG87" s="17"/>
      <c r="AH87" s="17">
        <f>IF(VLOOKUP($D87,$C$5:$AN$495,32,)=0,0,((VLOOKUP($D87,$C$5:$AN$495,32,)/VLOOKUP($D87,$C$5:$AN$495,4,))*$F87))</f>
        <v>0</v>
      </c>
      <c r="AI87" s="17"/>
      <c r="AJ87" s="17">
        <f>IF(VLOOKUP($D87,$C$5:$AN$495,34,)=0,0,((VLOOKUP($D87,$C$5:$AN$495,34,)/VLOOKUP($D87,$C$5:$AN$495,4,))*$F87))</f>
        <v>0</v>
      </c>
      <c r="AK87" s="17"/>
      <c r="AL87" s="17">
        <f>IF(VLOOKUP($D87,$C$5:$AN$495,36,)=0,0,((VLOOKUP($D87,$C$5:$AN$495,36,)/VLOOKUP($D87,$C$5:$AN$495,4,))*$F87))</f>
        <v>0</v>
      </c>
      <c r="AM87" s="17"/>
      <c r="AN87" s="17">
        <f>IF(VLOOKUP($D87,$C$5:$AN$495,38,)=0,0,((VLOOKUP($D87,$C$5:$AN$495,38,)/VLOOKUP($D87,$C$5:$AN$495,4,))*$F87))</f>
        <v>0</v>
      </c>
      <c r="AO87" s="17">
        <f>SUM(H87:AN87)</f>
        <v>0</v>
      </c>
      <c r="AP87" s="14" t="str">
        <f>IF(ABS(AO87-F87)&lt;1,"ok","err")</f>
        <v>ok</v>
      </c>
    </row>
    <row r="88" spans="1:42" x14ac:dyDescent="0.25">
      <c r="A88" s="2"/>
      <c r="B88" s="2" t="s">
        <v>432</v>
      </c>
      <c r="C88" s="2" t="s">
        <v>547</v>
      </c>
      <c r="D88" s="2" t="s">
        <v>35</v>
      </c>
      <c r="F88" s="197">
        <v>0</v>
      </c>
      <c r="H88" s="17">
        <f>IF(VLOOKUP($D88,$C$5:$AN$495,6,)=0,0,((VLOOKUP($D88,$C$5:$AN$495,6,)/VLOOKUP($D88,$C$5:$AN$495,4,))*$F88))</f>
        <v>0</v>
      </c>
      <c r="I88" s="17">
        <f>IF(VLOOKUP($D88,$C$5:$AN$495,7,)=0,0,((VLOOKUP($D88,$C$5:$AN$495,7,)/VLOOKUP($D88,$C$5:$AN$495,4,))*$F88))</f>
        <v>0</v>
      </c>
      <c r="J88" s="17">
        <f>IF(VLOOKUP($D88,$C$5:$AN$495,8,)=0,0,((VLOOKUP($D88,$C$5:$AN$495,8,)/VLOOKUP($D88,$C$5:$AN$495,4,))*$F88))</f>
        <v>0</v>
      </c>
      <c r="K88" s="17">
        <f>IF(VLOOKUP($D88,$C$5:$AN$495,9,)=0,0,((VLOOKUP($D88,$C$5:$AN$495,9,)/VLOOKUP($D88,$C$5:$AN$495,4,))*$F88))</f>
        <v>0</v>
      </c>
      <c r="L88" s="17">
        <f>IF(VLOOKUP($D88,$C$5:$AN$495,10,)=0,0,((VLOOKUP($D88,$C$5:$AN$495,10,)/VLOOKUP($D88,$C$5:$AN$495,4,))*$F88))</f>
        <v>0</v>
      </c>
      <c r="M88" s="17">
        <f>IF(VLOOKUP($D88,$C$5:$AN$495,11,)=0,0,((VLOOKUP($D88,$C$5:$AN$495,11,)/VLOOKUP($D88,$C$5:$AN$495,4,))*$F88))</f>
        <v>0</v>
      </c>
      <c r="N88" s="17">
        <f>IF(VLOOKUP($D88,$C$5:$AN$495,12,)=0,0,((VLOOKUP($D88,$C$5:$AN$495,12,)/VLOOKUP($D88,$C$5:$AN$495,4,))*$F88))</f>
        <v>0</v>
      </c>
      <c r="O88" s="17"/>
      <c r="P88" s="17">
        <f>IF(VLOOKUP($D88,$C$5:$AN$495,14,)=0,0,((VLOOKUP($D88,$C$5:$AN$495,14,)/VLOOKUP($D88,$C$5:$AN$495,4,))*$F88))</f>
        <v>0</v>
      </c>
      <c r="Q88" s="17"/>
      <c r="R88" s="17">
        <f>IF(VLOOKUP($D88,$C$5:$AN$495,16,)=0,0,((VLOOKUP($D88,$C$5:$AN$495,16,)/VLOOKUP($D88,$C$5:$AN$495,4,))*$F88))</f>
        <v>0</v>
      </c>
      <c r="S88" s="17"/>
      <c r="T88" s="17">
        <f>IF(VLOOKUP($D88,$C$5:$AN$495,18,)=0,0,((VLOOKUP($D88,$C$5:$AN$495,18,)/VLOOKUP($D88,$C$5:$AN$495,4,))*$F88))</f>
        <v>0</v>
      </c>
      <c r="U88" s="17"/>
      <c r="V88" s="17">
        <f>IF(VLOOKUP($D88,$C$5:$AN$495,20,)=0,0,((VLOOKUP($D88,$C$5:$AN$495,20,)/VLOOKUP($D88,$C$5:$AN$495,4,))*$F88))</f>
        <v>0</v>
      </c>
      <c r="W88" s="17">
        <f>IF(VLOOKUP($D88,$C$5:$AN$495,21,)=0,0,((VLOOKUP($D88,$C$5:$AN$495,21,)/VLOOKUP($D88,$C$5:$AN$495,4,))*$F88))</f>
        <v>0</v>
      </c>
      <c r="X88" s="17"/>
      <c r="Y88" s="17">
        <f>IF(VLOOKUP($D88,$C$5:$AN$495,23,)=0,0,((VLOOKUP($D88,$C$5:$AN$495,23,)/VLOOKUP($D88,$C$5:$AN$495,4,))*$F88))</f>
        <v>0</v>
      </c>
      <c r="Z88" s="17">
        <f>IF(VLOOKUP($D88,$C$5:$AN$495,24,)=0,0,((VLOOKUP($D88,$C$5:$AN$495,24,)/VLOOKUP($D88,$C$5:$AN$495,4,))*$F88))</f>
        <v>0</v>
      </c>
      <c r="AA88" s="17"/>
      <c r="AB88" s="17">
        <f>IF(VLOOKUP($D88,$C$5:$AN$495,26,)=0,0,((VLOOKUP($D88,$C$5:$AN$495,26,)/VLOOKUP($D88,$C$5:$AN$495,4,))*$F88))</f>
        <v>0</v>
      </c>
      <c r="AC88" s="17">
        <f>IF(VLOOKUP($D88,$C$5:$AN$495,27,)=0,0,((VLOOKUP($D88,$C$5:$AN$495,27,)/VLOOKUP($D88,$C$5:$AN$495,4,))*$F88))</f>
        <v>0</v>
      </c>
      <c r="AD88" s="17"/>
      <c r="AE88" s="17">
        <f>IF(VLOOKUP($D88,$C$5:$AN$495,29,)=0,0,((VLOOKUP($D88,$C$5:$AN$495,29,)/VLOOKUP($D88,$C$5:$AN$495,4,))*$F88))</f>
        <v>0</v>
      </c>
      <c r="AF88" s="17">
        <f>IF(VLOOKUP($D88,$C$5:$AN$495,30,)=0,0,((VLOOKUP($D88,$C$5:$AN$495,30,)/VLOOKUP($D88,$C$5:$AN$495,4,))*$F88))</f>
        <v>0</v>
      </c>
      <c r="AG88" s="17"/>
      <c r="AH88" s="17">
        <f>IF(VLOOKUP($D88,$C$5:$AN$495,32,)=0,0,((VLOOKUP($D88,$C$5:$AN$495,32,)/VLOOKUP($D88,$C$5:$AN$495,4,))*$F88))</f>
        <v>0</v>
      </c>
      <c r="AI88" s="17"/>
      <c r="AJ88" s="17">
        <f>IF(VLOOKUP($D88,$C$5:$AN$495,34,)=0,0,((VLOOKUP($D88,$C$5:$AN$495,34,)/VLOOKUP($D88,$C$5:$AN$495,4,))*$F88))</f>
        <v>0</v>
      </c>
      <c r="AK88" s="17"/>
      <c r="AL88" s="17">
        <f>IF(VLOOKUP($D88,$C$5:$AN$495,36,)=0,0,((VLOOKUP($D88,$C$5:$AN$495,36,)/VLOOKUP($D88,$C$5:$AN$495,4,))*$F88))</f>
        <v>0</v>
      </c>
      <c r="AM88" s="17"/>
      <c r="AN88" s="17">
        <f>IF(VLOOKUP($D88,$C$5:$AN$495,38,)=0,0,((VLOOKUP($D88,$C$5:$AN$495,38,)/VLOOKUP($D88,$C$5:$AN$495,4,))*$F88))</f>
        <v>0</v>
      </c>
      <c r="AO88" s="17">
        <f>SUM(H88:AN88)</f>
        <v>0</v>
      </c>
      <c r="AP88" s="14" t="str">
        <f>IF(ABS(AO88-F88)&lt;1,"ok","err")</f>
        <v>ok</v>
      </c>
    </row>
    <row r="89" spans="1:42" x14ac:dyDescent="0.25">
      <c r="A89" s="2"/>
      <c r="B89" s="2"/>
      <c r="F89" s="107"/>
      <c r="AO89" s="17"/>
      <c r="AP89" s="14"/>
    </row>
    <row r="90" spans="1:42" x14ac:dyDescent="0.25">
      <c r="A90" s="177" t="s">
        <v>76</v>
      </c>
      <c r="B90" s="2"/>
      <c r="C90" s="2" t="s">
        <v>77</v>
      </c>
      <c r="F90" s="106">
        <f t="shared" ref="F90:P90" si="82">SUM(F84:F88)</f>
        <v>911505.39</v>
      </c>
      <c r="G90" s="13">
        <f t="shared" si="82"/>
        <v>0</v>
      </c>
      <c r="H90" s="13">
        <f t="shared" si="82"/>
        <v>0</v>
      </c>
      <c r="I90" s="13">
        <f t="shared" si="82"/>
        <v>0</v>
      </c>
      <c r="J90" s="13">
        <f t="shared" si="82"/>
        <v>0</v>
      </c>
      <c r="K90" s="13">
        <f t="shared" si="82"/>
        <v>0</v>
      </c>
      <c r="L90" s="13">
        <f t="shared" si="82"/>
        <v>0</v>
      </c>
      <c r="M90" s="13">
        <f t="shared" si="82"/>
        <v>0</v>
      </c>
      <c r="N90" s="13">
        <f>SUM(N84:N88)</f>
        <v>0</v>
      </c>
      <c r="O90" s="13"/>
      <c r="P90" s="13">
        <f t="shared" si="82"/>
        <v>0</v>
      </c>
      <c r="Q90" s="13"/>
      <c r="R90" s="13">
        <f>SUM(R84:R88)</f>
        <v>0</v>
      </c>
      <c r="S90" s="13"/>
      <c r="T90" s="13">
        <f>SUM(T84:T88)</f>
        <v>3356.0935314743306</v>
      </c>
      <c r="U90" s="13"/>
      <c r="V90" s="13">
        <f>SUM(V84:V88)</f>
        <v>325043.06036681816</v>
      </c>
      <c r="W90" s="13">
        <f>SUM(W84:W88)</f>
        <v>160035.27070327013</v>
      </c>
      <c r="X90" s="13"/>
      <c r="Y90" s="13">
        <f>SUM(Y84:Y88)</f>
        <v>36115.895596313123</v>
      </c>
      <c r="Z90" s="13">
        <f>SUM(Z84:Z88)</f>
        <v>17781.696744807788</v>
      </c>
      <c r="AA90" s="13"/>
      <c r="AB90" s="13">
        <f>SUM(AB84:AB88)</f>
        <v>70711.314989584949</v>
      </c>
      <c r="AC90" s="13">
        <f>SUM(AC84:AC88)</f>
        <v>92105.436080147832</v>
      </c>
      <c r="AD90" s="13"/>
      <c r="AE90" s="13">
        <f>SUM(AE84:AE88)</f>
        <v>0</v>
      </c>
      <c r="AF90" s="13">
        <f>SUM(AF84:AF88)</f>
        <v>114839.22823563547</v>
      </c>
      <c r="AG90" s="13"/>
      <c r="AH90" s="13">
        <f>SUM(AH84:AH88)</f>
        <v>43970.786557020459</v>
      </c>
      <c r="AI90" s="13"/>
      <c r="AJ90" s="13">
        <f>SUM(AJ84:AJ88)</f>
        <v>47546.607194927979</v>
      </c>
      <c r="AK90" s="13"/>
      <c r="AL90" s="13">
        <f>SUM(AL84:AL88)</f>
        <v>0</v>
      </c>
      <c r="AM90" s="13"/>
      <c r="AN90" s="13">
        <f>SUM(AN84:AN88)</f>
        <v>0</v>
      </c>
      <c r="AO90" s="17">
        <f>SUM(H90:AN90)</f>
        <v>911505.39000000036</v>
      </c>
      <c r="AP90" s="14" t="str">
        <f>IF(ABS(AO90-F90)&lt;1,"ok","err")</f>
        <v>ok</v>
      </c>
    </row>
    <row r="91" spans="1:42" x14ac:dyDescent="0.25">
      <c r="A91" s="177"/>
      <c r="B91" s="2"/>
      <c r="F91" s="106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7"/>
      <c r="AP91" s="14"/>
    </row>
    <row r="92" spans="1:42" x14ac:dyDescent="0.25">
      <c r="A92" s="8" t="s">
        <v>344</v>
      </c>
      <c r="B92" s="2"/>
      <c r="F92" s="106">
        <f t="shared" ref="F92:P92" si="83">F79+F90</f>
        <v>279080206.79999995</v>
      </c>
      <c r="G92" s="13">
        <f t="shared" si="83"/>
        <v>0</v>
      </c>
      <c r="H92" s="13">
        <f t="shared" si="83"/>
        <v>0</v>
      </c>
      <c r="I92" s="13">
        <f t="shared" si="83"/>
        <v>0</v>
      </c>
      <c r="J92" s="13">
        <f t="shared" si="83"/>
        <v>0</v>
      </c>
      <c r="K92" s="13">
        <f t="shared" si="83"/>
        <v>0</v>
      </c>
      <c r="L92" s="13">
        <f t="shared" si="83"/>
        <v>0</v>
      </c>
      <c r="M92" s="13">
        <f t="shared" si="83"/>
        <v>0</v>
      </c>
      <c r="N92" s="13">
        <f>N79+N90</f>
        <v>0</v>
      </c>
      <c r="O92" s="13"/>
      <c r="P92" s="13">
        <f t="shared" si="83"/>
        <v>0</v>
      </c>
      <c r="Q92" s="13"/>
      <c r="R92" s="13">
        <f>R79+R90</f>
        <v>0</v>
      </c>
      <c r="S92" s="13"/>
      <c r="T92" s="13">
        <f>T79+T90</f>
        <v>1027552.0990654794</v>
      </c>
      <c r="U92" s="13"/>
      <c r="V92" s="13">
        <f>V79+V90</f>
        <v>99520074.704195097</v>
      </c>
      <c r="W92" s="13">
        <f>W79+W90</f>
        <v>48998806.735704109</v>
      </c>
      <c r="X92" s="13"/>
      <c r="Y92" s="13">
        <f>Y79+Y90</f>
        <v>11057786.078243896</v>
      </c>
      <c r="Z92" s="13">
        <f>Z79+Z90</f>
        <v>5444311.859522678</v>
      </c>
      <c r="AA92" s="13"/>
      <c r="AB92" s="13">
        <f>AB79+AB90</f>
        <v>21650040.281597573</v>
      </c>
      <c r="AC92" s="13">
        <f>AC79+AC90</f>
        <v>28200386.339626402</v>
      </c>
      <c r="AD92" s="13"/>
      <c r="AE92" s="13">
        <f>AE79+AE90</f>
        <v>0</v>
      </c>
      <c r="AF92" s="13">
        <f>AF79+AF90</f>
        <v>35160906.250651509</v>
      </c>
      <c r="AG92" s="13"/>
      <c r="AH92" s="13">
        <f>AH79+AH90</f>
        <v>13462757.697452484</v>
      </c>
      <c r="AI92" s="13"/>
      <c r="AJ92" s="13">
        <f>AJ79+AJ90</f>
        <v>14557584.753940804</v>
      </c>
      <c r="AK92" s="13"/>
      <c r="AL92" s="13">
        <f>AL79+AL90</f>
        <v>0</v>
      </c>
      <c r="AM92" s="13"/>
      <c r="AN92" s="13">
        <f>AN79+AN90</f>
        <v>0</v>
      </c>
      <c r="AO92" s="17">
        <f>SUM(H92:AN92)</f>
        <v>279080206.80000007</v>
      </c>
      <c r="AP92" s="14" t="str">
        <f>IF(ABS(AO92-F92)&lt;1,"ok","err")</f>
        <v>ok</v>
      </c>
    </row>
    <row r="93" spans="1:42" x14ac:dyDescent="0.25">
      <c r="A93" s="8"/>
      <c r="B93" s="2"/>
      <c r="F93" s="10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7"/>
      <c r="AP93" s="14"/>
    </row>
    <row r="94" spans="1:42" x14ac:dyDescent="0.25">
      <c r="A94" s="8"/>
      <c r="B94" s="2"/>
      <c r="F94" s="10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7"/>
      <c r="AP94" s="14"/>
    </row>
    <row r="95" spans="1:42" x14ac:dyDescent="0.25">
      <c r="A95" s="8"/>
      <c r="B95" s="2"/>
      <c r="F95" s="106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7"/>
      <c r="AP95" s="14"/>
    </row>
    <row r="96" spans="1:42" x14ac:dyDescent="0.25">
      <c r="A96" s="8"/>
      <c r="B96" s="2"/>
      <c r="F96" s="10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7"/>
      <c r="AP96" s="14"/>
    </row>
    <row r="97" spans="1:42" x14ac:dyDescent="0.25">
      <c r="A97" s="8"/>
      <c r="B97" s="2"/>
      <c r="F97" s="1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7"/>
      <c r="AP97" s="14"/>
    </row>
    <row r="98" spans="1:42" x14ac:dyDescent="0.25">
      <c r="A98" s="8"/>
      <c r="B98" s="2"/>
      <c r="F98" s="10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7"/>
      <c r="AP98" s="14"/>
    </row>
    <row r="99" spans="1:42" x14ac:dyDescent="0.25">
      <c r="A99" s="8"/>
      <c r="B99" s="2"/>
      <c r="F99" s="106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7"/>
      <c r="AP99" s="14"/>
    </row>
    <row r="100" spans="1:42" x14ac:dyDescent="0.25">
      <c r="A100" s="8"/>
      <c r="B100" s="2"/>
      <c r="F100" s="106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7"/>
      <c r="AP100" s="14"/>
    </row>
    <row r="101" spans="1:42" x14ac:dyDescent="0.25">
      <c r="A101" s="8"/>
      <c r="B101" s="2"/>
      <c r="F101" s="106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7"/>
      <c r="AP101" s="14"/>
    </row>
    <row r="102" spans="1:42" x14ac:dyDescent="0.25">
      <c r="A102" s="2"/>
      <c r="B102" s="2"/>
      <c r="AP102" s="14"/>
    </row>
    <row r="103" spans="1:42" x14ac:dyDescent="0.25">
      <c r="A103" s="5" t="s">
        <v>79</v>
      </c>
      <c r="B103" s="2"/>
      <c r="AP103" s="14"/>
    </row>
    <row r="104" spans="1:42" x14ac:dyDescent="0.25">
      <c r="A104" s="2"/>
      <c r="B104" s="2"/>
      <c r="AP104" s="14"/>
    </row>
    <row r="105" spans="1:42" x14ac:dyDescent="0.25">
      <c r="A105" s="5" t="s">
        <v>80</v>
      </c>
      <c r="B105" s="2"/>
      <c r="AP105" s="14"/>
    </row>
    <row r="106" spans="1:42" x14ac:dyDescent="0.25">
      <c r="A106" s="2" t="s">
        <v>17</v>
      </c>
      <c r="B106" s="2"/>
      <c r="F106" s="16">
        <f>F79</f>
        <v>278168701.40999997</v>
      </c>
      <c r="G106" s="16"/>
      <c r="H106" s="16">
        <f t="shared" ref="H106:P106" si="84">H79</f>
        <v>0</v>
      </c>
      <c r="I106" s="16">
        <f t="shared" si="84"/>
        <v>0</v>
      </c>
      <c r="J106" s="16">
        <f t="shared" si="84"/>
        <v>0</v>
      </c>
      <c r="K106" s="16">
        <f t="shared" si="84"/>
        <v>0</v>
      </c>
      <c r="L106" s="16">
        <f t="shared" si="84"/>
        <v>0</v>
      </c>
      <c r="M106" s="16">
        <f t="shared" si="84"/>
        <v>0</v>
      </c>
      <c r="N106" s="16">
        <f t="shared" si="84"/>
        <v>0</v>
      </c>
      <c r="O106" s="16"/>
      <c r="P106" s="16">
        <f t="shared" si="84"/>
        <v>0</v>
      </c>
      <c r="Q106" s="16"/>
      <c r="R106" s="16">
        <f>R79</f>
        <v>0</v>
      </c>
      <c r="S106" s="16"/>
      <c r="T106" s="16">
        <f>T79</f>
        <v>1024196.005534005</v>
      </c>
      <c r="U106" s="16"/>
      <c r="V106" s="16">
        <f>V79</f>
        <v>99195031.643828273</v>
      </c>
      <c r="W106" s="16">
        <f>W79</f>
        <v>48838771.465000838</v>
      </c>
      <c r="X106" s="16"/>
      <c r="Y106" s="16">
        <f>Y79</f>
        <v>11021670.182647584</v>
      </c>
      <c r="Z106" s="16">
        <f>Z79</f>
        <v>5426530.16277787</v>
      </c>
      <c r="AA106" s="16"/>
      <c r="AB106" s="16">
        <f>AB79</f>
        <v>21579328.966607988</v>
      </c>
      <c r="AC106" s="16">
        <f>AC79</f>
        <v>28108280.903546255</v>
      </c>
      <c r="AD106" s="16"/>
      <c r="AE106" s="16">
        <f>AE79</f>
        <v>0</v>
      </c>
      <c r="AF106" s="16">
        <f>AF79</f>
        <v>35046067.022415876</v>
      </c>
      <c r="AG106" s="16"/>
      <c r="AH106" s="16">
        <f>AH79</f>
        <v>13418786.910895463</v>
      </c>
      <c r="AI106" s="16"/>
      <c r="AJ106" s="16">
        <f>AJ79</f>
        <v>14510038.146745875</v>
      </c>
      <c r="AK106" s="16"/>
      <c r="AL106" s="16">
        <f>AL79</f>
        <v>0</v>
      </c>
      <c r="AM106" s="16"/>
      <c r="AN106" s="16">
        <f>AN79</f>
        <v>0</v>
      </c>
      <c r="AO106" s="17">
        <f>SUM(H106:AN106)</f>
        <v>278168701.41000003</v>
      </c>
      <c r="AP106" s="14" t="str">
        <f>IF(ABS(AO106-F106)&lt;1,"ok","err")</f>
        <v>ok</v>
      </c>
    </row>
    <row r="107" spans="1:42" x14ac:dyDescent="0.25">
      <c r="A107" s="2" t="s">
        <v>75</v>
      </c>
      <c r="B107" s="2"/>
      <c r="F107" s="107">
        <f t="shared" ref="F107:N107" si="85">F90</f>
        <v>911505.39</v>
      </c>
      <c r="G107" s="30">
        <f t="shared" si="85"/>
        <v>0</v>
      </c>
      <c r="H107" s="30">
        <f t="shared" si="85"/>
        <v>0</v>
      </c>
      <c r="I107" s="30">
        <f t="shared" si="85"/>
        <v>0</v>
      </c>
      <c r="J107" s="30">
        <f t="shared" si="85"/>
        <v>0</v>
      </c>
      <c r="K107" s="30">
        <f t="shared" si="85"/>
        <v>0</v>
      </c>
      <c r="L107" s="30">
        <f t="shared" si="85"/>
        <v>0</v>
      </c>
      <c r="M107" s="30">
        <f t="shared" si="85"/>
        <v>0</v>
      </c>
      <c r="N107" s="30">
        <f t="shared" si="85"/>
        <v>0</v>
      </c>
      <c r="O107" s="30"/>
      <c r="P107" s="30">
        <f>P90</f>
        <v>0</v>
      </c>
      <c r="Q107" s="30"/>
      <c r="R107" s="30">
        <f>R90</f>
        <v>0</v>
      </c>
      <c r="S107" s="30"/>
      <c r="T107" s="30">
        <f>T90</f>
        <v>3356.0935314743306</v>
      </c>
      <c r="U107" s="30"/>
      <c r="V107" s="30">
        <f>V90</f>
        <v>325043.06036681816</v>
      </c>
      <c r="W107" s="30">
        <f>W90</f>
        <v>160035.27070327013</v>
      </c>
      <c r="X107" s="30"/>
      <c r="Y107" s="30">
        <f>Y90</f>
        <v>36115.895596313123</v>
      </c>
      <c r="Z107" s="30">
        <f>Z90</f>
        <v>17781.696744807788</v>
      </c>
      <c r="AA107" s="30"/>
      <c r="AB107" s="30">
        <f>AB90</f>
        <v>70711.314989584949</v>
      </c>
      <c r="AC107" s="30">
        <f>AC90</f>
        <v>92105.436080147832</v>
      </c>
      <c r="AD107" s="30"/>
      <c r="AE107" s="30">
        <f>AE90</f>
        <v>0</v>
      </c>
      <c r="AF107" s="30">
        <f>AF90</f>
        <v>114839.22823563547</v>
      </c>
      <c r="AG107" s="30"/>
      <c r="AH107" s="30">
        <f>AH90</f>
        <v>43970.786557020459</v>
      </c>
      <c r="AI107" s="30"/>
      <c r="AJ107" s="30">
        <f>AJ90</f>
        <v>47546.607194927979</v>
      </c>
      <c r="AK107" s="30"/>
      <c r="AL107" s="30">
        <f>AL90</f>
        <v>0</v>
      </c>
      <c r="AM107" s="30"/>
      <c r="AN107" s="17">
        <f>AN90</f>
        <v>0</v>
      </c>
      <c r="AO107" s="17">
        <f>SUM(H107:AN107)</f>
        <v>911505.39000000036</v>
      </c>
      <c r="AP107" s="14" t="str">
        <f>IF(ABS(AO107-F107)&lt;1,"ok","err")</f>
        <v>ok</v>
      </c>
    </row>
    <row r="108" spans="1:42" x14ac:dyDescent="0.25">
      <c r="A108" s="2"/>
      <c r="B108" s="2"/>
      <c r="AD108" s="2"/>
      <c r="AO108" s="17"/>
      <c r="AP108" s="14"/>
    </row>
    <row r="109" spans="1:42" x14ac:dyDescent="0.25">
      <c r="A109" s="177" t="s">
        <v>81</v>
      </c>
      <c r="B109" s="2"/>
      <c r="C109" s="2" t="s">
        <v>82</v>
      </c>
      <c r="F109" s="16">
        <f>F106+F107</f>
        <v>279080206.79999995</v>
      </c>
      <c r="G109" s="16">
        <f t="shared" ref="G109:AN109" si="86">G106+G107</f>
        <v>0</v>
      </c>
      <c r="H109" s="16">
        <f t="shared" si="86"/>
        <v>0</v>
      </c>
      <c r="I109" s="16">
        <f t="shared" si="86"/>
        <v>0</v>
      </c>
      <c r="J109" s="16">
        <f t="shared" si="86"/>
        <v>0</v>
      </c>
      <c r="K109" s="16">
        <f t="shared" si="86"/>
        <v>0</v>
      </c>
      <c r="L109" s="16">
        <f t="shared" si="86"/>
        <v>0</v>
      </c>
      <c r="M109" s="16">
        <f t="shared" si="86"/>
        <v>0</v>
      </c>
      <c r="N109" s="16">
        <f>N106+N107</f>
        <v>0</v>
      </c>
      <c r="O109" s="16"/>
      <c r="P109" s="16">
        <f t="shared" si="86"/>
        <v>0</v>
      </c>
      <c r="Q109" s="16"/>
      <c r="R109" s="16">
        <f t="shared" si="86"/>
        <v>0</v>
      </c>
      <c r="S109" s="16"/>
      <c r="T109" s="16">
        <f t="shared" si="86"/>
        <v>1027552.0990654794</v>
      </c>
      <c r="U109" s="16"/>
      <c r="V109" s="16">
        <f t="shared" si="86"/>
        <v>99520074.704195097</v>
      </c>
      <c r="W109" s="16">
        <f t="shared" si="86"/>
        <v>48998806.735704109</v>
      </c>
      <c r="X109" s="16"/>
      <c r="Y109" s="16">
        <f>Y106+Y107</f>
        <v>11057786.078243896</v>
      </c>
      <c r="Z109" s="16">
        <f>Z106+Z107</f>
        <v>5444311.859522678</v>
      </c>
      <c r="AA109" s="16"/>
      <c r="AB109" s="16">
        <f>AB106+AB107</f>
        <v>21650040.281597573</v>
      </c>
      <c r="AC109" s="16">
        <f>AC106+AC107</f>
        <v>28200386.339626402</v>
      </c>
      <c r="AD109" s="16"/>
      <c r="AE109" s="16">
        <f t="shared" si="86"/>
        <v>0</v>
      </c>
      <c r="AF109" s="16">
        <f t="shared" si="86"/>
        <v>35160906.250651509</v>
      </c>
      <c r="AG109" s="16"/>
      <c r="AH109" s="16">
        <f t="shared" si="86"/>
        <v>13462757.697452484</v>
      </c>
      <c r="AI109" s="16"/>
      <c r="AJ109" s="16">
        <f t="shared" si="86"/>
        <v>14557584.753940804</v>
      </c>
      <c r="AK109" s="16"/>
      <c r="AL109" s="16">
        <f t="shared" si="86"/>
        <v>0</v>
      </c>
      <c r="AM109" s="16"/>
      <c r="AN109" s="16">
        <f t="shared" si="86"/>
        <v>0</v>
      </c>
      <c r="AO109" s="17">
        <f>SUM(H109:AN109)</f>
        <v>279080206.80000007</v>
      </c>
      <c r="AP109" s="14" t="str">
        <f>IF(ABS(AO109-F109)&lt;1,"ok","err")</f>
        <v>ok</v>
      </c>
    </row>
    <row r="110" spans="1:42" x14ac:dyDescent="0.25">
      <c r="A110" s="2"/>
      <c r="B110" s="2"/>
      <c r="AD110" s="2"/>
      <c r="AP110" s="14"/>
    </row>
    <row r="111" spans="1:42" x14ac:dyDescent="0.25">
      <c r="A111" s="6" t="s">
        <v>83</v>
      </c>
      <c r="B111" s="178"/>
      <c r="AD111" s="2"/>
      <c r="AP111" s="14"/>
    </row>
    <row r="112" spans="1:42" x14ac:dyDescent="0.25">
      <c r="A112" s="178" t="s">
        <v>345</v>
      </c>
      <c r="B112" s="178"/>
      <c r="C112" s="2" t="s">
        <v>372</v>
      </c>
      <c r="D112" s="2" t="s">
        <v>82</v>
      </c>
      <c r="F112" s="195">
        <v>0</v>
      </c>
      <c r="H112" s="17">
        <f t="shared" ref="H112:H127" si="87">IF(VLOOKUP($D112,$C$5:$AN$495,6,)=0,0,((VLOOKUP($D112,$C$5:$AN$495,6,)/VLOOKUP($D112,$C$5:$AN$495,4,))*$F112))</f>
        <v>0</v>
      </c>
      <c r="I112" s="17">
        <f t="shared" ref="I112:I127" si="88">IF(VLOOKUP($D112,$C$5:$AN$495,7,)=0,0,((VLOOKUP($D112,$C$5:$AN$495,7,)/VLOOKUP($D112,$C$5:$AN$495,4,))*$F112))</f>
        <v>0</v>
      </c>
      <c r="J112" s="17">
        <f t="shared" ref="J112:J127" si="89">IF(VLOOKUP($D112,$C$5:$AN$495,8,)=0,0,((VLOOKUP($D112,$C$5:$AN$495,8,)/VLOOKUP($D112,$C$5:$AN$495,4,))*$F112))</f>
        <v>0</v>
      </c>
      <c r="K112" s="17">
        <f t="shared" ref="K112:K127" si="90">IF(VLOOKUP($D112,$C$5:$AN$495,9,)=0,0,((VLOOKUP($D112,$C$5:$AN$495,9,)/VLOOKUP($D112,$C$5:$AN$495,4,))*$F112))</f>
        <v>0</v>
      </c>
      <c r="L112" s="17">
        <f t="shared" ref="L112:L127" si="91">IF(VLOOKUP($D112,$C$5:$AN$495,10,)=0,0,((VLOOKUP($D112,$C$5:$AN$495,10,)/VLOOKUP($D112,$C$5:$AN$495,4,))*$F112))</f>
        <v>0</v>
      </c>
      <c r="M112" s="17">
        <f t="shared" ref="M112:M127" si="92">IF(VLOOKUP($D112,$C$5:$AN$495,11,)=0,0,((VLOOKUP($D112,$C$5:$AN$495,11,)/VLOOKUP($D112,$C$5:$AN$495,4,))*$F112))</f>
        <v>0</v>
      </c>
      <c r="N112" s="17">
        <f t="shared" ref="N112:N127" si="93">IF(VLOOKUP($D112,$C$5:$AN$495,12,)=0,0,((VLOOKUP($D112,$C$5:$AN$495,12,)/VLOOKUP($D112,$C$5:$AN$495,4,))*$F112))</f>
        <v>0</v>
      </c>
      <c r="O112" s="17"/>
      <c r="P112" s="17">
        <f t="shared" ref="P112:P127" si="94">IF(VLOOKUP($D112,$C$5:$AN$495,14,)=0,0,((VLOOKUP($D112,$C$5:$AN$495,14,)/VLOOKUP($D112,$C$5:$AN$495,4,))*$F112))</f>
        <v>0</v>
      </c>
      <c r="Q112" s="17"/>
      <c r="R112" s="17">
        <f t="shared" ref="R112:R127" si="95">IF(VLOOKUP($D112,$C$5:$AN$495,16,)=0,0,((VLOOKUP($D112,$C$5:$AN$495,16,)/VLOOKUP($D112,$C$5:$AN$495,4,))*$F112))</f>
        <v>0</v>
      </c>
      <c r="S112" s="17"/>
      <c r="T112" s="17">
        <f t="shared" ref="T112:T127" si="96">IF(VLOOKUP($D112,$C$5:$AN$495,18,)=0,0,((VLOOKUP($D112,$C$5:$AN$495,18,)/VLOOKUP($D112,$C$5:$AN$495,4,))*$F112))</f>
        <v>0</v>
      </c>
      <c r="U112" s="17"/>
      <c r="V112" s="17">
        <f t="shared" ref="V112:V127" si="97">IF(VLOOKUP($D112,$C$5:$AN$495,20,)=0,0,((VLOOKUP($D112,$C$5:$AN$495,20,)/VLOOKUP($D112,$C$5:$AN$495,4,))*$F112))</f>
        <v>0</v>
      </c>
      <c r="W112" s="17">
        <f t="shared" ref="W112:W127" si="98">IF(VLOOKUP($D112,$C$5:$AN$495,21,)=0,0,((VLOOKUP($D112,$C$5:$AN$495,21,)/VLOOKUP($D112,$C$5:$AN$495,4,))*$F112))</f>
        <v>0</v>
      </c>
      <c r="X112" s="17"/>
      <c r="Y112" s="17">
        <f t="shared" ref="Y112:Y127" si="99">IF(VLOOKUP($D112,$C$5:$AN$495,23,)=0,0,((VLOOKUP($D112,$C$5:$AN$495,23,)/VLOOKUP($D112,$C$5:$AN$495,4,))*$F112))</f>
        <v>0</v>
      </c>
      <c r="Z112" s="17">
        <f t="shared" ref="Z112:Z127" si="100">IF(VLOOKUP($D112,$C$5:$AN$495,24,)=0,0,((VLOOKUP($D112,$C$5:$AN$495,24,)/VLOOKUP($D112,$C$5:$AN$495,4,))*$F112))</f>
        <v>0</v>
      </c>
      <c r="AA112" s="17"/>
      <c r="AB112" s="17">
        <f t="shared" ref="AB112:AB127" si="101">IF(VLOOKUP($D112,$C$5:$AN$495,26,)=0,0,((VLOOKUP($D112,$C$5:$AN$495,26,)/VLOOKUP($D112,$C$5:$AN$495,4,))*$F112))</f>
        <v>0</v>
      </c>
      <c r="AC112" s="17">
        <f t="shared" ref="AC112:AC127" si="102">IF(VLOOKUP($D112,$C$5:$AN$495,27,)=0,0,((VLOOKUP($D112,$C$5:$AN$495,27,)/VLOOKUP($D112,$C$5:$AN$495,4,))*$F112))</f>
        <v>0</v>
      </c>
      <c r="AD112" s="17"/>
      <c r="AE112" s="17">
        <f t="shared" ref="AE112:AE127" si="103">IF(VLOOKUP($D112,$C$5:$AN$495,29,)=0,0,((VLOOKUP($D112,$C$5:$AN$495,29,)/VLOOKUP($D112,$C$5:$AN$495,4,))*$F112))</f>
        <v>0</v>
      </c>
      <c r="AF112" s="17">
        <f t="shared" ref="AF112:AF127" si="104">IF(VLOOKUP($D112,$C$5:$AN$495,30,)=0,0,((VLOOKUP($D112,$C$5:$AN$495,30,)/VLOOKUP($D112,$C$5:$AN$495,4,))*$F112))</f>
        <v>0</v>
      </c>
      <c r="AG112" s="17"/>
      <c r="AH112" s="17">
        <f t="shared" ref="AH112:AH127" si="105">IF(VLOOKUP($D112,$C$5:$AN$495,32,)=0,0,((VLOOKUP($D112,$C$5:$AN$495,32,)/VLOOKUP($D112,$C$5:$AN$495,4,))*$F112))</f>
        <v>0</v>
      </c>
      <c r="AI112" s="17"/>
      <c r="AJ112" s="17">
        <f t="shared" ref="AJ112:AJ127" si="106">IF(VLOOKUP($D112,$C$5:$AN$495,34,)=0,0,((VLOOKUP($D112,$C$5:$AN$495,34,)/VLOOKUP($D112,$C$5:$AN$495,4,))*$F112))</f>
        <v>0</v>
      </c>
      <c r="AK112" s="17"/>
      <c r="AL112" s="17">
        <f t="shared" ref="AL112:AL127" si="107">IF(VLOOKUP($D112,$C$5:$AN$495,36,)=0,0,((VLOOKUP($D112,$C$5:$AN$495,36,)/VLOOKUP($D112,$C$5:$AN$495,4,))*$F112))</f>
        <v>0</v>
      </c>
      <c r="AM112" s="17"/>
      <c r="AN112" s="17">
        <f t="shared" ref="AN112:AN127" si="108">IF(VLOOKUP($D112,$C$5:$AN$495,38,)=0,0,((VLOOKUP($D112,$C$5:$AN$495,38,)/VLOOKUP($D112,$C$5:$AN$495,4,))*$F112))</f>
        <v>0</v>
      </c>
      <c r="AO112" s="17">
        <f t="shared" ref="AO112:AO127" si="109">SUM(H112:AN112)</f>
        <v>0</v>
      </c>
      <c r="AP112" s="14" t="str">
        <f t="shared" ref="AP112:AP127" si="110">IF(ABS(AO112-F112)&lt;1,"ok","err")</f>
        <v>ok</v>
      </c>
    </row>
    <row r="113" spans="1:42" x14ac:dyDescent="0.25">
      <c r="A113" s="178" t="s">
        <v>346</v>
      </c>
      <c r="B113" s="178"/>
      <c r="C113" s="2" t="s">
        <v>373</v>
      </c>
      <c r="D113" s="2" t="s">
        <v>82</v>
      </c>
      <c r="F113" s="197">
        <v>-113768.33</v>
      </c>
      <c r="H113" s="17">
        <f t="shared" si="87"/>
        <v>0</v>
      </c>
      <c r="I113" s="17">
        <f t="shared" si="88"/>
        <v>0</v>
      </c>
      <c r="J113" s="17">
        <f t="shared" si="89"/>
        <v>0</v>
      </c>
      <c r="K113" s="17">
        <f t="shared" si="90"/>
        <v>0</v>
      </c>
      <c r="L113" s="17">
        <f t="shared" si="91"/>
        <v>0</v>
      </c>
      <c r="M113" s="17">
        <f t="shared" si="92"/>
        <v>0</v>
      </c>
      <c r="N113" s="17">
        <f t="shared" si="93"/>
        <v>0</v>
      </c>
      <c r="O113" s="17"/>
      <c r="P113" s="17">
        <f t="shared" si="94"/>
        <v>0</v>
      </c>
      <c r="Q113" s="17"/>
      <c r="R113" s="17">
        <f t="shared" si="95"/>
        <v>0</v>
      </c>
      <c r="S113" s="17"/>
      <c r="T113" s="17">
        <f t="shared" si="96"/>
        <v>-418.88633966238757</v>
      </c>
      <c r="U113" s="17"/>
      <c r="V113" s="17">
        <f t="shared" si="97"/>
        <v>-40569.816220200402</v>
      </c>
      <c r="W113" s="17">
        <f t="shared" si="98"/>
        <v>-19974.588947860164</v>
      </c>
      <c r="X113" s="17"/>
      <c r="Y113" s="17">
        <f t="shared" si="99"/>
        <v>-4507.7573578000438</v>
      </c>
      <c r="Z113" s="17">
        <f t="shared" si="100"/>
        <v>-2219.3987719844622</v>
      </c>
      <c r="AA113" s="17"/>
      <c r="AB113" s="17">
        <f t="shared" si="101"/>
        <v>-8825.7385054728493</v>
      </c>
      <c r="AC113" s="17">
        <f t="shared" si="102"/>
        <v>-11496.017205954389</v>
      </c>
      <c r="AD113" s="17"/>
      <c r="AE113" s="17">
        <f t="shared" si="103"/>
        <v>0</v>
      </c>
      <c r="AF113" s="17">
        <f t="shared" si="104"/>
        <v>-14333.505164305276</v>
      </c>
      <c r="AG113" s="17"/>
      <c r="AH113" s="17">
        <f t="shared" si="105"/>
        <v>-5488.155100628278</v>
      </c>
      <c r="AI113" s="17"/>
      <c r="AJ113" s="17">
        <f t="shared" si="106"/>
        <v>-5934.4663861317822</v>
      </c>
      <c r="AK113" s="17"/>
      <c r="AL113" s="17">
        <f t="shared" si="107"/>
        <v>0</v>
      </c>
      <c r="AM113" s="17"/>
      <c r="AN113" s="17">
        <f t="shared" si="108"/>
        <v>0</v>
      </c>
      <c r="AO113" s="17">
        <f t="shared" si="109"/>
        <v>-113768.33000000003</v>
      </c>
      <c r="AP113" s="14" t="str">
        <f t="shared" si="110"/>
        <v>ok</v>
      </c>
    </row>
    <row r="114" spans="1:42" x14ac:dyDescent="0.25">
      <c r="A114" s="2" t="s">
        <v>788</v>
      </c>
      <c r="B114" s="178"/>
      <c r="C114" s="2" t="s">
        <v>374</v>
      </c>
      <c r="D114" s="2" t="s">
        <v>789</v>
      </c>
      <c r="F114" s="148">
        <v>0</v>
      </c>
      <c r="H114" s="17">
        <f t="shared" si="87"/>
        <v>0</v>
      </c>
      <c r="I114" s="17">
        <f t="shared" si="88"/>
        <v>0</v>
      </c>
      <c r="J114" s="17">
        <f t="shared" si="89"/>
        <v>0</v>
      </c>
      <c r="K114" s="17">
        <f t="shared" si="90"/>
        <v>0</v>
      </c>
      <c r="L114" s="17">
        <f t="shared" si="91"/>
        <v>0</v>
      </c>
      <c r="M114" s="17">
        <f t="shared" si="92"/>
        <v>0</v>
      </c>
      <c r="N114" s="17">
        <f t="shared" si="93"/>
        <v>0</v>
      </c>
      <c r="O114" s="17"/>
      <c r="P114" s="17">
        <f t="shared" si="94"/>
        <v>0</v>
      </c>
      <c r="Q114" s="17"/>
      <c r="R114" s="17">
        <f t="shared" si="95"/>
        <v>0</v>
      </c>
      <c r="S114" s="17"/>
      <c r="T114" s="17">
        <f t="shared" si="96"/>
        <v>0</v>
      </c>
      <c r="U114" s="17"/>
      <c r="V114" s="17">
        <f t="shared" si="97"/>
        <v>0</v>
      </c>
      <c r="W114" s="17">
        <f t="shared" si="98"/>
        <v>0</v>
      </c>
      <c r="X114" s="17"/>
      <c r="Y114" s="17">
        <f t="shared" si="99"/>
        <v>0</v>
      </c>
      <c r="Z114" s="17">
        <f t="shared" si="100"/>
        <v>0</v>
      </c>
      <c r="AA114" s="17"/>
      <c r="AB114" s="17">
        <f t="shared" si="101"/>
        <v>0</v>
      </c>
      <c r="AC114" s="17">
        <f t="shared" si="102"/>
        <v>0</v>
      </c>
      <c r="AD114" s="17"/>
      <c r="AE114" s="17">
        <f t="shared" si="103"/>
        <v>0</v>
      </c>
      <c r="AF114" s="17">
        <f t="shared" si="104"/>
        <v>0</v>
      </c>
      <c r="AG114" s="17"/>
      <c r="AH114" s="17">
        <f t="shared" si="105"/>
        <v>0</v>
      </c>
      <c r="AI114" s="17"/>
      <c r="AJ114" s="17">
        <f t="shared" si="106"/>
        <v>0</v>
      </c>
      <c r="AK114" s="17"/>
      <c r="AL114" s="17">
        <f t="shared" si="107"/>
        <v>0</v>
      </c>
      <c r="AM114" s="17"/>
      <c r="AN114" s="17">
        <f t="shared" si="108"/>
        <v>0</v>
      </c>
      <c r="AO114" s="17">
        <f t="shared" si="109"/>
        <v>0</v>
      </c>
      <c r="AP114" s="14" t="str">
        <f t="shared" si="110"/>
        <v>ok</v>
      </c>
    </row>
    <row r="115" spans="1:42" x14ac:dyDescent="0.25">
      <c r="A115" s="178" t="s">
        <v>407</v>
      </c>
      <c r="B115" s="178"/>
      <c r="C115" s="2" t="s">
        <v>417</v>
      </c>
      <c r="D115" s="2" t="s">
        <v>404</v>
      </c>
      <c r="F115" s="148">
        <v>0</v>
      </c>
      <c r="H115" s="17">
        <f t="shared" si="87"/>
        <v>0</v>
      </c>
      <c r="I115" s="17">
        <f t="shared" si="88"/>
        <v>0</v>
      </c>
      <c r="J115" s="17">
        <f t="shared" si="89"/>
        <v>0</v>
      </c>
      <c r="K115" s="17">
        <f t="shared" si="90"/>
        <v>0</v>
      </c>
      <c r="L115" s="17">
        <f t="shared" si="91"/>
        <v>0</v>
      </c>
      <c r="M115" s="17">
        <f t="shared" si="92"/>
        <v>0</v>
      </c>
      <c r="N115" s="17">
        <f t="shared" si="93"/>
        <v>0</v>
      </c>
      <c r="O115" s="17"/>
      <c r="P115" s="17">
        <f t="shared" si="94"/>
        <v>0</v>
      </c>
      <c r="Q115" s="17"/>
      <c r="R115" s="17">
        <f t="shared" si="95"/>
        <v>0</v>
      </c>
      <c r="S115" s="17"/>
      <c r="T115" s="17">
        <f t="shared" si="96"/>
        <v>0</v>
      </c>
      <c r="U115" s="17"/>
      <c r="V115" s="17">
        <f t="shared" si="97"/>
        <v>0</v>
      </c>
      <c r="W115" s="17">
        <f t="shared" si="98"/>
        <v>0</v>
      </c>
      <c r="X115" s="17"/>
      <c r="Y115" s="17">
        <f t="shared" si="99"/>
        <v>0</v>
      </c>
      <c r="Z115" s="17">
        <f t="shared" si="100"/>
        <v>0</v>
      </c>
      <c r="AA115" s="17"/>
      <c r="AB115" s="17">
        <f t="shared" si="101"/>
        <v>0</v>
      </c>
      <c r="AC115" s="17">
        <f t="shared" si="102"/>
        <v>0</v>
      </c>
      <c r="AD115" s="17"/>
      <c r="AE115" s="17">
        <f t="shared" si="103"/>
        <v>0</v>
      </c>
      <c r="AF115" s="17">
        <f t="shared" si="104"/>
        <v>0</v>
      </c>
      <c r="AG115" s="17"/>
      <c r="AH115" s="17">
        <f t="shared" si="105"/>
        <v>0</v>
      </c>
      <c r="AI115" s="17"/>
      <c r="AJ115" s="17">
        <f t="shared" si="106"/>
        <v>0</v>
      </c>
      <c r="AK115" s="17"/>
      <c r="AL115" s="17">
        <f t="shared" si="107"/>
        <v>0</v>
      </c>
      <c r="AM115" s="17"/>
      <c r="AN115" s="17">
        <f t="shared" si="108"/>
        <v>0</v>
      </c>
      <c r="AO115" s="17">
        <f t="shared" si="109"/>
        <v>0</v>
      </c>
      <c r="AP115" s="14" t="str">
        <f t="shared" si="110"/>
        <v>ok</v>
      </c>
    </row>
    <row r="116" spans="1:42" x14ac:dyDescent="0.25">
      <c r="A116" s="178" t="s">
        <v>408</v>
      </c>
      <c r="B116" s="178"/>
      <c r="C116" s="2" t="s">
        <v>418</v>
      </c>
      <c r="D116" s="2" t="s">
        <v>25</v>
      </c>
      <c r="F116" s="148">
        <v>0</v>
      </c>
      <c r="H116" s="17">
        <f t="shared" si="87"/>
        <v>0</v>
      </c>
      <c r="I116" s="17">
        <f t="shared" si="88"/>
        <v>0</v>
      </c>
      <c r="J116" s="17">
        <f t="shared" si="89"/>
        <v>0</v>
      </c>
      <c r="K116" s="17">
        <f t="shared" si="90"/>
        <v>0</v>
      </c>
      <c r="L116" s="17">
        <f t="shared" si="91"/>
        <v>0</v>
      </c>
      <c r="M116" s="17">
        <f t="shared" si="92"/>
        <v>0</v>
      </c>
      <c r="N116" s="17">
        <f t="shared" si="93"/>
        <v>0</v>
      </c>
      <c r="O116" s="17"/>
      <c r="P116" s="17">
        <f t="shared" si="94"/>
        <v>0</v>
      </c>
      <c r="Q116" s="17"/>
      <c r="R116" s="17">
        <f t="shared" si="95"/>
        <v>0</v>
      </c>
      <c r="S116" s="17"/>
      <c r="T116" s="17">
        <f t="shared" si="96"/>
        <v>0</v>
      </c>
      <c r="U116" s="17"/>
      <c r="V116" s="17">
        <f t="shared" si="97"/>
        <v>0</v>
      </c>
      <c r="W116" s="17">
        <f t="shared" si="98"/>
        <v>0</v>
      </c>
      <c r="X116" s="17"/>
      <c r="Y116" s="17">
        <f t="shared" si="99"/>
        <v>0</v>
      </c>
      <c r="Z116" s="17">
        <f t="shared" si="100"/>
        <v>0</v>
      </c>
      <c r="AA116" s="17"/>
      <c r="AB116" s="17">
        <f t="shared" si="101"/>
        <v>0</v>
      </c>
      <c r="AC116" s="17">
        <f t="shared" si="102"/>
        <v>0</v>
      </c>
      <c r="AD116" s="17"/>
      <c r="AE116" s="17">
        <f t="shared" si="103"/>
        <v>0</v>
      </c>
      <c r="AF116" s="17">
        <f t="shared" si="104"/>
        <v>0</v>
      </c>
      <c r="AG116" s="17"/>
      <c r="AH116" s="17">
        <f t="shared" si="105"/>
        <v>0</v>
      </c>
      <c r="AI116" s="17"/>
      <c r="AJ116" s="17">
        <f t="shared" si="106"/>
        <v>0</v>
      </c>
      <c r="AK116" s="17"/>
      <c r="AL116" s="17">
        <f t="shared" si="107"/>
        <v>0</v>
      </c>
      <c r="AM116" s="17"/>
      <c r="AN116" s="17">
        <f t="shared" si="108"/>
        <v>0</v>
      </c>
      <c r="AO116" s="17">
        <f t="shared" si="109"/>
        <v>0</v>
      </c>
      <c r="AP116" s="14" t="str">
        <f t="shared" si="110"/>
        <v>ok</v>
      </c>
    </row>
    <row r="117" spans="1:42" x14ac:dyDescent="0.25">
      <c r="A117" s="178" t="s">
        <v>409</v>
      </c>
      <c r="B117" s="178"/>
      <c r="C117" s="2" t="s">
        <v>419</v>
      </c>
      <c r="D117" s="2" t="s">
        <v>28</v>
      </c>
      <c r="F117" s="148">
        <v>0</v>
      </c>
      <c r="H117" s="17">
        <f t="shared" si="87"/>
        <v>0</v>
      </c>
      <c r="I117" s="17">
        <f t="shared" si="88"/>
        <v>0</v>
      </c>
      <c r="J117" s="17">
        <f t="shared" si="89"/>
        <v>0</v>
      </c>
      <c r="K117" s="17">
        <f t="shared" si="90"/>
        <v>0</v>
      </c>
      <c r="L117" s="17">
        <f t="shared" si="91"/>
        <v>0</v>
      </c>
      <c r="M117" s="17">
        <f t="shared" si="92"/>
        <v>0</v>
      </c>
      <c r="N117" s="17">
        <f t="shared" si="93"/>
        <v>0</v>
      </c>
      <c r="O117" s="17"/>
      <c r="P117" s="17">
        <f t="shared" si="94"/>
        <v>0</v>
      </c>
      <c r="Q117" s="17"/>
      <c r="R117" s="17">
        <f t="shared" si="95"/>
        <v>0</v>
      </c>
      <c r="S117" s="17"/>
      <c r="T117" s="17">
        <f t="shared" si="96"/>
        <v>0</v>
      </c>
      <c r="U117" s="17"/>
      <c r="V117" s="17">
        <f t="shared" si="97"/>
        <v>0</v>
      </c>
      <c r="W117" s="17">
        <f t="shared" si="98"/>
        <v>0</v>
      </c>
      <c r="X117" s="17"/>
      <c r="Y117" s="17">
        <f t="shared" si="99"/>
        <v>0</v>
      </c>
      <c r="Z117" s="17">
        <f t="shared" si="100"/>
        <v>0</v>
      </c>
      <c r="AA117" s="17"/>
      <c r="AB117" s="17">
        <f t="shared" si="101"/>
        <v>0</v>
      </c>
      <c r="AC117" s="17">
        <f t="shared" si="102"/>
        <v>0</v>
      </c>
      <c r="AD117" s="17"/>
      <c r="AE117" s="17">
        <f t="shared" si="103"/>
        <v>0</v>
      </c>
      <c r="AF117" s="17">
        <f t="shared" si="104"/>
        <v>0</v>
      </c>
      <c r="AG117" s="17"/>
      <c r="AH117" s="17">
        <f t="shared" si="105"/>
        <v>0</v>
      </c>
      <c r="AI117" s="17"/>
      <c r="AJ117" s="17">
        <f t="shared" si="106"/>
        <v>0</v>
      </c>
      <c r="AK117" s="17"/>
      <c r="AL117" s="17">
        <f t="shared" si="107"/>
        <v>0</v>
      </c>
      <c r="AM117" s="17"/>
      <c r="AN117" s="17">
        <f t="shared" si="108"/>
        <v>0</v>
      </c>
      <c r="AO117" s="17">
        <f t="shared" si="109"/>
        <v>0</v>
      </c>
      <c r="AP117" s="14" t="str">
        <f t="shared" si="110"/>
        <v>ok</v>
      </c>
    </row>
    <row r="118" spans="1:42" x14ac:dyDescent="0.25">
      <c r="A118" s="178" t="s">
        <v>410</v>
      </c>
      <c r="B118" s="178"/>
      <c r="C118" s="2" t="s">
        <v>420</v>
      </c>
      <c r="D118" s="2" t="s">
        <v>31</v>
      </c>
      <c r="F118" s="148">
        <v>0</v>
      </c>
      <c r="H118" s="17">
        <f t="shared" si="87"/>
        <v>0</v>
      </c>
      <c r="I118" s="17">
        <f t="shared" si="88"/>
        <v>0</v>
      </c>
      <c r="J118" s="17">
        <f t="shared" si="89"/>
        <v>0</v>
      </c>
      <c r="K118" s="17">
        <f t="shared" si="90"/>
        <v>0</v>
      </c>
      <c r="L118" s="17">
        <f t="shared" si="91"/>
        <v>0</v>
      </c>
      <c r="M118" s="17">
        <f t="shared" si="92"/>
        <v>0</v>
      </c>
      <c r="N118" s="17">
        <f t="shared" si="93"/>
        <v>0</v>
      </c>
      <c r="O118" s="17"/>
      <c r="P118" s="17">
        <f t="shared" si="94"/>
        <v>0</v>
      </c>
      <c r="Q118" s="17"/>
      <c r="R118" s="17">
        <f t="shared" si="95"/>
        <v>0</v>
      </c>
      <c r="S118" s="17"/>
      <c r="T118" s="17">
        <f t="shared" si="96"/>
        <v>0</v>
      </c>
      <c r="U118" s="17"/>
      <c r="V118" s="17">
        <f t="shared" si="97"/>
        <v>0</v>
      </c>
      <c r="W118" s="17">
        <f t="shared" si="98"/>
        <v>0</v>
      </c>
      <c r="X118" s="17"/>
      <c r="Y118" s="17">
        <f t="shared" si="99"/>
        <v>0</v>
      </c>
      <c r="Z118" s="17">
        <f t="shared" si="100"/>
        <v>0</v>
      </c>
      <c r="AA118" s="17"/>
      <c r="AB118" s="17">
        <f t="shared" si="101"/>
        <v>0</v>
      </c>
      <c r="AC118" s="17">
        <f t="shared" si="102"/>
        <v>0</v>
      </c>
      <c r="AD118" s="17"/>
      <c r="AE118" s="17">
        <f t="shared" si="103"/>
        <v>0</v>
      </c>
      <c r="AF118" s="17">
        <f t="shared" si="104"/>
        <v>0</v>
      </c>
      <c r="AG118" s="17"/>
      <c r="AH118" s="17">
        <f t="shared" si="105"/>
        <v>0</v>
      </c>
      <c r="AI118" s="17"/>
      <c r="AJ118" s="17">
        <f t="shared" si="106"/>
        <v>0</v>
      </c>
      <c r="AK118" s="17"/>
      <c r="AL118" s="17">
        <f t="shared" si="107"/>
        <v>0</v>
      </c>
      <c r="AM118" s="17"/>
      <c r="AN118" s="17">
        <f t="shared" si="108"/>
        <v>0</v>
      </c>
      <c r="AO118" s="17">
        <f t="shared" si="109"/>
        <v>0</v>
      </c>
      <c r="AP118" s="14" t="str">
        <f t="shared" si="110"/>
        <v>ok</v>
      </c>
    </row>
    <row r="119" spans="1:42" x14ac:dyDescent="0.25">
      <c r="A119" s="178" t="s">
        <v>428</v>
      </c>
      <c r="B119" s="178"/>
      <c r="C119" s="2" t="s">
        <v>421</v>
      </c>
      <c r="D119" s="2" t="s">
        <v>34</v>
      </c>
      <c r="F119" s="148">
        <v>0</v>
      </c>
      <c r="H119" s="17">
        <f t="shared" si="87"/>
        <v>0</v>
      </c>
      <c r="I119" s="17">
        <f t="shared" si="88"/>
        <v>0</v>
      </c>
      <c r="J119" s="17">
        <f t="shared" si="89"/>
        <v>0</v>
      </c>
      <c r="K119" s="17">
        <f t="shared" si="90"/>
        <v>0</v>
      </c>
      <c r="L119" s="17">
        <f t="shared" si="91"/>
        <v>0</v>
      </c>
      <c r="M119" s="17">
        <f t="shared" si="92"/>
        <v>0</v>
      </c>
      <c r="N119" s="17">
        <f t="shared" si="93"/>
        <v>0</v>
      </c>
      <c r="O119" s="17"/>
      <c r="P119" s="17">
        <f t="shared" si="94"/>
        <v>0</v>
      </c>
      <c r="Q119" s="17"/>
      <c r="R119" s="17">
        <f t="shared" si="95"/>
        <v>0</v>
      </c>
      <c r="S119" s="17"/>
      <c r="T119" s="17">
        <f t="shared" si="96"/>
        <v>0</v>
      </c>
      <c r="U119" s="17"/>
      <c r="V119" s="17">
        <f t="shared" si="97"/>
        <v>0</v>
      </c>
      <c r="W119" s="17">
        <f t="shared" si="98"/>
        <v>0</v>
      </c>
      <c r="X119" s="17"/>
      <c r="Y119" s="17">
        <f t="shared" si="99"/>
        <v>0</v>
      </c>
      <c r="Z119" s="17">
        <f t="shared" si="100"/>
        <v>0</v>
      </c>
      <c r="AA119" s="17"/>
      <c r="AB119" s="17">
        <f t="shared" si="101"/>
        <v>0</v>
      </c>
      <c r="AC119" s="17">
        <f t="shared" si="102"/>
        <v>0</v>
      </c>
      <c r="AD119" s="17"/>
      <c r="AE119" s="17">
        <f t="shared" si="103"/>
        <v>0</v>
      </c>
      <c r="AF119" s="17">
        <f t="shared" si="104"/>
        <v>0</v>
      </c>
      <c r="AG119" s="17"/>
      <c r="AH119" s="17">
        <f t="shared" si="105"/>
        <v>0</v>
      </c>
      <c r="AI119" s="17"/>
      <c r="AJ119" s="17">
        <f t="shared" si="106"/>
        <v>0</v>
      </c>
      <c r="AK119" s="17"/>
      <c r="AL119" s="17">
        <f t="shared" si="107"/>
        <v>0</v>
      </c>
      <c r="AM119" s="17"/>
      <c r="AN119" s="17">
        <f t="shared" si="108"/>
        <v>0</v>
      </c>
      <c r="AO119" s="17">
        <f t="shared" si="109"/>
        <v>0</v>
      </c>
      <c r="AP119" s="14" t="str">
        <f t="shared" si="110"/>
        <v>ok</v>
      </c>
    </row>
    <row r="120" spans="1:42" x14ac:dyDescent="0.25">
      <c r="A120" s="178" t="s">
        <v>411</v>
      </c>
      <c r="B120" s="178"/>
      <c r="C120" s="2" t="s">
        <v>422</v>
      </c>
      <c r="D120" s="2" t="s">
        <v>37</v>
      </c>
      <c r="F120" s="148">
        <v>0</v>
      </c>
      <c r="H120" s="17">
        <f t="shared" si="87"/>
        <v>0</v>
      </c>
      <c r="I120" s="17">
        <f t="shared" si="88"/>
        <v>0</v>
      </c>
      <c r="J120" s="17">
        <f t="shared" si="89"/>
        <v>0</v>
      </c>
      <c r="K120" s="17">
        <f t="shared" si="90"/>
        <v>0</v>
      </c>
      <c r="L120" s="17">
        <f t="shared" si="91"/>
        <v>0</v>
      </c>
      <c r="M120" s="17">
        <f t="shared" si="92"/>
        <v>0</v>
      </c>
      <c r="N120" s="17">
        <f t="shared" si="93"/>
        <v>0</v>
      </c>
      <c r="O120" s="17"/>
      <c r="P120" s="17">
        <f t="shared" si="94"/>
        <v>0</v>
      </c>
      <c r="Q120" s="17"/>
      <c r="R120" s="17">
        <f t="shared" si="95"/>
        <v>0</v>
      </c>
      <c r="S120" s="17"/>
      <c r="T120" s="17">
        <f t="shared" si="96"/>
        <v>0</v>
      </c>
      <c r="U120" s="17"/>
      <c r="V120" s="17">
        <f t="shared" si="97"/>
        <v>0</v>
      </c>
      <c r="W120" s="17">
        <f t="shared" si="98"/>
        <v>0</v>
      </c>
      <c r="X120" s="17"/>
      <c r="Y120" s="17">
        <f t="shared" si="99"/>
        <v>0</v>
      </c>
      <c r="Z120" s="17">
        <f t="shared" si="100"/>
        <v>0</v>
      </c>
      <c r="AA120" s="17"/>
      <c r="AB120" s="17">
        <f t="shared" si="101"/>
        <v>0</v>
      </c>
      <c r="AC120" s="17">
        <f t="shared" si="102"/>
        <v>0</v>
      </c>
      <c r="AD120" s="17"/>
      <c r="AE120" s="17">
        <f t="shared" si="103"/>
        <v>0</v>
      </c>
      <c r="AF120" s="17">
        <f t="shared" si="104"/>
        <v>0</v>
      </c>
      <c r="AG120" s="17"/>
      <c r="AH120" s="17">
        <f t="shared" si="105"/>
        <v>0</v>
      </c>
      <c r="AI120" s="17"/>
      <c r="AJ120" s="17">
        <f t="shared" si="106"/>
        <v>0</v>
      </c>
      <c r="AK120" s="17"/>
      <c r="AL120" s="17">
        <f t="shared" si="107"/>
        <v>0</v>
      </c>
      <c r="AM120" s="17"/>
      <c r="AN120" s="17">
        <f t="shared" si="108"/>
        <v>0</v>
      </c>
      <c r="AO120" s="17">
        <f t="shared" si="109"/>
        <v>0</v>
      </c>
      <c r="AP120" s="14" t="str">
        <f t="shared" si="110"/>
        <v>ok</v>
      </c>
    </row>
    <row r="121" spans="1:42" x14ac:dyDescent="0.25">
      <c r="A121" s="178" t="s">
        <v>412</v>
      </c>
      <c r="B121" s="178"/>
      <c r="C121" s="2" t="s">
        <v>423</v>
      </c>
      <c r="D121" s="2" t="s">
        <v>39</v>
      </c>
      <c r="F121" s="148">
        <v>0</v>
      </c>
      <c r="H121" s="17">
        <f t="shared" si="87"/>
        <v>0</v>
      </c>
      <c r="I121" s="17">
        <f t="shared" si="88"/>
        <v>0</v>
      </c>
      <c r="J121" s="17">
        <f t="shared" si="89"/>
        <v>0</v>
      </c>
      <c r="K121" s="17">
        <f t="shared" si="90"/>
        <v>0</v>
      </c>
      <c r="L121" s="17">
        <f t="shared" si="91"/>
        <v>0</v>
      </c>
      <c r="M121" s="17">
        <f t="shared" si="92"/>
        <v>0</v>
      </c>
      <c r="N121" s="17">
        <f t="shared" si="93"/>
        <v>0</v>
      </c>
      <c r="O121" s="17"/>
      <c r="P121" s="17">
        <f t="shared" si="94"/>
        <v>0</v>
      </c>
      <c r="Q121" s="17"/>
      <c r="R121" s="17">
        <f t="shared" si="95"/>
        <v>0</v>
      </c>
      <c r="S121" s="17"/>
      <c r="T121" s="17">
        <f t="shared" si="96"/>
        <v>0</v>
      </c>
      <c r="U121" s="17"/>
      <c r="V121" s="17">
        <f t="shared" si="97"/>
        <v>0</v>
      </c>
      <c r="W121" s="17">
        <f t="shared" si="98"/>
        <v>0</v>
      </c>
      <c r="X121" s="17"/>
      <c r="Y121" s="17">
        <f t="shared" si="99"/>
        <v>0</v>
      </c>
      <c r="Z121" s="17">
        <f t="shared" si="100"/>
        <v>0</v>
      </c>
      <c r="AA121" s="17"/>
      <c r="AB121" s="17">
        <f t="shared" si="101"/>
        <v>0</v>
      </c>
      <c r="AC121" s="17">
        <f t="shared" si="102"/>
        <v>0</v>
      </c>
      <c r="AD121" s="17"/>
      <c r="AE121" s="17">
        <f t="shared" si="103"/>
        <v>0</v>
      </c>
      <c r="AF121" s="17">
        <f t="shared" si="104"/>
        <v>0</v>
      </c>
      <c r="AG121" s="17"/>
      <c r="AH121" s="17">
        <f t="shared" si="105"/>
        <v>0</v>
      </c>
      <c r="AI121" s="17"/>
      <c r="AJ121" s="17">
        <f t="shared" si="106"/>
        <v>0</v>
      </c>
      <c r="AK121" s="17"/>
      <c r="AL121" s="17">
        <f t="shared" si="107"/>
        <v>0</v>
      </c>
      <c r="AM121" s="17"/>
      <c r="AN121" s="17">
        <f t="shared" si="108"/>
        <v>0</v>
      </c>
      <c r="AO121" s="17">
        <f t="shared" si="109"/>
        <v>0</v>
      </c>
      <c r="AP121" s="14" t="str">
        <f t="shared" si="110"/>
        <v>ok</v>
      </c>
    </row>
    <row r="122" spans="1:42" x14ac:dyDescent="0.25">
      <c r="A122" s="178" t="s">
        <v>413</v>
      </c>
      <c r="B122" s="178"/>
      <c r="C122" s="2" t="s">
        <v>424</v>
      </c>
      <c r="D122" s="2" t="s">
        <v>42</v>
      </c>
      <c r="F122" s="148">
        <v>0</v>
      </c>
      <c r="H122" s="17">
        <f t="shared" si="87"/>
        <v>0</v>
      </c>
      <c r="I122" s="17">
        <f t="shared" si="88"/>
        <v>0</v>
      </c>
      <c r="J122" s="17">
        <f t="shared" si="89"/>
        <v>0</v>
      </c>
      <c r="K122" s="17">
        <f t="shared" si="90"/>
        <v>0</v>
      </c>
      <c r="L122" s="17">
        <f t="shared" si="91"/>
        <v>0</v>
      </c>
      <c r="M122" s="17">
        <f t="shared" si="92"/>
        <v>0</v>
      </c>
      <c r="N122" s="17">
        <f t="shared" si="93"/>
        <v>0</v>
      </c>
      <c r="O122" s="17"/>
      <c r="P122" s="17">
        <f t="shared" si="94"/>
        <v>0</v>
      </c>
      <c r="Q122" s="17"/>
      <c r="R122" s="17">
        <f t="shared" si="95"/>
        <v>0</v>
      </c>
      <c r="S122" s="17"/>
      <c r="T122" s="17">
        <f t="shared" si="96"/>
        <v>0</v>
      </c>
      <c r="U122" s="17"/>
      <c r="V122" s="17">
        <f t="shared" si="97"/>
        <v>0</v>
      </c>
      <c r="W122" s="17">
        <f t="shared" si="98"/>
        <v>0</v>
      </c>
      <c r="X122" s="17"/>
      <c r="Y122" s="17">
        <f t="shared" si="99"/>
        <v>0</v>
      </c>
      <c r="Z122" s="17">
        <f t="shared" si="100"/>
        <v>0</v>
      </c>
      <c r="AA122" s="17"/>
      <c r="AB122" s="17">
        <f t="shared" si="101"/>
        <v>0</v>
      </c>
      <c r="AC122" s="17">
        <f t="shared" si="102"/>
        <v>0</v>
      </c>
      <c r="AD122" s="17"/>
      <c r="AE122" s="17">
        <f t="shared" si="103"/>
        <v>0</v>
      </c>
      <c r="AF122" s="17">
        <f t="shared" si="104"/>
        <v>0</v>
      </c>
      <c r="AG122" s="17"/>
      <c r="AH122" s="17">
        <f t="shared" si="105"/>
        <v>0</v>
      </c>
      <c r="AI122" s="17"/>
      <c r="AJ122" s="17">
        <f t="shared" si="106"/>
        <v>0</v>
      </c>
      <c r="AK122" s="17"/>
      <c r="AL122" s="17">
        <f t="shared" si="107"/>
        <v>0</v>
      </c>
      <c r="AM122" s="17"/>
      <c r="AN122" s="17">
        <f t="shared" si="108"/>
        <v>0</v>
      </c>
      <c r="AO122" s="17">
        <f t="shared" si="109"/>
        <v>0</v>
      </c>
      <c r="AP122" s="14" t="str">
        <f t="shared" si="110"/>
        <v>ok</v>
      </c>
    </row>
    <row r="123" spans="1:42" x14ac:dyDescent="0.25">
      <c r="A123" s="178" t="s">
        <v>414</v>
      </c>
      <c r="B123" s="178"/>
      <c r="C123" s="2" t="s">
        <v>425</v>
      </c>
      <c r="D123" s="2" t="s">
        <v>45</v>
      </c>
      <c r="F123" s="148">
        <v>0</v>
      </c>
      <c r="H123" s="17">
        <f t="shared" si="87"/>
        <v>0</v>
      </c>
      <c r="I123" s="17">
        <f t="shared" si="88"/>
        <v>0</v>
      </c>
      <c r="J123" s="17">
        <f t="shared" si="89"/>
        <v>0</v>
      </c>
      <c r="K123" s="17">
        <f t="shared" si="90"/>
        <v>0</v>
      </c>
      <c r="L123" s="17">
        <f t="shared" si="91"/>
        <v>0</v>
      </c>
      <c r="M123" s="17">
        <f t="shared" si="92"/>
        <v>0</v>
      </c>
      <c r="N123" s="17">
        <f t="shared" si="93"/>
        <v>0</v>
      </c>
      <c r="O123" s="17"/>
      <c r="P123" s="17">
        <f t="shared" si="94"/>
        <v>0</v>
      </c>
      <c r="Q123" s="17"/>
      <c r="R123" s="17">
        <f t="shared" si="95"/>
        <v>0</v>
      </c>
      <c r="S123" s="17"/>
      <c r="T123" s="17">
        <f t="shared" si="96"/>
        <v>0</v>
      </c>
      <c r="U123" s="17"/>
      <c r="V123" s="17">
        <f t="shared" si="97"/>
        <v>0</v>
      </c>
      <c r="W123" s="17">
        <f t="shared" si="98"/>
        <v>0</v>
      </c>
      <c r="X123" s="17"/>
      <c r="Y123" s="17">
        <f t="shared" si="99"/>
        <v>0</v>
      </c>
      <c r="Z123" s="17">
        <f t="shared" si="100"/>
        <v>0</v>
      </c>
      <c r="AA123" s="17"/>
      <c r="AB123" s="17">
        <f t="shared" si="101"/>
        <v>0</v>
      </c>
      <c r="AC123" s="17">
        <f t="shared" si="102"/>
        <v>0</v>
      </c>
      <c r="AD123" s="17"/>
      <c r="AE123" s="17">
        <f t="shared" si="103"/>
        <v>0</v>
      </c>
      <c r="AF123" s="17">
        <f t="shared" si="104"/>
        <v>0</v>
      </c>
      <c r="AG123" s="17"/>
      <c r="AH123" s="17">
        <f t="shared" si="105"/>
        <v>0</v>
      </c>
      <c r="AI123" s="17"/>
      <c r="AJ123" s="17">
        <f t="shared" si="106"/>
        <v>0</v>
      </c>
      <c r="AK123" s="17"/>
      <c r="AL123" s="17">
        <f t="shared" si="107"/>
        <v>0</v>
      </c>
      <c r="AM123" s="17"/>
      <c r="AN123" s="17">
        <f t="shared" si="108"/>
        <v>0</v>
      </c>
      <c r="AO123" s="17">
        <f t="shared" si="109"/>
        <v>0</v>
      </c>
      <c r="AP123" s="14" t="str">
        <f t="shared" si="110"/>
        <v>ok</v>
      </c>
    </row>
    <row r="124" spans="1:42" x14ac:dyDescent="0.25">
      <c r="A124" s="178" t="s">
        <v>415</v>
      </c>
      <c r="B124" s="178"/>
      <c r="C124" s="2" t="s">
        <v>426</v>
      </c>
      <c r="D124" s="2" t="s">
        <v>48</v>
      </c>
      <c r="F124" s="148">
        <v>0</v>
      </c>
      <c r="H124" s="17">
        <f t="shared" si="87"/>
        <v>0</v>
      </c>
      <c r="I124" s="17">
        <f t="shared" si="88"/>
        <v>0</v>
      </c>
      <c r="J124" s="17">
        <f t="shared" si="89"/>
        <v>0</v>
      </c>
      <c r="K124" s="17">
        <f t="shared" si="90"/>
        <v>0</v>
      </c>
      <c r="L124" s="17">
        <f t="shared" si="91"/>
        <v>0</v>
      </c>
      <c r="M124" s="17">
        <f t="shared" si="92"/>
        <v>0</v>
      </c>
      <c r="N124" s="17">
        <f t="shared" si="93"/>
        <v>0</v>
      </c>
      <c r="O124" s="17"/>
      <c r="P124" s="17">
        <f t="shared" si="94"/>
        <v>0</v>
      </c>
      <c r="Q124" s="17"/>
      <c r="R124" s="17">
        <f t="shared" si="95"/>
        <v>0</v>
      </c>
      <c r="S124" s="17"/>
      <c r="T124" s="17">
        <f t="shared" si="96"/>
        <v>0</v>
      </c>
      <c r="U124" s="17"/>
      <c r="V124" s="17">
        <f t="shared" si="97"/>
        <v>0</v>
      </c>
      <c r="W124" s="17">
        <f t="shared" si="98"/>
        <v>0</v>
      </c>
      <c r="X124" s="17"/>
      <c r="Y124" s="17">
        <f t="shared" si="99"/>
        <v>0</v>
      </c>
      <c r="Z124" s="17">
        <f t="shared" si="100"/>
        <v>0</v>
      </c>
      <c r="AA124" s="17"/>
      <c r="AB124" s="17">
        <f t="shared" si="101"/>
        <v>0</v>
      </c>
      <c r="AC124" s="17">
        <f t="shared" si="102"/>
        <v>0</v>
      </c>
      <c r="AD124" s="17"/>
      <c r="AE124" s="17">
        <f t="shared" si="103"/>
        <v>0</v>
      </c>
      <c r="AF124" s="17">
        <f t="shared" si="104"/>
        <v>0</v>
      </c>
      <c r="AG124" s="17"/>
      <c r="AH124" s="17">
        <f t="shared" si="105"/>
        <v>0</v>
      </c>
      <c r="AI124" s="17"/>
      <c r="AJ124" s="17">
        <f t="shared" si="106"/>
        <v>0</v>
      </c>
      <c r="AK124" s="17"/>
      <c r="AL124" s="17">
        <f t="shared" si="107"/>
        <v>0</v>
      </c>
      <c r="AM124" s="17"/>
      <c r="AN124" s="17">
        <f t="shared" si="108"/>
        <v>0</v>
      </c>
      <c r="AO124" s="17">
        <f t="shared" si="109"/>
        <v>0</v>
      </c>
      <c r="AP124" s="14" t="str">
        <f t="shared" si="110"/>
        <v>ok</v>
      </c>
    </row>
    <row r="125" spans="1:42" x14ac:dyDescent="0.25">
      <c r="A125" s="178" t="s">
        <v>416</v>
      </c>
      <c r="B125" s="178"/>
      <c r="C125" s="2" t="s">
        <v>427</v>
      </c>
      <c r="D125" s="2" t="s">
        <v>50</v>
      </c>
      <c r="F125" s="148">
        <v>0</v>
      </c>
      <c r="H125" s="17">
        <f t="shared" si="87"/>
        <v>0</v>
      </c>
      <c r="I125" s="17">
        <f t="shared" si="88"/>
        <v>0</v>
      </c>
      <c r="J125" s="17">
        <f t="shared" si="89"/>
        <v>0</v>
      </c>
      <c r="K125" s="17">
        <f t="shared" si="90"/>
        <v>0</v>
      </c>
      <c r="L125" s="17">
        <f t="shared" si="91"/>
        <v>0</v>
      </c>
      <c r="M125" s="17">
        <f t="shared" si="92"/>
        <v>0</v>
      </c>
      <c r="N125" s="17">
        <f t="shared" si="93"/>
        <v>0</v>
      </c>
      <c r="O125" s="17"/>
      <c r="P125" s="17">
        <f t="shared" si="94"/>
        <v>0</v>
      </c>
      <c r="Q125" s="17"/>
      <c r="R125" s="17">
        <f t="shared" si="95"/>
        <v>0</v>
      </c>
      <c r="S125" s="17"/>
      <c r="T125" s="17">
        <f t="shared" si="96"/>
        <v>0</v>
      </c>
      <c r="U125" s="17"/>
      <c r="V125" s="17">
        <f t="shared" si="97"/>
        <v>0</v>
      </c>
      <c r="W125" s="17">
        <f t="shared" si="98"/>
        <v>0</v>
      </c>
      <c r="X125" s="17"/>
      <c r="Y125" s="17">
        <f t="shared" si="99"/>
        <v>0</v>
      </c>
      <c r="Z125" s="17">
        <f t="shared" si="100"/>
        <v>0</v>
      </c>
      <c r="AA125" s="17"/>
      <c r="AB125" s="17">
        <f t="shared" si="101"/>
        <v>0</v>
      </c>
      <c r="AC125" s="17">
        <f t="shared" si="102"/>
        <v>0</v>
      </c>
      <c r="AD125" s="17"/>
      <c r="AE125" s="17">
        <f t="shared" si="103"/>
        <v>0</v>
      </c>
      <c r="AF125" s="17">
        <f t="shared" si="104"/>
        <v>0</v>
      </c>
      <c r="AG125" s="17"/>
      <c r="AH125" s="17">
        <f t="shared" si="105"/>
        <v>0</v>
      </c>
      <c r="AI125" s="17"/>
      <c r="AJ125" s="17">
        <f t="shared" si="106"/>
        <v>0</v>
      </c>
      <c r="AK125" s="17"/>
      <c r="AL125" s="17">
        <f t="shared" si="107"/>
        <v>0</v>
      </c>
      <c r="AM125" s="17"/>
      <c r="AN125" s="17">
        <f t="shared" si="108"/>
        <v>0</v>
      </c>
      <c r="AO125" s="17">
        <f t="shared" si="109"/>
        <v>0</v>
      </c>
      <c r="AP125" s="14" t="str">
        <f t="shared" si="110"/>
        <v>ok</v>
      </c>
    </row>
    <row r="126" spans="1:42" x14ac:dyDescent="0.25">
      <c r="A126" s="178" t="s">
        <v>573</v>
      </c>
      <c r="B126" s="178"/>
      <c r="C126" s="2" t="s">
        <v>429</v>
      </c>
      <c r="D126" s="2" t="s">
        <v>18</v>
      </c>
      <c r="F126" s="148">
        <v>68387404.799999997</v>
      </c>
      <c r="H126" s="17">
        <f t="shared" si="87"/>
        <v>0</v>
      </c>
      <c r="I126" s="17">
        <f t="shared" si="88"/>
        <v>0</v>
      </c>
      <c r="J126" s="17">
        <f t="shared" si="89"/>
        <v>0</v>
      </c>
      <c r="K126" s="17">
        <f t="shared" si="90"/>
        <v>0</v>
      </c>
      <c r="L126" s="17">
        <f t="shared" si="91"/>
        <v>0</v>
      </c>
      <c r="M126" s="17">
        <f t="shared" si="92"/>
        <v>0</v>
      </c>
      <c r="N126" s="17">
        <f t="shared" si="93"/>
        <v>0</v>
      </c>
      <c r="O126" s="17"/>
      <c r="P126" s="17">
        <f t="shared" si="94"/>
        <v>0</v>
      </c>
      <c r="Q126" s="17"/>
      <c r="R126" s="17">
        <f t="shared" si="95"/>
        <v>0</v>
      </c>
      <c r="S126" s="17"/>
      <c r="T126" s="17">
        <f t="shared" si="96"/>
        <v>251797.22402255522</v>
      </c>
      <c r="U126" s="17"/>
      <c r="V126" s="17">
        <f t="shared" si="97"/>
        <v>24386966.430046484</v>
      </c>
      <c r="W126" s="17">
        <f t="shared" si="98"/>
        <v>12006946.925307941</v>
      </c>
      <c r="X126" s="17"/>
      <c r="Y126" s="17">
        <f t="shared" si="99"/>
        <v>2709662.9366718312</v>
      </c>
      <c r="Z126" s="17">
        <f t="shared" si="100"/>
        <v>1334105.2139231041</v>
      </c>
      <c r="AA126" s="17"/>
      <c r="AB126" s="17">
        <f t="shared" si="101"/>
        <v>5305249.2889077198</v>
      </c>
      <c r="AC126" s="17">
        <f t="shared" si="102"/>
        <v>6910383.4278956866</v>
      </c>
      <c r="AD126" s="17"/>
      <c r="AE126" s="17">
        <f t="shared" si="103"/>
        <v>0</v>
      </c>
      <c r="AF126" s="17">
        <f t="shared" si="104"/>
        <v>8616028.9060605466</v>
      </c>
      <c r="AG126" s="17"/>
      <c r="AH126" s="17">
        <f t="shared" si="105"/>
        <v>3298990.8920334042</v>
      </c>
      <c r="AI126" s="17"/>
      <c r="AJ126" s="17">
        <f t="shared" si="106"/>
        <v>3567273.5551307406</v>
      </c>
      <c r="AK126" s="17"/>
      <c r="AL126" s="17">
        <f t="shared" si="107"/>
        <v>0</v>
      </c>
      <c r="AM126" s="17"/>
      <c r="AN126" s="17">
        <f t="shared" si="108"/>
        <v>0</v>
      </c>
      <c r="AO126" s="17">
        <f t="shared" si="109"/>
        <v>68387404.800000012</v>
      </c>
      <c r="AP126" s="14" t="str">
        <f t="shared" si="110"/>
        <v>ok</v>
      </c>
    </row>
    <row r="127" spans="1:42" x14ac:dyDescent="0.25">
      <c r="A127" s="179" t="s">
        <v>84</v>
      </c>
      <c r="B127" s="178"/>
      <c r="C127" s="2" t="s">
        <v>85</v>
      </c>
      <c r="D127" s="2" t="s">
        <v>72</v>
      </c>
      <c r="F127" s="148">
        <v>13374498.539999999</v>
      </c>
      <c r="H127" s="17">
        <f t="shared" si="87"/>
        <v>0</v>
      </c>
      <c r="I127" s="17">
        <f t="shared" si="88"/>
        <v>0</v>
      </c>
      <c r="J127" s="17">
        <f t="shared" si="89"/>
        <v>0</v>
      </c>
      <c r="K127" s="17">
        <f t="shared" si="90"/>
        <v>0</v>
      </c>
      <c r="L127" s="17">
        <f t="shared" si="91"/>
        <v>0</v>
      </c>
      <c r="M127" s="17">
        <f t="shared" si="92"/>
        <v>0</v>
      </c>
      <c r="N127" s="17">
        <f t="shared" si="93"/>
        <v>0</v>
      </c>
      <c r="O127" s="17"/>
      <c r="P127" s="17">
        <f t="shared" si="94"/>
        <v>0</v>
      </c>
      <c r="Q127" s="17"/>
      <c r="R127" s="17">
        <f t="shared" si="95"/>
        <v>0</v>
      </c>
      <c r="S127" s="17"/>
      <c r="T127" s="17">
        <f t="shared" si="96"/>
        <v>49243.886574062795</v>
      </c>
      <c r="U127" s="17"/>
      <c r="V127" s="17">
        <f t="shared" si="97"/>
        <v>4769349.6758292792</v>
      </c>
      <c r="W127" s="17">
        <f t="shared" si="98"/>
        <v>2348194.0072448622</v>
      </c>
      <c r="X127" s="17"/>
      <c r="Y127" s="17">
        <f t="shared" si="99"/>
        <v>529927.74175880873</v>
      </c>
      <c r="Z127" s="17">
        <f t="shared" si="100"/>
        <v>260910.44524942909</v>
      </c>
      <c r="AA127" s="17"/>
      <c r="AB127" s="17">
        <f t="shared" si="101"/>
        <v>1037545.5696314465</v>
      </c>
      <c r="AC127" s="17">
        <f t="shared" si="102"/>
        <v>1351461.0378551907</v>
      </c>
      <c r="AD127" s="17"/>
      <c r="AE127" s="17">
        <f t="shared" si="103"/>
        <v>0</v>
      </c>
      <c r="AF127" s="17">
        <f t="shared" si="104"/>
        <v>1685033.4701501143</v>
      </c>
      <c r="AG127" s="17"/>
      <c r="AH127" s="17">
        <f t="shared" si="105"/>
        <v>645182.38406634296</v>
      </c>
      <c r="AI127" s="17"/>
      <c r="AJ127" s="17">
        <f t="shared" si="106"/>
        <v>697650.32164046518</v>
      </c>
      <c r="AK127" s="17"/>
      <c r="AL127" s="17">
        <f t="shared" si="107"/>
        <v>0</v>
      </c>
      <c r="AM127" s="17"/>
      <c r="AN127" s="17">
        <f t="shared" si="108"/>
        <v>0</v>
      </c>
      <c r="AO127" s="17">
        <f t="shared" si="109"/>
        <v>13374498.540000003</v>
      </c>
      <c r="AP127" s="14" t="str">
        <f t="shared" si="110"/>
        <v>ok</v>
      </c>
    </row>
    <row r="128" spans="1:42" x14ac:dyDescent="0.25">
      <c r="A128" s="178"/>
      <c r="B128" s="178"/>
      <c r="AD128" s="2"/>
      <c r="AO128" s="17"/>
      <c r="AP128" s="14"/>
    </row>
    <row r="129" spans="1:42" x14ac:dyDescent="0.25">
      <c r="A129" s="178" t="s">
        <v>86</v>
      </c>
      <c r="B129" s="178"/>
      <c r="C129" s="2" t="s">
        <v>87</v>
      </c>
      <c r="F129" s="16">
        <f t="shared" ref="F129:P129" si="111">SUM(F112:F127)</f>
        <v>81648135.00999999</v>
      </c>
      <c r="G129" s="16">
        <f t="shared" si="111"/>
        <v>0</v>
      </c>
      <c r="H129" s="16">
        <f t="shared" si="111"/>
        <v>0</v>
      </c>
      <c r="I129" s="16">
        <f t="shared" si="111"/>
        <v>0</v>
      </c>
      <c r="J129" s="16">
        <f t="shared" si="111"/>
        <v>0</v>
      </c>
      <c r="K129" s="16">
        <f t="shared" si="111"/>
        <v>0</v>
      </c>
      <c r="L129" s="16">
        <f t="shared" si="111"/>
        <v>0</v>
      </c>
      <c r="M129" s="16">
        <f t="shared" si="111"/>
        <v>0</v>
      </c>
      <c r="N129" s="16">
        <f>SUM(N112:N127)</f>
        <v>0</v>
      </c>
      <c r="O129" s="16"/>
      <c r="P129" s="16">
        <f t="shared" si="111"/>
        <v>0</v>
      </c>
      <c r="Q129" s="16"/>
      <c r="R129" s="16">
        <f>SUM(R112:R127)</f>
        <v>0</v>
      </c>
      <c r="S129" s="16"/>
      <c r="T129" s="16">
        <f>SUM(T112:T127)</f>
        <v>300622.22425695561</v>
      </c>
      <c r="U129" s="16"/>
      <c r="V129" s="16">
        <f>SUM(V112:V127)</f>
        <v>29115746.289655562</v>
      </c>
      <c r="W129" s="16">
        <f>SUM(W112:W127)</f>
        <v>14335166.343604943</v>
      </c>
      <c r="X129" s="16"/>
      <c r="Y129" s="16">
        <f>SUM(Y112:Y127)</f>
        <v>3235082.9210728398</v>
      </c>
      <c r="Z129" s="16">
        <f>SUM(Z112:Z127)</f>
        <v>1592796.2604005486</v>
      </c>
      <c r="AA129" s="16"/>
      <c r="AB129" s="16">
        <f>SUM(AB112:AB127)</f>
        <v>6333969.1200336935</v>
      </c>
      <c r="AC129" s="16">
        <f>SUM(AC112:AC127)</f>
        <v>8250348.4485449232</v>
      </c>
      <c r="AD129" s="16"/>
      <c r="AE129" s="16">
        <f>SUM(AE112:AE127)</f>
        <v>0</v>
      </c>
      <c r="AF129" s="16">
        <f>SUM(AF112:AF127)</f>
        <v>10286728.871046357</v>
      </c>
      <c r="AG129" s="16"/>
      <c r="AH129" s="16">
        <f>SUM(AH112:AH127)</f>
        <v>3938685.1209991188</v>
      </c>
      <c r="AI129" s="16"/>
      <c r="AJ129" s="16">
        <f>SUM(AJ112:AJ127)</f>
        <v>4258989.4103850741</v>
      </c>
      <c r="AK129" s="16"/>
      <c r="AL129" s="16">
        <f>SUM(AL112:AL127)</f>
        <v>0</v>
      </c>
      <c r="AM129" s="16"/>
      <c r="AN129" s="16">
        <f>SUM(AN112:AN127)</f>
        <v>0</v>
      </c>
      <c r="AO129" s="17">
        <f>SUM(H129:AN129)</f>
        <v>81648135.010000005</v>
      </c>
      <c r="AP129" s="14" t="str">
        <f>IF(ABS(AO129-F129)&lt;1,"ok","err")</f>
        <v>ok</v>
      </c>
    </row>
    <row r="130" spans="1:42" x14ac:dyDescent="0.25">
      <c r="A130" s="2"/>
      <c r="B130" s="2"/>
      <c r="F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7"/>
      <c r="AP130" s="14"/>
    </row>
    <row r="131" spans="1:42" x14ac:dyDescent="0.25">
      <c r="A131" s="6" t="s">
        <v>88</v>
      </c>
      <c r="B131" s="2"/>
      <c r="C131" s="2" t="s">
        <v>89</v>
      </c>
      <c r="F131" s="16">
        <f t="shared" ref="F131:P131" si="112">F109-F129</f>
        <v>197432071.78999996</v>
      </c>
      <c r="G131" s="16">
        <f t="shared" si="112"/>
        <v>0</v>
      </c>
      <c r="H131" s="16">
        <f t="shared" si="112"/>
        <v>0</v>
      </c>
      <c r="I131" s="16">
        <f t="shared" si="112"/>
        <v>0</v>
      </c>
      <c r="J131" s="16">
        <f t="shared" si="112"/>
        <v>0</v>
      </c>
      <c r="K131" s="16">
        <f t="shared" si="112"/>
        <v>0</v>
      </c>
      <c r="L131" s="16">
        <f t="shared" si="112"/>
        <v>0</v>
      </c>
      <c r="M131" s="16">
        <f t="shared" si="112"/>
        <v>0</v>
      </c>
      <c r="N131" s="16">
        <f>N109-N129</f>
        <v>0</v>
      </c>
      <c r="O131" s="16"/>
      <c r="P131" s="16">
        <f t="shared" si="112"/>
        <v>0</v>
      </c>
      <c r="Q131" s="16"/>
      <c r="R131" s="16">
        <f>R109-R129</f>
        <v>0</v>
      </c>
      <c r="S131" s="16"/>
      <c r="T131" s="16">
        <f>T109-T129</f>
        <v>726929.8748085238</v>
      </c>
      <c r="U131" s="16"/>
      <c r="V131" s="16">
        <f>V109-V129</f>
        <v>70404328.414539531</v>
      </c>
      <c r="W131" s="16">
        <f>W109-W129</f>
        <v>34663640.392099164</v>
      </c>
      <c r="X131" s="16"/>
      <c r="Y131" s="16">
        <f>Y109-Y129</f>
        <v>7822703.1571710566</v>
      </c>
      <c r="Z131" s="16">
        <f>Z109-Z129</f>
        <v>3851515.5991221294</v>
      </c>
      <c r="AA131" s="16"/>
      <c r="AB131" s="16">
        <f>AB109-AB129</f>
        <v>15316071.161563881</v>
      </c>
      <c r="AC131" s="16">
        <f>AC109-AC129</f>
        <v>19950037.891081478</v>
      </c>
      <c r="AD131" s="16"/>
      <c r="AE131" s="16">
        <f>AE109-AE129</f>
        <v>0</v>
      </c>
      <c r="AF131" s="16">
        <f>AF109-AF129</f>
        <v>24874177.379605152</v>
      </c>
      <c r="AG131" s="16"/>
      <c r="AH131" s="16">
        <f>AH109-AH129</f>
        <v>9524072.5764533654</v>
      </c>
      <c r="AI131" s="16"/>
      <c r="AJ131" s="16">
        <f>AJ109-AJ129</f>
        <v>10298595.34355573</v>
      </c>
      <c r="AK131" s="16"/>
      <c r="AL131" s="16">
        <f>AL109-AL129</f>
        <v>0</v>
      </c>
      <c r="AM131" s="16"/>
      <c r="AN131" s="16">
        <f>AN109-AN129</f>
        <v>0</v>
      </c>
      <c r="AO131" s="17">
        <f>SUM(H131:AN131)</f>
        <v>197432071.78999996</v>
      </c>
      <c r="AP131" s="14" t="str">
        <f>IF(ABS(AO131-F131)&lt;1,"ok","err")</f>
        <v>ok</v>
      </c>
    </row>
    <row r="132" spans="1:42" x14ac:dyDescent="0.25">
      <c r="A132" s="2"/>
      <c r="B132" s="2"/>
      <c r="AD132" s="2"/>
      <c r="AP132" s="14"/>
    </row>
    <row r="133" spans="1:42" x14ac:dyDescent="0.25">
      <c r="A133" s="5" t="s">
        <v>90</v>
      </c>
      <c r="B133" s="2"/>
      <c r="AD133" s="2"/>
      <c r="AP133" s="14"/>
    </row>
    <row r="134" spans="1:42" x14ac:dyDescent="0.25">
      <c r="A134" s="2" t="s">
        <v>393</v>
      </c>
      <c r="B134" s="2"/>
      <c r="C134" s="2" t="s">
        <v>92</v>
      </c>
      <c r="D134" s="2" t="s">
        <v>93</v>
      </c>
      <c r="F134" s="106">
        <f>0.125*(F264-F161)</f>
        <v>2670806.9212500006</v>
      </c>
      <c r="G134" s="106"/>
      <c r="H134" s="106">
        <f t="shared" ref="H134:AN134" si="113">0.125*(H264-H161)</f>
        <v>0</v>
      </c>
      <c r="I134" s="106">
        <f t="shared" si="113"/>
        <v>0</v>
      </c>
      <c r="J134" s="106">
        <f t="shared" si="113"/>
        <v>0</v>
      </c>
      <c r="K134" s="106">
        <f t="shared" si="113"/>
        <v>0</v>
      </c>
      <c r="L134" s="106">
        <f t="shared" si="113"/>
        <v>0</v>
      </c>
      <c r="M134" s="106">
        <f t="shared" si="113"/>
        <v>0</v>
      </c>
      <c r="N134" s="106">
        <f t="shared" si="113"/>
        <v>0</v>
      </c>
      <c r="O134" s="106"/>
      <c r="P134" s="106">
        <f t="shared" si="113"/>
        <v>0</v>
      </c>
      <c r="Q134" s="106"/>
      <c r="R134" s="106">
        <f t="shared" si="113"/>
        <v>0</v>
      </c>
      <c r="S134" s="106"/>
      <c r="T134" s="106">
        <f t="shared" si="113"/>
        <v>5663.0381586160674</v>
      </c>
      <c r="U134" s="106"/>
      <c r="V134" s="106">
        <f t="shared" si="113"/>
        <v>970243.53629285656</v>
      </c>
      <c r="W134" s="106">
        <f t="shared" si="113"/>
        <v>437125.14930415119</v>
      </c>
      <c r="X134" s="106"/>
      <c r="Y134" s="106">
        <f t="shared" si="113"/>
        <v>107804.83736587295</v>
      </c>
      <c r="Z134" s="106">
        <f t="shared" si="113"/>
        <v>48569.461033794578</v>
      </c>
      <c r="AA134" s="106"/>
      <c r="AB134" s="106">
        <f t="shared" si="113"/>
        <v>24486.923003112286</v>
      </c>
      <c r="AC134" s="106">
        <f t="shared" si="113"/>
        <v>31895.584487360396</v>
      </c>
      <c r="AD134" s="106"/>
      <c r="AE134" s="106">
        <f t="shared" si="113"/>
        <v>0</v>
      </c>
      <c r="AF134" s="106">
        <f t="shared" si="113"/>
        <v>29829.018159557134</v>
      </c>
      <c r="AG134" s="106"/>
      <c r="AH134" s="106">
        <f t="shared" si="113"/>
        <v>249860.90343170051</v>
      </c>
      <c r="AI134" s="106"/>
      <c r="AJ134" s="106">
        <f t="shared" si="113"/>
        <v>72306.002143380785</v>
      </c>
      <c r="AK134" s="106"/>
      <c r="AL134" s="106">
        <f t="shared" si="113"/>
        <v>665034.98698780383</v>
      </c>
      <c r="AM134" s="106"/>
      <c r="AN134" s="106">
        <f t="shared" si="113"/>
        <v>27987.480881793759</v>
      </c>
      <c r="AO134" s="17">
        <f>SUM(H134:AN134)</f>
        <v>2670806.9212500001</v>
      </c>
      <c r="AP134" s="14" t="str">
        <f>IF(ABS(AO134-F134)&lt;1,"ok","err")</f>
        <v>ok</v>
      </c>
    </row>
    <row r="135" spans="1:42" x14ac:dyDescent="0.25">
      <c r="A135" s="2" t="s">
        <v>78</v>
      </c>
      <c r="B135" s="2"/>
      <c r="C135" s="2" t="s">
        <v>375</v>
      </c>
      <c r="D135" s="2" t="s">
        <v>74</v>
      </c>
      <c r="F135" s="148">
        <v>1402806.76</v>
      </c>
      <c r="H135" s="17">
        <f>IF(VLOOKUP($D135,$C$5:$AN$495,6,)=0,0,((VLOOKUP($D135,$C$5:$AN$495,6,)/VLOOKUP($D135,$C$5:$AN$495,4,))*$F135))</f>
        <v>0</v>
      </c>
      <c r="I135" s="17">
        <f>IF(VLOOKUP($D135,$C$5:$AN$495,7,)=0,0,((VLOOKUP($D135,$C$5:$AN$495,7,)/VLOOKUP($D135,$C$5:$AN$495,4,))*$F135))</f>
        <v>0</v>
      </c>
      <c r="J135" s="17">
        <f>IF(VLOOKUP($D135,$C$5:$AN$495,8,)=0,0,((VLOOKUP($D135,$C$5:$AN$495,8,)/VLOOKUP($D135,$C$5:$AN$495,4,))*$F135))</f>
        <v>0</v>
      </c>
      <c r="K135" s="17">
        <f>IF(VLOOKUP($D135,$C$5:$AN$495,9,)=0,0,((VLOOKUP($D135,$C$5:$AN$495,9,)/VLOOKUP($D135,$C$5:$AN$495,4,))*$F135))</f>
        <v>0</v>
      </c>
      <c r="L135" s="17">
        <f>IF(VLOOKUP($D135,$C$5:$AN$495,10,)=0,0,((VLOOKUP($D135,$C$5:$AN$495,10,)/VLOOKUP($D135,$C$5:$AN$495,4,))*$F135))</f>
        <v>0</v>
      </c>
      <c r="M135" s="17">
        <f>IF(VLOOKUP($D135,$C$5:$AN$495,11,)=0,0,((VLOOKUP($D135,$C$5:$AN$495,11,)/VLOOKUP($D135,$C$5:$AN$495,4,))*$F135))</f>
        <v>0</v>
      </c>
      <c r="N135" s="17">
        <f>IF(VLOOKUP($D135,$C$5:$AN$495,12,)=0,0,((VLOOKUP($D135,$C$5:$AN$495,12,)/VLOOKUP($D135,$C$5:$AN$495,4,))*$F135))</f>
        <v>0</v>
      </c>
      <c r="O135" s="17"/>
      <c r="P135" s="17">
        <f>IF(VLOOKUP($D135,$C$5:$AN$495,14,)=0,0,((VLOOKUP($D135,$C$5:$AN$495,14,)/VLOOKUP($D135,$C$5:$AN$495,4,))*$F135))</f>
        <v>0</v>
      </c>
      <c r="Q135" s="17"/>
      <c r="R135" s="17">
        <f>IF(VLOOKUP($D135,$C$5:$AN$495,16,)=0,0,((VLOOKUP($D135,$C$5:$AN$495,16,)/VLOOKUP($D135,$C$5:$AN$495,4,))*$F135))</f>
        <v>0</v>
      </c>
      <c r="S135" s="17"/>
      <c r="T135" s="17">
        <f>IF(VLOOKUP($D135,$C$5:$AN$495,18,)=0,0,((VLOOKUP($D135,$C$5:$AN$495,18,)/VLOOKUP($D135,$C$5:$AN$495,4,))*$F135))</f>
        <v>5165.027815298452</v>
      </c>
      <c r="U135" s="17"/>
      <c r="V135" s="17">
        <f>IF(VLOOKUP($D135,$C$5:$AN$495,20,)=0,0,((VLOOKUP($D135,$C$5:$AN$495,20,)/VLOOKUP($D135,$C$5:$AN$495,4,))*$F135))</f>
        <v>500241.25734863791</v>
      </c>
      <c r="W135" s="17">
        <f>IF(VLOOKUP($D135,$C$5:$AN$495,21,)=0,0,((VLOOKUP($D135,$C$5:$AN$495,21,)/VLOOKUP($D135,$C$5:$AN$495,4,))*$F135))</f>
        <v>246294.27543042533</v>
      </c>
      <c r="X135" s="17"/>
      <c r="Y135" s="17">
        <f>IF(VLOOKUP($D135,$C$5:$AN$495,23,)=0,0,((VLOOKUP($D135,$C$5:$AN$495,23,)/VLOOKUP($D135,$C$5:$AN$495,4,))*$F135))</f>
        <v>55582.361927626429</v>
      </c>
      <c r="Z135" s="17">
        <f>IF(VLOOKUP($D135,$C$5:$AN$495,24,)=0,0,((VLOOKUP($D135,$C$5:$AN$495,24,)/VLOOKUP($D135,$C$5:$AN$495,4,))*$F135))</f>
        <v>27366.030603380586</v>
      </c>
      <c r="AA135" s="17"/>
      <c r="AB135" s="17">
        <f>IF(VLOOKUP($D135,$C$5:$AN$495,26,)=0,0,((VLOOKUP($D135,$C$5:$AN$495,26,)/VLOOKUP($D135,$C$5:$AN$495,4,))*$F135))</f>
        <v>108824.71103750588</v>
      </c>
      <c r="AC135" s="17">
        <f>IF(VLOOKUP($D135,$C$5:$AN$495,27,)=0,0,((VLOOKUP($D135,$C$5:$AN$495,27,)/VLOOKUP($D135,$C$5:$AN$495,4,))*$F135))</f>
        <v>141750.26256946137</v>
      </c>
      <c r="AD135" s="17"/>
      <c r="AE135" s="17">
        <f>IF(VLOOKUP($D135,$C$5:$AN$495,29,)=0,0,((VLOOKUP($D135,$C$5:$AN$495,29,)/VLOOKUP($D135,$C$5:$AN$495,4,))*$F135))</f>
        <v>0</v>
      </c>
      <c r="AF135" s="17">
        <f>IF(VLOOKUP($D135,$C$5:$AN$495,30,)=0,0,((VLOOKUP($D135,$C$5:$AN$495,30,)/VLOOKUP($D135,$C$5:$AN$495,4,))*$F135))</f>
        <v>176737.56781858669</v>
      </c>
      <c r="AG135" s="17"/>
      <c r="AH135" s="17">
        <f>IF(VLOOKUP($D135,$C$5:$AN$495,32,)=0,0,((VLOOKUP($D135,$C$5:$AN$495,32,)/VLOOKUP($D135,$C$5:$AN$495,4,))*$F135))</f>
        <v>67671.038812733095</v>
      </c>
      <c r="AI135" s="17"/>
      <c r="AJ135" s="17">
        <f>IF(VLOOKUP($D135,$C$5:$AN$495,34,)=0,0,((VLOOKUP($D135,$C$5:$AN$495,34,)/VLOOKUP($D135,$C$5:$AN$495,4,))*$F135))</f>
        <v>73174.226636344523</v>
      </c>
      <c r="AK135" s="17"/>
      <c r="AL135" s="17">
        <f>IF(VLOOKUP($D135,$C$5:$AN$495,36,)=0,0,((VLOOKUP($D135,$C$5:$AN$495,36,)/VLOOKUP($D135,$C$5:$AN$495,4,))*$F135))</f>
        <v>0</v>
      </c>
      <c r="AM135" s="17"/>
      <c r="AN135" s="17">
        <f>IF(VLOOKUP($D135,$C$5:$AN$495,38,)=0,0,((VLOOKUP($D135,$C$5:$AN$495,38,)/VLOOKUP($D135,$C$5:$AN$495,4,))*$F135))</f>
        <v>0</v>
      </c>
      <c r="AO135" s="17">
        <f>SUM(H135:AN135)</f>
        <v>1402806.7600000005</v>
      </c>
      <c r="AP135" s="14" t="str">
        <f>IF(ABS(AO135-F135)&lt;1,"ok","err")</f>
        <v>ok</v>
      </c>
    </row>
    <row r="136" spans="1:42" x14ac:dyDescent="0.25">
      <c r="A136" s="2" t="s">
        <v>94</v>
      </c>
      <c r="B136" s="2"/>
      <c r="C136" s="2" t="s">
        <v>95</v>
      </c>
      <c r="D136" s="2" t="s">
        <v>74</v>
      </c>
      <c r="F136" s="148">
        <v>387266.41000000003</v>
      </c>
      <c r="H136" s="17">
        <f>IF(VLOOKUP($D136,$C$5:$AN$495,6,)=0,0,((VLOOKUP($D136,$C$5:$AN$495,6,)/VLOOKUP($D136,$C$5:$AN$495,4,))*$F136))</f>
        <v>0</v>
      </c>
      <c r="I136" s="17">
        <f>IF(VLOOKUP($D136,$C$5:$AN$495,7,)=0,0,((VLOOKUP($D136,$C$5:$AN$495,7,)/VLOOKUP($D136,$C$5:$AN$495,4,))*$F136))</f>
        <v>0</v>
      </c>
      <c r="J136" s="17">
        <f>IF(VLOOKUP($D136,$C$5:$AN$495,8,)=0,0,((VLOOKUP($D136,$C$5:$AN$495,8,)/VLOOKUP($D136,$C$5:$AN$495,4,))*$F136))</f>
        <v>0</v>
      </c>
      <c r="K136" s="17">
        <f>IF(VLOOKUP($D136,$C$5:$AN$495,9,)=0,0,((VLOOKUP($D136,$C$5:$AN$495,9,)/VLOOKUP($D136,$C$5:$AN$495,4,))*$F136))</f>
        <v>0</v>
      </c>
      <c r="L136" s="17">
        <f>IF(VLOOKUP($D136,$C$5:$AN$495,10,)=0,0,((VLOOKUP($D136,$C$5:$AN$495,10,)/VLOOKUP($D136,$C$5:$AN$495,4,))*$F136))</f>
        <v>0</v>
      </c>
      <c r="M136" s="17">
        <f>IF(VLOOKUP($D136,$C$5:$AN$495,11,)=0,0,((VLOOKUP($D136,$C$5:$AN$495,11,)/VLOOKUP($D136,$C$5:$AN$495,4,))*$F136))</f>
        <v>0</v>
      </c>
      <c r="N136" s="17">
        <f>IF(VLOOKUP($D136,$C$5:$AN$495,12,)=0,0,((VLOOKUP($D136,$C$5:$AN$495,12,)/VLOOKUP($D136,$C$5:$AN$495,4,))*$F136))</f>
        <v>0</v>
      </c>
      <c r="O136" s="17"/>
      <c r="P136" s="17">
        <f>IF(VLOOKUP($D136,$C$5:$AN$495,14,)=0,0,((VLOOKUP($D136,$C$5:$AN$495,14,)/VLOOKUP($D136,$C$5:$AN$495,4,))*$F136))</f>
        <v>0</v>
      </c>
      <c r="Q136" s="17"/>
      <c r="R136" s="17">
        <f>IF(VLOOKUP($D136,$C$5:$AN$495,16,)=0,0,((VLOOKUP($D136,$C$5:$AN$495,16,)/VLOOKUP($D136,$C$5:$AN$495,4,))*$F136))</f>
        <v>0</v>
      </c>
      <c r="S136" s="17"/>
      <c r="T136" s="17">
        <f>IF(VLOOKUP($D136,$C$5:$AN$495,18,)=0,0,((VLOOKUP($D136,$C$5:$AN$495,18,)/VLOOKUP($D136,$C$5:$AN$495,4,))*$F136))</f>
        <v>1425.885472337455</v>
      </c>
      <c r="U136" s="17"/>
      <c r="V136" s="17">
        <f>IF(VLOOKUP($D136,$C$5:$AN$495,20,)=0,0,((VLOOKUP($D136,$C$5:$AN$495,20,)/VLOOKUP($D136,$C$5:$AN$495,4,))*$F136))</f>
        <v>138099.30304819255</v>
      </c>
      <c r="W136" s="17">
        <f>IF(VLOOKUP($D136,$C$5:$AN$495,21,)=0,0,((VLOOKUP($D136,$C$5:$AN$495,21,)/VLOOKUP($D136,$C$5:$AN$495,4,))*$F136))</f>
        <v>67993.327783430432</v>
      </c>
      <c r="X136" s="17"/>
      <c r="Y136" s="17">
        <f>IF(VLOOKUP($D136,$C$5:$AN$495,23,)=0,0,((VLOOKUP($D136,$C$5:$AN$495,23,)/VLOOKUP($D136,$C$5:$AN$495,4,))*$F136))</f>
        <v>15344.367005354728</v>
      </c>
      <c r="Z136" s="17">
        <f>IF(VLOOKUP($D136,$C$5:$AN$495,24,)=0,0,((VLOOKUP($D136,$C$5:$AN$495,24,)/VLOOKUP($D136,$C$5:$AN$495,4,))*$F136))</f>
        <v>7554.8141981589361</v>
      </c>
      <c r="AA136" s="17"/>
      <c r="AB136" s="17">
        <f>IF(VLOOKUP($D136,$C$5:$AN$495,26,)=0,0,((VLOOKUP($D136,$C$5:$AN$495,26,)/VLOOKUP($D136,$C$5:$AN$495,4,))*$F136))</f>
        <v>30042.737435042214</v>
      </c>
      <c r="AC136" s="17">
        <f>IF(VLOOKUP($D136,$C$5:$AN$495,27,)=0,0,((VLOOKUP($D136,$C$5:$AN$495,27,)/VLOOKUP($D136,$C$5:$AN$495,4,))*$F136))</f>
        <v>39132.343004843147</v>
      </c>
      <c r="AD136" s="17"/>
      <c r="AE136" s="17">
        <f>IF(VLOOKUP($D136,$C$5:$AN$495,29,)=0,0,((VLOOKUP($D136,$C$5:$AN$495,29,)/VLOOKUP($D136,$C$5:$AN$495,4,))*$F136))</f>
        <v>0</v>
      </c>
      <c r="AF136" s="17">
        <f>IF(VLOOKUP($D136,$C$5:$AN$495,30,)=0,0,((VLOOKUP($D136,$C$5:$AN$495,30,)/VLOOKUP($D136,$C$5:$AN$495,4,))*$F136))</f>
        <v>48791.127440272394</v>
      </c>
      <c r="AG136" s="17"/>
      <c r="AH136" s="17">
        <f>IF(VLOOKUP($D136,$C$5:$AN$495,32,)=0,0,((VLOOKUP($D136,$C$5:$AN$495,32,)/VLOOKUP($D136,$C$5:$AN$495,4,))*$F136))</f>
        <v>18681.632430954218</v>
      </c>
      <c r="AI136" s="17"/>
      <c r="AJ136" s="17">
        <f>IF(VLOOKUP($D136,$C$5:$AN$495,34,)=0,0,((VLOOKUP($D136,$C$5:$AN$495,34,)/VLOOKUP($D136,$C$5:$AN$495,4,))*$F136))</f>
        <v>20200.872181414012</v>
      </c>
      <c r="AK136" s="17"/>
      <c r="AL136" s="17">
        <f>IF(VLOOKUP($D136,$C$5:$AN$495,36,)=0,0,((VLOOKUP($D136,$C$5:$AN$495,36,)/VLOOKUP($D136,$C$5:$AN$495,4,))*$F136))</f>
        <v>0</v>
      </c>
      <c r="AM136" s="17"/>
      <c r="AN136" s="17">
        <f>IF(VLOOKUP($D136,$C$5:$AN$495,38,)=0,0,((VLOOKUP($D136,$C$5:$AN$495,38,)/VLOOKUP($D136,$C$5:$AN$495,4,))*$F136))</f>
        <v>0</v>
      </c>
      <c r="AO136" s="17">
        <f>SUM(H136:AN136)</f>
        <v>387266.41000000003</v>
      </c>
      <c r="AP136" s="14" t="str">
        <f>IF(ABS(AO136-F136)&lt;1,"ok","err")</f>
        <v>ok</v>
      </c>
    </row>
    <row r="137" spans="1:42" x14ac:dyDescent="0.25">
      <c r="A137" s="2"/>
      <c r="B137" s="2"/>
      <c r="AD137" s="2"/>
      <c r="AO137" s="17"/>
      <c r="AP137" s="14"/>
    </row>
    <row r="138" spans="1:42" x14ac:dyDescent="0.25">
      <c r="A138" s="12" t="s">
        <v>96</v>
      </c>
      <c r="B138" s="2"/>
      <c r="C138" s="2" t="s">
        <v>97</v>
      </c>
      <c r="F138" s="16">
        <f t="shared" ref="F138:P138" si="114">SUM(F134:F137)</f>
        <v>4460880.0912500005</v>
      </c>
      <c r="G138" s="16">
        <f t="shared" si="114"/>
        <v>0</v>
      </c>
      <c r="H138" s="16">
        <f t="shared" si="114"/>
        <v>0</v>
      </c>
      <c r="I138" s="16">
        <f t="shared" si="114"/>
        <v>0</v>
      </c>
      <c r="J138" s="16">
        <f t="shared" si="114"/>
        <v>0</v>
      </c>
      <c r="K138" s="16">
        <f t="shared" si="114"/>
        <v>0</v>
      </c>
      <c r="L138" s="16">
        <f t="shared" si="114"/>
        <v>0</v>
      </c>
      <c r="M138" s="16">
        <f t="shared" si="114"/>
        <v>0</v>
      </c>
      <c r="N138" s="16">
        <f t="shared" si="114"/>
        <v>0</v>
      </c>
      <c r="O138" s="16"/>
      <c r="P138" s="16">
        <f t="shared" si="114"/>
        <v>0</v>
      </c>
      <c r="Q138" s="16"/>
      <c r="R138" s="16">
        <f>SUM(R134:R137)</f>
        <v>0</v>
      </c>
      <c r="S138" s="16"/>
      <c r="T138" s="16">
        <f>SUM(T134:T137)</f>
        <v>12253.951446251975</v>
      </c>
      <c r="U138" s="16"/>
      <c r="V138" s="16">
        <f>SUM(V134:V137)</f>
        <v>1608584.0966896871</v>
      </c>
      <c r="W138" s="16">
        <f>SUM(W134:W137)</f>
        <v>751412.75251800695</v>
      </c>
      <c r="X138" s="16"/>
      <c r="Y138" s="16">
        <f>SUM(Y134:Y137)</f>
        <v>178731.5662988541</v>
      </c>
      <c r="Z138" s="16">
        <f>SUM(Z134:Z137)</f>
        <v>83490.305835334089</v>
      </c>
      <c r="AA138" s="16"/>
      <c r="AB138" s="16">
        <f>SUM(AB134:AB137)</f>
        <v>163354.37147566039</v>
      </c>
      <c r="AC138" s="16">
        <f>SUM(AC134:AC137)</f>
        <v>212778.19006166491</v>
      </c>
      <c r="AD138" s="16"/>
      <c r="AE138" s="16">
        <f>SUM(AE134:AE137)</f>
        <v>0</v>
      </c>
      <c r="AF138" s="16">
        <f>SUM(AF134:AF137)</f>
        <v>255357.71341841621</v>
      </c>
      <c r="AG138" s="16"/>
      <c r="AH138" s="16">
        <f>SUM(AH134:AH137)</f>
        <v>336213.57467538782</v>
      </c>
      <c r="AI138" s="16"/>
      <c r="AJ138" s="16">
        <f>SUM(AJ134:AJ137)</f>
        <v>165681.10096113934</v>
      </c>
      <c r="AK138" s="16"/>
      <c r="AL138" s="16">
        <f>SUM(AL134:AL137)</f>
        <v>665034.98698780383</v>
      </c>
      <c r="AM138" s="16"/>
      <c r="AN138" s="16">
        <f>SUM(AN134:AN137)</f>
        <v>27987.480881793759</v>
      </c>
      <c r="AO138" s="17">
        <f>SUM(H138:AN138)</f>
        <v>4460880.0912499996</v>
      </c>
      <c r="AP138" s="14" t="str">
        <f>IF(ABS(AO138-F138)&lt;1,"ok","err")</f>
        <v>ok</v>
      </c>
    </row>
    <row r="139" spans="1:42" x14ac:dyDescent="0.25">
      <c r="A139" s="2"/>
      <c r="B139" s="2"/>
      <c r="AD139" s="2"/>
      <c r="AP139" s="14"/>
    </row>
    <row r="140" spans="1:42" x14ac:dyDescent="0.25">
      <c r="A140" s="6" t="s">
        <v>462</v>
      </c>
      <c r="B140" s="2"/>
      <c r="AD140" s="2"/>
      <c r="AP140" s="14"/>
    </row>
    <row r="141" spans="1:42" x14ac:dyDescent="0.25">
      <c r="A141" s="2" t="s">
        <v>574</v>
      </c>
      <c r="B141" s="2"/>
      <c r="C141" s="2" t="s">
        <v>575</v>
      </c>
      <c r="D141" s="2" t="s">
        <v>518</v>
      </c>
      <c r="F141" s="106">
        <v>0</v>
      </c>
      <c r="H141" s="17">
        <f>IF(VLOOKUP($D141,$C$5:$AN$495,6,)=0,0,((VLOOKUP($D141,$C$5:$AN$495,6,)/VLOOKUP($D141,$C$5:$AN$495,4,))*$F141))</f>
        <v>0</v>
      </c>
      <c r="I141" s="17">
        <f>IF(VLOOKUP($D141,$C$5:$AN$495,7,)=0,0,((VLOOKUP($D141,$C$5:$AN$495,7,)/VLOOKUP($D141,$C$5:$AN$495,4,))*$F141))</f>
        <v>0</v>
      </c>
      <c r="J141" s="17">
        <f>IF(VLOOKUP($D141,$C$5:$AN$495,8,)=0,0,((VLOOKUP($D141,$C$5:$AN$495,8,)/VLOOKUP($D141,$C$5:$AN$495,4,))*$F141))</f>
        <v>0</v>
      </c>
      <c r="K141" s="17">
        <f>IF(VLOOKUP($D141,$C$5:$AN$495,9,)=0,0,((VLOOKUP($D141,$C$5:$AN$495,9,)/VLOOKUP($D141,$C$5:$AN$495,4,))*$F141))</f>
        <v>0</v>
      </c>
      <c r="L141" s="17">
        <f>IF(VLOOKUP($D141,$C$5:$AN$495,10,)=0,0,((VLOOKUP($D141,$C$5:$AN$495,10,)/VLOOKUP($D141,$C$5:$AN$495,4,))*$F141))</f>
        <v>0</v>
      </c>
      <c r="M141" s="17">
        <f>IF(VLOOKUP($D141,$C$5:$AN$495,11,)=0,0,((VLOOKUP($D141,$C$5:$AN$495,11,)/VLOOKUP($D141,$C$5:$AN$495,4,))*$F141))</f>
        <v>0</v>
      </c>
      <c r="N141" s="17">
        <f>IF(VLOOKUP($D141,$C$5:$AN$495,12,)=0,0,((VLOOKUP($D141,$C$5:$AN$495,12,)/VLOOKUP($D141,$C$5:$AN$495,4,))*$F141))</f>
        <v>0</v>
      </c>
      <c r="O141" s="17"/>
      <c r="P141" s="17">
        <f>IF(VLOOKUP($D141,$C$5:$AN$495,14,)=0,0,((VLOOKUP($D141,$C$5:$AN$495,14,)/VLOOKUP($D141,$C$5:$AN$495,4,))*$F141))</f>
        <v>0</v>
      </c>
      <c r="Q141" s="17"/>
      <c r="R141" s="17">
        <f>IF(VLOOKUP($D141,$C$5:$AN$495,16,)=0,0,((VLOOKUP($D141,$C$5:$AN$495,16,)/VLOOKUP($D141,$C$5:$AN$495,4,))*$F141))</f>
        <v>0</v>
      </c>
      <c r="S141" s="17"/>
      <c r="T141" s="17">
        <f>IF(VLOOKUP($D141,$C$5:$AN$495,18,)=0,0,((VLOOKUP($D141,$C$5:$AN$495,18,)/VLOOKUP($D141,$C$5:$AN$495,4,))*$F141))</f>
        <v>0</v>
      </c>
      <c r="U141" s="17"/>
      <c r="V141" s="17">
        <f>IF(VLOOKUP($D141,$C$5:$AN$495,20,)=0,0,((VLOOKUP($D141,$C$5:$AN$495,20,)/VLOOKUP($D141,$C$5:$AN$495,4,))*$F141))</f>
        <v>0</v>
      </c>
      <c r="W141" s="17">
        <f>IF(VLOOKUP($D141,$C$5:$AN$495,21,)=0,0,((VLOOKUP($D141,$C$5:$AN$495,21,)/VLOOKUP($D141,$C$5:$AN$495,4,))*$F141))</f>
        <v>0</v>
      </c>
      <c r="X141" s="17"/>
      <c r="Y141" s="17">
        <f>IF(VLOOKUP($D141,$C$5:$AN$495,23,)=0,0,((VLOOKUP($D141,$C$5:$AN$495,23,)/VLOOKUP($D141,$C$5:$AN$495,4,))*$F141))</f>
        <v>0</v>
      </c>
      <c r="Z141" s="17">
        <f>IF(VLOOKUP($D141,$C$5:$AN$495,24,)=0,0,((VLOOKUP($D141,$C$5:$AN$495,24,)/VLOOKUP($D141,$C$5:$AN$495,4,))*$F141))</f>
        <v>0</v>
      </c>
      <c r="AA141" s="17"/>
      <c r="AB141" s="17">
        <f>IF(VLOOKUP($D141,$C$5:$AN$495,26,)=0,0,((VLOOKUP($D141,$C$5:$AN$495,26,)/VLOOKUP($D141,$C$5:$AN$495,4,))*$F141))</f>
        <v>0</v>
      </c>
      <c r="AC141" s="17">
        <f>IF(VLOOKUP($D141,$C$5:$AN$495,27,)=0,0,((VLOOKUP($D141,$C$5:$AN$495,27,)/VLOOKUP($D141,$C$5:$AN$495,4,))*$F141))</f>
        <v>0</v>
      </c>
      <c r="AD141" s="17"/>
      <c r="AE141" s="17">
        <f>IF(VLOOKUP($D141,$C$5:$AN$495,29,)=0,0,((VLOOKUP($D141,$C$5:$AN$495,29,)/VLOOKUP($D141,$C$5:$AN$495,4,))*$F141))</f>
        <v>0</v>
      </c>
      <c r="AF141" s="17">
        <f>IF(VLOOKUP($D141,$C$5:$AN$495,30,)=0,0,((VLOOKUP($D141,$C$5:$AN$495,30,)/VLOOKUP($D141,$C$5:$AN$495,4,))*$F141))</f>
        <v>0</v>
      </c>
      <c r="AG141" s="17"/>
      <c r="AH141" s="17">
        <f>IF(VLOOKUP($D141,$C$5:$AN$495,32,)=0,0,((VLOOKUP($D141,$C$5:$AN$495,32,)/VLOOKUP($D141,$C$5:$AN$495,4,))*$F141))</f>
        <v>0</v>
      </c>
      <c r="AI141" s="17"/>
      <c r="AJ141" s="17">
        <f>IF(VLOOKUP($D141,$C$5:$AN$495,34,)=0,0,((VLOOKUP($D141,$C$5:$AN$495,34,)/VLOOKUP($D141,$C$5:$AN$495,4,))*$F141))</f>
        <v>0</v>
      </c>
      <c r="AK141" s="17"/>
      <c r="AL141" s="17">
        <f>IF(VLOOKUP($D141,$C$5:$AN$495,36,)=0,0,((VLOOKUP($D141,$C$5:$AN$495,36,)/VLOOKUP($D141,$C$5:$AN$495,4,))*$F141))</f>
        <v>0</v>
      </c>
      <c r="AM141" s="17"/>
      <c r="AN141" s="17">
        <f>IF(VLOOKUP($D141,$C$5:$AN$495,38,)=0,0,((VLOOKUP($D141,$C$5:$AN$495,38,)/VLOOKUP($D141,$C$5:$AN$495,4,))*$F141))</f>
        <v>0</v>
      </c>
      <c r="AO141" s="17">
        <f>SUM(H141:AN141)</f>
        <v>0</v>
      </c>
      <c r="AP141" s="14" t="str">
        <f>IF(ABS(AO141-F141)&lt;1,"ok","err")</f>
        <v>ok</v>
      </c>
    </row>
    <row r="142" spans="1:42" x14ac:dyDescent="0.25">
      <c r="A142" s="2" t="s">
        <v>624</v>
      </c>
      <c r="B142" s="2"/>
      <c r="C142" s="2" t="s">
        <v>376</v>
      </c>
      <c r="D142" s="2" t="s">
        <v>391</v>
      </c>
      <c r="F142" s="106">
        <v>0</v>
      </c>
      <c r="H142" s="17">
        <f>IF(VLOOKUP($D142,$C$5:$AN$495,6,)=0,0,((VLOOKUP($D142,$C$5:$AN$495,6,)/VLOOKUP($D142,$C$5:$AN$495,4,))*$F142))</f>
        <v>0</v>
      </c>
      <c r="I142" s="17">
        <f>IF(VLOOKUP($D142,$C$5:$AN$495,7,)=0,0,((VLOOKUP($D142,$C$5:$AN$495,7,)/VLOOKUP($D142,$C$5:$AN$495,4,))*$F142))</f>
        <v>0</v>
      </c>
      <c r="J142" s="17">
        <f>IF(VLOOKUP($D142,$C$5:$AN$495,8,)=0,0,((VLOOKUP($D142,$C$5:$AN$495,8,)/VLOOKUP($D142,$C$5:$AN$495,4,))*$F142))</f>
        <v>0</v>
      </c>
      <c r="K142" s="17">
        <f>IF(VLOOKUP($D142,$C$5:$AN$495,9,)=0,0,((VLOOKUP($D142,$C$5:$AN$495,9,)/VLOOKUP($D142,$C$5:$AN$495,4,))*$F142))</f>
        <v>0</v>
      </c>
      <c r="L142" s="17">
        <f>IF(VLOOKUP($D142,$C$5:$AN$495,10,)=0,0,((VLOOKUP($D142,$C$5:$AN$495,10,)/VLOOKUP($D142,$C$5:$AN$495,4,))*$F142))</f>
        <v>0</v>
      </c>
      <c r="M142" s="17">
        <f>IF(VLOOKUP($D142,$C$5:$AN$495,11,)=0,0,((VLOOKUP($D142,$C$5:$AN$495,11,)/VLOOKUP($D142,$C$5:$AN$495,4,))*$F142))</f>
        <v>0</v>
      </c>
      <c r="N142" s="17">
        <f>IF(VLOOKUP($D142,$C$5:$AN$495,12,)=0,0,((VLOOKUP($D142,$C$5:$AN$495,12,)/VLOOKUP($D142,$C$5:$AN$495,4,))*$F142))</f>
        <v>0</v>
      </c>
      <c r="O142" s="17"/>
      <c r="P142" s="17">
        <f>IF(VLOOKUP($D142,$C$5:$AN$495,14,)=0,0,((VLOOKUP($D142,$C$5:$AN$495,14,)/VLOOKUP($D142,$C$5:$AN$495,4,))*$F142))</f>
        <v>0</v>
      </c>
      <c r="Q142" s="17"/>
      <c r="R142" s="17">
        <f>IF(VLOOKUP($D142,$C$5:$AN$495,16,)=0,0,((VLOOKUP($D142,$C$5:$AN$495,16,)/VLOOKUP($D142,$C$5:$AN$495,4,))*$F142))</f>
        <v>0</v>
      </c>
      <c r="S142" s="17"/>
      <c r="T142" s="17">
        <f>IF(VLOOKUP($D142,$C$5:$AN$495,18,)=0,0,((VLOOKUP($D142,$C$5:$AN$495,18,)/VLOOKUP($D142,$C$5:$AN$495,4,))*$F142))</f>
        <v>0</v>
      </c>
      <c r="U142" s="17"/>
      <c r="V142" s="17">
        <f>IF(VLOOKUP($D142,$C$5:$AN$495,20,)=0,0,((VLOOKUP($D142,$C$5:$AN$495,20,)/VLOOKUP($D142,$C$5:$AN$495,4,))*$F142))</f>
        <v>0</v>
      </c>
      <c r="W142" s="17">
        <f>IF(VLOOKUP($D142,$C$5:$AN$495,21,)=0,0,((VLOOKUP($D142,$C$5:$AN$495,21,)/VLOOKUP($D142,$C$5:$AN$495,4,))*$F142))</f>
        <v>0</v>
      </c>
      <c r="X142" s="17"/>
      <c r="Y142" s="17">
        <f>IF(VLOOKUP($D142,$C$5:$AN$495,23,)=0,0,((VLOOKUP($D142,$C$5:$AN$495,23,)/VLOOKUP($D142,$C$5:$AN$495,4,))*$F142))</f>
        <v>0</v>
      </c>
      <c r="Z142" s="17">
        <f>IF(VLOOKUP($D142,$C$5:$AN$495,24,)=0,0,((VLOOKUP($D142,$C$5:$AN$495,24,)/VLOOKUP($D142,$C$5:$AN$495,4,))*$F142))</f>
        <v>0</v>
      </c>
      <c r="AA142" s="17"/>
      <c r="AB142" s="17">
        <f>IF(VLOOKUP($D142,$C$5:$AN$495,26,)=0,0,((VLOOKUP($D142,$C$5:$AN$495,26,)/VLOOKUP($D142,$C$5:$AN$495,4,))*$F142))</f>
        <v>0</v>
      </c>
      <c r="AC142" s="17">
        <f>IF(VLOOKUP($D142,$C$5:$AN$495,27,)=0,0,((VLOOKUP($D142,$C$5:$AN$495,27,)/VLOOKUP($D142,$C$5:$AN$495,4,))*$F142))</f>
        <v>0</v>
      </c>
      <c r="AD142" s="17"/>
      <c r="AE142" s="17">
        <f>IF(VLOOKUP($D142,$C$5:$AN$495,29,)=0,0,((VLOOKUP($D142,$C$5:$AN$495,29,)/VLOOKUP($D142,$C$5:$AN$495,4,))*$F142))</f>
        <v>0</v>
      </c>
      <c r="AF142" s="17">
        <f>IF(VLOOKUP($D142,$C$5:$AN$495,30,)=0,0,((VLOOKUP($D142,$C$5:$AN$495,30,)/VLOOKUP($D142,$C$5:$AN$495,4,))*$F142))</f>
        <v>0</v>
      </c>
      <c r="AG142" s="17"/>
      <c r="AH142" s="17">
        <f>IF(VLOOKUP($D142,$C$5:$AN$495,32,)=0,0,((VLOOKUP($D142,$C$5:$AN$495,32,)/VLOOKUP($D142,$C$5:$AN$495,4,))*$F142))</f>
        <v>0</v>
      </c>
      <c r="AI142" s="17"/>
      <c r="AJ142" s="17">
        <f>IF(VLOOKUP($D142,$C$5:$AN$495,34,)=0,0,((VLOOKUP($D142,$C$5:$AN$495,34,)/VLOOKUP($D142,$C$5:$AN$495,4,))*$F142))</f>
        <v>0</v>
      </c>
      <c r="AK142" s="17"/>
      <c r="AL142" s="17">
        <f>IF(VLOOKUP($D142,$C$5:$AN$495,36,)=0,0,((VLOOKUP($D142,$C$5:$AN$495,36,)/VLOOKUP($D142,$C$5:$AN$495,4,))*$F142))</f>
        <v>0</v>
      </c>
      <c r="AM142" s="17"/>
      <c r="AN142" s="17">
        <f>IF(VLOOKUP($D142,$C$5:$AN$495,38,)=0,0,((VLOOKUP($D142,$C$5:$AN$495,38,)/VLOOKUP($D142,$C$5:$AN$495,4,))*$F142))</f>
        <v>0</v>
      </c>
      <c r="AO142" s="17">
        <f>SUM(H142:AN142)</f>
        <v>0</v>
      </c>
      <c r="AP142" s="14" t="str">
        <f>IF(ABS(AO142-F142)&lt;1,"ok","err")</f>
        <v>ok</v>
      </c>
    </row>
    <row r="143" spans="1:42" x14ac:dyDescent="0.25">
      <c r="A143" s="2"/>
      <c r="B143" s="2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4"/>
    </row>
    <row r="144" spans="1:42" x14ac:dyDescent="0.25">
      <c r="A144" s="2" t="s">
        <v>347</v>
      </c>
      <c r="B144" s="2"/>
      <c r="F144" s="16">
        <f t="shared" ref="F144:P144" si="115">SUM(F141:F142)</f>
        <v>0</v>
      </c>
      <c r="G144" s="16">
        <f t="shared" si="115"/>
        <v>0</v>
      </c>
      <c r="H144" s="16">
        <f t="shared" si="115"/>
        <v>0</v>
      </c>
      <c r="I144" s="16">
        <f t="shared" si="115"/>
        <v>0</v>
      </c>
      <c r="J144" s="16">
        <f t="shared" si="115"/>
        <v>0</v>
      </c>
      <c r="K144" s="16">
        <f t="shared" si="115"/>
        <v>0</v>
      </c>
      <c r="L144" s="16">
        <f t="shared" si="115"/>
        <v>0</v>
      </c>
      <c r="M144" s="16">
        <f t="shared" si="115"/>
        <v>0</v>
      </c>
      <c r="N144" s="16">
        <f t="shared" si="115"/>
        <v>0</v>
      </c>
      <c r="O144" s="16"/>
      <c r="P144" s="16">
        <f t="shared" si="115"/>
        <v>0</v>
      </c>
      <c r="Q144" s="16"/>
      <c r="R144" s="16">
        <f>SUM(R141:R142)</f>
        <v>0</v>
      </c>
      <c r="S144" s="16"/>
      <c r="T144" s="16">
        <f>SUM(T141:T142)</f>
        <v>0</v>
      </c>
      <c r="U144" s="16"/>
      <c r="V144" s="16">
        <f>SUM(V141:V142)</f>
        <v>0</v>
      </c>
      <c r="W144" s="16">
        <f>SUM(W141:W142)</f>
        <v>0</v>
      </c>
      <c r="X144" s="16"/>
      <c r="Y144" s="16">
        <f>SUM(Y141:Y142)</f>
        <v>0</v>
      </c>
      <c r="Z144" s="16">
        <f>SUM(Z141:Z142)</f>
        <v>0</v>
      </c>
      <c r="AA144" s="16"/>
      <c r="AB144" s="16">
        <f>SUM(AB141:AB142)</f>
        <v>0</v>
      </c>
      <c r="AC144" s="16">
        <f>SUM(AC141:AC142)</f>
        <v>0</v>
      </c>
      <c r="AD144" s="16"/>
      <c r="AE144" s="16">
        <f>SUM(AE141:AE142)</f>
        <v>0</v>
      </c>
      <c r="AF144" s="16">
        <f>SUM(AF141:AF142)</f>
        <v>0</v>
      </c>
      <c r="AG144" s="16"/>
      <c r="AH144" s="16">
        <f>SUM(AH141:AH142)</f>
        <v>0</v>
      </c>
      <c r="AI144" s="16"/>
      <c r="AJ144" s="16">
        <f>SUM(AJ141:AJ142)</f>
        <v>0</v>
      </c>
      <c r="AK144" s="16"/>
      <c r="AL144" s="16">
        <f>SUM(AL141:AL142)</f>
        <v>0</v>
      </c>
      <c r="AM144" s="16"/>
      <c r="AN144" s="16">
        <f>SUM(AN141:AN142)</f>
        <v>0</v>
      </c>
      <c r="AO144" s="17">
        <f>SUM(H144:AN144)</f>
        <v>0</v>
      </c>
      <c r="AP144" s="14" t="str">
        <f>IF(ABS(AO144-F144)&lt;1,"ok","err")</f>
        <v>ok</v>
      </c>
    </row>
    <row r="145" spans="1:42" x14ac:dyDescent="0.25">
      <c r="A145" s="2" t="s">
        <v>98</v>
      </c>
      <c r="B145" s="2"/>
      <c r="C145" s="2" t="s">
        <v>99</v>
      </c>
      <c r="D145" s="2" t="s">
        <v>74</v>
      </c>
      <c r="F145" s="195">
        <v>1686943.08</v>
      </c>
      <c r="H145" s="17">
        <f>IF(VLOOKUP($D145,$C$5:$AN$495,6,)=0,0,((VLOOKUP($D145,$C$5:$AN$495,6,)/VLOOKUP($D145,$C$5:$AN$495,4,))*$F145))</f>
        <v>0</v>
      </c>
      <c r="I145" s="17">
        <f>IF(VLOOKUP($D145,$C$5:$AN$495,7,)=0,0,((VLOOKUP($D145,$C$5:$AN$495,7,)/VLOOKUP($D145,$C$5:$AN$495,4,))*$F145))</f>
        <v>0</v>
      </c>
      <c r="J145" s="17">
        <f>IF(VLOOKUP($D145,$C$5:$AN$495,8,)=0,0,((VLOOKUP($D145,$C$5:$AN$495,8,)/VLOOKUP($D145,$C$5:$AN$495,4,))*$F145))</f>
        <v>0</v>
      </c>
      <c r="K145" s="17">
        <f>IF(VLOOKUP($D145,$C$5:$AN$495,9,)=0,0,((VLOOKUP($D145,$C$5:$AN$495,9,)/VLOOKUP($D145,$C$5:$AN$495,4,))*$F145))</f>
        <v>0</v>
      </c>
      <c r="L145" s="17">
        <f>IF(VLOOKUP($D145,$C$5:$AN$495,10,)=0,0,((VLOOKUP($D145,$C$5:$AN$495,10,)/VLOOKUP($D145,$C$5:$AN$495,4,))*$F145))</f>
        <v>0</v>
      </c>
      <c r="M145" s="17">
        <f>IF(VLOOKUP($D145,$C$5:$AN$495,11,)=0,0,((VLOOKUP($D145,$C$5:$AN$495,11,)/VLOOKUP($D145,$C$5:$AN$495,4,))*$F145))</f>
        <v>0</v>
      </c>
      <c r="N145" s="17">
        <f>IF(VLOOKUP($D145,$C$5:$AN$495,12,)=0,0,((VLOOKUP($D145,$C$5:$AN$495,12,)/VLOOKUP($D145,$C$5:$AN$495,4,))*$F145))</f>
        <v>0</v>
      </c>
      <c r="O145" s="17"/>
      <c r="P145" s="17">
        <f>IF(VLOOKUP($D145,$C$5:$AN$495,14,)=0,0,((VLOOKUP($D145,$C$5:$AN$495,14,)/VLOOKUP($D145,$C$5:$AN$495,4,))*$F145))</f>
        <v>0</v>
      </c>
      <c r="Q145" s="17"/>
      <c r="R145" s="17">
        <f>IF(VLOOKUP($D145,$C$5:$AN$495,16,)=0,0,((VLOOKUP($D145,$C$5:$AN$495,16,)/VLOOKUP($D145,$C$5:$AN$495,4,))*$F145))</f>
        <v>0</v>
      </c>
      <c r="S145" s="17"/>
      <c r="T145" s="17">
        <f>IF(VLOOKUP($D145,$C$5:$AN$495,18,)=0,0,((VLOOKUP($D145,$C$5:$AN$495,18,)/VLOOKUP($D145,$C$5:$AN$495,4,))*$F145))</f>
        <v>6211.1961386793164</v>
      </c>
      <c r="U145" s="17"/>
      <c r="V145" s="17">
        <f>IF(VLOOKUP($D145,$C$5:$AN$495,20,)=0,0,((VLOOKUP($D145,$C$5:$AN$495,20,)/VLOOKUP($D145,$C$5:$AN$495,4,))*$F145))</f>
        <v>601564.34334176139</v>
      </c>
      <c r="W145" s="17">
        <f>IF(VLOOKUP($D145,$C$5:$AN$495,21,)=0,0,((VLOOKUP($D145,$C$5:$AN$495,21,)/VLOOKUP($D145,$C$5:$AN$495,4,))*$F145))</f>
        <v>296180.79654889181</v>
      </c>
      <c r="X145" s="17"/>
      <c r="Y145" s="17">
        <f>IF(VLOOKUP($D145,$C$5:$AN$495,23,)=0,0,((VLOOKUP($D145,$C$5:$AN$495,23,)/VLOOKUP($D145,$C$5:$AN$495,4,))*$F145))</f>
        <v>66840.482593529043</v>
      </c>
      <c r="Z145" s="17">
        <f>IF(VLOOKUP($D145,$C$5:$AN$495,24,)=0,0,((VLOOKUP($D145,$C$5:$AN$495,24,)/VLOOKUP($D145,$C$5:$AN$495,4,))*$F145))</f>
        <v>32908.9773943213</v>
      </c>
      <c r="AA145" s="17"/>
      <c r="AB145" s="17">
        <f>IF(VLOOKUP($D145,$C$5:$AN$495,26,)=0,0,((VLOOKUP($D145,$C$5:$AN$495,26,)/VLOOKUP($D145,$C$5:$AN$495,4,))*$F145))</f>
        <v>130866.98642493009</v>
      </c>
      <c r="AC145" s="17">
        <f>IF(VLOOKUP($D145,$C$5:$AN$495,27,)=0,0,((VLOOKUP($D145,$C$5:$AN$495,27,)/VLOOKUP($D145,$C$5:$AN$495,4,))*$F145))</f>
        <v>170461.55703565036</v>
      </c>
      <c r="AD145" s="17"/>
      <c r="AE145" s="17">
        <f>IF(VLOOKUP($D145,$C$5:$AN$495,29,)=0,0,((VLOOKUP($D145,$C$5:$AN$495,29,)/VLOOKUP($D145,$C$5:$AN$495,4,))*$F145))</f>
        <v>0</v>
      </c>
      <c r="AF145" s="17">
        <f>IF(VLOOKUP($D145,$C$5:$AN$495,30,)=0,0,((VLOOKUP($D145,$C$5:$AN$495,30,)/VLOOKUP($D145,$C$5:$AN$495,4,))*$F145))</f>
        <v>212535.48636135424</v>
      </c>
      <c r="AG145" s="17"/>
      <c r="AH145" s="17">
        <f>IF(VLOOKUP($D145,$C$5:$AN$495,32,)=0,0,((VLOOKUP($D145,$C$5:$AN$495,32,)/VLOOKUP($D145,$C$5:$AN$495,4,))*$F145))</f>
        <v>81377.702115971784</v>
      </c>
      <c r="AI145" s="17"/>
      <c r="AJ145" s="17">
        <f>IF(VLOOKUP($D145,$C$5:$AN$495,34,)=0,0,((VLOOKUP($D145,$C$5:$AN$495,34,)/VLOOKUP($D145,$C$5:$AN$495,4,))*$F145))</f>
        <v>87995.552044911063</v>
      </c>
      <c r="AK145" s="17"/>
      <c r="AL145" s="17">
        <f>IF(VLOOKUP($D145,$C$5:$AN$495,36,)=0,0,((VLOOKUP($D145,$C$5:$AN$495,36,)/VLOOKUP($D145,$C$5:$AN$495,4,))*$F145))</f>
        <v>0</v>
      </c>
      <c r="AM145" s="17"/>
      <c r="AN145" s="17">
        <f>IF(VLOOKUP($D145,$C$5:$AN$495,38,)=0,0,((VLOOKUP($D145,$C$5:$AN$495,38,)/VLOOKUP($D145,$C$5:$AN$495,4,))*$F145))</f>
        <v>0</v>
      </c>
      <c r="AO145" s="17">
        <f>SUM(H145:AN145)</f>
        <v>1686943.0800000005</v>
      </c>
      <c r="AP145" s="14" t="str">
        <f>IF(ABS(AO145-F145)&lt;1,"ok","err")</f>
        <v>ok</v>
      </c>
    </row>
    <row r="146" spans="1:42" x14ac:dyDescent="0.25">
      <c r="A146" s="2"/>
      <c r="B146" s="2"/>
      <c r="F146" s="106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4"/>
    </row>
    <row r="147" spans="1:42" x14ac:dyDescent="0.25">
      <c r="A147" s="8" t="s">
        <v>100</v>
      </c>
      <c r="B147" s="2"/>
      <c r="C147" s="2" t="s">
        <v>101</v>
      </c>
      <c r="F147" s="16">
        <f t="shared" ref="F147:P147" si="116">F109-F129+F138-F145</f>
        <v>200206008.80124995</v>
      </c>
      <c r="G147" s="16">
        <f t="shared" si="116"/>
        <v>0</v>
      </c>
      <c r="H147" s="16">
        <f t="shared" si="116"/>
        <v>0</v>
      </c>
      <c r="I147" s="16">
        <f t="shared" si="116"/>
        <v>0</v>
      </c>
      <c r="J147" s="16">
        <f t="shared" si="116"/>
        <v>0</v>
      </c>
      <c r="K147" s="16">
        <f t="shared" si="116"/>
        <v>0</v>
      </c>
      <c r="L147" s="16">
        <f t="shared" si="116"/>
        <v>0</v>
      </c>
      <c r="M147" s="16">
        <f t="shared" si="116"/>
        <v>0</v>
      </c>
      <c r="N147" s="16">
        <f t="shared" si="116"/>
        <v>0</v>
      </c>
      <c r="O147" s="16"/>
      <c r="P147" s="16">
        <f t="shared" si="116"/>
        <v>0</v>
      </c>
      <c r="Q147" s="16"/>
      <c r="R147" s="16">
        <f>R109-R129+R138-R145</f>
        <v>0</v>
      </c>
      <c r="S147" s="16"/>
      <c r="T147" s="16">
        <f>T109-T129+T138-T145</f>
        <v>732972.63011609646</v>
      </c>
      <c r="U147" s="16"/>
      <c r="V147" s="16">
        <f>V109-V129+V138-V145</f>
        <v>71411348.167887449</v>
      </c>
      <c r="W147" s="16">
        <f>W109-W129+W138-W145</f>
        <v>35118872.348068282</v>
      </c>
      <c r="X147" s="16"/>
      <c r="Y147" s="16">
        <f>Y109-Y129+Y138-Y145</f>
        <v>7934594.2408763822</v>
      </c>
      <c r="Z147" s="16">
        <f>Z109-Z129+Z138-Z145</f>
        <v>3902096.927563142</v>
      </c>
      <c r="AA147" s="16"/>
      <c r="AB147" s="16">
        <f>AB109-AB129+AB138-AB145</f>
        <v>15348558.546614612</v>
      </c>
      <c r="AC147" s="16">
        <f>AC109-AC129+AC138-AC145</f>
        <v>19992354.524107493</v>
      </c>
      <c r="AD147" s="16"/>
      <c r="AE147" s="16">
        <f>AE109-AE129+AE138-AE145</f>
        <v>0</v>
      </c>
      <c r="AF147" s="16">
        <f>AF109-AF129+AF138-AF145</f>
        <v>24916999.606662214</v>
      </c>
      <c r="AG147" s="16"/>
      <c r="AH147" s="16">
        <f>AH109-AH129+AH138-AH145</f>
        <v>9778908.4490127824</v>
      </c>
      <c r="AI147" s="16"/>
      <c r="AJ147" s="16">
        <f>AJ109-AJ129+AJ138-AJ145</f>
        <v>10376280.892471958</v>
      </c>
      <c r="AK147" s="16"/>
      <c r="AL147" s="16">
        <f>AL109-AL129+AL138-AL145</f>
        <v>665034.98698780383</v>
      </c>
      <c r="AM147" s="16"/>
      <c r="AN147" s="16">
        <f>AN109-AN129+AN138-AN145</f>
        <v>27987.480881793759</v>
      </c>
      <c r="AO147" s="17">
        <f>SUM(H147:AN147)</f>
        <v>200206008.80124998</v>
      </c>
      <c r="AP147" s="14" t="str">
        <f>IF(ABS(AO147-F147)&lt;1,"ok","err")</f>
        <v>ok</v>
      </c>
    </row>
    <row r="148" spans="1:42" x14ac:dyDescent="0.25">
      <c r="A148" s="2"/>
      <c r="B148" s="2"/>
      <c r="AD148" s="2"/>
      <c r="AP148" s="14"/>
    </row>
    <row r="149" spans="1:42" x14ac:dyDescent="0.25">
      <c r="A149" s="2"/>
      <c r="B149" s="2"/>
      <c r="AD149" s="2"/>
      <c r="AP149" s="14"/>
    </row>
    <row r="150" spans="1:42" x14ac:dyDescent="0.25">
      <c r="A150" s="5" t="s">
        <v>91</v>
      </c>
      <c r="B150" s="2"/>
      <c r="AD150" s="2"/>
      <c r="AP150" s="14"/>
    </row>
    <row r="151" spans="1:42" x14ac:dyDescent="0.25">
      <c r="A151" s="5"/>
      <c r="B151" s="2"/>
      <c r="AD151" s="2"/>
      <c r="AP151" s="14"/>
    </row>
    <row r="152" spans="1:42" x14ac:dyDescent="0.25">
      <c r="A152" s="7" t="s">
        <v>780</v>
      </c>
      <c r="B152" s="2"/>
      <c r="AD152" s="2"/>
      <c r="AP152" s="14"/>
    </row>
    <row r="153" spans="1:42" x14ac:dyDescent="0.25">
      <c r="A153" s="178">
        <v>547</v>
      </c>
      <c r="B153" s="2" t="s">
        <v>777</v>
      </c>
      <c r="C153" s="2" t="s">
        <v>774</v>
      </c>
      <c r="D153" s="2" t="s">
        <v>789</v>
      </c>
      <c r="F153" s="106">
        <v>0</v>
      </c>
      <c r="H153" s="17">
        <f>IF(VLOOKUP($D153,$C$5:$AN$495,6,)=0,0,((VLOOKUP($D153,$C$5:$AN$495,6,)/VLOOKUP($D153,$C$5:$AN$495,4,))*$F153))</f>
        <v>0</v>
      </c>
      <c r="I153" s="17">
        <f>IF(VLOOKUP($D153,$C$5:$AN$495,7,)=0,0,((VLOOKUP($D153,$C$5:$AN$495,7,)/VLOOKUP($D153,$C$5:$AN$495,4,))*$F153))</f>
        <v>0</v>
      </c>
      <c r="J153" s="17">
        <f>IF(VLOOKUP($D153,$C$5:$AN$495,8,)=0,0,((VLOOKUP($D153,$C$5:$AN$495,8,)/VLOOKUP($D153,$C$5:$AN$495,4,))*$F153))</f>
        <v>0</v>
      </c>
      <c r="K153" s="17">
        <f>IF(VLOOKUP($D153,$C$5:$AN$495,9,)=0,0,((VLOOKUP($D153,$C$5:$AN$495,9,)/VLOOKUP($D153,$C$5:$AN$495,4,))*$F153))</f>
        <v>0</v>
      </c>
      <c r="L153" s="17">
        <f>IF(VLOOKUP($D153,$C$5:$AN$495,10,)=0,0,((VLOOKUP($D153,$C$5:$AN$495,10,)/VLOOKUP($D153,$C$5:$AN$495,4,))*$F153))</f>
        <v>0</v>
      </c>
      <c r="M153" s="17">
        <f>IF(VLOOKUP($D153,$C$5:$AN$495,11,)=0,0,((VLOOKUP($D153,$C$5:$AN$495,11,)/VLOOKUP($D153,$C$5:$AN$495,4,))*$F153))</f>
        <v>0</v>
      </c>
      <c r="N153" s="17">
        <f>IF(VLOOKUP($D153,$C$5:$AN$495,12,)=0,0,((VLOOKUP($D153,$C$5:$AN$495,12,)/VLOOKUP($D153,$C$5:$AN$495,4,))*$F153))</f>
        <v>0</v>
      </c>
      <c r="O153" s="17"/>
      <c r="P153" s="17">
        <f>IF(VLOOKUP($D153,$C$5:$AN$495,14,)=0,0,((VLOOKUP($D153,$C$5:$AN$495,14,)/VLOOKUP($D153,$C$5:$AN$495,4,))*$F153))</f>
        <v>0</v>
      </c>
      <c r="Q153" s="17"/>
      <c r="R153" s="17">
        <f>IF(VLOOKUP($D153,$C$5:$AN$495,16,)=0,0,((VLOOKUP($D153,$C$5:$AN$495,16,)/VLOOKUP($D153,$C$5:$AN$495,4,))*$F153))</f>
        <v>0</v>
      </c>
      <c r="S153" s="17"/>
      <c r="T153" s="17">
        <f>IF(VLOOKUP($D153,$C$5:$AN$495,18,)=0,0,((VLOOKUP($D153,$C$5:$AN$495,18,)/VLOOKUP($D153,$C$5:$AN$495,4,))*$F153))</f>
        <v>0</v>
      </c>
      <c r="U153" s="17"/>
      <c r="V153" s="17">
        <f>IF(VLOOKUP($D153,$C$5:$AN$495,20,)=0,0,((VLOOKUP($D153,$C$5:$AN$495,20,)/VLOOKUP($D153,$C$5:$AN$495,4,))*$F153))</f>
        <v>0</v>
      </c>
      <c r="W153" s="17">
        <f>IF(VLOOKUP($D153,$C$5:$AN$495,21,)=0,0,((VLOOKUP($D153,$C$5:$AN$495,21,)/VLOOKUP($D153,$C$5:$AN$495,4,))*$F153))</f>
        <v>0</v>
      </c>
      <c r="X153" s="17"/>
      <c r="Y153" s="17">
        <f>IF(VLOOKUP($D153,$C$5:$AN$495,23,)=0,0,((VLOOKUP($D153,$C$5:$AN$495,23,)/VLOOKUP($D153,$C$5:$AN$495,4,))*$F153))</f>
        <v>0</v>
      </c>
      <c r="Z153" s="17">
        <f>IF(VLOOKUP($D153,$C$5:$AN$495,24,)=0,0,((VLOOKUP($D153,$C$5:$AN$495,24,)/VLOOKUP($D153,$C$5:$AN$495,4,))*$F153))</f>
        <v>0</v>
      </c>
      <c r="AA153" s="17"/>
      <c r="AB153" s="17">
        <f>IF(VLOOKUP($D153,$C$5:$AN$495,26,)=0,0,((VLOOKUP($D153,$C$5:$AN$495,26,)/VLOOKUP($D153,$C$5:$AN$495,4,))*$F153))</f>
        <v>0</v>
      </c>
      <c r="AC153" s="17">
        <f>IF(VLOOKUP($D153,$C$5:$AN$495,27,)=0,0,((VLOOKUP($D153,$C$5:$AN$495,27,)/VLOOKUP($D153,$C$5:$AN$495,4,))*$F153))</f>
        <v>0</v>
      </c>
      <c r="AD153" s="17"/>
      <c r="AE153" s="17">
        <f>IF(VLOOKUP($D153,$C$5:$AN$495,29,)=0,0,((VLOOKUP($D153,$C$5:$AN$495,29,)/VLOOKUP($D153,$C$5:$AN$495,4,))*$F153))</f>
        <v>0</v>
      </c>
      <c r="AF153" s="17">
        <f>IF(VLOOKUP($D153,$C$5:$AN$495,30,)=0,0,((VLOOKUP($D153,$C$5:$AN$495,30,)/VLOOKUP($D153,$C$5:$AN$495,4,))*$F153))</f>
        <v>0</v>
      </c>
      <c r="AG153" s="17"/>
      <c r="AH153" s="17">
        <f>IF(VLOOKUP($D153,$C$5:$AN$495,32,)=0,0,((VLOOKUP($D153,$C$5:$AN$495,32,)/VLOOKUP($D153,$C$5:$AN$495,4,))*$F153))</f>
        <v>0</v>
      </c>
      <c r="AI153" s="17"/>
      <c r="AJ153" s="17">
        <f>IF(VLOOKUP($D153,$C$5:$AN$495,34,)=0,0,((VLOOKUP($D153,$C$5:$AN$495,34,)/VLOOKUP($D153,$C$5:$AN$495,4,))*$F153))</f>
        <v>0</v>
      </c>
      <c r="AK153" s="17"/>
      <c r="AL153" s="17">
        <f>IF(VLOOKUP($D153,$C$5:$AN$495,36,)=0,0,((VLOOKUP($D153,$C$5:$AN$495,36,)/VLOOKUP($D153,$C$5:$AN$495,4,))*$F153))</f>
        <v>0</v>
      </c>
      <c r="AM153" s="17"/>
      <c r="AN153" s="17">
        <f>IF(VLOOKUP($D153,$C$5:$AN$495,38,)=0,0,((VLOOKUP($D153,$C$5:$AN$495,38,)/VLOOKUP($D153,$C$5:$AN$495,4,))*$F153))</f>
        <v>0</v>
      </c>
      <c r="AO153" s="17">
        <f>SUM(H153:AN153)</f>
        <v>0</v>
      </c>
      <c r="AP153" s="14" t="str">
        <f>IF(ABS(AO153-F153)&lt;1,"ok","err")</f>
        <v>ok</v>
      </c>
    </row>
    <row r="154" spans="1:42" x14ac:dyDescent="0.25">
      <c r="A154" s="178">
        <v>548</v>
      </c>
      <c r="B154" s="2" t="s">
        <v>778</v>
      </c>
      <c r="C154" s="2" t="s">
        <v>775</v>
      </c>
      <c r="D154" s="2" t="s">
        <v>789</v>
      </c>
      <c r="F154" s="106">
        <v>0</v>
      </c>
      <c r="H154" s="17">
        <f>IF(VLOOKUP($D154,$C$5:$AN$495,6,)=0,0,((VLOOKUP($D154,$C$5:$AN$495,6,)/VLOOKUP($D154,$C$5:$AN$495,4,))*$F154))</f>
        <v>0</v>
      </c>
      <c r="I154" s="17">
        <f>IF(VLOOKUP($D154,$C$5:$AN$495,7,)=0,0,((VLOOKUP($D154,$C$5:$AN$495,7,)/VLOOKUP($D154,$C$5:$AN$495,4,))*$F154))</f>
        <v>0</v>
      </c>
      <c r="J154" s="17">
        <f>IF(VLOOKUP($D154,$C$5:$AN$495,8,)=0,0,((VLOOKUP($D154,$C$5:$AN$495,8,)/VLOOKUP($D154,$C$5:$AN$495,4,))*$F154))</f>
        <v>0</v>
      </c>
      <c r="K154" s="17">
        <f>IF(VLOOKUP($D154,$C$5:$AN$495,9,)=0,0,((VLOOKUP($D154,$C$5:$AN$495,9,)/VLOOKUP($D154,$C$5:$AN$495,4,))*$F154))</f>
        <v>0</v>
      </c>
      <c r="L154" s="17">
        <f>IF(VLOOKUP($D154,$C$5:$AN$495,10,)=0,0,((VLOOKUP($D154,$C$5:$AN$495,10,)/VLOOKUP($D154,$C$5:$AN$495,4,))*$F154))</f>
        <v>0</v>
      </c>
      <c r="M154" s="17">
        <f>IF(VLOOKUP($D154,$C$5:$AN$495,11,)=0,0,((VLOOKUP($D154,$C$5:$AN$495,11,)/VLOOKUP($D154,$C$5:$AN$495,4,))*$F154))</f>
        <v>0</v>
      </c>
      <c r="N154" s="17">
        <f>IF(VLOOKUP($D154,$C$5:$AN$495,12,)=0,0,((VLOOKUP($D154,$C$5:$AN$495,12,)/VLOOKUP($D154,$C$5:$AN$495,4,))*$F154))</f>
        <v>0</v>
      </c>
      <c r="O154" s="17"/>
      <c r="P154" s="17">
        <f>IF(VLOOKUP($D154,$C$5:$AN$495,14,)=0,0,((VLOOKUP($D154,$C$5:$AN$495,14,)/VLOOKUP($D154,$C$5:$AN$495,4,))*$F154))</f>
        <v>0</v>
      </c>
      <c r="Q154" s="17"/>
      <c r="R154" s="17">
        <f>IF(VLOOKUP($D154,$C$5:$AN$495,16,)=0,0,((VLOOKUP($D154,$C$5:$AN$495,16,)/VLOOKUP($D154,$C$5:$AN$495,4,))*$F154))</f>
        <v>0</v>
      </c>
      <c r="S154" s="17"/>
      <c r="T154" s="17">
        <f>IF(VLOOKUP($D154,$C$5:$AN$495,18,)=0,0,((VLOOKUP($D154,$C$5:$AN$495,18,)/VLOOKUP($D154,$C$5:$AN$495,4,))*$F154))</f>
        <v>0</v>
      </c>
      <c r="U154" s="17"/>
      <c r="V154" s="17">
        <f>IF(VLOOKUP($D154,$C$5:$AN$495,20,)=0,0,((VLOOKUP($D154,$C$5:$AN$495,20,)/VLOOKUP($D154,$C$5:$AN$495,4,))*$F154))</f>
        <v>0</v>
      </c>
      <c r="W154" s="17">
        <f>IF(VLOOKUP($D154,$C$5:$AN$495,21,)=0,0,((VLOOKUP($D154,$C$5:$AN$495,21,)/VLOOKUP($D154,$C$5:$AN$495,4,))*$F154))</f>
        <v>0</v>
      </c>
      <c r="X154" s="17"/>
      <c r="Y154" s="17">
        <f>IF(VLOOKUP($D154,$C$5:$AN$495,23,)=0,0,((VLOOKUP($D154,$C$5:$AN$495,23,)/VLOOKUP($D154,$C$5:$AN$495,4,))*$F154))</f>
        <v>0</v>
      </c>
      <c r="Z154" s="17">
        <f>IF(VLOOKUP($D154,$C$5:$AN$495,24,)=0,0,((VLOOKUP($D154,$C$5:$AN$495,24,)/VLOOKUP($D154,$C$5:$AN$495,4,))*$F154))</f>
        <v>0</v>
      </c>
      <c r="AA154" s="17"/>
      <c r="AB154" s="17">
        <f>IF(VLOOKUP($D154,$C$5:$AN$495,26,)=0,0,((VLOOKUP($D154,$C$5:$AN$495,26,)/VLOOKUP($D154,$C$5:$AN$495,4,))*$F154))</f>
        <v>0</v>
      </c>
      <c r="AC154" s="17">
        <f>IF(VLOOKUP($D154,$C$5:$AN$495,27,)=0,0,((VLOOKUP($D154,$C$5:$AN$495,27,)/VLOOKUP($D154,$C$5:$AN$495,4,))*$F154))</f>
        <v>0</v>
      </c>
      <c r="AD154" s="17"/>
      <c r="AE154" s="17">
        <f>IF(VLOOKUP($D154,$C$5:$AN$495,29,)=0,0,((VLOOKUP($D154,$C$5:$AN$495,29,)/VLOOKUP($D154,$C$5:$AN$495,4,))*$F154))</f>
        <v>0</v>
      </c>
      <c r="AF154" s="17">
        <f>IF(VLOOKUP($D154,$C$5:$AN$495,30,)=0,0,((VLOOKUP($D154,$C$5:$AN$495,30,)/VLOOKUP($D154,$C$5:$AN$495,4,))*$F154))</f>
        <v>0</v>
      </c>
      <c r="AG154" s="17"/>
      <c r="AH154" s="17">
        <f>IF(VLOOKUP($D154,$C$5:$AN$495,32,)=0,0,((VLOOKUP($D154,$C$5:$AN$495,32,)/VLOOKUP($D154,$C$5:$AN$495,4,))*$F154))</f>
        <v>0</v>
      </c>
      <c r="AI154" s="17"/>
      <c r="AJ154" s="17">
        <f>IF(VLOOKUP($D154,$C$5:$AN$495,34,)=0,0,((VLOOKUP($D154,$C$5:$AN$495,34,)/VLOOKUP($D154,$C$5:$AN$495,4,))*$F154))</f>
        <v>0</v>
      </c>
      <c r="AK154" s="17"/>
      <c r="AL154" s="17">
        <f>IF(VLOOKUP($D154,$C$5:$AN$495,36,)=0,0,((VLOOKUP($D154,$C$5:$AN$495,36,)/VLOOKUP($D154,$C$5:$AN$495,4,))*$F154))</f>
        <v>0</v>
      </c>
      <c r="AM154" s="17"/>
      <c r="AN154" s="17">
        <f>IF(VLOOKUP($D154,$C$5:$AN$495,38,)=0,0,((VLOOKUP($D154,$C$5:$AN$495,38,)/VLOOKUP($D154,$C$5:$AN$495,4,))*$F154))</f>
        <v>0</v>
      </c>
      <c r="AO154" s="17">
        <f>SUM(H154:AN154)</f>
        <v>0</v>
      </c>
      <c r="AP154" s="14" t="str">
        <f>IF(ABS(AO154-F154)&lt;1,"ok","err")</f>
        <v>ok</v>
      </c>
    </row>
    <row r="155" spans="1:42" x14ac:dyDescent="0.25">
      <c r="A155" s="178">
        <v>553</v>
      </c>
      <c r="B155" s="2" t="s">
        <v>779</v>
      </c>
      <c r="C155" s="2" t="s">
        <v>776</v>
      </c>
      <c r="D155" s="2" t="s">
        <v>789</v>
      </c>
      <c r="F155" s="106">
        <v>0</v>
      </c>
      <c r="H155" s="17">
        <f>IF(VLOOKUP($D155,$C$5:$AN$495,6,)=0,0,((VLOOKUP($D155,$C$5:$AN$495,6,)/VLOOKUP($D155,$C$5:$AN$495,4,))*$F155))</f>
        <v>0</v>
      </c>
      <c r="I155" s="17">
        <f>IF(VLOOKUP($D155,$C$5:$AN$495,7,)=0,0,((VLOOKUP($D155,$C$5:$AN$495,7,)/VLOOKUP($D155,$C$5:$AN$495,4,))*$F155))</f>
        <v>0</v>
      </c>
      <c r="J155" s="17">
        <f>IF(VLOOKUP($D155,$C$5:$AN$495,8,)=0,0,((VLOOKUP($D155,$C$5:$AN$495,8,)/VLOOKUP($D155,$C$5:$AN$495,4,))*$F155))</f>
        <v>0</v>
      </c>
      <c r="K155" s="17">
        <f>IF(VLOOKUP($D155,$C$5:$AN$495,9,)=0,0,((VLOOKUP($D155,$C$5:$AN$495,9,)/VLOOKUP($D155,$C$5:$AN$495,4,))*$F155))</f>
        <v>0</v>
      </c>
      <c r="L155" s="17">
        <f>IF(VLOOKUP($D155,$C$5:$AN$495,10,)=0,0,((VLOOKUP($D155,$C$5:$AN$495,10,)/VLOOKUP($D155,$C$5:$AN$495,4,))*$F155))</f>
        <v>0</v>
      </c>
      <c r="M155" s="17">
        <f>IF(VLOOKUP($D155,$C$5:$AN$495,11,)=0,0,((VLOOKUP($D155,$C$5:$AN$495,11,)/VLOOKUP($D155,$C$5:$AN$495,4,))*$F155))</f>
        <v>0</v>
      </c>
      <c r="N155" s="17">
        <f>IF(VLOOKUP($D155,$C$5:$AN$495,12,)=0,0,((VLOOKUP($D155,$C$5:$AN$495,12,)/VLOOKUP($D155,$C$5:$AN$495,4,))*$F155))</f>
        <v>0</v>
      </c>
      <c r="O155" s="17"/>
      <c r="P155" s="17">
        <f>IF(VLOOKUP($D155,$C$5:$AN$495,14,)=0,0,((VLOOKUP($D155,$C$5:$AN$495,14,)/VLOOKUP($D155,$C$5:$AN$495,4,))*$F155))</f>
        <v>0</v>
      </c>
      <c r="Q155" s="17"/>
      <c r="R155" s="17">
        <f>IF(VLOOKUP($D155,$C$5:$AN$495,16,)=0,0,((VLOOKUP($D155,$C$5:$AN$495,16,)/VLOOKUP($D155,$C$5:$AN$495,4,))*$F155))</f>
        <v>0</v>
      </c>
      <c r="S155" s="17"/>
      <c r="T155" s="17">
        <f>IF(VLOOKUP($D155,$C$5:$AN$495,18,)=0,0,((VLOOKUP($D155,$C$5:$AN$495,18,)/VLOOKUP($D155,$C$5:$AN$495,4,))*$F155))</f>
        <v>0</v>
      </c>
      <c r="U155" s="17"/>
      <c r="V155" s="17">
        <f>IF(VLOOKUP($D155,$C$5:$AN$495,20,)=0,0,((VLOOKUP($D155,$C$5:$AN$495,20,)/VLOOKUP($D155,$C$5:$AN$495,4,))*$F155))</f>
        <v>0</v>
      </c>
      <c r="W155" s="17">
        <f>IF(VLOOKUP($D155,$C$5:$AN$495,21,)=0,0,((VLOOKUP($D155,$C$5:$AN$495,21,)/VLOOKUP($D155,$C$5:$AN$495,4,))*$F155))</f>
        <v>0</v>
      </c>
      <c r="X155" s="17"/>
      <c r="Y155" s="17">
        <f>IF(VLOOKUP($D155,$C$5:$AN$495,23,)=0,0,((VLOOKUP($D155,$C$5:$AN$495,23,)/VLOOKUP($D155,$C$5:$AN$495,4,))*$F155))</f>
        <v>0</v>
      </c>
      <c r="Z155" s="17">
        <f>IF(VLOOKUP($D155,$C$5:$AN$495,24,)=0,0,((VLOOKUP($D155,$C$5:$AN$495,24,)/VLOOKUP($D155,$C$5:$AN$495,4,))*$F155))</f>
        <v>0</v>
      </c>
      <c r="AA155" s="17"/>
      <c r="AB155" s="17">
        <f>IF(VLOOKUP($D155,$C$5:$AN$495,26,)=0,0,((VLOOKUP($D155,$C$5:$AN$495,26,)/VLOOKUP($D155,$C$5:$AN$495,4,))*$F155))</f>
        <v>0</v>
      </c>
      <c r="AC155" s="17">
        <f>IF(VLOOKUP($D155,$C$5:$AN$495,27,)=0,0,((VLOOKUP($D155,$C$5:$AN$495,27,)/VLOOKUP($D155,$C$5:$AN$495,4,))*$F155))</f>
        <v>0</v>
      </c>
      <c r="AD155" s="17"/>
      <c r="AE155" s="17">
        <f>IF(VLOOKUP($D155,$C$5:$AN$495,29,)=0,0,((VLOOKUP($D155,$C$5:$AN$495,29,)/VLOOKUP($D155,$C$5:$AN$495,4,))*$F155))</f>
        <v>0</v>
      </c>
      <c r="AF155" s="17">
        <f>IF(VLOOKUP($D155,$C$5:$AN$495,30,)=0,0,((VLOOKUP($D155,$C$5:$AN$495,30,)/VLOOKUP($D155,$C$5:$AN$495,4,))*$F155))</f>
        <v>0</v>
      </c>
      <c r="AG155" s="17"/>
      <c r="AH155" s="17">
        <f>IF(VLOOKUP($D155,$C$5:$AN$495,32,)=0,0,((VLOOKUP($D155,$C$5:$AN$495,32,)/VLOOKUP($D155,$C$5:$AN$495,4,))*$F155))</f>
        <v>0</v>
      </c>
      <c r="AI155" s="17"/>
      <c r="AJ155" s="17">
        <f>IF(VLOOKUP($D155,$C$5:$AN$495,34,)=0,0,((VLOOKUP($D155,$C$5:$AN$495,34,)/VLOOKUP($D155,$C$5:$AN$495,4,))*$F155))</f>
        <v>0</v>
      </c>
      <c r="AK155" s="17"/>
      <c r="AL155" s="17">
        <f>IF(VLOOKUP($D155,$C$5:$AN$495,36,)=0,0,((VLOOKUP($D155,$C$5:$AN$495,36,)/VLOOKUP($D155,$C$5:$AN$495,4,))*$F155))</f>
        <v>0</v>
      </c>
      <c r="AM155" s="17"/>
      <c r="AN155" s="17">
        <f>IF(VLOOKUP($D155,$C$5:$AN$495,38,)=0,0,((VLOOKUP($D155,$C$5:$AN$495,38,)/VLOOKUP($D155,$C$5:$AN$495,4,))*$F155))</f>
        <v>0</v>
      </c>
      <c r="AO155" s="17">
        <f>SUM(H155:AN155)</f>
        <v>0</v>
      </c>
      <c r="AP155" s="14" t="str">
        <f>IF(ABS(AO155-F155)&lt;1,"ok","err")</f>
        <v>ok</v>
      </c>
    </row>
    <row r="156" spans="1:42" x14ac:dyDescent="0.25">
      <c r="A156" s="178"/>
      <c r="B156" s="2"/>
      <c r="F156" s="106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7"/>
      <c r="AP156" s="14"/>
    </row>
    <row r="157" spans="1:42" x14ac:dyDescent="0.25">
      <c r="A157" s="178"/>
      <c r="B157" s="2" t="s">
        <v>781</v>
      </c>
      <c r="C157" s="2" t="s">
        <v>782</v>
      </c>
      <c r="F157" s="106">
        <f>SUM(F153:F156)</f>
        <v>0</v>
      </c>
      <c r="G157" s="13"/>
      <c r="H157" s="13">
        <f t="shared" ref="H157:P157" si="117">SUM(H153:H156)</f>
        <v>0</v>
      </c>
      <c r="I157" s="13">
        <f t="shared" si="117"/>
        <v>0</v>
      </c>
      <c r="J157" s="13">
        <f t="shared" si="117"/>
        <v>0</v>
      </c>
      <c r="K157" s="13">
        <f t="shared" si="117"/>
        <v>0</v>
      </c>
      <c r="L157" s="13">
        <f t="shared" si="117"/>
        <v>0</v>
      </c>
      <c r="M157" s="13">
        <f t="shared" si="117"/>
        <v>0</v>
      </c>
      <c r="N157" s="13">
        <f t="shared" si="117"/>
        <v>0</v>
      </c>
      <c r="O157" s="13"/>
      <c r="P157" s="13">
        <f t="shared" si="117"/>
        <v>0</v>
      </c>
      <c r="Q157" s="13"/>
      <c r="R157" s="13">
        <f>SUM(R153:R156)</f>
        <v>0</v>
      </c>
      <c r="S157" s="13"/>
      <c r="T157" s="13">
        <f>SUM(T153:T156)</f>
        <v>0</v>
      </c>
      <c r="U157" s="13"/>
      <c r="V157" s="13">
        <f>SUM(V153:V156)</f>
        <v>0</v>
      </c>
      <c r="W157" s="13">
        <f>SUM(W153:W156)</f>
        <v>0</v>
      </c>
      <c r="X157" s="13"/>
      <c r="Y157" s="13">
        <f>SUM(Y153:Y156)</f>
        <v>0</v>
      </c>
      <c r="Z157" s="13">
        <f>SUM(Z153:Z156)</f>
        <v>0</v>
      </c>
      <c r="AA157" s="13"/>
      <c r="AB157" s="13">
        <f>SUM(AB153:AB156)</f>
        <v>0</v>
      </c>
      <c r="AC157" s="13">
        <f>SUM(AC153:AC156)</f>
        <v>0</v>
      </c>
      <c r="AD157" s="13"/>
      <c r="AE157" s="13">
        <f>SUM(AE153:AE156)</f>
        <v>0</v>
      </c>
      <c r="AF157" s="13">
        <f>SUM(AF153:AF156)</f>
        <v>0</v>
      </c>
      <c r="AG157" s="13"/>
      <c r="AH157" s="13">
        <f>SUM(AH153:AH156)</f>
        <v>0</v>
      </c>
      <c r="AI157" s="13"/>
      <c r="AJ157" s="13">
        <f>SUM(AJ153:AJ156)</f>
        <v>0</v>
      </c>
      <c r="AK157" s="13"/>
      <c r="AL157" s="13">
        <f>SUM(AL153:AL156)</f>
        <v>0</v>
      </c>
      <c r="AM157" s="13"/>
      <c r="AN157" s="13">
        <f>SUM(AN153:AN156)</f>
        <v>0</v>
      </c>
      <c r="AO157" s="17">
        <f>SUM(H157:AN157)</f>
        <v>0</v>
      </c>
      <c r="AP157" s="14" t="str">
        <f>IF(ABS(AO157-F157)&lt;1,"ok","err")</f>
        <v>ok</v>
      </c>
    </row>
    <row r="158" spans="1:42" x14ac:dyDescent="0.25">
      <c r="A158" s="5"/>
      <c r="B158" s="2"/>
      <c r="AD158" s="2"/>
      <c r="AP158" s="14"/>
    </row>
    <row r="159" spans="1:42" x14ac:dyDescent="0.25">
      <c r="A159" s="5"/>
      <c r="B159" s="2"/>
      <c r="AD159" s="2"/>
      <c r="AP159" s="14"/>
    </row>
    <row r="160" spans="1:42" x14ac:dyDescent="0.25">
      <c r="A160" s="7" t="s">
        <v>102</v>
      </c>
      <c r="B160" s="2"/>
      <c r="AD160" s="2"/>
      <c r="AP160" s="14"/>
    </row>
    <row r="161" spans="1:42" x14ac:dyDescent="0.25">
      <c r="A161" s="178">
        <v>555</v>
      </c>
      <c r="B161" s="2" t="s">
        <v>356</v>
      </c>
      <c r="C161" s="2" t="s">
        <v>377</v>
      </c>
      <c r="D161" s="2" t="s">
        <v>103</v>
      </c>
      <c r="F161" s="195">
        <v>74246944</v>
      </c>
      <c r="H161" s="17">
        <f>IF(VLOOKUP($D161,$C$5:$AN$495,6,)=0,0,((VLOOKUP($D161,$C$5:$AN$495,6,)/VLOOKUP($D161,$C$5:$AN$495,4,))*$F161))</f>
        <v>19679910.880000003</v>
      </c>
      <c r="I161" s="17">
        <f>IF(VLOOKUP($D161,$C$5:$AN$495,7,)=0,0,((VLOOKUP($D161,$C$5:$AN$495,7,)/VLOOKUP($D161,$C$5:$AN$495,4,))*$F161))</f>
        <v>1704216</v>
      </c>
      <c r="J161" s="17">
        <f>IF(VLOOKUP($D161,$C$5:$AN$495,8,)=0,0,((VLOOKUP($D161,$C$5:$AN$495,8,)/VLOOKUP($D161,$C$5:$AN$495,4,))*$F161))</f>
        <v>-130049</v>
      </c>
      <c r="K161" s="17">
        <f>IF(VLOOKUP($D161,$C$5:$AN$495,9,)=0,0,((VLOOKUP($D161,$C$5:$AN$495,9,)/VLOOKUP($D161,$C$5:$AN$495,4,))*$F161))</f>
        <v>-6340583</v>
      </c>
      <c r="L161" s="17">
        <f>IF(VLOOKUP($D161,$C$5:$AN$495,10,)=0,0,((VLOOKUP($D161,$C$5:$AN$495,10,)/VLOOKUP($D161,$C$5:$AN$495,4,))*$F161))</f>
        <v>29509797.417011004</v>
      </c>
      <c r="M161" s="17">
        <f>IF(VLOOKUP($D161,$C$5:$AN$495,11,)=0,0,((VLOOKUP($D161,$C$5:$AN$495,11,)/VLOOKUP($D161,$C$5:$AN$495,4,))*$F161))</f>
        <v>29823651.702989001</v>
      </c>
      <c r="N161" s="17">
        <f>IF(VLOOKUP($D161,$C$5:$AN$495,12,)=0,0,((VLOOKUP($D161,$C$5:$AN$495,12,)/VLOOKUP($D161,$C$5:$AN$495,4,))*$F161))</f>
        <v>0</v>
      </c>
      <c r="O161" s="17"/>
      <c r="P161" s="17">
        <f>IF(VLOOKUP($D161,$C$5:$AN$495,14,)=0,0,((VLOOKUP($D161,$C$5:$AN$495,14,)/VLOOKUP($D161,$C$5:$AN$495,4,))*$F161))</f>
        <v>0</v>
      </c>
      <c r="Q161" s="17"/>
      <c r="R161" s="17">
        <f>IF(VLOOKUP($D161,$C$5:$AN$495,16,)=0,0,((VLOOKUP($D161,$C$5:$AN$495,16,)/VLOOKUP($D161,$C$5:$AN$495,4,))*$F161))</f>
        <v>0</v>
      </c>
      <c r="S161" s="17"/>
      <c r="T161" s="17">
        <f>IF(VLOOKUP($D161,$C$5:$AN$495,18,)=0,0,((VLOOKUP($D161,$C$5:$AN$495,18,)/VLOOKUP($D161,$C$5:$AN$495,4,))*$F161))</f>
        <v>0</v>
      </c>
      <c r="U161" s="17"/>
      <c r="V161" s="17">
        <f>IF(VLOOKUP($D161,$C$5:$AN$495,20,)=0,0,((VLOOKUP($D161,$C$5:$AN$495,20,)/VLOOKUP($D161,$C$5:$AN$495,4,))*$F161))</f>
        <v>0</v>
      </c>
      <c r="W161" s="17">
        <f>IF(VLOOKUP($D161,$C$5:$AN$495,21,)=0,0,((VLOOKUP($D161,$C$5:$AN$495,21,)/VLOOKUP($D161,$C$5:$AN$495,4,))*$F161))</f>
        <v>0</v>
      </c>
      <c r="X161" s="17"/>
      <c r="Y161" s="17">
        <f>IF(VLOOKUP($D161,$C$5:$AN$495,23,)=0,0,((VLOOKUP($D161,$C$5:$AN$495,23,)/VLOOKUP($D161,$C$5:$AN$495,4,))*$F161))</f>
        <v>0</v>
      </c>
      <c r="Z161" s="17">
        <f>IF(VLOOKUP($D161,$C$5:$AN$495,24,)=0,0,((VLOOKUP($D161,$C$5:$AN$495,24,)/VLOOKUP($D161,$C$5:$AN$495,4,))*$F161))</f>
        <v>0</v>
      </c>
      <c r="AA161" s="17"/>
      <c r="AB161" s="17">
        <f>IF(VLOOKUP($D161,$C$5:$AN$495,26,)=0,0,((VLOOKUP($D161,$C$5:$AN$495,26,)/VLOOKUP($D161,$C$5:$AN$495,4,))*$F161))</f>
        <v>0</v>
      </c>
      <c r="AC161" s="17">
        <f>IF(VLOOKUP($D161,$C$5:$AN$495,27,)=0,0,((VLOOKUP($D161,$C$5:$AN$495,27,)/VLOOKUP($D161,$C$5:$AN$495,4,))*$F161))</f>
        <v>0</v>
      </c>
      <c r="AD161" s="17"/>
      <c r="AE161" s="17">
        <f>IF(VLOOKUP($D161,$C$5:$AN$495,29,)=0,0,((VLOOKUP($D161,$C$5:$AN$495,29,)/VLOOKUP($D161,$C$5:$AN$495,4,))*$F161))</f>
        <v>0</v>
      </c>
      <c r="AF161" s="17">
        <f>IF(VLOOKUP($D161,$C$5:$AN$495,30,)=0,0,((VLOOKUP($D161,$C$5:$AN$495,30,)/VLOOKUP($D161,$C$5:$AN$495,4,))*$F161))</f>
        <v>0</v>
      </c>
      <c r="AG161" s="17"/>
      <c r="AH161" s="17">
        <f>IF(VLOOKUP($D161,$C$5:$AN$495,32,)=0,0,((VLOOKUP($D161,$C$5:$AN$495,32,)/VLOOKUP($D161,$C$5:$AN$495,4,))*$F161))</f>
        <v>0</v>
      </c>
      <c r="AI161" s="17"/>
      <c r="AJ161" s="17">
        <f>IF(VLOOKUP($D161,$C$5:$AN$495,34,)=0,0,((VLOOKUP($D161,$C$5:$AN$495,34,)/VLOOKUP($D161,$C$5:$AN$495,4,))*$F161))</f>
        <v>0</v>
      </c>
      <c r="AK161" s="17"/>
      <c r="AL161" s="17">
        <f>IF(VLOOKUP($D161,$C$5:$AN$495,36,)=0,0,((VLOOKUP($D161,$C$5:$AN$495,36,)/VLOOKUP($D161,$C$5:$AN$495,4,))*$F161))</f>
        <v>0</v>
      </c>
      <c r="AM161" s="17"/>
      <c r="AN161" s="17">
        <f>IF(VLOOKUP($D161,$C$5:$AN$495,38,)=0,0,((VLOOKUP($D161,$C$5:$AN$495,38,)/VLOOKUP($D161,$C$5:$AN$495,4,))*$F161))</f>
        <v>0</v>
      </c>
      <c r="AO161" s="17">
        <f>SUM(H161:AN161)</f>
        <v>74246944</v>
      </c>
      <c r="AP161" s="14" t="str">
        <f>IF(ABS(AO161-F161)&lt;1,"ok","err")</f>
        <v>ok</v>
      </c>
    </row>
    <row r="162" spans="1:42" x14ac:dyDescent="0.25">
      <c r="A162" s="178">
        <v>557</v>
      </c>
      <c r="B162" s="2" t="s">
        <v>378</v>
      </c>
      <c r="C162" s="2" t="s">
        <v>380</v>
      </c>
      <c r="D162" s="2" t="s">
        <v>103</v>
      </c>
      <c r="F162" s="106">
        <v>0</v>
      </c>
      <c r="H162" s="17">
        <f>IF(VLOOKUP($D162,$C$5:$AN$495,6,)=0,0,((VLOOKUP($D162,$C$5:$AN$495,6,)/VLOOKUP($D162,$C$5:$AN$495,4,))*$F162))</f>
        <v>0</v>
      </c>
      <c r="I162" s="17">
        <f>IF(VLOOKUP($D162,$C$5:$AN$495,7,)=0,0,((VLOOKUP($D162,$C$5:$AN$495,7,)/VLOOKUP($D162,$C$5:$AN$495,4,))*$F162))</f>
        <v>0</v>
      </c>
      <c r="J162" s="17">
        <f>IF(VLOOKUP($D162,$C$5:$AN$495,8,)=0,0,((VLOOKUP($D162,$C$5:$AN$495,8,)/VLOOKUP($D162,$C$5:$AN$495,4,))*$F162))</f>
        <v>0</v>
      </c>
      <c r="K162" s="17">
        <f>IF(VLOOKUP($D162,$C$5:$AN$495,9,)=0,0,((VLOOKUP($D162,$C$5:$AN$495,9,)/VLOOKUP($D162,$C$5:$AN$495,4,))*$F162))</f>
        <v>0</v>
      </c>
      <c r="L162" s="17">
        <f>IF(VLOOKUP($D162,$C$5:$AN$495,10,)=0,0,((VLOOKUP($D162,$C$5:$AN$495,10,)/VLOOKUP($D162,$C$5:$AN$495,4,))*$F162))</f>
        <v>0</v>
      </c>
      <c r="M162" s="17">
        <f>IF(VLOOKUP($D162,$C$5:$AN$495,11,)=0,0,((VLOOKUP($D162,$C$5:$AN$495,11,)/VLOOKUP($D162,$C$5:$AN$495,4,))*$F162))</f>
        <v>0</v>
      </c>
      <c r="N162" s="17">
        <f>IF(VLOOKUP($D162,$C$5:$AN$495,12,)=0,0,((VLOOKUP($D162,$C$5:$AN$495,12,)/VLOOKUP($D162,$C$5:$AN$495,4,))*$F162))</f>
        <v>0</v>
      </c>
      <c r="O162" s="17"/>
      <c r="P162" s="17">
        <f>IF(VLOOKUP($D162,$C$5:$AN$495,14,)=0,0,((VLOOKUP($D162,$C$5:$AN$495,14,)/VLOOKUP($D162,$C$5:$AN$495,4,))*$F162))</f>
        <v>0</v>
      </c>
      <c r="Q162" s="17"/>
      <c r="R162" s="17">
        <f>IF(VLOOKUP($D162,$C$5:$AN$495,16,)=0,0,((VLOOKUP($D162,$C$5:$AN$495,16,)/VLOOKUP($D162,$C$5:$AN$495,4,))*$F162))</f>
        <v>0</v>
      </c>
      <c r="S162" s="17"/>
      <c r="T162" s="17">
        <f>IF(VLOOKUP($D162,$C$5:$AN$495,18,)=0,0,((VLOOKUP($D162,$C$5:$AN$495,18,)/VLOOKUP($D162,$C$5:$AN$495,4,))*$F162))</f>
        <v>0</v>
      </c>
      <c r="U162" s="17"/>
      <c r="V162" s="17">
        <f>IF(VLOOKUP($D162,$C$5:$AN$495,20,)=0,0,((VLOOKUP($D162,$C$5:$AN$495,20,)/VLOOKUP($D162,$C$5:$AN$495,4,))*$F162))</f>
        <v>0</v>
      </c>
      <c r="W162" s="17">
        <f>IF(VLOOKUP($D162,$C$5:$AN$495,21,)=0,0,((VLOOKUP($D162,$C$5:$AN$495,21,)/VLOOKUP($D162,$C$5:$AN$495,4,))*$F162))</f>
        <v>0</v>
      </c>
      <c r="X162" s="17"/>
      <c r="Y162" s="17">
        <f>IF(VLOOKUP($D162,$C$5:$AN$495,23,)=0,0,((VLOOKUP($D162,$C$5:$AN$495,23,)/VLOOKUP($D162,$C$5:$AN$495,4,))*$F162))</f>
        <v>0</v>
      </c>
      <c r="Z162" s="17">
        <f>IF(VLOOKUP($D162,$C$5:$AN$495,24,)=0,0,((VLOOKUP($D162,$C$5:$AN$495,24,)/VLOOKUP($D162,$C$5:$AN$495,4,))*$F162))</f>
        <v>0</v>
      </c>
      <c r="AA162" s="17"/>
      <c r="AB162" s="17">
        <f>IF(VLOOKUP($D162,$C$5:$AN$495,26,)=0,0,((VLOOKUP($D162,$C$5:$AN$495,26,)/VLOOKUP($D162,$C$5:$AN$495,4,))*$F162))</f>
        <v>0</v>
      </c>
      <c r="AC162" s="17">
        <f>IF(VLOOKUP($D162,$C$5:$AN$495,27,)=0,0,((VLOOKUP($D162,$C$5:$AN$495,27,)/VLOOKUP($D162,$C$5:$AN$495,4,))*$F162))</f>
        <v>0</v>
      </c>
      <c r="AD162" s="17"/>
      <c r="AE162" s="17">
        <f>IF(VLOOKUP($D162,$C$5:$AN$495,29,)=0,0,((VLOOKUP($D162,$C$5:$AN$495,29,)/VLOOKUP($D162,$C$5:$AN$495,4,))*$F162))</f>
        <v>0</v>
      </c>
      <c r="AF162" s="17">
        <f>IF(VLOOKUP($D162,$C$5:$AN$495,30,)=0,0,((VLOOKUP($D162,$C$5:$AN$495,30,)/VLOOKUP($D162,$C$5:$AN$495,4,))*$F162))</f>
        <v>0</v>
      </c>
      <c r="AG162" s="17"/>
      <c r="AH162" s="17">
        <f>IF(VLOOKUP($D162,$C$5:$AN$495,32,)=0,0,((VLOOKUP($D162,$C$5:$AN$495,32,)/VLOOKUP($D162,$C$5:$AN$495,4,))*$F162))</f>
        <v>0</v>
      </c>
      <c r="AI162" s="17"/>
      <c r="AJ162" s="17">
        <f>IF(VLOOKUP($D162,$C$5:$AN$495,34,)=0,0,((VLOOKUP($D162,$C$5:$AN$495,34,)/VLOOKUP($D162,$C$5:$AN$495,4,))*$F162))</f>
        <v>0</v>
      </c>
      <c r="AK162" s="17"/>
      <c r="AL162" s="17">
        <f>IF(VLOOKUP($D162,$C$5:$AN$495,36,)=0,0,((VLOOKUP($D162,$C$5:$AN$495,36,)/VLOOKUP($D162,$C$5:$AN$495,4,))*$F162))</f>
        <v>0</v>
      </c>
      <c r="AM162" s="17"/>
      <c r="AN162" s="17">
        <f>IF(VLOOKUP($D162,$C$5:$AN$495,38,)=0,0,((VLOOKUP($D162,$C$5:$AN$495,38,)/VLOOKUP($D162,$C$5:$AN$495,4,))*$F162))</f>
        <v>0</v>
      </c>
      <c r="AO162" s="17">
        <f>SUM(H162:AN162)</f>
        <v>0</v>
      </c>
      <c r="AP162" s="14" t="str">
        <f>IF(ABS(AO162-F162)&lt;1,"ok","err")</f>
        <v>ok</v>
      </c>
    </row>
    <row r="163" spans="1:42" x14ac:dyDescent="0.25">
      <c r="A163" s="178"/>
      <c r="B163" s="2"/>
      <c r="F163" s="106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7"/>
      <c r="AP163" s="14"/>
    </row>
    <row r="164" spans="1:42" x14ac:dyDescent="0.25">
      <c r="A164" s="178"/>
      <c r="B164" s="2" t="s">
        <v>379</v>
      </c>
      <c r="C164" s="2" t="s">
        <v>381</v>
      </c>
      <c r="F164" s="106">
        <f>SUM(F161:F163)</f>
        <v>74246944</v>
      </c>
      <c r="G164" s="13"/>
      <c r="H164" s="13">
        <f t="shared" ref="H164:N164" si="118">SUM(H161:H163)</f>
        <v>19679910.880000003</v>
      </c>
      <c r="I164" s="13">
        <f t="shared" si="118"/>
        <v>1704216</v>
      </c>
      <c r="J164" s="13">
        <f t="shared" si="118"/>
        <v>-130049</v>
      </c>
      <c r="K164" s="13">
        <f t="shared" si="118"/>
        <v>-6340583</v>
      </c>
      <c r="L164" s="13">
        <f t="shared" si="118"/>
        <v>29509797.417011004</v>
      </c>
      <c r="M164" s="13">
        <f t="shared" si="118"/>
        <v>29823651.702989001</v>
      </c>
      <c r="N164" s="13">
        <f t="shared" si="118"/>
        <v>0</v>
      </c>
      <c r="O164" s="13"/>
      <c r="P164" s="13">
        <f t="shared" ref="P164:AN164" si="119">SUM(P161:P163)</f>
        <v>0</v>
      </c>
      <c r="Q164" s="13"/>
      <c r="R164" s="13">
        <f t="shared" si="119"/>
        <v>0</v>
      </c>
      <c r="S164" s="13"/>
      <c r="T164" s="13">
        <f t="shared" si="119"/>
        <v>0</v>
      </c>
      <c r="U164" s="13"/>
      <c r="V164" s="13">
        <f t="shared" si="119"/>
        <v>0</v>
      </c>
      <c r="W164" s="13">
        <f t="shared" si="119"/>
        <v>0</v>
      </c>
      <c r="X164" s="13"/>
      <c r="Y164" s="13">
        <f t="shared" si="119"/>
        <v>0</v>
      </c>
      <c r="Z164" s="13">
        <f t="shared" si="119"/>
        <v>0</v>
      </c>
      <c r="AA164" s="13"/>
      <c r="AB164" s="13">
        <f>SUM(AB161:AB163)</f>
        <v>0</v>
      </c>
      <c r="AC164" s="13">
        <f>SUM(AC161:AC163)</f>
        <v>0</v>
      </c>
      <c r="AD164" s="13"/>
      <c r="AE164" s="13">
        <f t="shared" si="119"/>
        <v>0</v>
      </c>
      <c r="AF164" s="13">
        <f t="shared" si="119"/>
        <v>0</v>
      </c>
      <c r="AG164" s="13"/>
      <c r="AH164" s="13">
        <f t="shared" si="119"/>
        <v>0</v>
      </c>
      <c r="AI164" s="13"/>
      <c r="AJ164" s="13">
        <f t="shared" si="119"/>
        <v>0</v>
      </c>
      <c r="AK164" s="13"/>
      <c r="AL164" s="13">
        <f t="shared" si="119"/>
        <v>0</v>
      </c>
      <c r="AM164" s="13"/>
      <c r="AN164" s="13">
        <f t="shared" si="119"/>
        <v>0</v>
      </c>
      <c r="AO164" s="17">
        <f>SUM(H164:AN164)</f>
        <v>74246944</v>
      </c>
      <c r="AP164" s="14" t="str">
        <f>IF(ABS(AO164-F164)&lt;1,"ok","err")</f>
        <v>ok</v>
      </c>
    </row>
    <row r="165" spans="1:42" x14ac:dyDescent="0.25">
      <c r="A165" s="178"/>
      <c r="B165" s="2"/>
      <c r="F165" s="106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7"/>
      <c r="AP165" s="14"/>
    </row>
    <row r="166" spans="1:42" x14ac:dyDescent="0.25">
      <c r="A166" s="7" t="s">
        <v>348</v>
      </c>
      <c r="B166" s="2"/>
      <c r="F166" s="106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7"/>
      <c r="AP166" s="14"/>
    </row>
    <row r="167" spans="1:42" x14ac:dyDescent="0.25">
      <c r="A167" s="178">
        <v>560</v>
      </c>
      <c r="B167" s="2" t="s">
        <v>351</v>
      </c>
      <c r="C167" s="2" t="s">
        <v>383</v>
      </c>
      <c r="D167" s="2" t="s">
        <v>368</v>
      </c>
      <c r="F167" s="106">
        <v>0</v>
      </c>
      <c r="H167" s="17">
        <f t="shared" ref="H167:H174" si="120">IF(VLOOKUP($D167,$C$5:$AN$495,6,)=0,0,((VLOOKUP($D167,$C$5:$AN$495,6,)/VLOOKUP($D167,$C$5:$AN$495,4,))*$F167))</f>
        <v>0</v>
      </c>
      <c r="I167" s="17">
        <f t="shared" ref="I167:I174" si="121">IF(VLOOKUP($D167,$C$5:$AN$495,7,)=0,0,((VLOOKUP($D167,$C$5:$AN$495,7,)/VLOOKUP($D167,$C$5:$AN$495,4,))*$F167))</f>
        <v>0</v>
      </c>
      <c r="J167" s="17">
        <f t="shared" ref="J167:J174" si="122">IF(VLOOKUP($D167,$C$5:$AN$495,8,)=0,0,((VLOOKUP($D167,$C$5:$AN$495,8,)/VLOOKUP($D167,$C$5:$AN$495,4,))*$F167))</f>
        <v>0</v>
      </c>
      <c r="K167" s="17">
        <f t="shared" ref="K167:K174" si="123">IF(VLOOKUP($D167,$C$5:$AN$495,9,)=0,0,((VLOOKUP($D167,$C$5:$AN$495,9,)/VLOOKUP($D167,$C$5:$AN$495,4,))*$F167))</f>
        <v>0</v>
      </c>
      <c r="L167" s="17">
        <f t="shared" ref="L167:L174" si="124">IF(VLOOKUP($D167,$C$5:$AN$495,10,)=0,0,((VLOOKUP($D167,$C$5:$AN$495,10,)/VLOOKUP($D167,$C$5:$AN$495,4,))*$F167))</f>
        <v>0</v>
      </c>
      <c r="M167" s="17">
        <f t="shared" ref="M167:M174" si="125">IF(VLOOKUP($D167,$C$5:$AN$495,11,)=0,0,((VLOOKUP($D167,$C$5:$AN$495,11,)/VLOOKUP($D167,$C$5:$AN$495,4,))*$F167))</f>
        <v>0</v>
      </c>
      <c r="N167" s="17">
        <f t="shared" ref="N167:N174" si="126">IF(VLOOKUP($D167,$C$5:$AN$495,12,)=0,0,((VLOOKUP($D167,$C$5:$AN$495,12,)/VLOOKUP($D167,$C$5:$AN$495,4,))*$F167))</f>
        <v>0</v>
      </c>
      <c r="O167" s="17"/>
      <c r="P167" s="17">
        <f t="shared" ref="P167:P174" si="127">IF(VLOOKUP($D167,$C$5:$AN$495,14,)=0,0,((VLOOKUP($D167,$C$5:$AN$495,14,)/VLOOKUP($D167,$C$5:$AN$495,4,))*$F167))</f>
        <v>0</v>
      </c>
      <c r="Q167" s="17"/>
      <c r="R167" s="17">
        <f t="shared" ref="R167:R174" si="128">IF(VLOOKUP($D167,$C$5:$AN$495,16,)=0,0,((VLOOKUP($D167,$C$5:$AN$495,16,)/VLOOKUP($D167,$C$5:$AN$495,4,))*$F167))</f>
        <v>0</v>
      </c>
      <c r="S167" s="17"/>
      <c r="T167" s="17">
        <f t="shared" ref="T167:T174" si="129">IF(VLOOKUP($D167,$C$5:$AN$495,18,)=0,0,((VLOOKUP($D167,$C$5:$AN$495,18,)/VLOOKUP($D167,$C$5:$AN$495,4,))*$F167))</f>
        <v>0</v>
      </c>
      <c r="U167" s="17"/>
      <c r="V167" s="17">
        <f t="shared" ref="V167:V174" si="130">IF(VLOOKUP($D167,$C$5:$AN$495,20,)=0,0,((VLOOKUP($D167,$C$5:$AN$495,20,)/VLOOKUP($D167,$C$5:$AN$495,4,))*$F167))</f>
        <v>0</v>
      </c>
      <c r="W167" s="17">
        <f t="shared" ref="W167:W174" si="131">IF(VLOOKUP($D167,$C$5:$AN$495,21,)=0,0,((VLOOKUP($D167,$C$5:$AN$495,21,)/VLOOKUP($D167,$C$5:$AN$495,4,))*$F167))</f>
        <v>0</v>
      </c>
      <c r="X167" s="17"/>
      <c r="Y167" s="17">
        <f t="shared" ref="Y167:Y174" si="132">IF(VLOOKUP($D167,$C$5:$AN$495,23,)=0,0,((VLOOKUP($D167,$C$5:$AN$495,23,)/VLOOKUP($D167,$C$5:$AN$495,4,))*$F167))</f>
        <v>0</v>
      </c>
      <c r="Z167" s="17">
        <f t="shared" ref="Z167:Z174" si="133">IF(VLOOKUP($D167,$C$5:$AN$495,24,)=0,0,((VLOOKUP($D167,$C$5:$AN$495,24,)/VLOOKUP($D167,$C$5:$AN$495,4,))*$F167))</f>
        <v>0</v>
      </c>
      <c r="AA167" s="17"/>
      <c r="AB167" s="17">
        <f t="shared" ref="AB167:AB174" si="134">IF(VLOOKUP($D167,$C$5:$AN$495,26,)=0,0,((VLOOKUP($D167,$C$5:$AN$495,26,)/VLOOKUP($D167,$C$5:$AN$495,4,))*$F167))</f>
        <v>0</v>
      </c>
      <c r="AC167" s="17">
        <f t="shared" ref="AC167:AC174" si="135">IF(VLOOKUP($D167,$C$5:$AN$495,27,)=0,0,((VLOOKUP($D167,$C$5:$AN$495,27,)/VLOOKUP($D167,$C$5:$AN$495,4,))*$F167))</f>
        <v>0</v>
      </c>
      <c r="AD167" s="17"/>
      <c r="AE167" s="17">
        <f t="shared" ref="AE167:AE174" si="136">IF(VLOOKUP($D167,$C$5:$AN$495,29,)=0,0,((VLOOKUP($D167,$C$5:$AN$495,29,)/VLOOKUP($D167,$C$5:$AN$495,4,))*$F167))</f>
        <v>0</v>
      </c>
      <c r="AF167" s="17">
        <f t="shared" ref="AF167:AF174" si="137">IF(VLOOKUP($D167,$C$5:$AN$495,30,)=0,0,((VLOOKUP($D167,$C$5:$AN$495,30,)/VLOOKUP($D167,$C$5:$AN$495,4,))*$F167))</f>
        <v>0</v>
      </c>
      <c r="AG167" s="17"/>
      <c r="AH167" s="17">
        <f t="shared" ref="AH167:AH174" si="138">IF(VLOOKUP($D167,$C$5:$AN$495,32,)=0,0,((VLOOKUP($D167,$C$5:$AN$495,32,)/VLOOKUP($D167,$C$5:$AN$495,4,))*$F167))</f>
        <v>0</v>
      </c>
      <c r="AI167" s="17"/>
      <c r="AJ167" s="17">
        <f t="shared" ref="AJ167:AJ174" si="139">IF(VLOOKUP($D167,$C$5:$AN$495,34,)=0,0,((VLOOKUP($D167,$C$5:$AN$495,34,)/VLOOKUP($D167,$C$5:$AN$495,4,))*$F167))</f>
        <v>0</v>
      </c>
      <c r="AK167" s="17"/>
      <c r="AL167" s="17">
        <f t="shared" ref="AL167:AL174" si="140">IF(VLOOKUP($D167,$C$5:$AN$495,36,)=0,0,((VLOOKUP($D167,$C$5:$AN$495,36,)/VLOOKUP($D167,$C$5:$AN$495,4,))*$F167))</f>
        <v>0</v>
      </c>
      <c r="AM167" s="17"/>
      <c r="AN167" s="17">
        <f t="shared" ref="AN167:AN174" si="141">IF(VLOOKUP($D167,$C$5:$AN$495,38,)=0,0,((VLOOKUP($D167,$C$5:$AN$495,38,)/VLOOKUP($D167,$C$5:$AN$495,4,))*$F167))</f>
        <v>0</v>
      </c>
      <c r="AO167" s="17">
        <f t="shared" ref="AO167:AO174" si="142">SUM(H167:AN167)</f>
        <v>0</v>
      </c>
      <c r="AP167" s="14" t="str">
        <f t="shared" ref="AP167:AP174" si="143">IF(ABS(AO167-F167)&lt;1,"ok","err")</f>
        <v>ok</v>
      </c>
    </row>
    <row r="168" spans="1:42" x14ac:dyDescent="0.25">
      <c r="A168" s="178">
        <v>561</v>
      </c>
      <c r="B168" s="2" t="s">
        <v>107</v>
      </c>
      <c r="C168" s="2" t="s">
        <v>384</v>
      </c>
      <c r="D168" s="2" t="s">
        <v>368</v>
      </c>
      <c r="F168" s="106">
        <v>0</v>
      </c>
      <c r="H168" s="17">
        <f t="shared" si="120"/>
        <v>0</v>
      </c>
      <c r="I168" s="17">
        <f t="shared" si="121"/>
        <v>0</v>
      </c>
      <c r="J168" s="17">
        <f t="shared" si="122"/>
        <v>0</v>
      </c>
      <c r="K168" s="17">
        <f t="shared" si="123"/>
        <v>0</v>
      </c>
      <c r="L168" s="17">
        <f t="shared" si="124"/>
        <v>0</v>
      </c>
      <c r="M168" s="17">
        <f t="shared" si="125"/>
        <v>0</v>
      </c>
      <c r="N168" s="17">
        <f t="shared" si="126"/>
        <v>0</v>
      </c>
      <c r="O168" s="17"/>
      <c r="P168" s="17">
        <f t="shared" si="127"/>
        <v>0</v>
      </c>
      <c r="Q168" s="17"/>
      <c r="R168" s="17">
        <f t="shared" si="128"/>
        <v>0</v>
      </c>
      <c r="S168" s="17"/>
      <c r="T168" s="17">
        <f t="shared" si="129"/>
        <v>0</v>
      </c>
      <c r="U168" s="17"/>
      <c r="V168" s="17">
        <f t="shared" si="130"/>
        <v>0</v>
      </c>
      <c r="W168" s="17">
        <f t="shared" si="131"/>
        <v>0</v>
      </c>
      <c r="X168" s="17"/>
      <c r="Y168" s="17">
        <f t="shared" si="132"/>
        <v>0</v>
      </c>
      <c r="Z168" s="17">
        <f t="shared" si="133"/>
        <v>0</v>
      </c>
      <c r="AA168" s="17"/>
      <c r="AB168" s="17">
        <f t="shared" si="134"/>
        <v>0</v>
      </c>
      <c r="AC168" s="17">
        <f t="shared" si="135"/>
        <v>0</v>
      </c>
      <c r="AD168" s="17"/>
      <c r="AE168" s="17">
        <f t="shared" si="136"/>
        <v>0</v>
      </c>
      <c r="AF168" s="17">
        <f t="shared" si="137"/>
        <v>0</v>
      </c>
      <c r="AG168" s="17"/>
      <c r="AH168" s="17">
        <f t="shared" si="138"/>
        <v>0</v>
      </c>
      <c r="AI168" s="17"/>
      <c r="AJ168" s="17">
        <f t="shared" si="139"/>
        <v>0</v>
      </c>
      <c r="AK168" s="17"/>
      <c r="AL168" s="17">
        <f t="shared" si="140"/>
        <v>0</v>
      </c>
      <c r="AM168" s="17"/>
      <c r="AN168" s="17">
        <f t="shared" si="141"/>
        <v>0</v>
      </c>
      <c r="AO168" s="17">
        <f t="shared" si="142"/>
        <v>0</v>
      </c>
      <c r="AP168" s="14" t="str">
        <f t="shared" si="143"/>
        <v>ok</v>
      </c>
    </row>
    <row r="169" spans="1:42" x14ac:dyDescent="0.25">
      <c r="A169" s="178">
        <v>562</v>
      </c>
      <c r="B169" s="2" t="s">
        <v>349</v>
      </c>
      <c r="C169" s="2" t="s">
        <v>385</v>
      </c>
      <c r="D169" s="2" t="s">
        <v>368</v>
      </c>
      <c r="F169" s="106">
        <v>0</v>
      </c>
      <c r="H169" s="17">
        <f t="shared" si="120"/>
        <v>0</v>
      </c>
      <c r="I169" s="17">
        <f t="shared" si="121"/>
        <v>0</v>
      </c>
      <c r="J169" s="17">
        <f t="shared" si="122"/>
        <v>0</v>
      </c>
      <c r="K169" s="17">
        <f t="shared" si="123"/>
        <v>0</v>
      </c>
      <c r="L169" s="17">
        <f t="shared" si="124"/>
        <v>0</v>
      </c>
      <c r="M169" s="17">
        <f t="shared" si="125"/>
        <v>0</v>
      </c>
      <c r="N169" s="17">
        <f t="shared" si="126"/>
        <v>0</v>
      </c>
      <c r="O169" s="17"/>
      <c r="P169" s="17">
        <f t="shared" si="127"/>
        <v>0</v>
      </c>
      <c r="Q169" s="17"/>
      <c r="R169" s="17">
        <f t="shared" si="128"/>
        <v>0</v>
      </c>
      <c r="S169" s="17"/>
      <c r="T169" s="17">
        <f t="shared" si="129"/>
        <v>0</v>
      </c>
      <c r="U169" s="17"/>
      <c r="V169" s="17">
        <f t="shared" si="130"/>
        <v>0</v>
      </c>
      <c r="W169" s="17">
        <f t="shared" si="131"/>
        <v>0</v>
      </c>
      <c r="X169" s="17"/>
      <c r="Y169" s="17">
        <f t="shared" si="132"/>
        <v>0</v>
      </c>
      <c r="Z169" s="17">
        <f t="shared" si="133"/>
        <v>0</v>
      </c>
      <c r="AA169" s="17"/>
      <c r="AB169" s="17">
        <f t="shared" si="134"/>
        <v>0</v>
      </c>
      <c r="AC169" s="17">
        <f t="shared" si="135"/>
        <v>0</v>
      </c>
      <c r="AD169" s="17"/>
      <c r="AE169" s="17">
        <f t="shared" si="136"/>
        <v>0</v>
      </c>
      <c r="AF169" s="17">
        <f t="shared" si="137"/>
        <v>0</v>
      </c>
      <c r="AG169" s="17"/>
      <c r="AH169" s="17">
        <f t="shared" si="138"/>
        <v>0</v>
      </c>
      <c r="AI169" s="17"/>
      <c r="AJ169" s="17">
        <f t="shared" si="139"/>
        <v>0</v>
      </c>
      <c r="AK169" s="17"/>
      <c r="AL169" s="17">
        <f t="shared" si="140"/>
        <v>0</v>
      </c>
      <c r="AM169" s="17"/>
      <c r="AN169" s="17">
        <f t="shared" si="141"/>
        <v>0</v>
      </c>
      <c r="AO169" s="17">
        <f t="shared" si="142"/>
        <v>0</v>
      </c>
      <c r="AP169" s="14" t="str">
        <f t="shared" si="143"/>
        <v>ok</v>
      </c>
    </row>
    <row r="170" spans="1:42" x14ac:dyDescent="0.25">
      <c r="A170" s="178">
        <v>563</v>
      </c>
      <c r="B170" s="2" t="s">
        <v>109</v>
      </c>
      <c r="C170" s="2" t="s">
        <v>386</v>
      </c>
      <c r="D170" s="2" t="s">
        <v>368</v>
      </c>
      <c r="F170" s="106">
        <v>0</v>
      </c>
      <c r="H170" s="17">
        <f t="shared" si="120"/>
        <v>0</v>
      </c>
      <c r="I170" s="17">
        <f t="shared" si="121"/>
        <v>0</v>
      </c>
      <c r="J170" s="17">
        <f t="shared" si="122"/>
        <v>0</v>
      </c>
      <c r="K170" s="17">
        <f t="shared" si="123"/>
        <v>0</v>
      </c>
      <c r="L170" s="17">
        <f t="shared" si="124"/>
        <v>0</v>
      </c>
      <c r="M170" s="17">
        <f t="shared" si="125"/>
        <v>0</v>
      </c>
      <c r="N170" s="17">
        <f t="shared" si="126"/>
        <v>0</v>
      </c>
      <c r="O170" s="17"/>
      <c r="P170" s="17">
        <f t="shared" si="127"/>
        <v>0</v>
      </c>
      <c r="Q170" s="17"/>
      <c r="R170" s="17">
        <f t="shared" si="128"/>
        <v>0</v>
      </c>
      <c r="S170" s="17"/>
      <c r="T170" s="17">
        <f t="shared" si="129"/>
        <v>0</v>
      </c>
      <c r="U170" s="17"/>
      <c r="V170" s="17">
        <f t="shared" si="130"/>
        <v>0</v>
      </c>
      <c r="W170" s="17">
        <f t="shared" si="131"/>
        <v>0</v>
      </c>
      <c r="X170" s="17"/>
      <c r="Y170" s="17">
        <f t="shared" si="132"/>
        <v>0</v>
      </c>
      <c r="Z170" s="17">
        <f t="shared" si="133"/>
        <v>0</v>
      </c>
      <c r="AA170" s="17"/>
      <c r="AB170" s="17">
        <f t="shared" si="134"/>
        <v>0</v>
      </c>
      <c r="AC170" s="17">
        <f t="shared" si="135"/>
        <v>0</v>
      </c>
      <c r="AD170" s="17"/>
      <c r="AE170" s="17">
        <f t="shared" si="136"/>
        <v>0</v>
      </c>
      <c r="AF170" s="17">
        <f t="shared" si="137"/>
        <v>0</v>
      </c>
      <c r="AG170" s="17"/>
      <c r="AH170" s="17">
        <f t="shared" si="138"/>
        <v>0</v>
      </c>
      <c r="AI170" s="17"/>
      <c r="AJ170" s="17">
        <f t="shared" si="139"/>
        <v>0</v>
      </c>
      <c r="AK170" s="17"/>
      <c r="AL170" s="17">
        <f t="shared" si="140"/>
        <v>0</v>
      </c>
      <c r="AM170" s="17"/>
      <c r="AN170" s="17">
        <f t="shared" si="141"/>
        <v>0</v>
      </c>
      <c r="AO170" s="17">
        <f t="shared" si="142"/>
        <v>0</v>
      </c>
      <c r="AP170" s="14" t="str">
        <f t="shared" si="143"/>
        <v>ok</v>
      </c>
    </row>
    <row r="171" spans="1:42" x14ac:dyDescent="0.25">
      <c r="A171" s="178">
        <v>566</v>
      </c>
      <c r="B171" s="2" t="s">
        <v>585</v>
      </c>
      <c r="C171" s="2" t="s">
        <v>586</v>
      </c>
      <c r="D171" s="2" t="s">
        <v>368</v>
      </c>
      <c r="F171" s="106">
        <v>0</v>
      </c>
      <c r="H171" s="17">
        <f t="shared" si="120"/>
        <v>0</v>
      </c>
      <c r="I171" s="17">
        <f t="shared" si="121"/>
        <v>0</v>
      </c>
      <c r="J171" s="17">
        <f t="shared" si="122"/>
        <v>0</v>
      </c>
      <c r="K171" s="17">
        <f t="shared" si="123"/>
        <v>0</v>
      </c>
      <c r="L171" s="17">
        <f t="shared" si="124"/>
        <v>0</v>
      </c>
      <c r="M171" s="17">
        <f t="shared" si="125"/>
        <v>0</v>
      </c>
      <c r="N171" s="17">
        <f t="shared" si="126"/>
        <v>0</v>
      </c>
      <c r="O171" s="17"/>
      <c r="P171" s="17">
        <f t="shared" si="127"/>
        <v>0</v>
      </c>
      <c r="Q171" s="17"/>
      <c r="R171" s="17">
        <f t="shared" si="128"/>
        <v>0</v>
      </c>
      <c r="S171" s="17"/>
      <c r="T171" s="17">
        <f t="shared" si="129"/>
        <v>0</v>
      </c>
      <c r="U171" s="17"/>
      <c r="V171" s="17">
        <f t="shared" si="130"/>
        <v>0</v>
      </c>
      <c r="W171" s="17">
        <f t="shared" si="131"/>
        <v>0</v>
      </c>
      <c r="X171" s="17"/>
      <c r="Y171" s="17">
        <f t="shared" si="132"/>
        <v>0</v>
      </c>
      <c r="Z171" s="17">
        <f t="shared" si="133"/>
        <v>0</v>
      </c>
      <c r="AA171" s="17"/>
      <c r="AB171" s="17">
        <f t="shared" si="134"/>
        <v>0</v>
      </c>
      <c r="AC171" s="17">
        <f t="shared" si="135"/>
        <v>0</v>
      </c>
      <c r="AD171" s="17"/>
      <c r="AE171" s="17">
        <f t="shared" si="136"/>
        <v>0</v>
      </c>
      <c r="AF171" s="17">
        <f t="shared" si="137"/>
        <v>0</v>
      </c>
      <c r="AG171" s="17"/>
      <c r="AH171" s="17">
        <f t="shared" si="138"/>
        <v>0</v>
      </c>
      <c r="AI171" s="17"/>
      <c r="AJ171" s="17">
        <f t="shared" si="139"/>
        <v>0</v>
      </c>
      <c r="AK171" s="17"/>
      <c r="AL171" s="17">
        <f t="shared" si="140"/>
        <v>0</v>
      </c>
      <c r="AM171" s="17"/>
      <c r="AN171" s="17">
        <f t="shared" si="141"/>
        <v>0</v>
      </c>
      <c r="AO171" s="17">
        <f t="shared" si="142"/>
        <v>0</v>
      </c>
      <c r="AP171" s="14" t="str">
        <f t="shared" si="143"/>
        <v>ok</v>
      </c>
    </row>
    <row r="172" spans="1:42" x14ac:dyDescent="0.25">
      <c r="A172" s="178">
        <v>568</v>
      </c>
      <c r="B172" s="2" t="s">
        <v>350</v>
      </c>
      <c r="C172" s="2" t="s">
        <v>387</v>
      </c>
      <c r="D172" s="2" t="s">
        <v>368</v>
      </c>
      <c r="F172" s="106">
        <v>0</v>
      </c>
      <c r="H172" s="17">
        <f t="shared" si="120"/>
        <v>0</v>
      </c>
      <c r="I172" s="17">
        <f t="shared" si="121"/>
        <v>0</v>
      </c>
      <c r="J172" s="17">
        <f t="shared" si="122"/>
        <v>0</v>
      </c>
      <c r="K172" s="17">
        <f t="shared" si="123"/>
        <v>0</v>
      </c>
      <c r="L172" s="17">
        <f t="shared" si="124"/>
        <v>0</v>
      </c>
      <c r="M172" s="17">
        <f t="shared" si="125"/>
        <v>0</v>
      </c>
      <c r="N172" s="17">
        <f t="shared" si="126"/>
        <v>0</v>
      </c>
      <c r="O172" s="17"/>
      <c r="P172" s="17">
        <f t="shared" si="127"/>
        <v>0</v>
      </c>
      <c r="Q172" s="17"/>
      <c r="R172" s="17">
        <f t="shared" si="128"/>
        <v>0</v>
      </c>
      <c r="S172" s="17"/>
      <c r="T172" s="17">
        <f t="shared" si="129"/>
        <v>0</v>
      </c>
      <c r="U172" s="17"/>
      <c r="V172" s="17">
        <f t="shared" si="130"/>
        <v>0</v>
      </c>
      <c r="W172" s="17">
        <f t="shared" si="131"/>
        <v>0</v>
      </c>
      <c r="X172" s="17"/>
      <c r="Y172" s="17">
        <f t="shared" si="132"/>
        <v>0</v>
      </c>
      <c r="Z172" s="17">
        <f t="shared" si="133"/>
        <v>0</v>
      </c>
      <c r="AA172" s="17"/>
      <c r="AB172" s="17">
        <f t="shared" si="134"/>
        <v>0</v>
      </c>
      <c r="AC172" s="17">
        <f t="shared" si="135"/>
        <v>0</v>
      </c>
      <c r="AD172" s="17"/>
      <c r="AE172" s="17">
        <f t="shared" si="136"/>
        <v>0</v>
      </c>
      <c r="AF172" s="17">
        <f t="shared" si="137"/>
        <v>0</v>
      </c>
      <c r="AG172" s="17"/>
      <c r="AH172" s="17">
        <f t="shared" si="138"/>
        <v>0</v>
      </c>
      <c r="AI172" s="17"/>
      <c r="AJ172" s="17">
        <f t="shared" si="139"/>
        <v>0</v>
      </c>
      <c r="AK172" s="17"/>
      <c r="AL172" s="17">
        <f t="shared" si="140"/>
        <v>0</v>
      </c>
      <c r="AM172" s="17"/>
      <c r="AN172" s="17">
        <f t="shared" si="141"/>
        <v>0</v>
      </c>
      <c r="AO172" s="17">
        <f t="shared" si="142"/>
        <v>0</v>
      </c>
      <c r="AP172" s="14" t="str">
        <f t="shared" si="143"/>
        <v>ok</v>
      </c>
    </row>
    <row r="173" spans="1:42" x14ac:dyDescent="0.25">
      <c r="A173" s="178">
        <v>570</v>
      </c>
      <c r="B173" s="2" t="s">
        <v>352</v>
      </c>
      <c r="C173" s="2" t="s">
        <v>388</v>
      </c>
      <c r="D173" s="2" t="s">
        <v>368</v>
      </c>
      <c r="F173" s="106">
        <v>0</v>
      </c>
      <c r="H173" s="17">
        <f t="shared" si="120"/>
        <v>0</v>
      </c>
      <c r="I173" s="17">
        <f t="shared" si="121"/>
        <v>0</v>
      </c>
      <c r="J173" s="17">
        <f t="shared" si="122"/>
        <v>0</v>
      </c>
      <c r="K173" s="17">
        <f t="shared" si="123"/>
        <v>0</v>
      </c>
      <c r="L173" s="17">
        <f t="shared" si="124"/>
        <v>0</v>
      </c>
      <c r="M173" s="17">
        <f t="shared" si="125"/>
        <v>0</v>
      </c>
      <c r="N173" s="17">
        <f t="shared" si="126"/>
        <v>0</v>
      </c>
      <c r="O173" s="17"/>
      <c r="P173" s="17">
        <f t="shared" si="127"/>
        <v>0</v>
      </c>
      <c r="Q173" s="17"/>
      <c r="R173" s="17">
        <f t="shared" si="128"/>
        <v>0</v>
      </c>
      <c r="S173" s="17"/>
      <c r="T173" s="17">
        <f t="shared" si="129"/>
        <v>0</v>
      </c>
      <c r="U173" s="17"/>
      <c r="V173" s="17">
        <f t="shared" si="130"/>
        <v>0</v>
      </c>
      <c r="W173" s="17">
        <f t="shared" si="131"/>
        <v>0</v>
      </c>
      <c r="X173" s="17"/>
      <c r="Y173" s="17">
        <f t="shared" si="132"/>
        <v>0</v>
      </c>
      <c r="Z173" s="17">
        <f t="shared" si="133"/>
        <v>0</v>
      </c>
      <c r="AA173" s="17"/>
      <c r="AB173" s="17">
        <f t="shared" si="134"/>
        <v>0</v>
      </c>
      <c r="AC173" s="17">
        <f t="shared" si="135"/>
        <v>0</v>
      </c>
      <c r="AD173" s="17"/>
      <c r="AE173" s="17">
        <f t="shared" si="136"/>
        <v>0</v>
      </c>
      <c r="AF173" s="17">
        <f t="shared" si="137"/>
        <v>0</v>
      </c>
      <c r="AG173" s="17"/>
      <c r="AH173" s="17">
        <f t="shared" si="138"/>
        <v>0</v>
      </c>
      <c r="AI173" s="17"/>
      <c r="AJ173" s="17">
        <f t="shared" si="139"/>
        <v>0</v>
      </c>
      <c r="AK173" s="17"/>
      <c r="AL173" s="17">
        <f t="shared" si="140"/>
        <v>0</v>
      </c>
      <c r="AM173" s="17"/>
      <c r="AN173" s="17">
        <f t="shared" si="141"/>
        <v>0</v>
      </c>
      <c r="AO173" s="17">
        <f t="shared" si="142"/>
        <v>0</v>
      </c>
      <c r="AP173" s="14" t="str">
        <f t="shared" si="143"/>
        <v>ok</v>
      </c>
    </row>
    <row r="174" spans="1:42" x14ac:dyDescent="0.25">
      <c r="A174" s="178">
        <v>571</v>
      </c>
      <c r="B174" s="2" t="s">
        <v>353</v>
      </c>
      <c r="C174" s="2" t="s">
        <v>389</v>
      </c>
      <c r="D174" s="2" t="s">
        <v>368</v>
      </c>
      <c r="F174" s="106">
        <v>0</v>
      </c>
      <c r="H174" s="17">
        <f t="shared" si="120"/>
        <v>0</v>
      </c>
      <c r="I174" s="17">
        <f t="shared" si="121"/>
        <v>0</v>
      </c>
      <c r="J174" s="17">
        <f t="shared" si="122"/>
        <v>0</v>
      </c>
      <c r="K174" s="17">
        <f t="shared" si="123"/>
        <v>0</v>
      </c>
      <c r="L174" s="17">
        <f t="shared" si="124"/>
        <v>0</v>
      </c>
      <c r="M174" s="17">
        <f t="shared" si="125"/>
        <v>0</v>
      </c>
      <c r="N174" s="17">
        <f t="shared" si="126"/>
        <v>0</v>
      </c>
      <c r="O174" s="17"/>
      <c r="P174" s="17">
        <f t="shared" si="127"/>
        <v>0</v>
      </c>
      <c r="Q174" s="17"/>
      <c r="R174" s="17">
        <f t="shared" si="128"/>
        <v>0</v>
      </c>
      <c r="S174" s="17"/>
      <c r="T174" s="17">
        <f t="shared" si="129"/>
        <v>0</v>
      </c>
      <c r="U174" s="17"/>
      <c r="V174" s="17">
        <f t="shared" si="130"/>
        <v>0</v>
      </c>
      <c r="W174" s="17">
        <f t="shared" si="131"/>
        <v>0</v>
      </c>
      <c r="X174" s="17"/>
      <c r="Y174" s="17">
        <f t="shared" si="132"/>
        <v>0</v>
      </c>
      <c r="Z174" s="17">
        <f t="shared" si="133"/>
        <v>0</v>
      </c>
      <c r="AA174" s="17"/>
      <c r="AB174" s="17">
        <f t="shared" si="134"/>
        <v>0</v>
      </c>
      <c r="AC174" s="17">
        <f t="shared" si="135"/>
        <v>0</v>
      </c>
      <c r="AD174" s="17"/>
      <c r="AE174" s="17">
        <f t="shared" si="136"/>
        <v>0</v>
      </c>
      <c r="AF174" s="17">
        <f t="shared" si="137"/>
        <v>0</v>
      </c>
      <c r="AG174" s="17"/>
      <c r="AH174" s="17">
        <f t="shared" si="138"/>
        <v>0</v>
      </c>
      <c r="AI174" s="17"/>
      <c r="AJ174" s="17">
        <f t="shared" si="139"/>
        <v>0</v>
      </c>
      <c r="AK174" s="17"/>
      <c r="AL174" s="17">
        <f t="shared" si="140"/>
        <v>0</v>
      </c>
      <c r="AM174" s="17"/>
      <c r="AN174" s="17">
        <f t="shared" si="141"/>
        <v>0</v>
      </c>
      <c r="AO174" s="17">
        <f t="shared" si="142"/>
        <v>0</v>
      </c>
      <c r="AP174" s="14" t="str">
        <f t="shared" si="143"/>
        <v>ok</v>
      </c>
    </row>
    <row r="175" spans="1:42" x14ac:dyDescent="0.25">
      <c r="A175" s="178"/>
      <c r="B175" s="2"/>
      <c r="F175" s="106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7"/>
      <c r="AP175" s="14"/>
    </row>
    <row r="176" spans="1:42" x14ac:dyDescent="0.25">
      <c r="A176" s="178" t="s">
        <v>354</v>
      </c>
      <c r="B176" s="2"/>
      <c r="F176" s="16">
        <f>SUM(F167:F174)</f>
        <v>0</v>
      </c>
      <c r="G176" s="16">
        <f t="shared" ref="G176:AN176" si="144">SUM(G167:G174)</f>
        <v>0</v>
      </c>
      <c r="H176" s="16">
        <f t="shared" si="144"/>
        <v>0</v>
      </c>
      <c r="I176" s="16">
        <f t="shared" si="144"/>
        <v>0</v>
      </c>
      <c r="J176" s="16">
        <f t="shared" si="144"/>
        <v>0</v>
      </c>
      <c r="K176" s="16">
        <f t="shared" si="144"/>
        <v>0</v>
      </c>
      <c r="L176" s="16">
        <f t="shared" si="144"/>
        <v>0</v>
      </c>
      <c r="M176" s="16">
        <f t="shared" si="144"/>
        <v>0</v>
      </c>
      <c r="N176" s="16">
        <f t="shared" si="144"/>
        <v>0</v>
      </c>
      <c r="O176" s="16"/>
      <c r="P176" s="16">
        <f t="shared" si="144"/>
        <v>0</v>
      </c>
      <c r="Q176" s="16"/>
      <c r="R176" s="16">
        <f t="shared" si="144"/>
        <v>0</v>
      </c>
      <c r="S176" s="16"/>
      <c r="T176" s="16">
        <f t="shared" si="144"/>
        <v>0</v>
      </c>
      <c r="U176" s="16"/>
      <c r="V176" s="16">
        <f t="shared" si="144"/>
        <v>0</v>
      </c>
      <c r="W176" s="16">
        <f t="shared" si="144"/>
        <v>0</v>
      </c>
      <c r="X176" s="16"/>
      <c r="Y176" s="16">
        <f t="shared" si="144"/>
        <v>0</v>
      </c>
      <c r="Z176" s="16">
        <f t="shared" si="144"/>
        <v>0</v>
      </c>
      <c r="AA176" s="16"/>
      <c r="AB176" s="16">
        <f>SUM(AB167:AB174)</f>
        <v>0</v>
      </c>
      <c r="AC176" s="16">
        <f>SUM(AC167:AC174)</f>
        <v>0</v>
      </c>
      <c r="AD176" s="16"/>
      <c r="AE176" s="16">
        <f t="shared" si="144"/>
        <v>0</v>
      </c>
      <c r="AF176" s="16">
        <f t="shared" si="144"/>
        <v>0</v>
      </c>
      <c r="AG176" s="16"/>
      <c r="AH176" s="16">
        <f t="shared" si="144"/>
        <v>0</v>
      </c>
      <c r="AI176" s="16"/>
      <c r="AJ176" s="16">
        <f t="shared" si="144"/>
        <v>0</v>
      </c>
      <c r="AK176" s="16"/>
      <c r="AL176" s="16">
        <f t="shared" si="144"/>
        <v>0</v>
      </c>
      <c r="AM176" s="16"/>
      <c r="AN176" s="16">
        <f t="shared" si="144"/>
        <v>0</v>
      </c>
      <c r="AO176" s="13">
        <f>SUM(H176:AN176)</f>
        <v>0</v>
      </c>
      <c r="AP176" s="14" t="str">
        <f>IF(ABS(AO176-F176)&lt;1,"ok","err")</f>
        <v>ok</v>
      </c>
    </row>
    <row r="177" spans="1:42" x14ac:dyDescent="0.25">
      <c r="A177" s="2"/>
      <c r="B177" s="2"/>
      <c r="AD177" s="2"/>
      <c r="AP177" s="14"/>
    </row>
    <row r="178" spans="1:42" x14ac:dyDescent="0.25">
      <c r="A178" s="8" t="s">
        <v>104</v>
      </c>
      <c r="B178" s="2"/>
      <c r="AD178" s="2"/>
      <c r="AP178" s="14"/>
    </row>
    <row r="179" spans="1:42" x14ac:dyDescent="0.25">
      <c r="A179" s="2">
        <v>580</v>
      </c>
      <c r="B179" s="2" t="s">
        <v>105</v>
      </c>
      <c r="C179" s="2" t="s">
        <v>106</v>
      </c>
      <c r="D179" s="2" t="s">
        <v>18</v>
      </c>
      <c r="F179" s="195">
        <v>68379.94</v>
      </c>
      <c r="H179" s="17">
        <f t="shared" ref="H179:H190" si="145">IF(VLOOKUP($D179,$C$5:$AN$495,6,)=0,0,((VLOOKUP($D179,$C$5:$AN$495,6,)/VLOOKUP($D179,$C$5:$AN$495,4,))*$F179))</f>
        <v>0</v>
      </c>
      <c r="I179" s="17">
        <f t="shared" ref="I179:I190" si="146">IF(VLOOKUP($D179,$C$5:$AN$495,7,)=0,0,((VLOOKUP($D179,$C$5:$AN$495,7,)/VLOOKUP($D179,$C$5:$AN$495,4,))*$F179))</f>
        <v>0</v>
      </c>
      <c r="J179" s="17">
        <f t="shared" ref="J179:J190" si="147">IF(VLOOKUP($D179,$C$5:$AN$495,8,)=0,0,((VLOOKUP($D179,$C$5:$AN$495,8,)/VLOOKUP($D179,$C$5:$AN$495,4,))*$F179))</f>
        <v>0</v>
      </c>
      <c r="K179" s="17">
        <f t="shared" ref="K179:K190" si="148">IF(VLOOKUP($D179,$C$5:$AN$495,9,)=0,0,((VLOOKUP($D179,$C$5:$AN$495,9,)/VLOOKUP($D179,$C$5:$AN$495,4,))*$F179))</f>
        <v>0</v>
      </c>
      <c r="L179" s="17">
        <f t="shared" ref="L179:L190" si="149">IF(VLOOKUP($D179,$C$5:$AN$495,10,)=0,0,((VLOOKUP($D179,$C$5:$AN$495,10,)/VLOOKUP($D179,$C$5:$AN$495,4,))*$F179))</f>
        <v>0</v>
      </c>
      <c r="M179" s="17">
        <f t="shared" ref="M179:M190" si="150">IF(VLOOKUP($D179,$C$5:$AN$495,11,)=0,0,((VLOOKUP($D179,$C$5:$AN$495,11,)/VLOOKUP($D179,$C$5:$AN$495,4,))*$F179))</f>
        <v>0</v>
      </c>
      <c r="N179" s="17">
        <f t="shared" ref="N179:N190" si="151">IF(VLOOKUP($D179,$C$5:$AN$495,12,)=0,0,((VLOOKUP($D179,$C$5:$AN$495,12,)/VLOOKUP($D179,$C$5:$AN$495,4,))*$F179))</f>
        <v>0</v>
      </c>
      <c r="O179" s="17"/>
      <c r="P179" s="17">
        <f t="shared" ref="P179:P190" si="152">IF(VLOOKUP($D179,$C$5:$AN$495,14,)=0,0,((VLOOKUP($D179,$C$5:$AN$495,14,)/VLOOKUP($D179,$C$5:$AN$495,4,))*$F179))</f>
        <v>0</v>
      </c>
      <c r="Q179" s="17"/>
      <c r="R179" s="17">
        <f t="shared" ref="R179:R190" si="153">IF(VLOOKUP($D179,$C$5:$AN$495,16,)=0,0,((VLOOKUP($D179,$C$5:$AN$495,16,)/VLOOKUP($D179,$C$5:$AN$495,4,))*$F179))</f>
        <v>0</v>
      </c>
      <c r="S179" s="17"/>
      <c r="T179" s="17">
        <f t="shared" ref="T179:T190" si="154">IF(VLOOKUP($D179,$C$5:$AN$495,18,)=0,0,((VLOOKUP($D179,$C$5:$AN$495,18,)/VLOOKUP($D179,$C$5:$AN$495,4,))*$F179))</f>
        <v>251.76973919660841</v>
      </c>
      <c r="U179" s="17"/>
      <c r="V179" s="17">
        <f t="shared" ref="V179:V190" si="155">IF(VLOOKUP($D179,$C$5:$AN$495,20,)=0,0,((VLOOKUP($D179,$C$5:$AN$495,20,)/VLOOKUP($D179,$C$5:$AN$495,4,))*$F179))</f>
        <v>24384.304480414979</v>
      </c>
      <c r="W179" s="17">
        <f t="shared" ref="W179:W190" si="156">IF(VLOOKUP($D179,$C$5:$AN$495,21,)=0,0,((VLOOKUP($D179,$C$5:$AN$495,21,)/VLOOKUP($D179,$C$5:$AN$495,4,))*$F179))</f>
        <v>12005.63631178678</v>
      </c>
      <c r="X179" s="17"/>
      <c r="Y179" s="17">
        <f t="shared" ref="Y179:Y190" si="157">IF(VLOOKUP($D179,$C$5:$AN$495,23,)=0,0,((VLOOKUP($D179,$C$5:$AN$495,23,)/VLOOKUP($D179,$C$5:$AN$495,4,))*$F179))</f>
        <v>2709.367164490553</v>
      </c>
      <c r="Z179" s="17">
        <f t="shared" ref="Z179:Z190" si="158">IF(VLOOKUP($D179,$C$5:$AN$495,24,)=0,0,((VLOOKUP($D179,$C$5:$AN$495,24,)/VLOOKUP($D179,$C$5:$AN$495,4,))*$F179))</f>
        <v>1333.9595901985308</v>
      </c>
      <c r="AA179" s="17"/>
      <c r="AB179" s="17">
        <f t="shared" ref="AB179:AB190" si="159">IF(VLOOKUP($D179,$C$5:$AN$495,26,)=0,0,((VLOOKUP($D179,$C$5:$AN$495,26,)/VLOOKUP($D179,$C$5:$AN$495,4,))*$F179))</f>
        <v>5304.6701965294133</v>
      </c>
      <c r="AC179" s="17">
        <f t="shared" ref="AC179:AC190" si="160">IF(VLOOKUP($D179,$C$5:$AN$495,27,)=0,0,((VLOOKUP($D179,$C$5:$AN$495,27,)/VLOOKUP($D179,$C$5:$AN$495,4,))*$F179))</f>
        <v>6909.6291277381742</v>
      </c>
      <c r="AD179" s="17"/>
      <c r="AE179" s="17">
        <f t="shared" ref="AE179:AE190" si="161">IF(VLOOKUP($D179,$C$5:$AN$495,29,)=0,0,((VLOOKUP($D179,$C$5:$AN$495,29,)/VLOOKUP($D179,$C$5:$AN$495,4,))*$F179))</f>
        <v>0</v>
      </c>
      <c r="AF179" s="17">
        <f t="shared" ref="AF179:AF190" si="162">IF(VLOOKUP($D179,$C$5:$AN$495,30,)=0,0,((VLOOKUP($D179,$C$5:$AN$495,30,)/VLOOKUP($D179,$C$5:$AN$495,4,))*$F179))</f>
        <v>8615.0884268485352</v>
      </c>
      <c r="AG179" s="17"/>
      <c r="AH179" s="17">
        <f t="shared" ref="AH179:AH190" si="163">IF(VLOOKUP($D179,$C$5:$AN$495,32,)=0,0,((VLOOKUP($D179,$C$5:$AN$495,32,)/VLOOKUP($D179,$C$5:$AN$495,4,))*$F179))</f>
        <v>3298.6307919933042</v>
      </c>
      <c r="AI179" s="17"/>
      <c r="AJ179" s="17">
        <f t="shared" ref="AJ179:AJ190" si="164">IF(VLOOKUP($D179,$C$5:$AN$495,34,)=0,0,((VLOOKUP($D179,$C$5:$AN$495,34,)/VLOOKUP($D179,$C$5:$AN$495,4,))*$F179))</f>
        <v>3566.8841708031409</v>
      </c>
      <c r="AK179" s="17"/>
      <c r="AL179" s="17">
        <f t="shared" ref="AL179:AL190" si="165">IF(VLOOKUP($D179,$C$5:$AN$495,36,)=0,0,((VLOOKUP($D179,$C$5:$AN$495,36,)/VLOOKUP($D179,$C$5:$AN$495,4,))*$F179))</f>
        <v>0</v>
      </c>
      <c r="AM179" s="17"/>
      <c r="AN179" s="17">
        <f t="shared" ref="AN179:AN190" si="166">IF(VLOOKUP($D179,$C$5:$AN$495,38,)=0,0,((VLOOKUP($D179,$C$5:$AN$495,38,)/VLOOKUP($D179,$C$5:$AN$495,4,))*$F179))</f>
        <v>0</v>
      </c>
      <c r="AO179" s="17">
        <f t="shared" ref="AO179:AO190" si="167">SUM(H179:AN179)</f>
        <v>68379.940000000017</v>
      </c>
      <c r="AP179" s="14" t="str">
        <f t="shared" ref="AP179:AP190" si="168">IF(ABS(AO179-F179)&lt;1,"ok","err")</f>
        <v>ok</v>
      </c>
    </row>
    <row r="180" spans="1:42" x14ac:dyDescent="0.25">
      <c r="A180" s="2">
        <v>581</v>
      </c>
      <c r="B180" s="2" t="s">
        <v>107</v>
      </c>
      <c r="C180" s="2" t="s">
        <v>108</v>
      </c>
      <c r="D180" s="2" t="s">
        <v>25</v>
      </c>
      <c r="F180" s="148">
        <v>0</v>
      </c>
      <c r="H180" s="17">
        <f t="shared" si="145"/>
        <v>0</v>
      </c>
      <c r="I180" s="17">
        <f t="shared" si="146"/>
        <v>0</v>
      </c>
      <c r="J180" s="17">
        <f t="shared" si="147"/>
        <v>0</v>
      </c>
      <c r="K180" s="17">
        <f t="shared" si="148"/>
        <v>0</v>
      </c>
      <c r="L180" s="17">
        <f t="shared" si="149"/>
        <v>0</v>
      </c>
      <c r="M180" s="17">
        <f t="shared" si="150"/>
        <v>0</v>
      </c>
      <c r="N180" s="17">
        <f t="shared" si="151"/>
        <v>0</v>
      </c>
      <c r="O180" s="17"/>
      <c r="P180" s="17">
        <f t="shared" si="152"/>
        <v>0</v>
      </c>
      <c r="Q180" s="17"/>
      <c r="R180" s="17">
        <f t="shared" si="153"/>
        <v>0</v>
      </c>
      <c r="S180" s="17"/>
      <c r="T180" s="17">
        <f t="shared" si="154"/>
        <v>0</v>
      </c>
      <c r="U180" s="17"/>
      <c r="V180" s="17">
        <f t="shared" si="155"/>
        <v>0</v>
      </c>
      <c r="W180" s="17">
        <f t="shared" si="156"/>
        <v>0</v>
      </c>
      <c r="X180" s="17"/>
      <c r="Y180" s="17">
        <f t="shared" si="157"/>
        <v>0</v>
      </c>
      <c r="Z180" s="17">
        <f t="shared" si="158"/>
        <v>0</v>
      </c>
      <c r="AA180" s="17"/>
      <c r="AB180" s="17">
        <f t="shared" si="159"/>
        <v>0</v>
      </c>
      <c r="AC180" s="17">
        <f t="shared" si="160"/>
        <v>0</v>
      </c>
      <c r="AD180" s="17"/>
      <c r="AE180" s="17">
        <f t="shared" si="161"/>
        <v>0</v>
      </c>
      <c r="AF180" s="17">
        <f t="shared" si="162"/>
        <v>0</v>
      </c>
      <c r="AG180" s="17"/>
      <c r="AH180" s="17">
        <f t="shared" si="163"/>
        <v>0</v>
      </c>
      <c r="AI180" s="17"/>
      <c r="AJ180" s="17">
        <f t="shared" si="164"/>
        <v>0</v>
      </c>
      <c r="AK180" s="17"/>
      <c r="AL180" s="17">
        <f t="shared" si="165"/>
        <v>0</v>
      </c>
      <c r="AM180" s="17"/>
      <c r="AN180" s="17">
        <f t="shared" si="166"/>
        <v>0</v>
      </c>
      <c r="AO180" s="17">
        <f t="shared" si="167"/>
        <v>0</v>
      </c>
      <c r="AP180" s="14" t="str">
        <f t="shared" si="168"/>
        <v>ok</v>
      </c>
    </row>
    <row r="181" spans="1:42" x14ac:dyDescent="0.25">
      <c r="A181" s="2">
        <v>582</v>
      </c>
      <c r="B181" s="2" t="s">
        <v>349</v>
      </c>
      <c r="C181" s="2" t="s">
        <v>355</v>
      </c>
      <c r="D181" s="2" t="s">
        <v>25</v>
      </c>
      <c r="F181" s="148">
        <v>9662</v>
      </c>
      <c r="H181" s="17">
        <f t="shared" si="145"/>
        <v>0</v>
      </c>
      <c r="I181" s="17">
        <f t="shared" si="146"/>
        <v>0</v>
      </c>
      <c r="J181" s="17">
        <f t="shared" si="147"/>
        <v>0</v>
      </c>
      <c r="K181" s="17">
        <f t="shared" si="148"/>
        <v>0</v>
      </c>
      <c r="L181" s="17">
        <f t="shared" si="149"/>
        <v>0</v>
      </c>
      <c r="M181" s="17">
        <f t="shared" si="150"/>
        <v>0</v>
      </c>
      <c r="N181" s="17">
        <f t="shared" si="151"/>
        <v>0</v>
      </c>
      <c r="O181" s="17"/>
      <c r="P181" s="17">
        <f t="shared" si="152"/>
        <v>0</v>
      </c>
      <c r="Q181" s="17"/>
      <c r="R181" s="17">
        <f t="shared" si="153"/>
        <v>0</v>
      </c>
      <c r="S181" s="17"/>
      <c r="T181" s="17">
        <f t="shared" si="154"/>
        <v>9662</v>
      </c>
      <c r="U181" s="17"/>
      <c r="V181" s="17">
        <f t="shared" si="155"/>
        <v>0</v>
      </c>
      <c r="W181" s="17">
        <f t="shared" si="156"/>
        <v>0</v>
      </c>
      <c r="X181" s="17"/>
      <c r="Y181" s="17">
        <f t="shared" si="157"/>
        <v>0</v>
      </c>
      <c r="Z181" s="17">
        <f t="shared" si="158"/>
        <v>0</v>
      </c>
      <c r="AA181" s="17"/>
      <c r="AB181" s="17">
        <f t="shared" si="159"/>
        <v>0</v>
      </c>
      <c r="AC181" s="17">
        <f t="shared" si="160"/>
        <v>0</v>
      </c>
      <c r="AD181" s="17"/>
      <c r="AE181" s="17">
        <f t="shared" si="161"/>
        <v>0</v>
      </c>
      <c r="AF181" s="17">
        <f t="shared" si="162"/>
        <v>0</v>
      </c>
      <c r="AG181" s="17"/>
      <c r="AH181" s="17">
        <f t="shared" si="163"/>
        <v>0</v>
      </c>
      <c r="AI181" s="17"/>
      <c r="AJ181" s="17">
        <f t="shared" si="164"/>
        <v>0</v>
      </c>
      <c r="AK181" s="17"/>
      <c r="AL181" s="17">
        <f t="shared" si="165"/>
        <v>0</v>
      </c>
      <c r="AM181" s="17"/>
      <c r="AN181" s="17">
        <f t="shared" si="166"/>
        <v>0</v>
      </c>
      <c r="AO181" s="17">
        <f t="shared" si="167"/>
        <v>9662</v>
      </c>
      <c r="AP181" s="14" t="str">
        <f t="shared" si="168"/>
        <v>ok</v>
      </c>
    </row>
    <row r="182" spans="1:42" x14ac:dyDescent="0.25">
      <c r="A182" s="2">
        <v>583</v>
      </c>
      <c r="B182" s="2" t="s">
        <v>109</v>
      </c>
      <c r="C182" s="2" t="s">
        <v>110</v>
      </c>
      <c r="D182" s="2" t="s">
        <v>31</v>
      </c>
      <c r="F182" s="148">
        <f>1396356.17-14500</f>
        <v>1381856.17</v>
      </c>
      <c r="H182" s="17">
        <f t="shared" si="145"/>
        <v>0</v>
      </c>
      <c r="I182" s="17">
        <f t="shared" si="146"/>
        <v>0</v>
      </c>
      <c r="J182" s="17">
        <f t="shared" si="147"/>
        <v>0</v>
      </c>
      <c r="K182" s="17">
        <f t="shared" si="148"/>
        <v>0</v>
      </c>
      <c r="L182" s="17">
        <f t="shared" si="149"/>
        <v>0</v>
      </c>
      <c r="M182" s="17">
        <f t="shared" si="150"/>
        <v>0</v>
      </c>
      <c r="N182" s="17">
        <f t="shared" si="151"/>
        <v>0</v>
      </c>
      <c r="O182" s="17"/>
      <c r="P182" s="17">
        <f t="shared" si="152"/>
        <v>0</v>
      </c>
      <c r="Q182" s="17"/>
      <c r="R182" s="17">
        <f t="shared" si="153"/>
        <v>0</v>
      </c>
      <c r="S182" s="17"/>
      <c r="T182" s="17">
        <f t="shared" si="154"/>
        <v>0</v>
      </c>
      <c r="U182" s="17"/>
      <c r="V182" s="17">
        <f t="shared" si="155"/>
        <v>864599.76844559994</v>
      </c>
      <c r="W182" s="17">
        <f t="shared" si="156"/>
        <v>379070.78455440002</v>
      </c>
      <c r="X182" s="17"/>
      <c r="Y182" s="17">
        <f t="shared" si="157"/>
        <v>96066.640938400014</v>
      </c>
      <c r="Z182" s="17">
        <f t="shared" si="158"/>
        <v>42118.976061600006</v>
      </c>
      <c r="AA182" s="17"/>
      <c r="AB182" s="17">
        <f t="shared" si="159"/>
        <v>0</v>
      </c>
      <c r="AC182" s="17">
        <f t="shared" si="160"/>
        <v>0</v>
      </c>
      <c r="AD182" s="17"/>
      <c r="AE182" s="17">
        <f t="shared" si="161"/>
        <v>0</v>
      </c>
      <c r="AF182" s="17">
        <f t="shared" si="162"/>
        <v>0</v>
      </c>
      <c r="AG182" s="17"/>
      <c r="AH182" s="17">
        <f t="shared" si="163"/>
        <v>0</v>
      </c>
      <c r="AI182" s="17"/>
      <c r="AJ182" s="17">
        <f t="shared" si="164"/>
        <v>0</v>
      </c>
      <c r="AK182" s="17"/>
      <c r="AL182" s="17">
        <f t="shared" si="165"/>
        <v>0</v>
      </c>
      <c r="AM182" s="17"/>
      <c r="AN182" s="17">
        <f t="shared" si="166"/>
        <v>0</v>
      </c>
      <c r="AO182" s="17">
        <f t="shared" si="167"/>
        <v>1381856.17</v>
      </c>
      <c r="AP182" s="14" t="str">
        <f t="shared" si="168"/>
        <v>ok</v>
      </c>
    </row>
    <row r="183" spans="1:42" x14ac:dyDescent="0.25">
      <c r="A183" s="2">
        <v>584</v>
      </c>
      <c r="B183" s="2" t="s">
        <v>111</v>
      </c>
      <c r="C183" s="2" t="s">
        <v>112</v>
      </c>
      <c r="D183" s="2" t="s">
        <v>37</v>
      </c>
      <c r="F183" s="148">
        <v>101915.85</v>
      </c>
      <c r="H183" s="17">
        <f t="shared" si="145"/>
        <v>0</v>
      </c>
      <c r="I183" s="17">
        <f t="shared" si="146"/>
        <v>0</v>
      </c>
      <c r="J183" s="17">
        <f t="shared" si="147"/>
        <v>0</v>
      </c>
      <c r="K183" s="17">
        <f t="shared" si="148"/>
        <v>0</v>
      </c>
      <c r="L183" s="17">
        <f t="shared" si="149"/>
        <v>0</v>
      </c>
      <c r="M183" s="17">
        <f t="shared" si="150"/>
        <v>0</v>
      </c>
      <c r="N183" s="17">
        <f t="shared" si="151"/>
        <v>0</v>
      </c>
      <c r="O183" s="17"/>
      <c r="P183" s="17">
        <f t="shared" si="152"/>
        <v>0</v>
      </c>
      <c r="Q183" s="17"/>
      <c r="R183" s="17">
        <f t="shared" si="153"/>
        <v>0</v>
      </c>
      <c r="S183" s="17"/>
      <c r="T183" s="17">
        <f t="shared" si="154"/>
        <v>0</v>
      </c>
      <c r="U183" s="17"/>
      <c r="V183" s="17">
        <f t="shared" si="155"/>
        <v>29461.833918</v>
      </c>
      <c r="W183" s="17">
        <f t="shared" si="156"/>
        <v>62262.431082000003</v>
      </c>
      <c r="X183" s="17"/>
      <c r="Y183" s="17">
        <f t="shared" si="157"/>
        <v>3273.5371020000007</v>
      </c>
      <c r="Z183" s="17">
        <f t="shared" si="158"/>
        <v>6918.0478979999998</v>
      </c>
      <c r="AA183" s="17"/>
      <c r="AB183" s="17">
        <f t="shared" si="159"/>
        <v>0</v>
      </c>
      <c r="AC183" s="17">
        <f t="shared" si="160"/>
        <v>0</v>
      </c>
      <c r="AD183" s="17"/>
      <c r="AE183" s="17">
        <f t="shared" si="161"/>
        <v>0</v>
      </c>
      <c r="AF183" s="17">
        <f t="shared" si="162"/>
        <v>0</v>
      </c>
      <c r="AG183" s="17"/>
      <c r="AH183" s="17">
        <f t="shared" si="163"/>
        <v>0</v>
      </c>
      <c r="AI183" s="17"/>
      <c r="AJ183" s="17">
        <f t="shared" si="164"/>
        <v>0</v>
      </c>
      <c r="AK183" s="17"/>
      <c r="AL183" s="17">
        <f t="shared" si="165"/>
        <v>0</v>
      </c>
      <c r="AM183" s="17"/>
      <c r="AN183" s="17">
        <f t="shared" si="166"/>
        <v>0</v>
      </c>
      <c r="AO183" s="17">
        <f t="shared" si="167"/>
        <v>101915.85</v>
      </c>
      <c r="AP183" s="14" t="str">
        <f t="shared" si="168"/>
        <v>ok</v>
      </c>
    </row>
    <row r="184" spans="1:42" x14ac:dyDescent="0.25">
      <c r="A184" s="2">
        <v>585</v>
      </c>
      <c r="B184" s="2" t="s">
        <v>113</v>
      </c>
      <c r="C184" s="2" t="s">
        <v>114</v>
      </c>
      <c r="D184" s="2" t="s">
        <v>48</v>
      </c>
      <c r="F184" s="148">
        <v>0</v>
      </c>
      <c r="H184" s="17">
        <f t="shared" si="145"/>
        <v>0</v>
      </c>
      <c r="I184" s="17">
        <f t="shared" si="146"/>
        <v>0</v>
      </c>
      <c r="J184" s="17">
        <f t="shared" si="147"/>
        <v>0</v>
      </c>
      <c r="K184" s="17">
        <f t="shared" si="148"/>
        <v>0</v>
      </c>
      <c r="L184" s="17">
        <f t="shared" si="149"/>
        <v>0</v>
      </c>
      <c r="M184" s="17">
        <f t="shared" si="150"/>
        <v>0</v>
      </c>
      <c r="N184" s="17">
        <f t="shared" si="151"/>
        <v>0</v>
      </c>
      <c r="O184" s="17"/>
      <c r="P184" s="17">
        <f t="shared" si="152"/>
        <v>0</v>
      </c>
      <c r="Q184" s="17"/>
      <c r="R184" s="17">
        <f t="shared" si="153"/>
        <v>0</v>
      </c>
      <c r="S184" s="17"/>
      <c r="T184" s="17">
        <f t="shared" si="154"/>
        <v>0</v>
      </c>
      <c r="U184" s="17"/>
      <c r="V184" s="17">
        <f t="shared" si="155"/>
        <v>0</v>
      </c>
      <c r="W184" s="17">
        <f t="shared" si="156"/>
        <v>0</v>
      </c>
      <c r="X184" s="17"/>
      <c r="Y184" s="17">
        <f t="shared" si="157"/>
        <v>0</v>
      </c>
      <c r="Z184" s="17">
        <f t="shared" si="158"/>
        <v>0</v>
      </c>
      <c r="AA184" s="17"/>
      <c r="AB184" s="17">
        <f t="shared" si="159"/>
        <v>0</v>
      </c>
      <c r="AC184" s="17">
        <f t="shared" si="160"/>
        <v>0</v>
      </c>
      <c r="AD184" s="17"/>
      <c r="AE184" s="17">
        <f t="shared" si="161"/>
        <v>0</v>
      </c>
      <c r="AF184" s="17">
        <f t="shared" si="162"/>
        <v>0</v>
      </c>
      <c r="AG184" s="17"/>
      <c r="AH184" s="17">
        <f t="shared" si="163"/>
        <v>0</v>
      </c>
      <c r="AI184" s="17"/>
      <c r="AJ184" s="17">
        <f t="shared" si="164"/>
        <v>0</v>
      </c>
      <c r="AK184" s="17"/>
      <c r="AL184" s="17">
        <f t="shared" si="165"/>
        <v>0</v>
      </c>
      <c r="AM184" s="17"/>
      <c r="AN184" s="17">
        <f t="shared" si="166"/>
        <v>0</v>
      </c>
      <c r="AO184" s="17">
        <f t="shared" si="167"/>
        <v>0</v>
      </c>
      <c r="AP184" s="14" t="str">
        <f t="shared" si="168"/>
        <v>ok</v>
      </c>
    </row>
    <row r="185" spans="1:42" x14ac:dyDescent="0.25">
      <c r="A185" s="2">
        <v>586</v>
      </c>
      <c r="B185" s="2" t="s">
        <v>115</v>
      </c>
      <c r="C185" s="2" t="s">
        <v>116</v>
      </c>
      <c r="D185" s="2" t="s">
        <v>45</v>
      </c>
      <c r="F185" s="148">
        <v>1574275.5899999999</v>
      </c>
      <c r="H185" s="17">
        <f t="shared" si="145"/>
        <v>0</v>
      </c>
      <c r="I185" s="17">
        <f t="shared" si="146"/>
        <v>0</v>
      </c>
      <c r="J185" s="17">
        <f t="shared" si="147"/>
        <v>0</v>
      </c>
      <c r="K185" s="17">
        <f t="shared" si="148"/>
        <v>0</v>
      </c>
      <c r="L185" s="17">
        <f t="shared" si="149"/>
        <v>0</v>
      </c>
      <c r="M185" s="17">
        <f t="shared" si="150"/>
        <v>0</v>
      </c>
      <c r="N185" s="17">
        <f t="shared" si="151"/>
        <v>0</v>
      </c>
      <c r="O185" s="17"/>
      <c r="P185" s="17">
        <f t="shared" si="152"/>
        <v>0</v>
      </c>
      <c r="Q185" s="17"/>
      <c r="R185" s="17">
        <f t="shared" si="153"/>
        <v>0</v>
      </c>
      <c r="S185" s="17"/>
      <c r="T185" s="17">
        <f t="shared" si="154"/>
        <v>0</v>
      </c>
      <c r="U185" s="17"/>
      <c r="V185" s="17">
        <f t="shared" si="155"/>
        <v>0</v>
      </c>
      <c r="W185" s="17">
        <f t="shared" si="156"/>
        <v>0</v>
      </c>
      <c r="X185" s="17"/>
      <c r="Y185" s="17">
        <f t="shared" si="157"/>
        <v>0</v>
      </c>
      <c r="Z185" s="17">
        <f t="shared" si="158"/>
        <v>0</v>
      </c>
      <c r="AA185" s="17"/>
      <c r="AB185" s="17">
        <f t="shared" si="159"/>
        <v>0</v>
      </c>
      <c r="AC185" s="17">
        <f t="shared" si="160"/>
        <v>0</v>
      </c>
      <c r="AD185" s="17"/>
      <c r="AE185" s="17">
        <f t="shared" si="161"/>
        <v>0</v>
      </c>
      <c r="AF185" s="17">
        <f t="shared" si="162"/>
        <v>0</v>
      </c>
      <c r="AG185" s="17"/>
      <c r="AH185" s="17">
        <f t="shared" si="163"/>
        <v>1574275.5899999999</v>
      </c>
      <c r="AI185" s="17"/>
      <c r="AJ185" s="17">
        <f t="shared" si="164"/>
        <v>0</v>
      </c>
      <c r="AK185" s="17"/>
      <c r="AL185" s="17">
        <f t="shared" si="165"/>
        <v>0</v>
      </c>
      <c r="AM185" s="17"/>
      <c r="AN185" s="17">
        <f t="shared" si="166"/>
        <v>0</v>
      </c>
      <c r="AO185" s="17">
        <f t="shared" si="167"/>
        <v>1574275.5899999999</v>
      </c>
      <c r="AP185" s="14" t="str">
        <f t="shared" si="168"/>
        <v>ok</v>
      </c>
    </row>
    <row r="186" spans="1:42" x14ac:dyDescent="0.25">
      <c r="A186" s="2">
        <v>586</v>
      </c>
      <c r="B186" s="2" t="s">
        <v>433</v>
      </c>
      <c r="C186" s="2" t="s">
        <v>434</v>
      </c>
      <c r="D186" s="2" t="s">
        <v>46</v>
      </c>
      <c r="F186" s="148">
        <v>0</v>
      </c>
      <c r="H186" s="17">
        <f t="shared" si="145"/>
        <v>0</v>
      </c>
      <c r="I186" s="17">
        <f t="shared" si="146"/>
        <v>0</v>
      </c>
      <c r="J186" s="17">
        <f t="shared" si="147"/>
        <v>0</v>
      </c>
      <c r="K186" s="17">
        <f t="shared" si="148"/>
        <v>0</v>
      </c>
      <c r="L186" s="17">
        <f t="shared" si="149"/>
        <v>0</v>
      </c>
      <c r="M186" s="17">
        <f t="shared" si="150"/>
        <v>0</v>
      </c>
      <c r="N186" s="17">
        <f t="shared" si="151"/>
        <v>0</v>
      </c>
      <c r="O186" s="17"/>
      <c r="P186" s="17">
        <f t="shared" si="152"/>
        <v>0</v>
      </c>
      <c r="Q186" s="17"/>
      <c r="R186" s="17">
        <f t="shared" si="153"/>
        <v>0</v>
      </c>
      <c r="S186" s="17"/>
      <c r="T186" s="17">
        <f t="shared" si="154"/>
        <v>0</v>
      </c>
      <c r="U186" s="17"/>
      <c r="V186" s="17">
        <f t="shared" si="155"/>
        <v>0</v>
      </c>
      <c r="W186" s="17">
        <f t="shared" si="156"/>
        <v>0</v>
      </c>
      <c r="X186" s="17"/>
      <c r="Y186" s="17">
        <f t="shared" si="157"/>
        <v>0</v>
      </c>
      <c r="Z186" s="17">
        <f t="shared" si="158"/>
        <v>0</v>
      </c>
      <c r="AA186" s="17"/>
      <c r="AB186" s="17">
        <f t="shared" si="159"/>
        <v>0</v>
      </c>
      <c r="AC186" s="17">
        <f t="shared" si="160"/>
        <v>0</v>
      </c>
      <c r="AD186" s="17"/>
      <c r="AE186" s="17">
        <f t="shared" si="161"/>
        <v>0</v>
      </c>
      <c r="AF186" s="17">
        <f t="shared" si="162"/>
        <v>0</v>
      </c>
      <c r="AG186" s="17"/>
      <c r="AH186" s="17">
        <f t="shared" si="163"/>
        <v>0</v>
      </c>
      <c r="AI186" s="17"/>
      <c r="AJ186" s="17">
        <f t="shared" si="164"/>
        <v>0</v>
      </c>
      <c r="AK186" s="17"/>
      <c r="AL186" s="17">
        <f t="shared" si="165"/>
        <v>0</v>
      </c>
      <c r="AM186" s="17"/>
      <c r="AN186" s="17">
        <f t="shared" si="166"/>
        <v>0</v>
      </c>
      <c r="AO186" s="17">
        <f t="shared" si="167"/>
        <v>0</v>
      </c>
      <c r="AP186" s="14" t="str">
        <f t="shared" si="168"/>
        <v>ok</v>
      </c>
    </row>
    <row r="187" spans="1:42" x14ac:dyDescent="0.25">
      <c r="A187" s="2">
        <v>587</v>
      </c>
      <c r="B187" s="2" t="s">
        <v>117</v>
      </c>
      <c r="C187" s="2" t="s">
        <v>118</v>
      </c>
      <c r="D187" s="2" t="s">
        <v>48</v>
      </c>
      <c r="F187" s="148">
        <v>360946.98</v>
      </c>
      <c r="H187" s="17">
        <f t="shared" si="145"/>
        <v>0</v>
      </c>
      <c r="I187" s="17">
        <f t="shared" si="146"/>
        <v>0</v>
      </c>
      <c r="J187" s="17">
        <f t="shared" si="147"/>
        <v>0</v>
      </c>
      <c r="K187" s="17">
        <f t="shared" si="148"/>
        <v>0</v>
      </c>
      <c r="L187" s="17">
        <f t="shared" si="149"/>
        <v>0</v>
      </c>
      <c r="M187" s="17">
        <f t="shared" si="150"/>
        <v>0</v>
      </c>
      <c r="N187" s="17">
        <f t="shared" si="151"/>
        <v>0</v>
      </c>
      <c r="O187" s="17"/>
      <c r="P187" s="17">
        <f t="shared" si="152"/>
        <v>0</v>
      </c>
      <c r="Q187" s="17"/>
      <c r="R187" s="17">
        <f t="shared" si="153"/>
        <v>0</v>
      </c>
      <c r="S187" s="17"/>
      <c r="T187" s="17">
        <f t="shared" si="154"/>
        <v>0</v>
      </c>
      <c r="U187" s="17"/>
      <c r="V187" s="17">
        <f t="shared" si="155"/>
        <v>0</v>
      </c>
      <c r="W187" s="17">
        <f t="shared" si="156"/>
        <v>0</v>
      </c>
      <c r="X187" s="17"/>
      <c r="Y187" s="17">
        <f t="shared" si="157"/>
        <v>0</v>
      </c>
      <c r="Z187" s="17">
        <f t="shared" si="158"/>
        <v>0</v>
      </c>
      <c r="AA187" s="17"/>
      <c r="AB187" s="17">
        <f t="shared" si="159"/>
        <v>0</v>
      </c>
      <c r="AC187" s="17">
        <f t="shared" si="160"/>
        <v>0</v>
      </c>
      <c r="AD187" s="17"/>
      <c r="AE187" s="17">
        <f t="shared" si="161"/>
        <v>0</v>
      </c>
      <c r="AF187" s="17">
        <f t="shared" si="162"/>
        <v>0</v>
      </c>
      <c r="AG187" s="17"/>
      <c r="AH187" s="17">
        <f t="shared" si="163"/>
        <v>0</v>
      </c>
      <c r="AI187" s="17"/>
      <c r="AJ187" s="17">
        <f t="shared" si="164"/>
        <v>360946.98</v>
      </c>
      <c r="AK187" s="17"/>
      <c r="AL187" s="17">
        <f t="shared" si="165"/>
        <v>0</v>
      </c>
      <c r="AM187" s="17"/>
      <c r="AN187" s="17">
        <f t="shared" si="166"/>
        <v>0</v>
      </c>
      <c r="AO187" s="17">
        <f t="shared" si="167"/>
        <v>360946.98</v>
      </c>
      <c r="AP187" s="14" t="str">
        <f t="shared" si="168"/>
        <v>ok</v>
      </c>
    </row>
    <row r="188" spans="1:42" x14ac:dyDescent="0.25">
      <c r="A188" s="2">
        <v>588</v>
      </c>
      <c r="B188" s="2" t="s">
        <v>119</v>
      </c>
      <c r="C188" s="2" t="s">
        <v>120</v>
      </c>
      <c r="D188" s="2" t="s">
        <v>18</v>
      </c>
      <c r="F188" s="148">
        <v>432367.72</v>
      </c>
      <c r="H188" s="17">
        <f t="shared" si="145"/>
        <v>0</v>
      </c>
      <c r="I188" s="17">
        <f t="shared" si="146"/>
        <v>0</v>
      </c>
      <c r="J188" s="17">
        <f t="shared" si="147"/>
        <v>0</v>
      </c>
      <c r="K188" s="17">
        <f t="shared" si="148"/>
        <v>0</v>
      </c>
      <c r="L188" s="17">
        <f t="shared" si="149"/>
        <v>0</v>
      </c>
      <c r="M188" s="17">
        <f t="shared" si="150"/>
        <v>0</v>
      </c>
      <c r="N188" s="17">
        <f t="shared" si="151"/>
        <v>0</v>
      </c>
      <c r="O188" s="17"/>
      <c r="P188" s="17">
        <f t="shared" si="152"/>
        <v>0</v>
      </c>
      <c r="Q188" s="17"/>
      <c r="R188" s="17">
        <f t="shared" si="153"/>
        <v>0</v>
      </c>
      <c r="S188" s="17"/>
      <c r="T188" s="17">
        <f t="shared" si="154"/>
        <v>1591.9450660739421</v>
      </c>
      <c r="U188" s="17"/>
      <c r="V188" s="17">
        <f t="shared" si="155"/>
        <v>154182.44198492728</v>
      </c>
      <c r="W188" s="17">
        <f t="shared" si="156"/>
        <v>75911.877069158858</v>
      </c>
      <c r="X188" s="17"/>
      <c r="Y188" s="17">
        <f t="shared" si="157"/>
        <v>17131.382442769696</v>
      </c>
      <c r="Z188" s="17">
        <f t="shared" si="158"/>
        <v>8434.6530076843155</v>
      </c>
      <c r="AA188" s="17"/>
      <c r="AB188" s="17">
        <f t="shared" si="159"/>
        <v>33541.535108474418</v>
      </c>
      <c r="AC188" s="17">
        <f t="shared" si="160"/>
        <v>43689.722336780978</v>
      </c>
      <c r="AD188" s="17"/>
      <c r="AE188" s="17">
        <f t="shared" si="161"/>
        <v>0</v>
      </c>
      <c r="AF188" s="17">
        <f t="shared" si="162"/>
        <v>54473.375389257249</v>
      </c>
      <c r="AG188" s="17"/>
      <c r="AH188" s="17">
        <f t="shared" si="163"/>
        <v>20857.308073916691</v>
      </c>
      <c r="AI188" s="17"/>
      <c r="AJ188" s="17">
        <f t="shared" si="164"/>
        <v>22553.479520956651</v>
      </c>
      <c r="AK188" s="17"/>
      <c r="AL188" s="17">
        <f t="shared" si="165"/>
        <v>0</v>
      </c>
      <c r="AM188" s="17"/>
      <c r="AN188" s="17">
        <f t="shared" si="166"/>
        <v>0</v>
      </c>
      <c r="AO188" s="17">
        <f t="shared" si="167"/>
        <v>432367.72000000009</v>
      </c>
      <c r="AP188" s="14" t="str">
        <f t="shared" si="168"/>
        <v>ok</v>
      </c>
    </row>
    <row r="189" spans="1:42" x14ac:dyDescent="0.25">
      <c r="A189" s="2">
        <v>588</v>
      </c>
      <c r="B189" s="2" t="s">
        <v>956</v>
      </c>
      <c r="C189" s="2" t="s">
        <v>539</v>
      </c>
      <c r="D189" s="2" t="s">
        <v>18</v>
      </c>
      <c r="F189" s="148">
        <v>315568.73</v>
      </c>
      <c r="H189" s="17">
        <f t="shared" si="145"/>
        <v>0</v>
      </c>
      <c r="I189" s="17">
        <f t="shared" si="146"/>
        <v>0</v>
      </c>
      <c r="J189" s="17">
        <f t="shared" si="147"/>
        <v>0</v>
      </c>
      <c r="K189" s="17">
        <f t="shared" si="148"/>
        <v>0</v>
      </c>
      <c r="L189" s="17">
        <f t="shared" si="149"/>
        <v>0</v>
      </c>
      <c r="M189" s="17">
        <f t="shared" si="150"/>
        <v>0</v>
      </c>
      <c r="N189" s="17">
        <f t="shared" si="151"/>
        <v>0</v>
      </c>
      <c r="O189" s="17"/>
      <c r="P189" s="17">
        <f t="shared" si="152"/>
        <v>0</v>
      </c>
      <c r="Q189" s="17"/>
      <c r="R189" s="17">
        <f t="shared" si="153"/>
        <v>0</v>
      </c>
      <c r="S189" s="17"/>
      <c r="T189" s="17">
        <f t="shared" si="154"/>
        <v>1161.9000667550297</v>
      </c>
      <c r="U189" s="17"/>
      <c r="V189" s="17">
        <f t="shared" si="155"/>
        <v>112531.89161642821</v>
      </c>
      <c r="W189" s="17">
        <f t="shared" si="156"/>
        <v>55405.187599644538</v>
      </c>
      <c r="X189" s="17"/>
      <c r="Y189" s="17">
        <f t="shared" si="157"/>
        <v>12503.543512936467</v>
      </c>
      <c r="Z189" s="17">
        <f t="shared" si="158"/>
        <v>6156.131955516059</v>
      </c>
      <c r="AA189" s="17"/>
      <c r="AB189" s="17">
        <f t="shared" si="159"/>
        <v>24480.688883137911</v>
      </c>
      <c r="AC189" s="17">
        <f t="shared" si="160"/>
        <v>31887.464197999343</v>
      </c>
      <c r="AD189" s="17"/>
      <c r="AE189" s="17">
        <f t="shared" si="161"/>
        <v>0</v>
      </c>
      <c r="AF189" s="17">
        <f t="shared" si="162"/>
        <v>39758.041813114927</v>
      </c>
      <c r="AG189" s="17"/>
      <c r="AH189" s="17">
        <f t="shared" si="163"/>
        <v>15222.954711107102</v>
      </c>
      <c r="AI189" s="17"/>
      <c r="AJ189" s="17">
        <f t="shared" si="164"/>
        <v>16460.925643360468</v>
      </c>
      <c r="AK189" s="17"/>
      <c r="AL189" s="17">
        <f t="shared" si="165"/>
        <v>0</v>
      </c>
      <c r="AM189" s="17"/>
      <c r="AN189" s="17">
        <f t="shared" si="166"/>
        <v>0</v>
      </c>
      <c r="AO189" s="17">
        <f t="shared" si="167"/>
        <v>315568.7300000001</v>
      </c>
      <c r="AP189" s="14" t="str">
        <f t="shared" si="168"/>
        <v>ok</v>
      </c>
    </row>
    <row r="190" spans="1:42" x14ac:dyDescent="0.25">
      <c r="A190" s="2">
        <v>589</v>
      </c>
      <c r="B190" s="2" t="s">
        <v>121</v>
      </c>
      <c r="C190" s="2" t="s">
        <v>122</v>
      </c>
      <c r="D190" s="2" t="s">
        <v>18</v>
      </c>
      <c r="F190" s="148">
        <v>0</v>
      </c>
      <c r="H190" s="17">
        <f t="shared" si="145"/>
        <v>0</v>
      </c>
      <c r="I190" s="17">
        <f t="shared" si="146"/>
        <v>0</v>
      </c>
      <c r="J190" s="17">
        <f t="shared" si="147"/>
        <v>0</v>
      </c>
      <c r="K190" s="17">
        <f t="shared" si="148"/>
        <v>0</v>
      </c>
      <c r="L190" s="17">
        <f t="shared" si="149"/>
        <v>0</v>
      </c>
      <c r="M190" s="17">
        <f t="shared" si="150"/>
        <v>0</v>
      </c>
      <c r="N190" s="17">
        <f t="shared" si="151"/>
        <v>0</v>
      </c>
      <c r="O190" s="17"/>
      <c r="P190" s="17">
        <f t="shared" si="152"/>
        <v>0</v>
      </c>
      <c r="Q190" s="17"/>
      <c r="R190" s="17">
        <f t="shared" si="153"/>
        <v>0</v>
      </c>
      <c r="S190" s="17"/>
      <c r="T190" s="17">
        <f t="shared" si="154"/>
        <v>0</v>
      </c>
      <c r="U190" s="17"/>
      <c r="V190" s="17">
        <f t="shared" si="155"/>
        <v>0</v>
      </c>
      <c r="W190" s="17">
        <f t="shared" si="156"/>
        <v>0</v>
      </c>
      <c r="X190" s="17"/>
      <c r="Y190" s="17">
        <f t="shared" si="157"/>
        <v>0</v>
      </c>
      <c r="Z190" s="17">
        <f t="shared" si="158"/>
        <v>0</v>
      </c>
      <c r="AA190" s="17"/>
      <c r="AB190" s="17">
        <f t="shared" si="159"/>
        <v>0</v>
      </c>
      <c r="AC190" s="17">
        <f t="shared" si="160"/>
        <v>0</v>
      </c>
      <c r="AD190" s="17"/>
      <c r="AE190" s="17">
        <f t="shared" si="161"/>
        <v>0</v>
      </c>
      <c r="AF190" s="17">
        <f t="shared" si="162"/>
        <v>0</v>
      </c>
      <c r="AG190" s="17"/>
      <c r="AH190" s="17">
        <f t="shared" si="163"/>
        <v>0</v>
      </c>
      <c r="AI190" s="17"/>
      <c r="AJ190" s="17">
        <f t="shared" si="164"/>
        <v>0</v>
      </c>
      <c r="AK190" s="17"/>
      <c r="AL190" s="17">
        <f t="shared" si="165"/>
        <v>0</v>
      </c>
      <c r="AM190" s="17"/>
      <c r="AN190" s="17">
        <f t="shared" si="166"/>
        <v>0</v>
      </c>
      <c r="AO190" s="17">
        <f t="shared" si="167"/>
        <v>0</v>
      </c>
      <c r="AP190" s="14" t="str">
        <f t="shared" si="168"/>
        <v>ok</v>
      </c>
    </row>
    <row r="191" spans="1:42" x14ac:dyDescent="0.25">
      <c r="A191" s="2"/>
      <c r="B191" s="2"/>
      <c r="F191" s="10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P191" s="14"/>
    </row>
    <row r="192" spans="1:42" x14ac:dyDescent="0.25">
      <c r="A192" s="2" t="s">
        <v>123</v>
      </c>
      <c r="B192" s="2"/>
      <c r="C192" s="2" t="s">
        <v>124</v>
      </c>
      <c r="F192" s="106">
        <f t="shared" ref="F192:P192" si="169">SUM(F179:F191)</f>
        <v>4244972.9800000004</v>
      </c>
      <c r="G192" s="13">
        <f t="shared" si="169"/>
        <v>0</v>
      </c>
      <c r="H192" s="13">
        <f t="shared" si="169"/>
        <v>0</v>
      </c>
      <c r="I192" s="13">
        <f t="shared" si="169"/>
        <v>0</v>
      </c>
      <c r="J192" s="13">
        <f t="shared" si="169"/>
        <v>0</v>
      </c>
      <c r="K192" s="13">
        <f t="shared" si="169"/>
        <v>0</v>
      </c>
      <c r="L192" s="13">
        <f t="shared" si="169"/>
        <v>0</v>
      </c>
      <c r="M192" s="13">
        <f t="shared" si="169"/>
        <v>0</v>
      </c>
      <c r="N192" s="13">
        <f t="shared" si="169"/>
        <v>0</v>
      </c>
      <c r="O192" s="13"/>
      <c r="P192" s="13">
        <f t="shared" si="169"/>
        <v>0</v>
      </c>
      <c r="Q192" s="13"/>
      <c r="R192" s="13">
        <f>SUM(R179:R191)</f>
        <v>0</v>
      </c>
      <c r="S192" s="13"/>
      <c r="T192" s="13">
        <f>SUM(T179:T191)</f>
        <v>12667.614872025581</v>
      </c>
      <c r="U192" s="13"/>
      <c r="V192" s="13">
        <f>SUM(V179:V191)</f>
        <v>1185160.2404453703</v>
      </c>
      <c r="W192" s="13">
        <f>SUM(W179:W191)</f>
        <v>584655.91661699023</v>
      </c>
      <c r="X192" s="13"/>
      <c r="Y192" s="13">
        <f>SUM(Y179:Y191)</f>
        <v>131684.47116059673</v>
      </c>
      <c r="Z192" s="13">
        <f>SUM(Z179:Z191)</f>
        <v>64961.768512998911</v>
      </c>
      <c r="AA192" s="13"/>
      <c r="AB192" s="13">
        <f>SUM(AB179:AB191)</f>
        <v>63326.894188141741</v>
      </c>
      <c r="AC192" s="13">
        <f>SUM(AC179:AC191)</f>
        <v>82486.815662518493</v>
      </c>
      <c r="AD192" s="13"/>
      <c r="AE192" s="13">
        <f>SUM(AE179:AE191)</f>
        <v>0</v>
      </c>
      <c r="AF192" s="13">
        <f>SUM(AF179:AF191)</f>
        <v>102846.50562922072</v>
      </c>
      <c r="AG192" s="13"/>
      <c r="AH192" s="13">
        <f>SUM(AH179:AH191)</f>
        <v>1613654.483577017</v>
      </c>
      <c r="AI192" s="13"/>
      <c r="AJ192" s="13">
        <f>SUM(AJ179:AJ191)</f>
        <v>403528.26933512022</v>
      </c>
      <c r="AK192" s="13"/>
      <c r="AL192" s="13">
        <f>SUM(AL179:AL191)</f>
        <v>0</v>
      </c>
      <c r="AM192" s="13"/>
      <c r="AN192" s="13">
        <f>SUM(AN179:AN191)</f>
        <v>0</v>
      </c>
      <c r="AO192" s="17">
        <f>SUM(H192:AN192)</f>
        <v>4244972.9799999995</v>
      </c>
      <c r="AP192" s="14" t="str">
        <f>IF(ABS(AO192-F192)&lt;1,"ok","err")</f>
        <v>ok</v>
      </c>
    </row>
    <row r="193" spans="1:42" x14ac:dyDescent="0.25">
      <c r="A193" s="2"/>
      <c r="B193" s="2"/>
      <c r="F193" s="106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7"/>
      <c r="AP193" s="14"/>
    </row>
    <row r="194" spans="1:42" x14ac:dyDescent="0.25">
      <c r="A194" s="8"/>
      <c r="B194" s="2"/>
      <c r="F194" s="10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P194" s="14"/>
    </row>
    <row r="195" spans="1:42" x14ac:dyDescent="0.25">
      <c r="A195" s="6" t="s">
        <v>141</v>
      </c>
      <c r="B195" s="2"/>
      <c r="F195" s="10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P195" s="14"/>
    </row>
    <row r="196" spans="1:42" x14ac:dyDescent="0.25">
      <c r="A196" s="2"/>
      <c r="B196" s="2"/>
      <c r="F196" s="10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P196" s="14"/>
    </row>
    <row r="197" spans="1:42" x14ac:dyDescent="0.25">
      <c r="A197" s="8" t="s">
        <v>125</v>
      </c>
      <c r="B197" s="2"/>
      <c r="F197" s="10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P197" s="14"/>
    </row>
    <row r="198" spans="1:42" x14ac:dyDescent="0.25">
      <c r="A198" s="2">
        <v>590</v>
      </c>
      <c r="B198" s="2" t="s">
        <v>126</v>
      </c>
      <c r="C198" s="2" t="s">
        <v>127</v>
      </c>
      <c r="D198" s="2" t="s">
        <v>18</v>
      </c>
      <c r="F198" s="195">
        <v>63838.119999999995</v>
      </c>
      <c r="H198" s="17">
        <f t="shared" ref="H198:H206" si="170">IF(VLOOKUP($D198,$C$5:$AN$495,6,)=0,0,((VLOOKUP($D198,$C$5:$AN$495,6,)/VLOOKUP($D198,$C$5:$AN$495,4,))*$F198))</f>
        <v>0</v>
      </c>
      <c r="I198" s="17">
        <f t="shared" ref="I198:I206" si="171">IF(VLOOKUP($D198,$C$5:$AN$495,7,)=0,0,((VLOOKUP($D198,$C$5:$AN$495,7,)/VLOOKUP($D198,$C$5:$AN$495,4,))*$F198))</f>
        <v>0</v>
      </c>
      <c r="J198" s="17">
        <f t="shared" ref="J198:J206" si="172">IF(VLOOKUP($D198,$C$5:$AN$495,8,)=0,0,((VLOOKUP($D198,$C$5:$AN$495,8,)/VLOOKUP($D198,$C$5:$AN$495,4,))*$F198))</f>
        <v>0</v>
      </c>
      <c r="K198" s="17">
        <f t="shared" ref="K198:K206" si="173">IF(VLOOKUP($D198,$C$5:$AN$495,9,)=0,0,((VLOOKUP($D198,$C$5:$AN$495,9,)/VLOOKUP($D198,$C$5:$AN$495,4,))*$F198))</f>
        <v>0</v>
      </c>
      <c r="L198" s="17">
        <f t="shared" ref="L198:L206" si="174">IF(VLOOKUP($D198,$C$5:$AN$495,10,)=0,0,((VLOOKUP($D198,$C$5:$AN$495,10,)/VLOOKUP($D198,$C$5:$AN$495,4,))*$F198))</f>
        <v>0</v>
      </c>
      <c r="M198" s="17">
        <f t="shared" ref="M198:M206" si="175">IF(VLOOKUP($D198,$C$5:$AN$495,11,)=0,0,((VLOOKUP($D198,$C$5:$AN$495,11,)/VLOOKUP($D198,$C$5:$AN$495,4,))*$F198))</f>
        <v>0</v>
      </c>
      <c r="N198" s="17">
        <f t="shared" ref="N198:N206" si="176">IF(VLOOKUP($D198,$C$5:$AN$495,12,)=0,0,((VLOOKUP($D198,$C$5:$AN$495,12,)/VLOOKUP($D198,$C$5:$AN$495,4,))*$F198))</f>
        <v>0</v>
      </c>
      <c r="O198" s="17"/>
      <c r="P198" s="17">
        <f t="shared" ref="P198:P206" si="177">IF(VLOOKUP($D198,$C$5:$AN$495,14,)=0,0,((VLOOKUP($D198,$C$5:$AN$495,14,)/VLOOKUP($D198,$C$5:$AN$495,4,))*$F198))</f>
        <v>0</v>
      </c>
      <c r="Q198" s="17"/>
      <c r="R198" s="17">
        <f t="shared" ref="R198:R206" si="178">IF(VLOOKUP($D198,$C$5:$AN$495,16,)=0,0,((VLOOKUP($D198,$C$5:$AN$495,16,)/VLOOKUP($D198,$C$5:$AN$495,4,))*$F198))</f>
        <v>0</v>
      </c>
      <c r="S198" s="17"/>
      <c r="T198" s="17">
        <f t="shared" ref="T198:T206" si="179">IF(VLOOKUP($D198,$C$5:$AN$495,18,)=0,0,((VLOOKUP($D198,$C$5:$AN$495,18,)/VLOOKUP($D198,$C$5:$AN$495,4,))*$F198))</f>
        <v>235.0471033347176</v>
      </c>
      <c r="U198" s="17"/>
      <c r="V198" s="17">
        <f t="shared" ref="V198:V206" si="180">IF(VLOOKUP($D198,$C$5:$AN$495,20,)=0,0,((VLOOKUP($D198,$C$5:$AN$495,20,)/VLOOKUP($D198,$C$5:$AN$495,4,))*$F198))</f>
        <v>22764.690281057119</v>
      </c>
      <c r="W198" s="17">
        <f t="shared" ref="W198:W206" si="181">IF(VLOOKUP($D198,$C$5:$AN$495,21,)=0,0,((VLOOKUP($D198,$C$5:$AN$495,21,)/VLOOKUP($D198,$C$5:$AN$495,4,))*$F198))</f>
        <v>11208.217666587625</v>
      </c>
      <c r="X198" s="17"/>
      <c r="Y198" s="17">
        <f t="shared" ref="Y198:Y206" si="182">IF(VLOOKUP($D198,$C$5:$AN$495,23,)=0,0,((VLOOKUP($D198,$C$5:$AN$495,23,)/VLOOKUP($D198,$C$5:$AN$495,4,))*$F198))</f>
        <v>2529.4100312285686</v>
      </c>
      <c r="Z198" s="17">
        <f t="shared" ref="Z198:Z206" si="183">IF(VLOOKUP($D198,$C$5:$AN$495,24,)=0,0,((VLOOKUP($D198,$C$5:$AN$495,24,)/VLOOKUP($D198,$C$5:$AN$495,4,))*$F198))</f>
        <v>1245.3575185097359</v>
      </c>
      <c r="AA198" s="17"/>
      <c r="AB198" s="17">
        <f t="shared" ref="AB198:AB206" si="184">IF(VLOOKUP($D198,$C$5:$AN$495,26,)=0,0,((VLOOKUP($D198,$C$5:$AN$495,26,)/VLOOKUP($D198,$C$5:$AN$495,4,))*$F198))</f>
        <v>4952.3321103596791</v>
      </c>
      <c r="AC198" s="17">
        <f t="shared" ref="AC198:AC206" si="185">IF(VLOOKUP($D198,$C$5:$AN$495,27,)=0,0,((VLOOKUP($D198,$C$5:$AN$495,27,)/VLOOKUP($D198,$C$5:$AN$495,4,))*$F198))</f>
        <v>6450.6890970077602</v>
      </c>
      <c r="AD198" s="17"/>
      <c r="AE198" s="17">
        <f t="shared" ref="AE198:AE206" si="186">IF(VLOOKUP($D198,$C$5:$AN$495,29,)=0,0,((VLOOKUP($D198,$C$5:$AN$495,29,)/VLOOKUP($D198,$C$5:$AN$495,4,))*$F198))</f>
        <v>0</v>
      </c>
      <c r="AF198" s="17">
        <f t="shared" ref="AF198:AF206" si="187">IF(VLOOKUP($D198,$C$5:$AN$495,30,)=0,0,((VLOOKUP($D198,$C$5:$AN$495,30,)/VLOOKUP($D198,$C$5:$AN$495,4,))*$F198))</f>
        <v>8042.8711812816437</v>
      </c>
      <c r="AG198" s="17"/>
      <c r="AH198" s="17">
        <f t="shared" ref="AH198:AH206" si="188">IF(VLOOKUP($D198,$C$5:$AN$495,32,)=0,0,((VLOOKUP($D198,$C$5:$AN$495,32,)/VLOOKUP($D198,$C$5:$AN$495,4,))*$F198))</f>
        <v>3079.5345584533061</v>
      </c>
      <c r="AI198" s="17"/>
      <c r="AJ198" s="17">
        <f t="shared" ref="AJ198:AJ206" si="189">IF(VLOOKUP($D198,$C$5:$AN$495,34,)=0,0,((VLOOKUP($D198,$C$5:$AN$495,34,)/VLOOKUP($D198,$C$5:$AN$495,4,))*$F198))</f>
        <v>3329.9704521798553</v>
      </c>
      <c r="AK198" s="17"/>
      <c r="AL198" s="17">
        <f t="shared" ref="AL198:AL206" si="190">IF(VLOOKUP($D198,$C$5:$AN$495,36,)=0,0,((VLOOKUP($D198,$C$5:$AN$495,36,)/VLOOKUP($D198,$C$5:$AN$495,4,))*$F198))</f>
        <v>0</v>
      </c>
      <c r="AM198" s="17"/>
      <c r="AN198" s="17">
        <f t="shared" ref="AN198:AN206" si="191">IF(VLOOKUP($D198,$C$5:$AN$495,38,)=0,0,((VLOOKUP($D198,$C$5:$AN$495,38,)/VLOOKUP($D198,$C$5:$AN$495,4,))*$F198))</f>
        <v>0</v>
      </c>
      <c r="AO198" s="17">
        <f t="shared" ref="AO198:AO206" si="192">SUM(H198:AN198)</f>
        <v>63838.12000000001</v>
      </c>
      <c r="AP198" s="14" t="str">
        <f t="shared" ref="AP198:AP206" si="193">IF(ABS(AO198-F198)&lt;1,"ok","err")</f>
        <v>ok</v>
      </c>
    </row>
    <row r="199" spans="1:42" x14ac:dyDescent="0.25">
      <c r="A199" s="2">
        <v>592</v>
      </c>
      <c r="B199" s="2" t="s">
        <v>128</v>
      </c>
      <c r="C199" s="2" t="s">
        <v>129</v>
      </c>
      <c r="D199" s="2" t="s">
        <v>25</v>
      </c>
      <c r="F199" s="148">
        <v>23785.32</v>
      </c>
      <c r="H199" s="17">
        <f t="shared" si="170"/>
        <v>0</v>
      </c>
      <c r="I199" s="17">
        <f t="shared" si="171"/>
        <v>0</v>
      </c>
      <c r="J199" s="17">
        <f t="shared" si="172"/>
        <v>0</v>
      </c>
      <c r="K199" s="17">
        <f t="shared" si="173"/>
        <v>0</v>
      </c>
      <c r="L199" s="17">
        <f t="shared" si="174"/>
        <v>0</v>
      </c>
      <c r="M199" s="17">
        <f t="shared" si="175"/>
        <v>0</v>
      </c>
      <c r="N199" s="17">
        <f t="shared" si="176"/>
        <v>0</v>
      </c>
      <c r="O199" s="17"/>
      <c r="P199" s="17">
        <f t="shared" si="177"/>
        <v>0</v>
      </c>
      <c r="Q199" s="17"/>
      <c r="R199" s="17">
        <f t="shared" si="178"/>
        <v>0</v>
      </c>
      <c r="S199" s="17"/>
      <c r="T199" s="17">
        <f t="shared" si="179"/>
        <v>23785.32</v>
      </c>
      <c r="U199" s="17"/>
      <c r="V199" s="17">
        <f t="shared" si="180"/>
        <v>0</v>
      </c>
      <c r="W199" s="17">
        <f t="shared" si="181"/>
        <v>0</v>
      </c>
      <c r="X199" s="17"/>
      <c r="Y199" s="17">
        <f t="shared" si="182"/>
        <v>0</v>
      </c>
      <c r="Z199" s="17">
        <f t="shared" si="183"/>
        <v>0</v>
      </c>
      <c r="AA199" s="17"/>
      <c r="AB199" s="17">
        <f t="shared" si="184"/>
        <v>0</v>
      </c>
      <c r="AC199" s="17">
        <f t="shared" si="185"/>
        <v>0</v>
      </c>
      <c r="AD199" s="17"/>
      <c r="AE199" s="17">
        <f t="shared" si="186"/>
        <v>0</v>
      </c>
      <c r="AF199" s="17">
        <f t="shared" si="187"/>
        <v>0</v>
      </c>
      <c r="AG199" s="17"/>
      <c r="AH199" s="17">
        <f t="shared" si="188"/>
        <v>0</v>
      </c>
      <c r="AI199" s="17"/>
      <c r="AJ199" s="17">
        <f t="shared" si="189"/>
        <v>0</v>
      </c>
      <c r="AK199" s="17"/>
      <c r="AL199" s="17">
        <f t="shared" si="190"/>
        <v>0</v>
      </c>
      <c r="AM199" s="17"/>
      <c r="AN199" s="17">
        <f t="shared" si="191"/>
        <v>0</v>
      </c>
      <c r="AO199" s="17">
        <f t="shared" si="192"/>
        <v>23785.32</v>
      </c>
      <c r="AP199" s="14" t="str">
        <f t="shared" si="193"/>
        <v>ok</v>
      </c>
    </row>
    <row r="200" spans="1:42" x14ac:dyDescent="0.25">
      <c r="A200" s="2">
        <v>593</v>
      </c>
      <c r="B200" s="2" t="s">
        <v>130</v>
      </c>
      <c r="C200" s="2" t="s">
        <v>131</v>
      </c>
      <c r="D200" s="2" t="s">
        <v>31</v>
      </c>
      <c r="F200" s="148">
        <f>8256708.78-84395.21</f>
        <v>8172313.5700000003</v>
      </c>
      <c r="H200" s="17">
        <f t="shared" si="170"/>
        <v>0</v>
      </c>
      <c r="I200" s="17">
        <f t="shared" si="171"/>
        <v>0</v>
      </c>
      <c r="J200" s="17">
        <f t="shared" si="172"/>
        <v>0</v>
      </c>
      <c r="K200" s="17">
        <f t="shared" si="173"/>
        <v>0</v>
      </c>
      <c r="L200" s="17">
        <f t="shared" si="174"/>
        <v>0</v>
      </c>
      <c r="M200" s="17">
        <f t="shared" si="175"/>
        <v>0</v>
      </c>
      <c r="N200" s="17">
        <f t="shared" si="176"/>
        <v>0</v>
      </c>
      <c r="O200" s="17"/>
      <c r="P200" s="17">
        <f t="shared" si="177"/>
        <v>0</v>
      </c>
      <c r="Q200" s="17"/>
      <c r="R200" s="17">
        <f t="shared" si="178"/>
        <v>0</v>
      </c>
      <c r="S200" s="17"/>
      <c r="T200" s="17">
        <f t="shared" si="179"/>
        <v>0</v>
      </c>
      <c r="U200" s="17"/>
      <c r="V200" s="17">
        <f t="shared" si="180"/>
        <v>5113253.1544776</v>
      </c>
      <c r="W200" s="17">
        <f t="shared" si="181"/>
        <v>2241829.0585224</v>
      </c>
      <c r="X200" s="17"/>
      <c r="Y200" s="17">
        <f t="shared" si="182"/>
        <v>568139.23938640009</v>
      </c>
      <c r="Z200" s="17">
        <f t="shared" si="183"/>
        <v>249092.11761360004</v>
      </c>
      <c r="AA200" s="17"/>
      <c r="AB200" s="17">
        <f t="shared" si="184"/>
        <v>0</v>
      </c>
      <c r="AC200" s="17">
        <f t="shared" si="185"/>
        <v>0</v>
      </c>
      <c r="AD200" s="17"/>
      <c r="AE200" s="17">
        <f t="shared" si="186"/>
        <v>0</v>
      </c>
      <c r="AF200" s="17">
        <f t="shared" si="187"/>
        <v>0</v>
      </c>
      <c r="AG200" s="17"/>
      <c r="AH200" s="17">
        <f t="shared" si="188"/>
        <v>0</v>
      </c>
      <c r="AI200" s="17"/>
      <c r="AJ200" s="17">
        <f t="shared" si="189"/>
        <v>0</v>
      </c>
      <c r="AK200" s="17"/>
      <c r="AL200" s="17">
        <f t="shared" si="190"/>
        <v>0</v>
      </c>
      <c r="AM200" s="17"/>
      <c r="AN200" s="17">
        <f t="shared" si="191"/>
        <v>0</v>
      </c>
      <c r="AO200" s="17">
        <f t="shared" si="192"/>
        <v>8172313.5699999994</v>
      </c>
      <c r="AP200" s="14" t="str">
        <f t="shared" si="193"/>
        <v>ok</v>
      </c>
    </row>
    <row r="201" spans="1:42" x14ac:dyDescent="0.25">
      <c r="A201" s="2">
        <v>594</v>
      </c>
      <c r="B201" s="2" t="s">
        <v>132</v>
      </c>
      <c r="C201" s="2" t="s">
        <v>133</v>
      </c>
      <c r="D201" s="2" t="s">
        <v>37</v>
      </c>
      <c r="F201" s="148">
        <v>1505.12</v>
      </c>
      <c r="H201" s="17">
        <f t="shared" si="170"/>
        <v>0</v>
      </c>
      <c r="I201" s="17">
        <f t="shared" si="171"/>
        <v>0</v>
      </c>
      <c r="J201" s="17">
        <f t="shared" si="172"/>
        <v>0</v>
      </c>
      <c r="K201" s="17">
        <f t="shared" si="173"/>
        <v>0</v>
      </c>
      <c r="L201" s="17">
        <f t="shared" si="174"/>
        <v>0</v>
      </c>
      <c r="M201" s="17">
        <f t="shared" si="175"/>
        <v>0</v>
      </c>
      <c r="N201" s="17">
        <f t="shared" si="176"/>
        <v>0</v>
      </c>
      <c r="O201" s="17"/>
      <c r="P201" s="17">
        <f t="shared" si="177"/>
        <v>0</v>
      </c>
      <c r="Q201" s="17"/>
      <c r="R201" s="17">
        <f t="shared" si="178"/>
        <v>0</v>
      </c>
      <c r="S201" s="17"/>
      <c r="T201" s="17">
        <f t="shared" si="179"/>
        <v>0</v>
      </c>
      <c r="U201" s="17"/>
      <c r="V201" s="17">
        <f t="shared" si="180"/>
        <v>435.10008959999999</v>
      </c>
      <c r="W201" s="17">
        <f t="shared" si="181"/>
        <v>919.50791040000001</v>
      </c>
      <c r="X201" s="17"/>
      <c r="Y201" s="17">
        <f t="shared" si="182"/>
        <v>48.344454400000004</v>
      </c>
      <c r="Z201" s="17">
        <f t="shared" si="183"/>
        <v>102.16754559999998</v>
      </c>
      <c r="AA201" s="17"/>
      <c r="AB201" s="17">
        <f t="shared" si="184"/>
        <v>0</v>
      </c>
      <c r="AC201" s="17">
        <f t="shared" si="185"/>
        <v>0</v>
      </c>
      <c r="AD201" s="17"/>
      <c r="AE201" s="17">
        <f t="shared" si="186"/>
        <v>0</v>
      </c>
      <c r="AF201" s="17">
        <f t="shared" si="187"/>
        <v>0</v>
      </c>
      <c r="AG201" s="17"/>
      <c r="AH201" s="17">
        <f t="shared" si="188"/>
        <v>0</v>
      </c>
      <c r="AI201" s="17"/>
      <c r="AJ201" s="17">
        <f t="shared" si="189"/>
        <v>0</v>
      </c>
      <c r="AK201" s="17"/>
      <c r="AL201" s="17">
        <f t="shared" si="190"/>
        <v>0</v>
      </c>
      <c r="AM201" s="17"/>
      <c r="AN201" s="17">
        <f t="shared" si="191"/>
        <v>0</v>
      </c>
      <c r="AO201" s="17">
        <f t="shared" si="192"/>
        <v>1505.12</v>
      </c>
      <c r="AP201" s="14" t="str">
        <f t="shared" si="193"/>
        <v>ok</v>
      </c>
    </row>
    <row r="202" spans="1:42" x14ac:dyDescent="0.25">
      <c r="A202" s="2">
        <v>595</v>
      </c>
      <c r="B202" s="2" t="s">
        <v>134</v>
      </c>
      <c r="C202" s="2" t="s">
        <v>135</v>
      </c>
      <c r="D202" s="2" t="s">
        <v>39</v>
      </c>
      <c r="F202" s="148">
        <f>286.31+14500+84395.21</f>
        <v>99181.52</v>
      </c>
      <c r="H202" s="17">
        <f t="shared" si="170"/>
        <v>0</v>
      </c>
      <c r="I202" s="17">
        <f t="shared" si="171"/>
        <v>0</v>
      </c>
      <c r="J202" s="17">
        <f t="shared" si="172"/>
        <v>0</v>
      </c>
      <c r="K202" s="17">
        <f t="shared" si="173"/>
        <v>0</v>
      </c>
      <c r="L202" s="17">
        <f t="shared" si="174"/>
        <v>0</v>
      </c>
      <c r="M202" s="17">
        <f t="shared" si="175"/>
        <v>0</v>
      </c>
      <c r="N202" s="17">
        <f t="shared" si="176"/>
        <v>0</v>
      </c>
      <c r="O202" s="17"/>
      <c r="P202" s="17">
        <f t="shared" si="177"/>
        <v>0</v>
      </c>
      <c r="Q202" s="17"/>
      <c r="R202" s="17">
        <f t="shared" si="178"/>
        <v>0</v>
      </c>
      <c r="S202" s="17"/>
      <c r="T202" s="17">
        <f t="shared" si="179"/>
        <v>0</v>
      </c>
      <c r="U202" s="17"/>
      <c r="V202" s="17">
        <f t="shared" si="180"/>
        <v>0</v>
      </c>
      <c r="W202" s="17">
        <f t="shared" si="181"/>
        <v>0</v>
      </c>
      <c r="X202" s="17"/>
      <c r="Y202" s="17">
        <f t="shared" si="182"/>
        <v>0</v>
      </c>
      <c r="Z202" s="17">
        <f t="shared" si="183"/>
        <v>0</v>
      </c>
      <c r="AA202" s="17"/>
      <c r="AB202" s="17">
        <f t="shared" si="184"/>
        <v>43074.534135999995</v>
      </c>
      <c r="AC202" s="17">
        <f t="shared" si="185"/>
        <v>56106.985864000002</v>
      </c>
      <c r="AD202" s="17"/>
      <c r="AE202" s="17">
        <f t="shared" si="186"/>
        <v>0</v>
      </c>
      <c r="AF202" s="17">
        <f t="shared" si="187"/>
        <v>0</v>
      </c>
      <c r="AG202" s="17"/>
      <c r="AH202" s="17">
        <f t="shared" si="188"/>
        <v>0</v>
      </c>
      <c r="AI202" s="17"/>
      <c r="AJ202" s="17">
        <f t="shared" si="189"/>
        <v>0</v>
      </c>
      <c r="AK202" s="17"/>
      <c r="AL202" s="17">
        <f t="shared" si="190"/>
        <v>0</v>
      </c>
      <c r="AM202" s="17"/>
      <c r="AN202" s="17">
        <f t="shared" si="191"/>
        <v>0</v>
      </c>
      <c r="AO202" s="17">
        <f t="shared" si="192"/>
        <v>99181.51999999999</v>
      </c>
      <c r="AP202" s="14" t="str">
        <f t="shared" si="193"/>
        <v>ok</v>
      </c>
    </row>
    <row r="203" spans="1:42" x14ac:dyDescent="0.25">
      <c r="A203" s="2">
        <v>596</v>
      </c>
      <c r="B203" s="2" t="s">
        <v>357</v>
      </c>
      <c r="C203" s="2" t="s">
        <v>358</v>
      </c>
      <c r="D203" s="2" t="s">
        <v>50</v>
      </c>
      <c r="F203" s="148">
        <v>3176.54</v>
      </c>
      <c r="H203" s="17">
        <f t="shared" si="170"/>
        <v>0</v>
      </c>
      <c r="I203" s="17">
        <f t="shared" si="171"/>
        <v>0</v>
      </c>
      <c r="J203" s="17">
        <f t="shared" si="172"/>
        <v>0</v>
      </c>
      <c r="K203" s="17">
        <f t="shared" si="173"/>
        <v>0</v>
      </c>
      <c r="L203" s="17">
        <f t="shared" si="174"/>
        <v>0</v>
      </c>
      <c r="M203" s="17">
        <f t="shared" si="175"/>
        <v>0</v>
      </c>
      <c r="N203" s="17">
        <f t="shared" si="176"/>
        <v>0</v>
      </c>
      <c r="O203" s="17"/>
      <c r="P203" s="17">
        <f t="shared" si="177"/>
        <v>0</v>
      </c>
      <c r="Q203" s="17"/>
      <c r="R203" s="17">
        <f t="shared" si="178"/>
        <v>0</v>
      </c>
      <c r="S203" s="17"/>
      <c r="T203" s="17">
        <f t="shared" si="179"/>
        <v>0</v>
      </c>
      <c r="U203" s="17"/>
      <c r="V203" s="17">
        <f t="shared" si="180"/>
        <v>0</v>
      </c>
      <c r="W203" s="17">
        <f t="shared" si="181"/>
        <v>0</v>
      </c>
      <c r="X203" s="17"/>
      <c r="Y203" s="17">
        <f t="shared" si="182"/>
        <v>0</v>
      </c>
      <c r="Z203" s="17">
        <f t="shared" si="183"/>
        <v>0</v>
      </c>
      <c r="AA203" s="17"/>
      <c r="AB203" s="17">
        <f t="shared" si="184"/>
        <v>0</v>
      </c>
      <c r="AC203" s="17">
        <f t="shared" si="185"/>
        <v>0</v>
      </c>
      <c r="AD203" s="17"/>
      <c r="AE203" s="17">
        <f t="shared" si="186"/>
        <v>0</v>
      </c>
      <c r="AF203" s="17">
        <f t="shared" si="187"/>
        <v>0</v>
      </c>
      <c r="AG203" s="17"/>
      <c r="AH203" s="17">
        <f t="shared" si="188"/>
        <v>0</v>
      </c>
      <c r="AI203" s="17"/>
      <c r="AJ203" s="17">
        <f t="shared" si="189"/>
        <v>3176.54</v>
      </c>
      <c r="AK203" s="17"/>
      <c r="AL203" s="17">
        <f t="shared" si="190"/>
        <v>0</v>
      </c>
      <c r="AM203" s="17"/>
      <c r="AN203" s="17">
        <f t="shared" si="191"/>
        <v>0</v>
      </c>
      <c r="AO203" s="17">
        <f t="shared" si="192"/>
        <v>3176.54</v>
      </c>
      <c r="AP203" s="14" t="str">
        <f t="shared" si="193"/>
        <v>ok</v>
      </c>
    </row>
    <row r="204" spans="1:42" x14ac:dyDescent="0.25">
      <c r="A204" s="2">
        <v>597</v>
      </c>
      <c r="B204" s="2" t="s">
        <v>136</v>
      </c>
      <c r="C204" s="2" t="s">
        <v>137</v>
      </c>
      <c r="D204" s="2" t="s">
        <v>45</v>
      </c>
      <c r="F204" s="148">
        <v>3305.8199999999997</v>
      </c>
      <c r="H204" s="17">
        <f t="shared" si="170"/>
        <v>0</v>
      </c>
      <c r="I204" s="17">
        <f t="shared" si="171"/>
        <v>0</v>
      </c>
      <c r="J204" s="17">
        <f t="shared" si="172"/>
        <v>0</v>
      </c>
      <c r="K204" s="17">
        <f t="shared" si="173"/>
        <v>0</v>
      </c>
      <c r="L204" s="17">
        <f t="shared" si="174"/>
        <v>0</v>
      </c>
      <c r="M204" s="17">
        <f t="shared" si="175"/>
        <v>0</v>
      </c>
      <c r="N204" s="17">
        <f t="shared" si="176"/>
        <v>0</v>
      </c>
      <c r="O204" s="17"/>
      <c r="P204" s="17">
        <f t="shared" si="177"/>
        <v>0</v>
      </c>
      <c r="Q204" s="17"/>
      <c r="R204" s="17">
        <f t="shared" si="178"/>
        <v>0</v>
      </c>
      <c r="S204" s="17"/>
      <c r="T204" s="17">
        <f t="shared" si="179"/>
        <v>0</v>
      </c>
      <c r="U204" s="17"/>
      <c r="V204" s="17">
        <f t="shared" si="180"/>
        <v>0</v>
      </c>
      <c r="W204" s="17">
        <f t="shared" si="181"/>
        <v>0</v>
      </c>
      <c r="X204" s="17"/>
      <c r="Y204" s="17">
        <f t="shared" si="182"/>
        <v>0</v>
      </c>
      <c r="Z204" s="17">
        <f t="shared" si="183"/>
        <v>0</v>
      </c>
      <c r="AA204" s="17"/>
      <c r="AB204" s="17">
        <f t="shared" si="184"/>
        <v>0</v>
      </c>
      <c r="AC204" s="17">
        <f t="shared" si="185"/>
        <v>0</v>
      </c>
      <c r="AD204" s="17"/>
      <c r="AE204" s="17">
        <f t="shared" si="186"/>
        <v>0</v>
      </c>
      <c r="AF204" s="17">
        <f t="shared" si="187"/>
        <v>0</v>
      </c>
      <c r="AG204" s="17"/>
      <c r="AH204" s="17">
        <f t="shared" si="188"/>
        <v>3305.8199999999997</v>
      </c>
      <c r="AI204" s="17"/>
      <c r="AJ204" s="17">
        <f t="shared" si="189"/>
        <v>0</v>
      </c>
      <c r="AK204" s="17"/>
      <c r="AL204" s="17">
        <f t="shared" si="190"/>
        <v>0</v>
      </c>
      <c r="AM204" s="17"/>
      <c r="AN204" s="17">
        <f t="shared" si="191"/>
        <v>0</v>
      </c>
      <c r="AO204" s="17">
        <f t="shared" si="192"/>
        <v>3305.8199999999997</v>
      </c>
      <c r="AP204" s="14" t="str">
        <f t="shared" si="193"/>
        <v>ok</v>
      </c>
    </row>
    <row r="205" spans="1:42" x14ac:dyDescent="0.25">
      <c r="A205" s="2">
        <v>598</v>
      </c>
      <c r="B205" s="2" t="s">
        <v>695</v>
      </c>
      <c r="C205" s="2" t="s">
        <v>696</v>
      </c>
      <c r="D205" s="2" t="s">
        <v>48</v>
      </c>
      <c r="F205" s="148">
        <v>57740.51</v>
      </c>
      <c r="H205" s="17">
        <f t="shared" si="170"/>
        <v>0</v>
      </c>
      <c r="I205" s="17">
        <f t="shared" si="171"/>
        <v>0</v>
      </c>
      <c r="J205" s="17">
        <f t="shared" si="172"/>
        <v>0</v>
      </c>
      <c r="K205" s="17">
        <f t="shared" si="173"/>
        <v>0</v>
      </c>
      <c r="L205" s="17">
        <f t="shared" si="174"/>
        <v>0</v>
      </c>
      <c r="M205" s="17">
        <f t="shared" si="175"/>
        <v>0</v>
      </c>
      <c r="N205" s="17">
        <f t="shared" si="176"/>
        <v>0</v>
      </c>
      <c r="O205" s="17"/>
      <c r="P205" s="17">
        <f t="shared" si="177"/>
        <v>0</v>
      </c>
      <c r="Q205" s="17"/>
      <c r="R205" s="17">
        <f t="shared" si="178"/>
        <v>0</v>
      </c>
      <c r="S205" s="17"/>
      <c r="T205" s="17">
        <f t="shared" si="179"/>
        <v>0</v>
      </c>
      <c r="U205" s="17"/>
      <c r="V205" s="17">
        <f t="shared" si="180"/>
        <v>0</v>
      </c>
      <c r="W205" s="17">
        <f t="shared" si="181"/>
        <v>0</v>
      </c>
      <c r="X205" s="17"/>
      <c r="Y205" s="17">
        <f t="shared" si="182"/>
        <v>0</v>
      </c>
      <c r="Z205" s="17">
        <f t="shared" si="183"/>
        <v>0</v>
      </c>
      <c r="AA205" s="17"/>
      <c r="AB205" s="17">
        <f t="shared" si="184"/>
        <v>0</v>
      </c>
      <c r="AC205" s="17">
        <f t="shared" si="185"/>
        <v>0</v>
      </c>
      <c r="AD205" s="17"/>
      <c r="AE205" s="17">
        <f t="shared" si="186"/>
        <v>0</v>
      </c>
      <c r="AF205" s="17">
        <f t="shared" si="187"/>
        <v>0</v>
      </c>
      <c r="AG205" s="17"/>
      <c r="AH205" s="17">
        <f t="shared" si="188"/>
        <v>0</v>
      </c>
      <c r="AI205" s="17"/>
      <c r="AJ205" s="17">
        <f t="shared" si="189"/>
        <v>57740.51</v>
      </c>
      <c r="AK205" s="17"/>
      <c r="AL205" s="17">
        <f t="shared" si="190"/>
        <v>0</v>
      </c>
      <c r="AM205" s="17"/>
      <c r="AN205" s="17">
        <f t="shared" si="191"/>
        <v>0</v>
      </c>
      <c r="AO205" s="17">
        <f t="shared" si="192"/>
        <v>57740.51</v>
      </c>
      <c r="AP205" s="14" t="str">
        <f t="shared" si="193"/>
        <v>ok</v>
      </c>
    </row>
    <row r="206" spans="1:42" x14ac:dyDescent="0.25">
      <c r="A206" s="2">
        <v>598.1</v>
      </c>
      <c r="B206" s="2" t="s">
        <v>677</v>
      </c>
      <c r="C206" s="2" t="s">
        <v>678</v>
      </c>
      <c r="D206" s="2" t="s">
        <v>48</v>
      </c>
      <c r="F206" s="106">
        <v>0</v>
      </c>
      <c r="H206" s="17">
        <f t="shared" si="170"/>
        <v>0</v>
      </c>
      <c r="I206" s="17">
        <f t="shared" si="171"/>
        <v>0</v>
      </c>
      <c r="J206" s="17">
        <f t="shared" si="172"/>
        <v>0</v>
      </c>
      <c r="K206" s="17">
        <f t="shared" si="173"/>
        <v>0</v>
      </c>
      <c r="L206" s="17">
        <f t="shared" si="174"/>
        <v>0</v>
      </c>
      <c r="M206" s="17">
        <f t="shared" si="175"/>
        <v>0</v>
      </c>
      <c r="N206" s="17">
        <f t="shared" si="176"/>
        <v>0</v>
      </c>
      <c r="O206" s="17"/>
      <c r="P206" s="17">
        <f t="shared" si="177"/>
        <v>0</v>
      </c>
      <c r="Q206" s="17"/>
      <c r="R206" s="17">
        <f t="shared" si="178"/>
        <v>0</v>
      </c>
      <c r="S206" s="17"/>
      <c r="T206" s="17">
        <f t="shared" si="179"/>
        <v>0</v>
      </c>
      <c r="U206" s="17"/>
      <c r="V206" s="17">
        <f t="shared" si="180"/>
        <v>0</v>
      </c>
      <c r="W206" s="17">
        <f t="shared" si="181"/>
        <v>0</v>
      </c>
      <c r="X206" s="17"/>
      <c r="Y206" s="17">
        <f t="shared" si="182"/>
        <v>0</v>
      </c>
      <c r="Z206" s="17">
        <f t="shared" si="183"/>
        <v>0</v>
      </c>
      <c r="AA206" s="17"/>
      <c r="AB206" s="17">
        <f t="shared" si="184"/>
        <v>0</v>
      </c>
      <c r="AC206" s="17">
        <f t="shared" si="185"/>
        <v>0</v>
      </c>
      <c r="AD206" s="17"/>
      <c r="AE206" s="17">
        <f t="shared" si="186"/>
        <v>0</v>
      </c>
      <c r="AF206" s="17">
        <f t="shared" si="187"/>
        <v>0</v>
      </c>
      <c r="AG206" s="17"/>
      <c r="AH206" s="17">
        <f t="shared" si="188"/>
        <v>0</v>
      </c>
      <c r="AI206" s="17"/>
      <c r="AJ206" s="17">
        <f t="shared" si="189"/>
        <v>0</v>
      </c>
      <c r="AK206" s="17"/>
      <c r="AL206" s="17">
        <f t="shared" si="190"/>
        <v>0</v>
      </c>
      <c r="AM206" s="17"/>
      <c r="AN206" s="17">
        <f t="shared" si="191"/>
        <v>0</v>
      </c>
      <c r="AO206" s="17">
        <f t="shared" si="192"/>
        <v>0</v>
      </c>
      <c r="AP206" s="14" t="str">
        <f t="shared" si="193"/>
        <v>ok</v>
      </c>
    </row>
    <row r="207" spans="1:42" x14ac:dyDescent="0.25">
      <c r="A207" s="2"/>
      <c r="B207" s="2"/>
      <c r="F207" s="10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4"/>
    </row>
    <row r="208" spans="1:42" x14ac:dyDescent="0.25">
      <c r="A208" s="9" t="s">
        <v>138</v>
      </c>
      <c r="B208" s="2"/>
      <c r="C208" s="2" t="s">
        <v>139</v>
      </c>
      <c r="F208" s="106">
        <f t="shared" ref="F208:P208" si="194">SUM(F198:F207)</f>
        <v>8424846.5200000014</v>
      </c>
      <c r="G208" s="13">
        <f t="shared" si="194"/>
        <v>0</v>
      </c>
      <c r="H208" s="13">
        <f t="shared" si="194"/>
        <v>0</v>
      </c>
      <c r="I208" s="13">
        <f t="shared" si="194"/>
        <v>0</v>
      </c>
      <c r="J208" s="13">
        <f t="shared" si="194"/>
        <v>0</v>
      </c>
      <c r="K208" s="13">
        <f t="shared" si="194"/>
        <v>0</v>
      </c>
      <c r="L208" s="13">
        <f t="shared" si="194"/>
        <v>0</v>
      </c>
      <c r="M208" s="13">
        <f t="shared" si="194"/>
        <v>0</v>
      </c>
      <c r="N208" s="13">
        <f t="shared" si="194"/>
        <v>0</v>
      </c>
      <c r="O208" s="13"/>
      <c r="P208" s="13">
        <f t="shared" si="194"/>
        <v>0</v>
      </c>
      <c r="Q208" s="13"/>
      <c r="R208" s="13">
        <f>SUM(R198:R207)</f>
        <v>0</v>
      </c>
      <c r="S208" s="13"/>
      <c r="T208" s="13">
        <f>SUM(T198:T207)</f>
        <v>24020.367103334716</v>
      </c>
      <c r="U208" s="13"/>
      <c r="V208" s="13">
        <f t="shared" ref="V208:AN208" si="195">SUM(V198:V207)</f>
        <v>5136452.9448482571</v>
      </c>
      <c r="W208" s="13">
        <f t="shared" si="195"/>
        <v>2253956.7840993879</v>
      </c>
      <c r="X208" s="13"/>
      <c r="Y208" s="13">
        <f t="shared" si="195"/>
        <v>570716.99387202866</v>
      </c>
      <c r="Z208" s="13">
        <f t="shared" si="195"/>
        <v>250439.64267770978</v>
      </c>
      <c r="AA208" s="13"/>
      <c r="AB208" s="13">
        <f>SUM(AB198:AB207)</f>
        <v>48026.86624635967</v>
      </c>
      <c r="AC208" s="13">
        <f>SUM(AC198:AC207)</f>
        <v>62557.67496100776</v>
      </c>
      <c r="AD208" s="13"/>
      <c r="AE208" s="13">
        <f t="shared" si="195"/>
        <v>0</v>
      </c>
      <c r="AF208" s="13">
        <f t="shared" si="195"/>
        <v>8042.8711812816437</v>
      </c>
      <c r="AG208" s="13"/>
      <c r="AH208" s="13">
        <f t="shared" si="195"/>
        <v>6385.3545584533058</v>
      </c>
      <c r="AI208" s="13"/>
      <c r="AJ208" s="13">
        <f t="shared" si="195"/>
        <v>64247.020452179859</v>
      </c>
      <c r="AK208" s="13"/>
      <c r="AL208" s="13">
        <f t="shared" si="195"/>
        <v>0</v>
      </c>
      <c r="AM208" s="13"/>
      <c r="AN208" s="13">
        <f t="shared" si="195"/>
        <v>0</v>
      </c>
      <c r="AO208" s="17">
        <f>SUM(H208:AN208)</f>
        <v>8424846.5199999996</v>
      </c>
      <c r="AP208" s="14" t="str">
        <f>IF(ABS(AO208-F208)&lt;1,"ok","err")</f>
        <v>ok</v>
      </c>
    </row>
    <row r="209" spans="1:42" x14ac:dyDescent="0.25">
      <c r="A209" s="2"/>
      <c r="B209" s="2"/>
      <c r="F209" s="10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P209" s="14"/>
    </row>
    <row r="210" spans="1:42" x14ac:dyDescent="0.25">
      <c r="A210" s="2" t="s">
        <v>359</v>
      </c>
      <c r="B210" s="2"/>
      <c r="F210" s="107">
        <f>F192+F208</f>
        <v>12669819.500000002</v>
      </c>
      <c r="G210" s="17">
        <f t="shared" ref="G210:AN210" si="196">G192+G208</f>
        <v>0</v>
      </c>
      <c r="H210" s="17">
        <f t="shared" si="196"/>
        <v>0</v>
      </c>
      <c r="I210" s="17">
        <f t="shared" si="196"/>
        <v>0</v>
      </c>
      <c r="J210" s="17">
        <f t="shared" si="196"/>
        <v>0</v>
      </c>
      <c r="K210" s="17">
        <f t="shared" si="196"/>
        <v>0</v>
      </c>
      <c r="L210" s="17">
        <f t="shared" si="196"/>
        <v>0</v>
      </c>
      <c r="M210" s="17">
        <f t="shared" si="196"/>
        <v>0</v>
      </c>
      <c r="N210" s="17">
        <f>N192+N208</f>
        <v>0</v>
      </c>
      <c r="O210" s="17"/>
      <c r="P210" s="17">
        <f t="shared" si="196"/>
        <v>0</v>
      </c>
      <c r="Q210" s="17"/>
      <c r="R210" s="17">
        <f t="shared" si="196"/>
        <v>0</v>
      </c>
      <c r="S210" s="17"/>
      <c r="T210" s="17">
        <f t="shared" si="196"/>
        <v>36687.981975360293</v>
      </c>
      <c r="U210" s="17"/>
      <c r="V210" s="17">
        <f t="shared" si="196"/>
        <v>6321613.1852936279</v>
      </c>
      <c r="W210" s="17">
        <f t="shared" si="196"/>
        <v>2838612.7007163782</v>
      </c>
      <c r="X210" s="17"/>
      <c r="Y210" s="17">
        <f>Y192+Y208</f>
        <v>702401.46503262536</v>
      </c>
      <c r="Z210" s="17">
        <f>Z192+Z208</f>
        <v>315401.41119070869</v>
      </c>
      <c r="AA210" s="17"/>
      <c r="AB210" s="17">
        <f>AB192+AB208</f>
        <v>111353.76043450141</v>
      </c>
      <c r="AC210" s="17">
        <f>AC192+AC208</f>
        <v>145044.49062352625</v>
      </c>
      <c r="AD210" s="17"/>
      <c r="AE210" s="17">
        <f t="shared" si="196"/>
        <v>0</v>
      </c>
      <c r="AF210" s="17">
        <f t="shared" si="196"/>
        <v>110889.37681050236</v>
      </c>
      <c r="AG210" s="17"/>
      <c r="AH210" s="17">
        <f t="shared" si="196"/>
        <v>1620039.8381354702</v>
      </c>
      <c r="AI210" s="17"/>
      <c r="AJ210" s="17">
        <f t="shared" si="196"/>
        <v>467775.28978730005</v>
      </c>
      <c r="AK210" s="17"/>
      <c r="AL210" s="17">
        <f t="shared" si="196"/>
        <v>0</v>
      </c>
      <c r="AM210" s="17"/>
      <c r="AN210" s="17">
        <f t="shared" si="196"/>
        <v>0</v>
      </c>
      <c r="AO210" s="17">
        <f>SUM(H210:AN210)</f>
        <v>12669819.5</v>
      </c>
      <c r="AP210" s="14" t="str">
        <f>IF(ABS(AO210-F210)&lt;1,"ok","err")</f>
        <v>ok</v>
      </c>
    </row>
    <row r="211" spans="1:42" x14ac:dyDescent="0.25">
      <c r="A211" s="2"/>
      <c r="B211" s="2"/>
      <c r="F211" s="10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P211" s="14"/>
    </row>
    <row r="212" spans="1:42" x14ac:dyDescent="0.25">
      <c r="A212" s="2" t="s">
        <v>360</v>
      </c>
      <c r="B212" s="2"/>
      <c r="F212" s="107">
        <f>F210+F176</f>
        <v>12669819.500000002</v>
      </c>
      <c r="G212" s="17">
        <f t="shared" ref="G212:AN212" si="197">G210+G176</f>
        <v>0</v>
      </c>
      <c r="H212" s="17">
        <f t="shared" si="197"/>
        <v>0</v>
      </c>
      <c r="I212" s="17">
        <f t="shared" si="197"/>
        <v>0</v>
      </c>
      <c r="J212" s="17">
        <f t="shared" si="197"/>
        <v>0</v>
      </c>
      <c r="K212" s="17">
        <f t="shared" si="197"/>
        <v>0</v>
      </c>
      <c r="L212" s="17">
        <f t="shared" si="197"/>
        <v>0</v>
      </c>
      <c r="M212" s="17">
        <f t="shared" si="197"/>
        <v>0</v>
      </c>
      <c r="N212" s="17">
        <f>N210+N176</f>
        <v>0</v>
      </c>
      <c r="O212" s="17"/>
      <c r="P212" s="17">
        <f t="shared" si="197"/>
        <v>0</v>
      </c>
      <c r="Q212" s="17"/>
      <c r="R212" s="17">
        <f t="shared" si="197"/>
        <v>0</v>
      </c>
      <c r="S212" s="17"/>
      <c r="T212" s="17">
        <f t="shared" si="197"/>
        <v>36687.981975360293</v>
      </c>
      <c r="U212" s="17"/>
      <c r="V212" s="17">
        <f t="shared" si="197"/>
        <v>6321613.1852936279</v>
      </c>
      <c r="W212" s="17">
        <f t="shared" si="197"/>
        <v>2838612.7007163782</v>
      </c>
      <c r="X212" s="17"/>
      <c r="Y212" s="17">
        <f>Y210+Y176</f>
        <v>702401.46503262536</v>
      </c>
      <c r="Z212" s="17">
        <f>Z210+Z176</f>
        <v>315401.41119070869</v>
      </c>
      <c r="AA212" s="17"/>
      <c r="AB212" s="17">
        <f>AB210+AB176</f>
        <v>111353.76043450141</v>
      </c>
      <c r="AC212" s="17">
        <f>AC210+AC176</f>
        <v>145044.49062352625</v>
      </c>
      <c r="AD212" s="17"/>
      <c r="AE212" s="17">
        <f t="shared" si="197"/>
        <v>0</v>
      </c>
      <c r="AF212" s="17">
        <f t="shared" si="197"/>
        <v>110889.37681050236</v>
      </c>
      <c r="AG212" s="17"/>
      <c r="AH212" s="17">
        <f t="shared" si="197"/>
        <v>1620039.8381354702</v>
      </c>
      <c r="AI212" s="17"/>
      <c r="AJ212" s="17">
        <f t="shared" si="197"/>
        <v>467775.28978730005</v>
      </c>
      <c r="AK212" s="17"/>
      <c r="AL212" s="17">
        <f t="shared" si="197"/>
        <v>0</v>
      </c>
      <c r="AM212" s="17"/>
      <c r="AN212" s="17">
        <f t="shared" si="197"/>
        <v>0</v>
      </c>
      <c r="AO212" s="17">
        <f>SUM(H212:AN212)</f>
        <v>12669819.5</v>
      </c>
      <c r="AP212" s="14" t="str">
        <f>IF(ABS(AO212-F212)&lt;1,"ok","err")</f>
        <v>ok</v>
      </c>
    </row>
    <row r="213" spans="1:42" x14ac:dyDescent="0.25">
      <c r="A213" s="2"/>
      <c r="B213" s="2"/>
      <c r="F213" s="10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P213" s="14"/>
    </row>
    <row r="214" spans="1:42" x14ac:dyDescent="0.25">
      <c r="A214" s="2" t="s">
        <v>783</v>
      </c>
      <c r="B214" s="2"/>
      <c r="C214" s="2" t="s">
        <v>140</v>
      </c>
      <c r="F214" s="106">
        <f>F212+F157+F164</f>
        <v>86916763.5</v>
      </c>
      <c r="G214" s="13">
        <f>G212+G164</f>
        <v>0</v>
      </c>
      <c r="H214" s="106">
        <f t="shared" ref="H214:N214" si="198">H212+H157+H164</f>
        <v>19679910.880000003</v>
      </c>
      <c r="I214" s="106">
        <f t="shared" si="198"/>
        <v>1704216</v>
      </c>
      <c r="J214" s="106">
        <f t="shared" si="198"/>
        <v>-130049</v>
      </c>
      <c r="K214" s="106">
        <f t="shared" si="198"/>
        <v>-6340583</v>
      </c>
      <c r="L214" s="106">
        <f t="shared" si="198"/>
        <v>29509797.417011004</v>
      </c>
      <c r="M214" s="13">
        <f t="shared" si="198"/>
        <v>29823651.702989001</v>
      </c>
      <c r="N214" s="13">
        <f t="shared" si="198"/>
        <v>0</v>
      </c>
      <c r="O214" s="106"/>
      <c r="P214" s="13">
        <f>P212+P157+P164</f>
        <v>0</v>
      </c>
      <c r="Q214" s="13"/>
      <c r="R214" s="106">
        <f>R212+R157+R164</f>
        <v>0</v>
      </c>
      <c r="S214" s="13"/>
      <c r="T214" s="106">
        <f>T212+T157+T164</f>
        <v>36687.981975360293</v>
      </c>
      <c r="U214" s="13"/>
      <c r="V214" s="106">
        <f>V212+V157+V164</f>
        <v>6321613.1852936279</v>
      </c>
      <c r="W214" s="106">
        <f>W212+W157+W164</f>
        <v>2838612.7007163782</v>
      </c>
      <c r="X214" s="13"/>
      <c r="Y214" s="106">
        <f>Y212+Y157+Y164</f>
        <v>702401.46503262536</v>
      </c>
      <c r="Z214" s="106">
        <f>Z212+Z157+Z164</f>
        <v>315401.41119070869</v>
      </c>
      <c r="AA214" s="106"/>
      <c r="AB214" s="106">
        <f>AB212+AB157+AB164</f>
        <v>111353.76043450141</v>
      </c>
      <c r="AC214" s="106">
        <f>AC212+AC157+AC164</f>
        <v>145044.49062352625</v>
      </c>
      <c r="AD214" s="13"/>
      <c r="AE214" s="106">
        <f>AE212+AE157+AE164</f>
        <v>0</v>
      </c>
      <c r="AF214" s="106">
        <f>AF212+AF157+AF164</f>
        <v>110889.37681050236</v>
      </c>
      <c r="AG214" s="13"/>
      <c r="AH214" s="106">
        <f>AH212+AH157+AH164</f>
        <v>1620039.8381354702</v>
      </c>
      <c r="AI214" s="13"/>
      <c r="AJ214" s="106">
        <f>AJ212+AJ157+AJ164</f>
        <v>467775.28978730005</v>
      </c>
      <c r="AK214" s="13"/>
      <c r="AL214" s="106">
        <f>AL212+AL157+AL164</f>
        <v>0</v>
      </c>
      <c r="AM214" s="13"/>
      <c r="AN214" s="106">
        <f>AN212+AN157+AN164</f>
        <v>0</v>
      </c>
      <c r="AO214" s="17">
        <f>SUM(H214:AN214)</f>
        <v>86916763.5</v>
      </c>
      <c r="AP214" s="14" t="str">
        <f>IF(ABS(AO214-F214)&lt;1,"ok","err")</f>
        <v>ok</v>
      </c>
    </row>
    <row r="215" spans="1:42" x14ac:dyDescent="0.25">
      <c r="A215" s="8"/>
      <c r="B215" s="2"/>
      <c r="F215" s="10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P215" s="14"/>
    </row>
    <row r="216" spans="1:42" x14ac:dyDescent="0.25">
      <c r="A216" s="8" t="s">
        <v>142</v>
      </c>
      <c r="B216" s="2"/>
      <c r="F216" s="10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P216" s="14"/>
    </row>
    <row r="217" spans="1:42" x14ac:dyDescent="0.25">
      <c r="A217" s="2">
        <v>901</v>
      </c>
      <c r="B217" s="2" t="s">
        <v>143</v>
      </c>
      <c r="C217" s="2" t="s">
        <v>144</v>
      </c>
      <c r="D217" s="2" t="s">
        <v>145</v>
      </c>
      <c r="F217" s="195">
        <v>14490.2</v>
      </c>
      <c r="H217" s="17">
        <f>IF(VLOOKUP($D217,$C$5:$AN$495,6,)=0,0,((VLOOKUP($D217,$C$5:$AN$495,6,)/VLOOKUP($D217,$C$5:$AN$495,4,))*$F217))</f>
        <v>0</v>
      </c>
      <c r="I217" s="17">
        <f>IF(VLOOKUP($D217,$C$5:$AN$495,7,)=0,0,((VLOOKUP($D217,$C$5:$AN$495,7,)/VLOOKUP($D217,$C$5:$AN$495,4,))*$F217))</f>
        <v>0</v>
      </c>
      <c r="J217" s="17">
        <f>IF(VLOOKUP($D217,$C$5:$AN$495,8,)=0,0,((VLOOKUP($D217,$C$5:$AN$495,8,)/VLOOKUP($D217,$C$5:$AN$495,4,))*$F217))</f>
        <v>0</v>
      </c>
      <c r="K217" s="17">
        <f>IF(VLOOKUP($D217,$C$5:$AN$495,9,)=0,0,((VLOOKUP($D217,$C$5:$AN$495,9,)/VLOOKUP($D217,$C$5:$AN$495,4,))*$F217))</f>
        <v>0</v>
      </c>
      <c r="L217" s="17">
        <f>IF(VLOOKUP($D217,$C$5:$AN$495,10,)=0,0,((VLOOKUP($D217,$C$5:$AN$495,10,)/VLOOKUP($D217,$C$5:$AN$495,4,))*$F217))</f>
        <v>0</v>
      </c>
      <c r="M217" s="17">
        <f>IF(VLOOKUP($D217,$C$5:$AN$495,11,)=0,0,((VLOOKUP($D217,$C$5:$AN$495,11,)/VLOOKUP($D217,$C$5:$AN$495,4,))*$F217))</f>
        <v>0</v>
      </c>
      <c r="N217" s="17">
        <f>IF(VLOOKUP($D217,$C$5:$AN$495,12,)=0,0,((VLOOKUP($D217,$C$5:$AN$495,12,)/VLOOKUP($D217,$C$5:$AN$495,4,))*$F217))</f>
        <v>0</v>
      </c>
      <c r="O217" s="17"/>
      <c r="P217" s="17">
        <f>IF(VLOOKUP($D217,$C$5:$AN$495,14,)=0,0,((VLOOKUP($D217,$C$5:$AN$495,14,)/VLOOKUP($D217,$C$5:$AN$495,4,))*$F217))</f>
        <v>0</v>
      </c>
      <c r="Q217" s="17"/>
      <c r="R217" s="17">
        <f>IF(VLOOKUP($D217,$C$5:$AN$495,16,)=0,0,((VLOOKUP($D217,$C$5:$AN$495,16,)/VLOOKUP($D217,$C$5:$AN$495,4,))*$F217))</f>
        <v>0</v>
      </c>
      <c r="S217" s="17"/>
      <c r="T217" s="17">
        <f>IF(VLOOKUP($D217,$C$5:$AN$495,18,)=0,0,((VLOOKUP($D217,$C$5:$AN$495,18,)/VLOOKUP($D217,$C$5:$AN$495,4,))*$F217))</f>
        <v>0</v>
      </c>
      <c r="U217" s="17"/>
      <c r="V217" s="17">
        <f>IF(VLOOKUP($D217,$C$5:$AN$495,20,)=0,0,((VLOOKUP($D217,$C$5:$AN$495,20,)/VLOOKUP($D217,$C$5:$AN$495,4,))*$F217))</f>
        <v>0</v>
      </c>
      <c r="W217" s="17">
        <f>IF(VLOOKUP($D217,$C$5:$AN$495,21,)=0,0,((VLOOKUP($D217,$C$5:$AN$495,21,)/VLOOKUP($D217,$C$5:$AN$495,4,))*$F217))</f>
        <v>0</v>
      </c>
      <c r="X217" s="17"/>
      <c r="Y217" s="17">
        <f>IF(VLOOKUP($D217,$C$5:$AN$495,23,)=0,0,((VLOOKUP($D217,$C$5:$AN$495,23,)/VLOOKUP($D217,$C$5:$AN$495,4,))*$F217))</f>
        <v>0</v>
      </c>
      <c r="Z217" s="17">
        <f>IF(VLOOKUP($D217,$C$5:$AN$495,24,)=0,0,((VLOOKUP($D217,$C$5:$AN$495,24,)/VLOOKUP($D217,$C$5:$AN$495,4,))*$F217))</f>
        <v>0</v>
      </c>
      <c r="AA217" s="17"/>
      <c r="AB217" s="17">
        <f>IF(VLOOKUP($D217,$C$5:$AN$495,26,)=0,0,((VLOOKUP($D217,$C$5:$AN$495,26,)/VLOOKUP($D217,$C$5:$AN$495,4,))*$F217))</f>
        <v>0</v>
      </c>
      <c r="AC217" s="17">
        <f>IF(VLOOKUP($D217,$C$5:$AN$495,27,)=0,0,((VLOOKUP($D217,$C$5:$AN$495,27,)/VLOOKUP($D217,$C$5:$AN$495,4,))*$F217))</f>
        <v>0</v>
      </c>
      <c r="AD217" s="17"/>
      <c r="AE217" s="17">
        <f>IF(VLOOKUP($D217,$C$5:$AN$495,29,)=0,0,((VLOOKUP($D217,$C$5:$AN$495,29,)/VLOOKUP($D217,$C$5:$AN$495,4,))*$F217))</f>
        <v>0</v>
      </c>
      <c r="AF217" s="17">
        <f>IF(VLOOKUP($D217,$C$5:$AN$495,30,)=0,0,((VLOOKUP($D217,$C$5:$AN$495,30,)/VLOOKUP($D217,$C$5:$AN$495,4,))*$F217))</f>
        <v>0</v>
      </c>
      <c r="AG217" s="17"/>
      <c r="AH217" s="17">
        <f>IF(VLOOKUP($D217,$C$5:$AN$495,32,)=0,0,((VLOOKUP($D217,$C$5:$AN$495,32,)/VLOOKUP($D217,$C$5:$AN$495,4,))*$F217))</f>
        <v>0</v>
      </c>
      <c r="AI217" s="17"/>
      <c r="AJ217" s="17">
        <f>IF(VLOOKUP($D217,$C$5:$AN$495,34,)=0,0,((VLOOKUP($D217,$C$5:$AN$495,34,)/VLOOKUP($D217,$C$5:$AN$495,4,))*$F217))</f>
        <v>0</v>
      </c>
      <c r="AK217" s="17"/>
      <c r="AL217" s="17">
        <f>IF(VLOOKUP($D217,$C$5:$AN$495,36,)=0,0,((VLOOKUP($D217,$C$5:$AN$495,36,)/VLOOKUP($D217,$C$5:$AN$495,4,))*$F217))</f>
        <v>14490.2</v>
      </c>
      <c r="AM217" s="17"/>
      <c r="AN217" s="17">
        <f>IF(VLOOKUP($D217,$C$5:$AN$495,38,)=0,0,((VLOOKUP($D217,$C$5:$AN$495,38,)/VLOOKUP($D217,$C$5:$AN$495,4,))*$F217))</f>
        <v>0</v>
      </c>
      <c r="AO217" s="17">
        <f>SUM(H217:AN217)</f>
        <v>14490.2</v>
      </c>
      <c r="AP217" s="14" t="str">
        <f>IF(ABS(AO217-F217)&lt;1,"ok","err")</f>
        <v>ok</v>
      </c>
    </row>
    <row r="218" spans="1:42" x14ac:dyDescent="0.25">
      <c r="A218" s="2">
        <v>902</v>
      </c>
      <c r="B218" s="2" t="s">
        <v>146</v>
      </c>
      <c r="C218" s="2" t="s">
        <v>147</v>
      </c>
      <c r="D218" s="2" t="s">
        <v>145</v>
      </c>
      <c r="F218" s="148">
        <v>1249.57</v>
      </c>
      <c r="H218" s="17">
        <f>IF(VLOOKUP($D218,$C$5:$AN$495,6,)=0,0,((VLOOKUP($D218,$C$5:$AN$495,6,)/VLOOKUP($D218,$C$5:$AN$495,4,))*$F218))</f>
        <v>0</v>
      </c>
      <c r="I218" s="17">
        <f>IF(VLOOKUP($D218,$C$5:$AN$495,7,)=0,0,((VLOOKUP($D218,$C$5:$AN$495,7,)/VLOOKUP($D218,$C$5:$AN$495,4,))*$F218))</f>
        <v>0</v>
      </c>
      <c r="J218" s="17">
        <f>IF(VLOOKUP($D218,$C$5:$AN$495,8,)=0,0,((VLOOKUP($D218,$C$5:$AN$495,8,)/VLOOKUP($D218,$C$5:$AN$495,4,))*$F218))</f>
        <v>0</v>
      </c>
      <c r="K218" s="17">
        <f>IF(VLOOKUP($D218,$C$5:$AN$495,9,)=0,0,((VLOOKUP($D218,$C$5:$AN$495,9,)/VLOOKUP($D218,$C$5:$AN$495,4,))*$F218))</f>
        <v>0</v>
      </c>
      <c r="L218" s="17">
        <f>IF(VLOOKUP($D218,$C$5:$AN$495,10,)=0,0,((VLOOKUP($D218,$C$5:$AN$495,10,)/VLOOKUP($D218,$C$5:$AN$495,4,))*$F218))</f>
        <v>0</v>
      </c>
      <c r="M218" s="17">
        <f>IF(VLOOKUP($D218,$C$5:$AN$495,11,)=0,0,((VLOOKUP($D218,$C$5:$AN$495,11,)/VLOOKUP($D218,$C$5:$AN$495,4,))*$F218))</f>
        <v>0</v>
      </c>
      <c r="N218" s="17">
        <f>IF(VLOOKUP($D218,$C$5:$AN$495,12,)=0,0,((VLOOKUP($D218,$C$5:$AN$495,12,)/VLOOKUP($D218,$C$5:$AN$495,4,))*$F218))</f>
        <v>0</v>
      </c>
      <c r="O218" s="17"/>
      <c r="P218" s="17">
        <f>IF(VLOOKUP($D218,$C$5:$AN$495,14,)=0,0,((VLOOKUP($D218,$C$5:$AN$495,14,)/VLOOKUP($D218,$C$5:$AN$495,4,))*$F218))</f>
        <v>0</v>
      </c>
      <c r="Q218" s="17"/>
      <c r="R218" s="17">
        <f>IF(VLOOKUP($D218,$C$5:$AN$495,16,)=0,0,((VLOOKUP($D218,$C$5:$AN$495,16,)/VLOOKUP($D218,$C$5:$AN$495,4,))*$F218))</f>
        <v>0</v>
      </c>
      <c r="S218" s="17"/>
      <c r="T218" s="17">
        <f>IF(VLOOKUP($D218,$C$5:$AN$495,18,)=0,0,((VLOOKUP($D218,$C$5:$AN$495,18,)/VLOOKUP($D218,$C$5:$AN$495,4,))*$F218))</f>
        <v>0</v>
      </c>
      <c r="U218" s="17"/>
      <c r="V218" s="17">
        <f>IF(VLOOKUP($D218,$C$5:$AN$495,20,)=0,0,((VLOOKUP($D218,$C$5:$AN$495,20,)/VLOOKUP($D218,$C$5:$AN$495,4,))*$F218))</f>
        <v>0</v>
      </c>
      <c r="W218" s="17">
        <f>IF(VLOOKUP($D218,$C$5:$AN$495,21,)=0,0,((VLOOKUP($D218,$C$5:$AN$495,21,)/VLOOKUP($D218,$C$5:$AN$495,4,))*$F218))</f>
        <v>0</v>
      </c>
      <c r="X218" s="17"/>
      <c r="Y218" s="17">
        <f>IF(VLOOKUP($D218,$C$5:$AN$495,23,)=0,0,((VLOOKUP($D218,$C$5:$AN$495,23,)/VLOOKUP($D218,$C$5:$AN$495,4,))*$F218))</f>
        <v>0</v>
      </c>
      <c r="Z218" s="17">
        <f>IF(VLOOKUP($D218,$C$5:$AN$495,24,)=0,0,((VLOOKUP($D218,$C$5:$AN$495,24,)/VLOOKUP($D218,$C$5:$AN$495,4,))*$F218))</f>
        <v>0</v>
      </c>
      <c r="AA218" s="17"/>
      <c r="AB218" s="17">
        <f>IF(VLOOKUP($D218,$C$5:$AN$495,26,)=0,0,((VLOOKUP($D218,$C$5:$AN$495,26,)/VLOOKUP($D218,$C$5:$AN$495,4,))*$F218))</f>
        <v>0</v>
      </c>
      <c r="AC218" s="17">
        <f>IF(VLOOKUP($D218,$C$5:$AN$495,27,)=0,0,((VLOOKUP($D218,$C$5:$AN$495,27,)/VLOOKUP($D218,$C$5:$AN$495,4,))*$F218))</f>
        <v>0</v>
      </c>
      <c r="AD218" s="17"/>
      <c r="AE218" s="17">
        <f>IF(VLOOKUP($D218,$C$5:$AN$495,29,)=0,0,((VLOOKUP($D218,$C$5:$AN$495,29,)/VLOOKUP($D218,$C$5:$AN$495,4,))*$F218))</f>
        <v>0</v>
      </c>
      <c r="AF218" s="17">
        <f>IF(VLOOKUP($D218,$C$5:$AN$495,30,)=0,0,((VLOOKUP($D218,$C$5:$AN$495,30,)/VLOOKUP($D218,$C$5:$AN$495,4,))*$F218))</f>
        <v>0</v>
      </c>
      <c r="AG218" s="17"/>
      <c r="AH218" s="17">
        <f>IF(VLOOKUP($D218,$C$5:$AN$495,32,)=0,0,((VLOOKUP($D218,$C$5:$AN$495,32,)/VLOOKUP($D218,$C$5:$AN$495,4,))*$F218))</f>
        <v>0</v>
      </c>
      <c r="AI218" s="17"/>
      <c r="AJ218" s="17">
        <f>IF(VLOOKUP($D218,$C$5:$AN$495,34,)=0,0,((VLOOKUP($D218,$C$5:$AN$495,34,)/VLOOKUP($D218,$C$5:$AN$495,4,))*$F218))</f>
        <v>0</v>
      </c>
      <c r="AK218" s="17"/>
      <c r="AL218" s="17">
        <f>IF(VLOOKUP($D218,$C$5:$AN$495,36,)=0,0,((VLOOKUP($D218,$C$5:$AN$495,36,)/VLOOKUP($D218,$C$5:$AN$495,4,))*$F218))</f>
        <v>1249.57</v>
      </c>
      <c r="AM218" s="17"/>
      <c r="AN218" s="17">
        <f>IF(VLOOKUP($D218,$C$5:$AN$495,38,)=0,0,((VLOOKUP($D218,$C$5:$AN$495,38,)/VLOOKUP($D218,$C$5:$AN$495,4,))*$F218))</f>
        <v>0</v>
      </c>
      <c r="AO218" s="17">
        <f>SUM(H218:AN218)</f>
        <v>1249.57</v>
      </c>
      <c r="AP218" s="14" t="str">
        <f>IF(ABS(AO218-F218)&lt;1,"ok","err")</f>
        <v>ok</v>
      </c>
    </row>
    <row r="219" spans="1:42" x14ac:dyDescent="0.25">
      <c r="A219" s="2">
        <v>903</v>
      </c>
      <c r="B219" s="2" t="s">
        <v>435</v>
      </c>
      <c r="C219" s="2" t="s">
        <v>148</v>
      </c>
      <c r="D219" s="2" t="s">
        <v>145</v>
      </c>
      <c r="F219" s="148">
        <v>3748397.5399999996</v>
      </c>
      <c r="H219" s="17">
        <f>IF(VLOOKUP($D219,$C$5:$AN$495,6,)=0,0,((VLOOKUP($D219,$C$5:$AN$495,6,)/VLOOKUP($D219,$C$5:$AN$495,4,))*$F219))</f>
        <v>0</v>
      </c>
      <c r="I219" s="17">
        <f>IF(VLOOKUP($D219,$C$5:$AN$495,7,)=0,0,((VLOOKUP($D219,$C$5:$AN$495,7,)/VLOOKUP($D219,$C$5:$AN$495,4,))*$F219))</f>
        <v>0</v>
      </c>
      <c r="J219" s="17">
        <f>IF(VLOOKUP($D219,$C$5:$AN$495,8,)=0,0,((VLOOKUP($D219,$C$5:$AN$495,8,)/VLOOKUP($D219,$C$5:$AN$495,4,))*$F219))</f>
        <v>0</v>
      </c>
      <c r="K219" s="17">
        <f>IF(VLOOKUP($D219,$C$5:$AN$495,9,)=0,0,((VLOOKUP($D219,$C$5:$AN$495,9,)/VLOOKUP($D219,$C$5:$AN$495,4,))*$F219))</f>
        <v>0</v>
      </c>
      <c r="L219" s="17">
        <f>IF(VLOOKUP($D219,$C$5:$AN$495,10,)=0,0,((VLOOKUP($D219,$C$5:$AN$495,10,)/VLOOKUP($D219,$C$5:$AN$495,4,))*$F219))</f>
        <v>0</v>
      </c>
      <c r="M219" s="17">
        <f>IF(VLOOKUP($D219,$C$5:$AN$495,11,)=0,0,((VLOOKUP($D219,$C$5:$AN$495,11,)/VLOOKUP($D219,$C$5:$AN$495,4,))*$F219))</f>
        <v>0</v>
      </c>
      <c r="N219" s="17">
        <f>IF(VLOOKUP($D219,$C$5:$AN$495,12,)=0,0,((VLOOKUP($D219,$C$5:$AN$495,12,)/VLOOKUP($D219,$C$5:$AN$495,4,))*$F219))</f>
        <v>0</v>
      </c>
      <c r="O219" s="17"/>
      <c r="P219" s="17">
        <f>IF(VLOOKUP($D219,$C$5:$AN$495,14,)=0,0,((VLOOKUP($D219,$C$5:$AN$495,14,)/VLOOKUP($D219,$C$5:$AN$495,4,))*$F219))</f>
        <v>0</v>
      </c>
      <c r="Q219" s="17"/>
      <c r="R219" s="17">
        <f>IF(VLOOKUP($D219,$C$5:$AN$495,16,)=0,0,((VLOOKUP($D219,$C$5:$AN$495,16,)/VLOOKUP($D219,$C$5:$AN$495,4,))*$F219))</f>
        <v>0</v>
      </c>
      <c r="S219" s="17"/>
      <c r="T219" s="17">
        <f>IF(VLOOKUP($D219,$C$5:$AN$495,18,)=0,0,((VLOOKUP($D219,$C$5:$AN$495,18,)/VLOOKUP($D219,$C$5:$AN$495,4,))*$F219))</f>
        <v>0</v>
      </c>
      <c r="U219" s="17"/>
      <c r="V219" s="17">
        <f>IF(VLOOKUP($D219,$C$5:$AN$495,20,)=0,0,((VLOOKUP($D219,$C$5:$AN$495,20,)/VLOOKUP($D219,$C$5:$AN$495,4,))*$F219))</f>
        <v>0</v>
      </c>
      <c r="W219" s="17">
        <f>IF(VLOOKUP($D219,$C$5:$AN$495,21,)=0,0,((VLOOKUP($D219,$C$5:$AN$495,21,)/VLOOKUP($D219,$C$5:$AN$495,4,))*$F219))</f>
        <v>0</v>
      </c>
      <c r="X219" s="17"/>
      <c r="Y219" s="17">
        <f>IF(VLOOKUP($D219,$C$5:$AN$495,23,)=0,0,((VLOOKUP($D219,$C$5:$AN$495,23,)/VLOOKUP($D219,$C$5:$AN$495,4,))*$F219))</f>
        <v>0</v>
      </c>
      <c r="Z219" s="17">
        <f>IF(VLOOKUP($D219,$C$5:$AN$495,24,)=0,0,((VLOOKUP($D219,$C$5:$AN$495,24,)/VLOOKUP($D219,$C$5:$AN$495,4,))*$F219))</f>
        <v>0</v>
      </c>
      <c r="AA219" s="17"/>
      <c r="AB219" s="17">
        <f>IF(VLOOKUP($D219,$C$5:$AN$495,26,)=0,0,((VLOOKUP($D219,$C$5:$AN$495,26,)/VLOOKUP($D219,$C$5:$AN$495,4,))*$F219))</f>
        <v>0</v>
      </c>
      <c r="AC219" s="17">
        <f>IF(VLOOKUP($D219,$C$5:$AN$495,27,)=0,0,((VLOOKUP($D219,$C$5:$AN$495,27,)/VLOOKUP($D219,$C$5:$AN$495,4,))*$F219))</f>
        <v>0</v>
      </c>
      <c r="AD219" s="17"/>
      <c r="AE219" s="17">
        <f>IF(VLOOKUP($D219,$C$5:$AN$495,29,)=0,0,((VLOOKUP($D219,$C$5:$AN$495,29,)/VLOOKUP($D219,$C$5:$AN$495,4,))*$F219))</f>
        <v>0</v>
      </c>
      <c r="AF219" s="17">
        <f>IF(VLOOKUP($D219,$C$5:$AN$495,30,)=0,0,((VLOOKUP($D219,$C$5:$AN$495,30,)/VLOOKUP($D219,$C$5:$AN$495,4,))*$F219))</f>
        <v>0</v>
      </c>
      <c r="AG219" s="17"/>
      <c r="AH219" s="17">
        <f>IF(VLOOKUP($D219,$C$5:$AN$495,32,)=0,0,((VLOOKUP($D219,$C$5:$AN$495,32,)/VLOOKUP($D219,$C$5:$AN$495,4,))*$F219))</f>
        <v>0</v>
      </c>
      <c r="AI219" s="17"/>
      <c r="AJ219" s="17">
        <f>IF(VLOOKUP($D219,$C$5:$AN$495,34,)=0,0,((VLOOKUP($D219,$C$5:$AN$495,34,)/VLOOKUP($D219,$C$5:$AN$495,4,))*$F219))</f>
        <v>0</v>
      </c>
      <c r="AK219" s="17"/>
      <c r="AL219" s="17">
        <f>IF(VLOOKUP($D219,$C$5:$AN$495,36,)=0,0,((VLOOKUP($D219,$C$5:$AN$495,36,)/VLOOKUP($D219,$C$5:$AN$495,4,))*$F219))</f>
        <v>3748397.5399999996</v>
      </c>
      <c r="AM219" s="17"/>
      <c r="AN219" s="17">
        <f>IF(VLOOKUP($D219,$C$5:$AN$495,38,)=0,0,((VLOOKUP($D219,$C$5:$AN$495,38,)/VLOOKUP($D219,$C$5:$AN$495,4,))*$F219))</f>
        <v>0</v>
      </c>
      <c r="AO219" s="17">
        <f>SUM(H219:AN219)</f>
        <v>3748397.5399999996</v>
      </c>
      <c r="AP219" s="14" t="str">
        <f>IF(ABS(AO219-F219)&lt;1,"ok","err")</f>
        <v>ok</v>
      </c>
    </row>
    <row r="220" spans="1:42" x14ac:dyDescent="0.25">
      <c r="A220" s="2">
        <v>904</v>
      </c>
      <c r="B220" s="2" t="s">
        <v>149</v>
      </c>
      <c r="C220" s="2" t="s">
        <v>150</v>
      </c>
      <c r="D220" s="2" t="s">
        <v>145</v>
      </c>
      <c r="F220" s="148">
        <v>147325.87999999989</v>
      </c>
      <c r="H220" s="17">
        <f>IF(VLOOKUP($D220,$C$5:$AN$495,6,)=0,0,((VLOOKUP($D220,$C$5:$AN$495,6,)/VLOOKUP($D220,$C$5:$AN$495,4,))*$F220))</f>
        <v>0</v>
      </c>
      <c r="I220" s="17">
        <f>IF(VLOOKUP($D220,$C$5:$AN$495,7,)=0,0,((VLOOKUP($D220,$C$5:$AN$495,7,)/VLOOKUP($D220,$C$5:$AN$495,4,))*$F220))</f>
        <v>0</v>
      </c>
      <c r="J220" s="17">
        <f>IF(VLOOKUP($D220,$C$5:$AN$495,8,)=0,0,((VLOOKUP($D220,$C$5:$AN$495,8,)/VLOOKUP($D220,$C$5:$AN$495,4,))*$F220))</f>
        <v>0</v>
      </c>
      <c r="K220" s="17">
        <f>IF(VLOOKUP($D220,$C$5:$AN$495,9,)=0,0,((VLOOKUP($D220,$C$5:$AN$495,9,)/VLOOKUP($D220,$C$5:$AN$495,4,))*$F220))</f>
        <v>0</v>
      </c>
      <c r="L220" s="17">
        <f>IF(VLOOKUP($D220,$C$5:$AN$495,10,)=0,0,((VLOOKUP($D220,$C$5:$AN$495,10,)/VLOOKUP($D220,$C$5:$AN$495,4,))*$F220))</f>
        <v>0</v>
      </c>
      <c r="M220" s="17">
        <f>IF(VLOOKUP($D220,$C$5:$AN$495,11,)=0,0,((VLOOKUP($D220,$C$5:$AN$495,11,)/VLOOKUP($D220,$C$5:$AN$495,4,))*$F220))</f>
        <v>0</v>
      </c>
      <c r="N220" s="17">
        <f>IF(VLOOKUP($D220,$C$5:$AN$495,12,)=0,0,((VLOOKUP($D220,$C$5:$AN$495,12,)/VLOOKUP($D220,$C$5:$AN$495,4,))*$F220))</f>
        <v>0</v>
      </c>
      <c r="O220" s="17"/>
      <c r="P220" s="17">
        <f>IF(VLOOKUP($D220,$C$5:$AN$495,14,)=0,0,((VLOOKUP($D220,$C$5:$AN$495,14,)/VLOOKUP($D220,$C$5:$AN$495,4,))*$F220))</f>
        <v>0</v>
      </c>
      <c r="Q220" s="17"/>
      <c r="R220" s="17">
        <f>IF(VLOOKUP($D220,$C$5:$AN$495,16,)=0,0,((VLOOKUP($D220,$C$5:$AN$495,16,)/VLOOKUP($D220,$C$5:$AN$495,4,))*$F220))</f>
        <v>0</v>
      </c>
      <c r="S220" s="17"/>
      <c r="T220" s="17">
        <f>IF(VLOOKUP($D220,$C$5:$AN$495,18,)=0,0,((VLOOKUP($D220,$C$5:$AN$495,18,)/VLOOKUP($D220,$C$5:$AN$495,4,))*$F220))</f>
        <v>0</v>
      </c>
      <c r="U220" s="17"/>
      <c r="V220" s="17">
        <f>IF(VLOOKUP($D220,$C$5:$AN$495,20,)=0,0,((VLOOKUP($D220,$C$5:$AN$495,20,)/VLOOKUP($D220,$C$5:$AN$495,4,))*$F220))</f>
        <v>0</v>
      </c>
      <c r="W220" s="17">
        <f>IF(VLOOKUP($D220,$C$5:$AN$495,21,)=0,0,((VLOOKUP($D220,$C$5:$AN$495,21,)/VLOOKUP($D220,$C$5:$AN$495,4,))*$F220))</f>
        <v>0</v>
      </c>
      <c r="X220" s="17"/>
      <c r="Y220" s="17">
        <f>IF(VLOOKUP($D220,$C$5:$AN$495,23,)=0,0,((VLOOKUP($D220,$C$5:$AN$495,23,)/VLOOKUP($D220,$C$5:$AN$495,4,))*$F220))</f>
        <v>0</v>
      </c>
      <c r="Z220" s="17">
        <f>IF(VLOOKUP($D220,$C$5:$AN$495,24,)=0,0,((VLOOKUP($D220,$C$5:$AN$495,24,)/VLOOKUP($D220,$C$5:$AN$495,4,))*$F220))</f>
        <v>0</v>
      </c>
      <c r="AA220" s="17"/>
      <c r="AB220" s="17">
        <f>IF(VLOOKUP($D220,$C$5:$AN$495,26,)=0,0,((VLOOKUP($D220,$C$5:$AN$495,26,)/VLOOKUP($D220,$C$5:$AN$495,4,))*$F220))</f>
        <v>0</v>
      </c>
      <c r="AC220" s="17">
        <f>IF(VLOOKUP($D220,$C$5:$AN$495,27,)=0,0,((VLOOKUP($D220,$C$5:$AN$495,27,)/VLOOKUP($D220,$C$5:$AN$495,4,))*$F220))</f>
        <v>0</v>
      </c>
      <c r="AD220" s="17"/>
      <c r="AE220" s="17">
        <f>IF(VLOOKUP($D220,$C$5:$AN$495,29,)=0,0,((VLOOKUP($D220,$C$5:$AN$495,29,)/VLOOKUP($D220,$C$5:$AN$495,4,))*$F220))</f>
        <v>0</v>
      </c>
      <c r="AF220" s="17">
        <f>IF(VLOOKUP($D220,$C$5:$AN$495,30,)=0,0,((VLOOKUP($D220,$C$5:$AN$495,30,)/VLOOKUP($D220,$C$5:$AN$495,4,))*$F220))</f>
        <v>0</v>
      </c>
      <c r="AG220" s="17"/>
      <c r="AH220" s="17">
        <f>IF(VLOOKUP($D220,$C$5:$AN$495,32,)=0,0,((VLOOKUP($D220,$C$5:$AN$495,32,)/VLOOKUP($D220,$C$5:$AN$495,4,))*$F220))</f>
        <v>0</v>
      </c>
      <c r="AI220" s="17"/>
      <c r="AJ220" s="17">
        <f>IF(VLOOKUP($D220,$C$5:$AN$495,34,)=0,0,((VLOOKUP($D220,$C$5:$AN$495,34,)/VLOOKUP($D220,$C$5:$AN$495,4,))*$F220))</f>
        <v>0</v>
      </c>
      <c r="AK220" s="17"/>
      <c r="AL220" s="17">
        <f>IF(VLOOKUP($D220,$C$5:$AN$495,36,)=0,0,((VLOOKUP($D220,$C$5:$AN$495,36,)/VLOOKUP($D220,$C$5:$AN$495,4,))*$F220))</f>
        <v>147325.87999999989</v>
      </c>
      <c r="AM220" s="17"/>
      <c r="AN220" s="17">
        <f>IF(VLOOKUP($D220,$C$5:$AN$495,38,)=0,0,((VLOOKUP($D220,$C$5:$AN$495,38,)/VLOOKUP($D220,$C$5:$AN$495,4,))*$F220))</f>
        <v>0</v>
      </c>
      <c r="AO220" s="17">
        <f>SUM(H220:AN220)</f>
        <v>147325.87999999989</v>
      </c>
      <c r="AP220" s="14" t="str">
        <f>IF(ABS(AO220-F220)&lt;1,"ok","err")</f>
        <v>ok</v>
      </c>
    </row>
    <row r="221" spans="1:42" x14ac:dyDescent="0.25">
      <c r="A221" s="2">
        <v>905</v>
      </c>
      <c r="B221" s="2" t="s">
        <v>436</v>
      </c>
      <c r="C221" s="2" t="s">
        <v>148</v>
      </c>
      <c r="D221" s="2" t="s">
        <v>145</v>
      </c>
      <c r="F221" s="148">
        <v>0</v>
      </c>
      <c r="H221" s="17">
        <f>IF(VLOOKUP($D221,$C$5:$AN$495,6,)=0,0,((VLOOKUP($D221,$C$5:$AN$495,6,)/VLOOKUP($D221,$C$5:$AN$495,4,))*$F221))</f>
        <v>0</v>
      </c>
      <c r="I221" s="17">
        <f>IF(VLOOKUP($D221,$C$5:$AN$495,7,)=0,0,((VLOOKUP($D221,$C$5:$AN$495,7,)/VLOOKUP($D221,$C$5:$AN$495,4,))*$F221))</f>
        <v>0</v>
      </c>
      <c r="J221" s="17">
        <f>IF(VLOOKUP($D221,$C$5:$AN$495,8,)=0,0,((VLOOKUP($D221,$C$5:$AN$495,8,)/VLOOKUP($D221,$C$5:$AN$495,4,))*$F221))</f>
        <v>0</v>
      </c>
      <c r="K221" s="17">
        <f>IF(VLOOKUP($D221,$C$5:$AN$495,9,)=0,0,((VLOOKUP($D221,$C$5:$AN$495,9,)/VLOOKUP($D221,$C$5:$AN$495,4,))*$F221))</f>
        <v>0</v>
      </c>
      <c r="L221" s="17">
        <f>IF(VLOOKUP($D221,$C$5:$AN$495,10,)=0,0,((VLOOKUP($D221,$C$5:$AN$495,10,)/VLOOKUP($D221,$C$5:$AN$495,4,))*$F221))</f>
        <v>0</v>
      </c>
      <c r="M221" s="17">
        <f>IF(VLOOKUP($D221,$C$5:$AN$495,11,)=0,0,((VLOOKUP($D221,$C$5:$AN$495,11,)/VLOOKUP($D221,$C$5:$AN$495,4,))*$F221))</f>
        <v>0</v>
      </c>
      <c r="N221" s="17">
        <f>IF(VLOOKUP($D221,$C$5:$AN$495,12,)=0,0,((VLOOKUP($D221,$C$5:$AN$495,12,)/VLOOKUP($D221,$C$5:$AN$495,4,))*$F221))</f>
        <v>0</v>
      </c>
      <c r="O221" s="17"/>
      <c r="P221" s="17">
        <f>IF(VLOOKUP($D221,$C$5:$AN$495,14,)=0,0,((VLOOKUP($D221,$C$5:$AN$495,14,)/VLOOKUP($D221,$C$5:$AN$495,4,))*$F221))</f>
        <v>0</v>
      </c>
      <c r="Q221" s="17"/>
      <c r="R221" s="17">
        <f>IF(VLOOKUP($D221,$C$5:$AN$495,16,)=0,0,((VLOOKUP($D221,$C$5:$AN$495,16,)/VLOOKUP($D221,$C$5:$AN$495,4,))*$F221))</f>
        <v>0</v>
      </c>
      <c r="S221" s="17"/>
      <c r="T221" s="17">
        <f>IF(VLOOKUP($D221,$C$5:$AN$495,18,)=0,0,((VLOOKUP($D221,$C$5:$AN$495,18,)/VLOOKUP($D221,$C$5:$AN$495,4,))*$F221))</f>
        <v>0</v>
      </c>
      <c r="U221" s="17"/>
      <c r="V221" s="17">
        <f>IF(VLOOKUP($D221,$C$5:$AN$495,20,)=0,0,((VLOOKUP($D221,$C$5:$AN$495,20,)/VLOOKUP($D221,$C$5:$AN$495,4,))*$F221))</f>
        <v>0</v>
      </c>
      <c r="W221" s="17">
        <f>IF(VLOOKUP($D221,$C$5:$AN$495,21,)=0,0,((VLOOKUP($D221,$C$5:$AN$495,21,)/VLOOKUP($D221,$C$5:$AN$495,4,))*$F221))</f>
        <v>0</v>
      </c>
      <c r="X221" s="17"/>
      <c r="Y221" s="17">
        <f>IF(VLOOKUP($D221,$C$5:$AN$495,23,)=0,0,((VLOOKUP($D221,$C$5:$AN$495,23,)/VLOOKUP($D221,$C$5:$AN$495,4,))*$F221))</f>
        <v>0</v>
      </c>
      <c r="Z221" s="17">
        <f>IF(VLOOKUP($D221,$C$5:$AN$495,24,)=0,0,((VLOOKUP($D221,$C$5:$AN$495,24,)/VLOOKUP($D221,$C$5:$AN$495,4,))*$F221))</f>
        <v>0</v>
      </c>
      <c r="AA221" s="17"/>
      <c r="AB221" s="17">
        <f>IF(VLOOKUP($D221,$C$5:$AN$495,26,)=0,0,((VLOOKUP($D221,$C$5:$AN$495,26,)/VLOOKUP($D221,$C$5:$AN$495,4,))*$F221))</f>
        <v>0</v>
      </c>
      <c r="AC221" s="17">
        <f>IF(VLOOKUP($D221,$C$5:$AN$495,27,)=0,0,((VLOOKUP($D221,$C$5:$AN$495,27,)/VLOOKUP($D221,$C$5:$AN$495,4,))*$F221))</f>
        <v>0</v>
      </c>
      <c r="AD221" s="17"/>
      <c r="AE221" s="17">
        <f>IF(VLOOKUP($D221,$C$5:$AN$495,29,)=0,0,((VLOOKUP($D221,$C$5:$AN$495,29,)/VLOOKUP($D221,$C$5:$AN$495,4,))*$F221))</f>
        <v>0</v>
      </c>
      <c r="AF221" s="17">
        <f>IF(VLOOKUP($D221,$C$5:$AN$495,30,)=0,0,((VLOOKUP($D221,$C$5:$AN$495,30,)/VLOOKUP($D221,$C$5:$AN$495,4,))*$F221))</f>
        <v>0</v>
      </c>
      <c r="AG221" s="17"/>
      <c r="AH221" s="17">
        <f>IF(VLOOKUP($D221,$C$5:$AN$495,32,)=0,0,((VLOOKUP($D221,$C$5:$AN$495,32,)/VLOOKUP($D221,$C$5:$AN$495,4,))*$F221))</f>
        <v>0</v>
      </c>
      <c r="AI221" s="17"/>
      <c r="AJ221" s="17">
        <f>IF(VLOOKUP($D221,$C$5:$AN$495,34,)=0,0,((VLOOKUP($D221,$C$5:$AN$495,34,)/VLOOKUP($D221,$C$5:$AN$495,4,))*$F221))</f>
        <v>0</v>
      </c>
      <c r="AK221" s="17"/>
      <c r="AL221" s="17">
        <f>IF(VLOOKUP($D221,$C$5:$AN$495,36,)=0,0,((VLOOKUP($D221,$C$5:$AN$495,36,)/VLOOKUP($D221,$C$5:$AN$495,4,))*$F221))</f>
        <v>0</v>
      </c>
      <c r="AM221" s="17"/>
      <c r="AN221" s="17">
        <f>IF(VLOOKUP($D221,$C$5:$AN$495,38,)=0,0,((VLOOKUP($D221,$C$5:$AN$495,38,)/VLOOKUP($D221,$C$5:$AN$495,4,))*$F221))</f>
        <v>0</v>
      </c>
      <c r="AO221" s="17">
        <f>SUM(H221:AN221)</f>
        <v>0</v>
      </c>
      <c r="AP221" s="14" t="str">
        <f>IF(ABS(AO221-F221)&lt;1,"ok","err")</f>
        <v>ok</v>
      </c>
    </row>
    <row r="222" spans="1:42" x14ac:dyDescent="0.25">
      <c r="A222" s="8"/>
      <c r="B222" s="2"/>
      <c r="F222" s="10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4"/>
    </row>
    <row r="223" spans="1:42" x14ac:dyDescent="0.25">
      <c r="A223" s="2" t="s">
        <v>151</v>
      </c>
      <c r="B223" s="2"/>
      <c r="C223" s="2" t="s">
        <v>152</v>
      </c>
      <c r="F223" s="106">
        <f t="shared" ref="F223:P223" si="199">SUM(F217:F222)</f>
        <v>3911463.1899999995</v>
      </c>
      <c r="G223" s="13">
        <f t="shared" si="199"/>
        <v>0</v>
      </c>
      <c r="H223" s="13">
        <f t="shared" si="199"/>
        <v>0</v>
      </c>
      <c r="I223" s="13">
        <f t="shared" si="199"/>
        <v>0</v>
      </c>
      <c r="J223" s="13">
        <f t="shared" si="199"/>
        <v>0</v>
      </c>
      <c r="K223" s="13">
        <f t="shared" si="199"/>
        <v>0</v>
      </c>
      <c r="L223" s="13">
        <f t="shared" si="199"/>
        <v>0</v>
      </c>
      <c r="M223" s="13">
        <f t="shared" si="199"/>
        <v>0</v>
      </c>
      <c r="N223" s="13">
        <f t="shared" si="199"/>
        <v>0</v>
      </c>
      <c r="O223" s="13"/>
      <c r="P223" s="13">
        <f t="shared" si="199"/>
        <v>0</v>
      </c>
      <c r="Q223" s="13"/>
      <c r="R223" s="13">
        <f>SUM(R217:R222)</f>
        <v>0</v>
      </c>
      <c r="S223" s="13"/>
      <c r="T223" s="13">
        <f>SUM(T217:T222)</f>
        <v>0</v>
      </c>
      <c r="U223" s="13"/>
      <c r="V223" s="13">
        <f>SUM(V217:V222)</f>
        <v>0</v>
      </c>
      <c r="W223" s="13">
        <f>SUM(W217:W222)</f>
        <v>0</v>
      </c>
      <c r="X223" s="13"/>
      <c r="Y223" s="13">
        <f>SUM(Y217:Y222)</f>
        <v>0</v>
      </c>
      <c r="Z223" s="13">
        <f>SUM(Z217:Z222)</f>
        <v>0</v>
      </c>
      <c r="AA223" s="13"/>
      <c r="AB223" s="13">
        <f>SUM(AB217:AB222)</f>
        <v>0</v>
      </c>
      <c r="AC223" s="13">
        <f>SUM(AC217:AC222)</f>
        <v>0</v>
      </c>
      <c r="AD223" s="13"/>
      <c r="AE223" s="13">
        <f>SUM(AE217:AE222)</f>
        <v>0</v>
      </c>
      <c r="AF223" s="13">
        <f>SUM(AF217:AF222)</f>
        <v>0</v>
      </c>
      <c r="AG223" s="13"/>
      <c r="AH223" s="13">
        <f>SUM(AH217:AH222)</f>
        <v>0</v>
      </c>
      <c r="AI223" s="13"/>
      <c r="AJ223" s="13">
        <f>SUM(AJ217:AJ222)</f>
        <v>0</v>
      </c>
      <c r="AK223" s="13"/>
      <c r="AL223" s="13">
        <f>SUM(AL217:AL222)</f>
        <v>3911463.1899999995</v>
      </c>
      <c r="AM223" s="13"/>
      <c r="AN223" s="13">
        <f>SUM(AN217:AN222)</f>
        <v>0</v>
      </c>
      <c r="AO223" s="17">
        <f>SUM(H223:AN223)</f>
        <v>3911463.1899999995</v>
      </c>
      <c r="AP223" s="14" t="str">
        <f>IF(ABS(AO223-F223)&lt;1,"ok","err")</f>
        <v>ok</v>
      </c>
    </row>
    <row r="224" spans="1:42" x14ac:dyDescent="0.25">
      <c r="A224" s="2"/>
      <c r="B224" s="2"/>
      <c r="F224" s="10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P224" s="14"/>
    </row>
    <row r="225" spans="1:42" x14ac:dyDescent="0.25">
      <c r="A225" s="8" t="s">
        <v>153</v>
      </c>
      <c r="B225" s="2"/>
      <c r="F225" s="10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P225" s="14"/>
    </row>
    <row r="226" spans="1:42" x14ac:dyDescent="0.25">
      <c r="A226" s="2">
        <v>907</v>
      </c>
      <c r="B226" s="2" t="s">
        <v>362</v>
      </c>
      <c r="C226" s="2" t="s">
        <v>154</v>
      </c>
      <c r="D226" s="2" t="s">
        <v>155</v>
      </c>
      <c r="F226" s="195">
        <v>12305.310000000001</v>
      </c>
      <c r="H226" s="17">
        <f t="shared" ref="H226:H236" si="200">IF(VLOOKUP($D226,$C$5:$AN$495,6,)=0,0,((VLOOKUP($D226,$C$5:$AN$495,6,)/VLOOKUP($D226,$C$5:$AN$495,4,))*$F226))</f>
        <v>0</v>
      </c>
      <c r="I226" s="17">
        <f t="shared" ref="I226:I236" si="201">IF(VLOOKUP($D226,$C$5:$AN$495,7,)=0,0,((VLOOKUP($D226,$C$5:$AN$495,7,)/VLOOKUP($D226,$C$5:$AN$495,4,))*$F226))</f>
        <v>0</v>
      </c>
      <c r="J226" s="17">
        <f t="shared" ref="J226:J236" si="202">IF(VLOOKUP($D226,$C$5:$AN$495,8,)=0,0,((VLOOKUP($D226,$C$5:$AN$495,8,)/VLOOKUP($D226,$C$5:$AN$495,4,))*$F226))</f>
        <v>0</v>
      </c>
      <c r="K226" s="17">
        <f t="shared" ref="K226:K236" si="203">IF(VLOOKUP($D226,$C$5:$AN$495,9,)=0,0,((VLOOKUP($D226,$C$5:$AN$495,9,)/VLOOKUP($D226,$C$5:$AN$495,4,))*$F226))</f>
        <v>0</v>
      </c>
      <c r="L226" s="17">
        <f t="shared" ref="L226:L236" si="204">IF(VLOOKUP($D226,$C$5:$AN$495,10,)=0,0,((VLOOKUP($D226,$C$5:$AN$495,10,)/VLOOKUP($D226,$C$5:$AN$495,4,))*$F226))</f>
        <v>0</v>
      </c>
      <c r="M226" s="17">
        <f t="shared" ref="M226:M236" si="205">IF(VLOOKUP($D226,$C$5:$AN$495,11,)=0,0,((VLOOKUP($D226,$C$5:$AN$495,11,)/VLOOKUP($D226,$C$5:$AN$495,4,))*$F226))</f>
        <v>0</v>
      </c>
      <c r="N226" s="17">
        <f t="shared" ref="N226:N236" si="206">IF(VLOOKUP($D226,$C$5:$AN$495,12,)=0,0,((VLOOKUP($D226,$C$5:$AN$495,12,)/VLOOKUP($D226,$C$5:$AN$495,4,))*$F226))</f>
        <v>0</v>
      </c>
      <c r="O226" s="17"/>
      <c r="P226" s="17">
        <f t="shared" ref="P226:P236" si="207">IF(VLOOKUP($D226,$C$5:$AN$495,14,)=0,0,((VLOOKUP($D226,$C$5:$AN$495,14,)/VLOOKUP($D226,$C$5:$AN$495,4,))*$F226))</f>
        <v>0</v>
      </c>
      <c r="Q226" s="17"/>
      <c r="R226" s="17">
        <f t="shared" ref="R226:R236" si="208">IF(VLOOKUP($D226,$C$5:$AN$495,16,)=0,0,((VLOOKUP($D226,$C$5:$AN$495,16,)/VLOOKUP($D226,$C$5:$AN$495,4,))*$F226))</f>
        <v>0</v>
      </c>
      <c r="S226" s="17"/>
      <c r="T226" s="17">
        <f t="shared" ref="T226:T236" si="209">IF(VLOOKUP($D226,$C$5:$AN$495,18,)=0,0,((VLOOKUP($D226,$C$5:$AN$495,18,)/VLOOKUP($D226,$C$5:$AN$495,4,))*$F226))</f>
        <v>0</v>
      </c>
      <c r="U226" s="17"/>
      <c r="V226" s="17">
        <f t="shared" ref="V226:V236" si="210">IF(VLOOKUP($D226,$C$5:$AN$495,20,)=0,0,((VLOOKUP($D226,$C$5:$AN$495,20,)/VLOOKUP($D226,$C$5:$AN$495,4,))*$F226))</f>
        <v>0</v>
      </c>
      <c r="W226" s="17">
        <f t="shared" ref="W226:W236" si="211">IF(VLOOKUP($D226,$C$5:$AN$495,21,)=0,0,((VLOOKUP($D226,$C$5:$AN$495,21,)/VLOOKUP($D226,$C$5:$AN$495,4,))*$F226))</f>
        <v>0</v>
      </c>
      <c r="X226" s="17"/>
      <c r="Y226" s="17">
        <f t="shared" ref="Y226:Y236" si="212">IF(VLOOKUP($D226,$C$5:$AN$495,23,)=0,0,((VLOOKUP($D226,$C$5:$AN$495,23,)/VLOOKUP($D226,$C$5:$AN$495,4,))*$F226))</f>
        <v>0</v>
      </c>
      <c r="Z226" s="17">
        <f t="shared" ref="Z226:Z236" si="213">IF(VLOOKUP($D226,$C$5:$AN$495,24,)=0,0,((VLOOKUP($D226,$C$5:$AN$495,24,)/VLOOKUP($D226,$C$5:$AN$495,4,))*$F226))</f>
        <v>0</v>
      </c>
      <c r="AA226" s="17"/>
      <c r="AB226" s="17">
        <f t="shared" ref="AB226:AB236" si="214">IF(VLOOKUP($D226,$C$5:$AN$495,26,)=0,0,((VLOOKUP($D226,$C$5:$AN$495,26,)/VLOOKUP($D226,$C$5:$AN$495,4,))*$F226))</f>
        <v>0</v>
      </c>
      <c r="AC226" s="17">
        <f t="shared" ref="AC226:AC236" si="215">IF(VLOOKUP($D226,$C$5:$AN$495,27,)=0,0,((VLOOKUP($D226,$C$5:$AN$495,27,)/VLOOKUP($D226,$C$5:$AN$495,4,))*$F226))</f>
        <v>0</v>
      </c>
      <c r="AD226" s="17"/>
      <c r="AE226" s="17">
        <f t="shared" ref="AE226:AE236" si="216">IF(VLOOKUP($D226,$C$5:$AN$495,29,)=0,0,((VLOOKUP($D226,$C$5:$AN$495,29,)/VLOOKUP($D226,$C$5:$AN$495,4,))*$F226))</f>
        <v>0</v>
      </c>
      <c r="AF226" s="17">
        <f t="shared" ref="AF226:AF236" si="217">IF(VLOOKUP($D226,$C$5:$AN$495,30,)=0,0,((VLOOKUP($D226,$C$5:$AN$495,30,)/VLOOKUP($D226,$C$5:$AN$495,4,))*$F226))</f>
        <v>0</v>
      </c>
      <c r="AG226" s="17"/>
      <c r="AH226" s="17">
        <f t="shared" ref="AH226:AH236" si="218">IF(VLOOKUP($D226,$C$5:$AN$495,32,)=0,0,((VLOOKUP($D226,$C$5:$AN$495,32,)/VLOOKUP($D226,$C$5:$AN$495,4,))*$F226))</f>
        <v>0</v>
      </c>
      <c r="AI226" s="17"/>
      <c r="AJ226" s="17">
        <f t="shared" ref="AJ226:AJ236" si="219">IF(VLOOKUP($D226,$C$5:$AN$495,34,)=0,0,((VLOOKUP($D226,$C$5:$AN$495,34,)/VLOOKUP($D226,$C$5:$AN$495,4,))*$F226))</f>
        <v>0</v>
      </c>
      <c r="AK226" s="17"/>
      <c r="AL226" s="17">
        <f t="shared" ref="AL226:AL236" si="220">IF(VLOOKUP($D226,$C$5:$AN$495,36,)=0,0,((VLOOKUP($D226,$C$5:$AN$495,36,)/VLOOKUP($D226,$C$5:$AN$495,4,))*$F226))</f>
        <v>12305.310000000001</v>
      </c>
      <c r="AM226" s="17"/>
      <c r="AN226" s="17">
        <f t="shared" ref="AN226:AN236" si="221">IF(VLOOKUP($D226,$C$5:$AN$495,38,)=0,0,((VLOOKUP($D226,$C$5:$AN$495,38,)/VLOOKUP($D226,$C$5:$AN$495,4,))*$F226))</f>
        <v>0</v>
      </c>
      <c r="AO226" s="17">
        <f t="shared" ref="AO226:AO236" si="222">SUM(H226:AN226)</f>
        <v>12305.310000000001</v>
      </c>
      <c r="AP226" s="14" t="str">
        <f t="shared" ref="AP226:AP236" si="223">IF(ABS(AO226-F226)&lt;1,"ok","err")</f>
        <v>ok</v>
      </c>
    </row>
    <row r="227" spans="1:42" x14ac:dyDescent="0.25">
      <c r="A227" s="2">
        <v>908</v>
      </c>
      <c r="B227" s="2" t="s">
        <v>156</v>
      </c>
      <c r="C227" s="2" t="s">
        <v>157</v>
      </c>
      <c r="D227" s="2" t="s">
        <v>155</v>
      </c>
      <c r="F227" s="148">
        <v>316913.58999999997</v>
      </c>
      <c r="H227" s="17">
        <f t="shared" si="200"/>
        <v>0</v>
      </c>
      <c r="I227" s="17">
        <f t="shared" si="201"/>
        <v>0</v>
      </c>
      <c r="J227" s="17">
        <f t="shared" si="202"/>
        <v>0</v>
      </c>
      <c r="K227" s="17">
        <f t="shared" si="203"/>
        <v>0</v>
      </c>
      <c r="L227" s="17">
        <f t="shared" si="204"/>
        <v>0</v>
      </c>
      <c r="M227" s="17">
        <f t="shared" si="205"/>
        <v>0</v>
      </c>
      <c r="N227" s="17">
        <f t="shared" si="206"/>
        <v>0</v>
      </c>
      <c r="O227" s="17"/>
      <c r="P227" s="17">
        <f t="shared" si="207"/>
        <v>0</v>
      </c>
      <c r="Q227" s="17"/>
      <c r="R227" s="17">
        <f t="shared" si="208"/>
        <v>0</v>
      </c>
      <c r="S227" s="17"/>
      <c r="T227" s="17">
        <f t="shared" si="209"/>
        <v>0</v>
      </c>
      <c r="U227" s="17"/>
      <c r="V227" s="17">
        <f t="shared" si="210"/>
        <v>0</v>
      </c>
      <c r="W227" s="17">
        <f t="shared" si="211"/>
        <v>0</v>
      </c>
      <c r="X227" s="17"/>
      <c r="Y227" s="17">
        <f t="shared" si="212"/>
        <v>0</v>
      </c>
      <c r="Z227" s="17">
        <f t="shared" si="213"/>
        <v>0</v>
      </c>
      <c r="AA227" s="17"/>
      <c r="AB227" s="17">
        <f t="shared" si="214"/>
        <v>0</v>
      </c>
      <c r="AC227" s="17">
        <f t="shared" si="215"/>
        <v>0</v>
      </c>
      <c r="AD227" s="17"/>
      <c r="AE227" s="17">
        <f t="shared" si="216"/>
        <v>0</v>
      </c>
      <c r="AF227" s="17">
        <f t="shared" si="217"/>
        <v>0</v>
      </c>
      <c r="AG227" s="17"/>
      <c r="AH227" s="17">
        <f t="shared" si="218"/>
        <v>0</v>
      </c>
      <c r="AI227" s="17"/>
      <c r="AJ227" s="17">
        <f t="shared" si="219"/>
        <v>0</v>
      </c>
      <c r="AK227" s="17"/>
      <c r="AL227" s="17">
        <f t="shared" si="220"/>
        <v>316913.58999999997</v>
      </c>
      <c r="AM227" s="17"/>
      <c r="AN227" s="17">
        <f t="shared" si="221"/>
        <v>0</v>
      </c>
      <c r="AO227" s="17">
        <f t="shared" si="222"/>
        <v>316913.58999999997</v>
      </c>
      <c r="AP227" s="14" t="str">
        <f t="shared" si="223"/>
        <v>ok</v>
      </c>
    </row>
    <row r="228" spans="1:42" x14ac:dyDescent="0.25">
      <c r="A228" s="2">
        <v>908</v>
      </c>
      <c r="B228" s="2" t="s">
        <v>679</v>
      </c>
      <c r="C228" s="2" t="s">
        <v>438</v>
      </c>
      <c r="D228" s="2" t="s">
        <v>454</v>
      </c>
      <c r="F228" s="148">
        <v>173111.61</v>
      </c>
      <c r="H228" s="17">
        <f t="shared" si="200"/>
        <v>0</v>
      </c>
      <c r="I228" s="17">
        <f t="shared" si="201"/>
        <v>0</v>
      </c>
      <c r="J228" s="17">
        <f t="shared" si="202"/>
        <v>0</v>
      </c>
      <c r="K228" s="17">
        <f t="shared" si="203"/>
        <v>0</v>
      </c>
      <c r="L228" s="17">
        <f t="shared" si="204"/>
        <v>0</v>
      </c>
      <c r="M228" s="17">
        <f t="shared" si="205"/>
        <v>0</v>
      </c>
      <c r="N228" s="17">
        <f t="shared" si="206"/>
        <v>0</v>
      </c>
      <c r="O228" s="17"/>
      <c r="P228" s="17">
        <f t="shared" si="207"/>
        <v>0</v>
      </c>
      <c r="Q228" s="17"/>
      <c r="R228" s="17">
        <f t="shared" si="208"/>
        <v>0</v>
      </c>
      <c r="S228" s="17"/>
      <c r="T228" s="17">
        <f t="shared" si="209"/>
        <v>0</v>
      </c>
      <c r="U228" s="17"/>
      <c r="V228" s="17">
        <f t="shared" si="210"/>
        <v>0</v>
      </c>
      <c r="W228" s="17">
        <f t="shared" si="211"/>
        <v>0</v>
      </c>
      <c r="X228" s="17"/>
      <c r="Y228" s="17">
        <f t="shared" si="212"/>
        <v>0</v>
      </c>
      <c r="Z228" s="17">
        <f t="shared" si="213"/>
        <v>0</v>
      </c>
      <c r="AA228" s="17"/>
      <c r="AB228" s="17">
        <f t="shared" si="214"/>
        <v>0</v>
      </c>
      <c r="AC228" s="17">
        <f t="shared" si="215"/>
        <v>0</v>
      </c>
      <c r="AD228" s="17"/>
      <c r="AE228" s="17">
        <f t="shared" si="216"/>
        <v>0</v>
      </c>
      <c r="AF228" s="17">
        <f t="shared" si="217"/>
        <v>0</v>
      </c>
      <c r="AG228" s="17"/>
      <c r="AH228" s="17">
        <f t="shared" si="218"/>
        <v>0</v>
      </c>
      <c r="AI228" s="17"/>
      <c r="AJ228" s="17">
        <f t="shared" si="219"/>
        <v>0</v>
      </c>
      <c r="AK228" s="17"/>
      <c r="AL228" s="17">
        <f t="shared" si="220"/>
        <v>0</v>
      </c>
      <c r="AM228" s="17"/>
      <c r="AN228" s="17">
        <f t="shared" si="221"/>
        <v>173111.61</v>
      </c>
      <c r="AO228" s="17">
        <f t="shared" si="222"/>
        <v>173111.61</v>
      </c>
      <c r="AP228" s="14" t="str">
        <f t="shared" si="223"/>
        <v>ok</v>
      </c>
    </row>
    <row r="229" spans="1:42" x14ac:dyDescent="0.25">
      <c r="A229" s="2">
        <v>909</v>
      </c>
      <c r="B229" s="2" t="s">
        <v>158</v>
      </c>
      <c r="C229" s="2" t="s">
        <v>159</v>
      </c>
      <c r="D229" s="2" t="s">
        <v>155</v>
      </c>
      <c r="F229" s="148">
        <v>186093.97999999998</v>
      </c>
      <c r="H229" s="17">
        <f t="shared" si="200"/>
        <v>0</v>
      </c>
      <c r="I229" s="17">
        <f t="shared" si="201"/>
        <v>0</v>
      </c>
      <c r="J229" s="17">
        <f t="shared" si="202"/>
        <v>0</v>
      </c>
      <c r="K229" s="17">
        <f t="shared" si="203"/>
        <v>0</v>
      </c>
      <c r="L229" s="17">
        <f t="shared" si="204"/>
        <v>0</v>
      </c>
      <c r="M229" s="17">
        <f t="shared" si="205"/>
        <v>0</v>
      </c>
      <c r="N229" s="17">
        <f t="shared" si="206"/>
        <v>0</v>
      </c>
      <c r="O229" s="17"/>
      <c r="P229" s="17">
        <f t="shared" si="207"/>
        <v>0</v>
      </c>
      <c r="Q229" s="17"/>
      <c r="R229" s="17">
        <f t="shared" si="208"/>
        <v>0</v>
      </c>
      <c r="S229" s="17"/>
      <c r="T229" s="17">
        <f t="shared" si="209"/>
        <v>0</v>
      </c>
      <c r="U229" s="17"/>
      <c r="V229" s="17">
        <f t="shared" si="210"/>
        <v>0</v>
      </c>
      <c r="W229" s="17">
        <f t="shared" si="211"/>
        <v>0</v>
      </c>
      <c r="X229" s="17"/>
      <c r="Y229" s="17">
        <f t="shared" si="212"/>
        <v>0</v>
      </c>
      <c r="Z229" s="17">
        <f t="shared" si="213"/>
        <v>0</v>
      </c>
      <c r="AA229" s="17"/>
      <c r="AB229" s="17">
        <f t="shared" si="214"/>
        <v>0</v>
      </c>
      <c r="AC229" s="17">
        <f t="shared" si="215"/>
        <v>0</v>
      </c>
      <c r="AD229" s="17"/>
      <c r="AE229" s="17">
        <f t="shared" si="216"/>
        <v>0</v>
      </c>
      <c r="AF229" s="17">
        <f t="shared" si="217"/>
        <v>0</v>
      </c>
      <c r="AG229" s="17"/>
      <c r="AH229" s="17">
        <f t="shared" si="218"/>
        <v>0</v>
      </c>
      <c r="AI229" s="17"/>
      <c r="AJ229" s="17">
        <f t="shared" si="219"/>
        <v>0</v>
      </c>
      <c r="AK229" s="17"/>
      <c r="AL229" s="17">
        <f t="shared" si="220"/>
        <v>186093.97999999998</v>
      </c>
      <c r="AM229" s="17"/>
      <c r="AN229" s="17">
        <f t="shared" si="221"/>
        <v>0</v>
      </c>
      <c r="AO229" s="17">
        <f t="shared" si="222"/>
        <v>186093.97999999998</v>
      </c>
      <c r="AP229" s="14" t="str">
        <f t="shared" si="223"/>
        <v>ok</v>
      </c>
    </row>
    <row r="230" spans="1:42" x14ac:dyDescent="0.25">
      <c r="A230" s="2">
        <v>909</v>
      </c>
      <c r="B230" s="2" t="s">
        <v>439</v>
      </c>
      <c r="C230" s="2" t="s">
        <v>440</v>
      </c>
      <c r="D230" s="2" t="s">
        <v>454</v>
      </c>
      <c r="F230" s="148">
        <v>0</v>
      </c>
      <c r="H230" s="17">
        <f t="shared" si="200"/>
        <v>0</v>
      </c>
      <c r="I230" s="17">
        <f t="shared" si="201"/>
        <v>0</v>
      </c>
      <c r="J230" s="17">
        <f t="shared" si="202"/>
        <v>0</v>
      </c>
      <c r="K230" s="17">
        <f t="shared" si="203"/>
        <v>0</v>
      </c>
      <c r="L230" s="17">
        <f t="shared" si="204"/>
        <v>0</v>
      </c>
      <c r="M230" s="17">
        <f t="shared" si="205"/>
        <v>0</v>
      </c>
      <c r="N230" s="17">
        <f t="shared" si="206"/>
        <v>0</v>
      </c>
      <c r="O230" s="17"/>
      <c r="P230" s="17">
        <f t="shared" si="207"/>
        <v>0</v>
      </c>
      <c r="Q230" s="17"/>
      <c r="R230" s="17">
        <f t="shared" si="208"/>
        <v>0</v>
      </c>
      <c r="S230" s="17"/>
      <c r="T230" s="17">
        <f t="shared" si="209"/>
        <v>0</v>
      </c>
      <c r="U230" s="17"/>
      <c r="V230" s="17">
        <f t="shared" si="210"/>
        <v>0</v>
      </c>
      <c r="W230" s="17">
        <f t="shared" si="211"/>
        <v>0</v>
      </c>
      <c r="X230" s="17"/>
      <c r="Y230" s="17">
        <f t="shared" si="212"/>
        <v>0</v>
      </c>
      <c r="Z230" s="17">
        <f t="shared" si="213"/>
        <v>0</v>
      </c>
      <c r="AA230" s="17"/>
      <c r="AB230" s="17">
        <f t="shared" si="214"/>
        <v>0</v>
      </c>
      <c r="AC230" s="17">
        <f t="shared" si="215"/>
        <v>0</v>
      </c>
      <c r="AD230" s="17"/>
      <c r="AE230" s="17">
        <f t="shared" si="216"/>
        <v>0</v>
      </c>
      <c r="AF230" s="17">
        <f t="shared" si="217"/>
        <v>0</v>
      </c>
      <c r="AG230" s="17"/>
      <c r="AH230" s="17">
        <f t="shared" si="218"/>
        <v>0</v>
      </c>
      <c r="AI230" s="17"/>
      <c r="AJ230" s="17">
        <f t="shared" si="219"/>
        <v>0</v>
      </c>
      <c r="AK230" s="17"/>
      <c r="AL230" s="17">
        <f t="shared" si="220"/>
        <v>0</v>
      </c>
      <c r="AM230" s="17"/>
      <c r="AN230" s="17">
        <f t="shared" si="221"/>
        <v>0</v>
      </c>
      <c r="AO230" s="17">
        <f t="shared" si="222"/>
        <v>0</v>
      </c>
      <c r="AP230" s="14" t="str">
        <f t="shared" si="223"/>
        <v>ok</v>
      </c>
    </row>
    <row r="231" spans="1:42" x14ac:dyDescent="0.25">
      <c r="A231" s="2">
        <v>910</v>
      </c>
      <c r="B231" s="2" t="s">
        <v>160</v>
      </c>
      <c r="C231" s="2" t="s">
        <v>161</v>
      </c>
      <c r="D231" s="2" t="s">
        <v>155</v>
      </c>
      <c r="F231" s="148">
        <v>1184.71</v>
      </c>
      <c r="H231" s="17">
        <f t="shared" si="200"/>
        <v>0</v>
      </c>
      <c r="I231" s="17">
        <f t="shared" si="201"/>
        <v>0</v>
      </c>
      <c r="J231" s="17">
        <f t="shared" si="202"/>
        <v>0</v>
      </c>
      <c r="K231" s="17">
        <f t="shared" si="203"/>
        <v>0</v>
      </c>
      <c r="L231" s="17">
        <f t="shared" si="204"/>
        <v>0</v>
      </c>
      <c r="M231" s="17">
        <f t="shared" si="205"/>
        <v>0</v>
      </c>
      <c r="N231" s="17">
        <f t="shared" si="206"/>
        <v>0</v>
      </c>
      <c r="O231" s="17"/>
      <c r="P231" s="17">
        <f t="shared" si="207"/>
        <v>0</v>
      </c>
      <c r="Q231" s="17"/>
      <c r="R231" s="17">
        <f t="shared" si="208"/>
        <v>0</v>
      </c>
      <c r="S231" s="17"/>
      <c r="T231" s="17">
        <f t="shared" si="209"/>
        <v>0</v>
      </c>
      <c r="U231" s="17"/>
      <c r="V231" s="17">
        <f t="shared" si="210"/>
        <v>0</v>
      </c>
      <c r="W231" s="17">
        <f t="shared" si="211"/>
        <v>0</v>
      </c>
      <c r="X231" s="17"/>
      <c r="Y231" s="17">
        <f t="shared" si="212"/>
        <v>0</v>
      </c>
      <c r="Z231" s="17">
        <f t="shared" si="213"/>
        <v>0</v>
      </c>
      <c r="AA231" s="17"/>
      <c r="AB231" s="17">
        <f t="shared" si="214"/>
        <v>0</v>
      </c>
      <c r="AC231" s="17">
        <f t="shared" si="215"/>
        <v>0</v>
      </c>
      <c r="AD231" s="17"/>
      <c r="AE231" s="17">
        <f t="shared" si="216"/>
        <v>0</v>
      </c>
      <c r="AF231" s="17">
        <f t="shared" si="217"/>
        <v>0</v>
      </c>
      <c r="AG231" s="17"/>
      <c r="AH231" s="17">
        <f t="shared" si="218"/>
        <v>0</v>
      </c>
      <c r="AI231" s="17"/>
      <c r="AJ231" s="17">
        <f t="shared" si="219"/>
        <v>0</v>
      </c>
      <c r="AK231" s="17"/>
      <c r="AL231" s="17">
        <f t="shared" si="220"/>
        <v>1184.71</v>
      </c>
      <c r="AM231" s="17"/>
      <c r="AN231" s="17">
        <f t="shared" si="221"/>
        <v>0</v>
      </c>
      <c r="AO231" s="17">
        <f t="shared" si="222"/>
        <v>1184.71</v>
      </c>
      <c r="AP231" s="14" t="str">
        <f t="shared" si="223"/>
        <v>ok</v>
      </c>
    </row>
    <row r="232" spans="1:42" x14ac:dyDescent="0.25">
      <c r="A232" s="2">
        <v>911</v>
      </c>
      <c r="B232" s="2" t="s">
        <v>587</v>
      </c>
      <c r="C232" s="2" t="s">
        <v>653</v>
      </c>
      <c r="D232" s="2" t="s">
        <v>454</v>
      </c>
      <c r="F232" s="148">
        <v>0</v>
      </c>
      <c r="H232" s="17">
        <f t="shared" si="200"/>
        <v>0</v>
      </c>
      <c r="I232" s="17">
        <f t="shared" si="201"/>
        <v>0</v>
      </c>
      <c r="J232" s="17">
        <f t="shared" si="202"/>
        <v>0</v>
      </c>
      <c r="K232" s="17">
        <f t="shared" si="203"/>
        <v>0</v>
      </c>
      <c r="L232" s="17">
        <f t="shared" si="204"/>
        <v>0</v>
      </c>
      <c r="M232" s="17">
        <f t="shared" si="205"/>
        <v>0</v>
      </c>
      <c r="N232" s="17">
        <f t="shared" si="206"/>
        <v>0</v>
      </c>
      <c r="O232" s="17"/>
      <c r="P232" s="17">
        <f t="shared" si="207"/>
        <v>0</v>
      </c>
      <c r="Q232" s="17"/>
      <c r="R232" s="17">
        <f t="shared" si="208"/>
        <v>0</v>
      </c>
      <c r="S232" s="17"/>
      <c r="T232" s="17">
        <f t="shared" si="209"/>
        <v>0</v>
      </c>
      <c r="U232" s="17"/>
      <c r="V232" s="17">
        <f t="shared" si="210"/>
        <v>0</v>
      </c>
      <c r="W232" s="17">
        <f t="shared" si="211"/>
        <v>0</v>
      </c>
      <c r="X232" s="17"/>
      <c r="Y232" s="17">
        <f t="shared" si="212"/>
        <v>0</v>
      </c>
      <c r="Z232" s="17">
        <f t="shared" si="213"/>
        <v>0</v>
      </c>
      <c r="AA232" s="17"/>
      <c r="AB232" s="17">
        <f t="shared" si="214"/>
        <v>0</v>
      </c>
      <c r="AC232" s="17">
        <f t="shared" si="215"/>
        <v>0</v>
      </c>
      <c r="AD232" s="17"/>
      <c r="AE232" s="17">
        <f t="shared" si="216"/>
        <v>0</v>
      </c>
      <c r="AF232" s="17">
        <f t="shared" si="217"/>
        <v>0</v>
      </c>
      <c r="AG232" s="17"/>
      <c r="AH232" s="17">
        <f t="shared" si="218"/>
        <v>0</v>
      </c>
      <c r="AI232" s="17"/>
      <c r="AJ232" s="17">
        <f t="shared" si="219"/>
        <v>0</v>
      </c>
      <c r="AK232" s="17"/>
      <c r="AL232" s="17">
        <f t="shared" si="220"/>
        <v>0</v>
      </c>
      <c r="AM232" s="17"/>
      <c r="AN232" s="17">
        <f t="shared" si="221"/>
        <v>0</v>
      </c>
      <c r="AO232" s="17">
        <f t="shared" si="222"/>
        <v>0</v>
      </c>
      <c r="AP232" s="14" t="str">
        <f t="shared" si="223"/>
        <v>ok</v>
      </c>
    </row>
    <row r="233" spans="1:42" x14ac:dyDescent="0.25">
      <c r="A233" s="2">
        <v>912</v>
      </c>
      <c r="B233" s="2" t="s">
        <v>587</v>
      </c>
      <c r="C233" s="2" t="s">
        <v>588</v>
      </c>
      <c r="D233" s="2" t="s">
        <v>454</v>
      </c>
      <c r="F233" s="148">
        <v>12303.73</v>
      </c>
      <c r="H233" s="17">
        <f t="shared" si="200"/>
        <v>0</v>
      </c>
      <c r="I233" s="17">
        <f t="shared" si="201"/>
        <v>0</v>
      </c>
      <c r="J233" s="17">
        <f t="shared" si="202"/>
        <v>0</v>
      </c>
      <c r="K233" s="17">
        <f t="shared" si="203"/>
        <v>0</v>
      </c>
      <c r="L233" s="17">
        <f t="shared" si="204"/>
        <v>0</v>
      </c>
      <c r="M233" s="17">
        <f t="shared" si="205"/>
        <v>0</v>
      </c>
      <c r="N233" s="17">
        <f t="shared" si="206"/>
        <v>0</v>
      </c>
      <c r="O233" s="17"/>
      <c r="P233" s="17">
        <f t="shared" si="207"/>
        <v>0</v>
      </c>
      <c r="Q233" s="17"/>
      <c r="R233" s="17">
        <f t="shared" si="208"/>
        <v>0</v>
      </c>
      <c r="S233" s="17"/>
      <c r="T233" s="17">
        <f t="shared" si="209"/>
        <v>0</v>
      </c>
      <c r="U233" s="17"/>
      <c r="V233" s="17">
        <f t="shared" si="210"/>
        <v>0</v>
      </c>
      <c r="W233" s="17">
        <f t="shared" si="211"/>
        <v>0</v>
      </c>
      <c r="X233" s="17"/>
      <c r="Y233" s="17">
        <f t="shared" si="212"/>
        <v>0</v>
      </c>
      <c r="Z233" s="17">
        <f t="shared" si="213"/>
        <v>0</v>
      </c>
      <c r="AA233" s="17"/>
      <c r="AB233" s="17">
        <f t="shared" si="214"/>
        <v>0</v>
      </c>
      <c r="AC233" s="17">
        <f t="shared" si="215"/>
        <v>0</v>
      </c>
      <c r="AD233" s="17"/>
      <c r="AE233" s="17">
        <f t="shared" si="216"/>
        <v>0</v>
      </c>
      <c r="AF233" s="17">
        <f t="shared" si="217"/>
        <v>0</v>
      </c>
      <c r="AG233" s="17"/>
      <c r="AH233" s="17">
        <f t="shared" si="218"/>
        <v>0</v>
      </c>
      <c r="AI233" s="17"/>
      <c r="AJ233" s="17">
        <f t="shared" si="219"/>
        <v>0</v>
      </c>
      <c r="AK233" s="17"/>
      <c r="AL233" s="17">
        <f t="shared" si="220"/>
        <v>0</v>
      </c>
      <c r="AM233" s="17"/>
      <c r="AN233" s="17">
        <f t="shared" si="221"/>
        <v>12303.73</v>
      </c>
      <c r="AO233" s="17">
        <f t="shared" si="222"/>
        <v>12303.73</v>
      </c>
      <c r="AP233" s="14" t="str">
        <f t="shared" si="223"/>
        <v>ok</v>
      </c>
    </row>
    <row r="234" spans="1:42" x14ac:dyDescent="0.25">
      <c r="A234" s="2">
        <v>913</v>
      </c>
      <c r="B234" s="2" t="s">
        <v>625</v>
      </c>
      <c r="C234" s="2" t="s">
        <v>567</v>
      </c>
      <c r="D234" s="2" t="s">
        <v>454</v>
      </c>
      <c r="F234" s="148">
        <v>0</v>
      </c>
      <c r="H234" s="17">
        <f t="shared" si="200"/>
        <v>0</v>
      </c>
      <c r="I234" s="17">
        <f t="shared" si="201"/>
        <v>0</v>
      </c>
      <c r="J234" s="17">
        <f t="shared" si="202"/>
        <v>0</v>
      </c>
      <c r="K234" s="17">
        <f t="shared" si="203"/>
        <v>0</v>
      </c>
      <c r="L234" s="17">
        <f t="shared" si="204"/>
        <v>0</v>
      </c>
      <c r="M234" s="17">
        <f t="shared" si="205"/>
        <v>0</v>
      </c>
      <c r="N234" s="17">
        <f t="shared" si="206"/>
        <v>0</v>
      </c>
      <c r="O234" s="17"/>
      <c r="P234" s="17">
        <f t="shared" si="207"/>
        <v>0</v>
      </c>
      <c r="Q234" s="17"/>
      <c r="R234" s="17">
        <f t="shared" si="208"/>
        <v>0</v>
      </c>
      <c r="S234" s="17"/>
      <c r="T234" s="17">
        <f t="shared" si="209"/>
        <v>0</v>
      </c>
      <c r="U234" s="17"/>
      <c r="V234" s="17">
        <f t="shared" si="210"/>
        <v>0</v>
      </c>
      <c r="W234" s="17">
        <f t="shared" si="211"/>
        <v>0</v>
      </c>
      <c r="X234" s="17"/>
      <c r="Y234" s="17">
        <f t="shared" si="212"/>
        <v>0</v>
      </c>
      <c r="Z234" s="17">
        <f t="shared" si="213"/>
        <v>0</v>
      </c>
      <c r="AA234" s="17"/>
      <c r="AB234" s="17">
        <f t="shared" si="214"/>
        <v>0</v>
      </c>
      <c r="AC234" s="17">
        <f t="shared" si="215"/>
        <v>0</v>
      </c>
      <c r="AD234" s="17"/>
      <c r="AE234" s="17">
        <f t="shared" si="216"/>
        <v>0</v>
      </c>
      <c r="AF234" s="17">
        <f t="shared" si="217"/>
        <v>0</v>
      </c>
      <c r="AG234" s="17"/>
      <c r="AH234" s="17">
        <f t="shared" si="218"/>
        <v>0</v>
      </c>
      <c r="AI234" s="17"/>
      <c r="AJ234" s="17">
        <f t="shared" si="219"/>
        <v>0</v>
      </c>
      <c r="AK234" s="17"/>
      <c r="AL234" s="17">
        <f t="shared" si="220"/>
        <v>0</v>
      </c>
      <c r="AM234" s="17"/>
      <c r="AN234" s="17">
        <f t="shared" si="221"/>
        <v>0</v>
      </c>
      <c r="AO234" s="17">
        <f t="shared" si="222"/>
        <v>0</v>
      </c>
      <c r="AP234" s="14" t="str">
        <f t="shared" si="223"/>
        <v>ok</v>
      </c>
    </row>
    <row r="235" spans="1:42" x14ac:dyDescent="0.25">
      <c r="A235" s="2">
        <v>914</v>
      </c>
      <c r="B235" s="2" t="s">
        <v>861</v>
      </c>
      <c r="C235" s="2" t="s">
        <v>862</v>
      </c>
      <c r="D235" s="2" t="s">
        <v>454</v>
      </c>
      <c r="F235" s="148">
        <v>0</v>
      </c>
      <c r="H235" s="17">
        <f t="shared" si="200"/>
        <v>0</v>
      </c>
      <c r="I235" s="17">
        <f t="shared" si="201"/>
        <v>0</v>
      </c>
      <c r="J235" s="17">
        <f t="shared" si="202"/>
        <v>0</v>
      </c>
      <c r="K235" s="17">
        <f t="shared" si="203"/>
        <v>0</v>
      </c>
      <c r="L235" s="17">
        <f t="shared" si="204"/>
        <v>0</v>
      </c>
      <c r="M235" s="17">
        <f t="shared" si="205"/>
        <v>0</v>
      </c>
      <c r="N235" s="17">
        <f t="shared" si="206"/>
        <v>0</v>
      </c>
      <c r="O235" s="17"/>
      <c r="P235" s="17">
        <f t="shared" si="207"/>
        <v>0</v>
      </c>
      <c r="Q235" s="17"/>
      <c r="R235" s="17">
        <f t="shared" si="208"/>
        <v>0</v>
      </c>
      <c r="S235" s="17"/>
      <c r="T235" s="17">
        <f t="shared" si="209"/>
        <v>0</v>
      </c>
      <c r="U235" s="17"/>
      <c r="V235" s="17">
        <f t="shared" si="210"/>
        <v>0</v>
      </c>
      <c r="W235" s="17">
        <f t="shared" si="211"/>
        <v>0</v>
      </c>
      <c r="X235" s="17"/>
      <c r="Y235" s="17">
        <f t="shared" si="212"/>
        <v>0</v>
      </c>
      <c r="Z235" s="17">
        <f t="shared" si="213"/>
        <v>0</v>
      </c>
      <c r="AA235" s="17"/>
      <c r="AB235" s="17">
        <f t="shared" si="214"/>
        <v>0</v>
      </c>
      <c r="AC235" s="17">
        <f t="shared" si="215"/>
        <v>0</v>
      </c>
      <c r="AD235" s="17"/>
      <c r="AE235" s="17">
        <f t="shared" si="216"/>
        <v>0</v>
      </c>
      <c r="AF235" s="17">
        <f t="shared" si="217"/>
        <v>0</v>
      </c>
      <c r="AG235" s="17"/>
      <c r="AH235" s="17">
        <f t="shared" si="218"/>
        <v>0</v>
      </c>
      <c r="AI235" s="17"/>
      <c r="AJ235" s="17">
        <f t="shared" si="219"/>
        <v>0</v>
      </c>
      <c r="AK235" s="17"/>
      <c r="AL235" s="17">
        <f t="shared" si="220"/>
        <v>0</v>
      </c>
      <c r="AM235" s="17"/>
      <c r="AN235" s="17">
        <f t="shared" si="221"/>
        <v>0</v>
      </c>
      <c r="AO235" s="17">
        <f t="shared" si="222"/>
        <v>0</v>
      </c>
      <c r="AP235" s="14" t="str">
        <f t="shared" si="223"/>
        <v>ok</v>
      </c>
    </row>
    <row r="236" spans="1:42" x14ac:dyDescent="0.25">
      <c r="A236" s="2">
        <v>916</v>
      </c>
      <c r="B236" s="2" t="s">
        <v>627</v>
      </c>
      <c r="C236" s="2" t="s">
        <v>628</v>
      </c>
      <c r="D236" s="2" t="s">
        <v>454</v>
      </c>
      <c r="F236" s="148">
        <v>0</v>
      </c>
      <c r="H236" s="17">
        <f t="shared" si="200"/>
        <v>0</v>
      </c>
      <c r="I236" s="17">
        <f t="shared" si="201"/>
        <v>0</v>
      </c>
      <c r="J236" s="17">
        <f t="shared" si="202"/>
        <v>0</v>
      </c>
      <c r="K236" s="17">
        <f t="shared" si="203"/>
        <v>0</v>
      </c>
      <c r="L236" s="17">
        <f t="shared" si="204"/>
        <v>0</v>
      </c>
      <c r="M236" s="17">
        <f t="shared" si="205"/>
        <v>0</v>
      </c>
      <c r="N236" s="17">
        <f t="shared" si="206"/>
        <v>0</v>
      </c>
      <c r="O236" s="17"/>
      <c r="P236" s="17">
        <f t="shared" si="207"/>
        <v>0</v>
      </c>
      <c r="Q236" s="17"/>
      <c r="R236" s="17">
        <f t="shared" si="208"/>
        <v>0</v>
      </c>
      <c r="S236" s="17"/>
      <c r="T236" s="17">
        <f t="shared" si="209"/>
        <v>0</v>
      </c>
      <c r="U236" s="17"/>
      <c r="V236" s="17">
        <f t="shared" si="210"/>
        <v>0</v>
      </c>
      <c r="W236" s="17">
        <f t="shared" si="211"/>
        <v>0</v>
      </c>
      <c r="X236" s="17"/>
      <c r="Y236" s="17">
        <f t="shared" si="212"/>
        <v>0</v>
      </c>
      <c r="Z236" s="17">
        <f t="shared" si="213"/>
        <v>0</v>
      </c>
      <c r="AA236" s="17"/>
      <c r="AB236" s="17">
        <f t="shared" si="214"/>
        <v>0</v>
      </c>
      <c r="AC236" s="17">
        <f t="shared" si="215"/>
        <v>0</v>
      </c>
      <c r="AD236" s="17"/>
      <c r="AE236" s="17">
        <f t="shared" si="216"/>
        <v>0</v>
      </c>
      <c r="AF236" s="17">
        <f t="shared" si="217"/>
        <v>0</v>
      </c>
      <c r="AG236" s="17"/>
      <c r="AH236" s="17">
        <f t="shared" si="218"/>
        <v>0</v>
      </c>
      <c r="AI236" s="17"/>
      <c r="AJ236" s="17">
        <f t="shared" si="219"/>
        <v>0</v>
      </c>
      <c r="AK236" s="17"/>
      <c r="AL236" s="17">
        <f t="shared" si="220"/>
        <v>0</v>
      </c>
      <c r="AM236" s="17"/>
      <c r="AN236" s="17">
        <f t="shared" si="221"/>
        <v>0</v>
      </c>
      <c r="AO236" s="17">
        <f t="shared" si="222"/>
        <v>0</v>
      </c>
      <c r="AP236" s="14" t="str">
        <f t="shared" si="223"/>
        <v>ok</v>
      </c>
    </row>
    <row r="237" spans="1:42" x14ac:dyDescent="0.25">
      <c r="A237" s="2"/>
      <c r="B237" s="2"/>
      <c r="F237" s="10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4"/>
    </row>
    <row r="238" spans="1:42" x14ac:dyDescent="0.25">
      <c r="A238" s="2" t="s">
        <v>162</v>
      </c>
      <c r="B238" s="2"/>
      <c r="C238" s="2" t="s">
        <v>163</v>
      </c>
      <c r="F238" s="106">
        <f t="shared" ref="F238:P238" si="224">SUM(F226:F237)</f>
        <v>701912.92999999993</v>
      </c>
      <c r="G238" s="13">
        <f t="shared" si="224"/>
        <v>0</v>
      </c>
      <c r="H238" s="13">
        <f t="shared" si="224"/>
        <v>0</v>
      </c>
      <c r="I238" s="13">
        <f t="shared" si="224"/>
        <v>0</v>
      </c>
      <c r="J238" s="13">
        <f t="shared" si="224"/>
        <v>0</v>
      </c>
      <c r="K238" s="13">
        <f t="shared" si="224"/>
        <v>0</v>
      </c>
      <c r="L238" s="13">
        <f t="shared" si="224"/>
        <v>0</v>
      </c>
      <c r="M238" s="13">
        <f t="shared" si="224"/>
        <v>0</v>
      </c>
      <c r="N238" s="13">
        <f t="shared" si="224"/>
        <v>0</v>
      </c>
      <c r="O238" s="13"/>
      <c r="P238" s="13">
        <f t="shared" si="224"/>
        <v>0</v>
      </c>
      <c r="Q238" s="13"/>
      <c r="R238" s="13">
        <f>SUM(R226:R237)</f>
        <v>0</v>
      </c>
      <c r="S238" s="13"/>
      <c r="T238" s="13">
        <f>SUM(T226:T237)</f>
        <v>0</v>
      </c>
      <c r="U238" s="13"/>
      <c r="V238" s="13">
        <f>SUM(V226:V237)</f>
        <v>0</v>
      </c>
      <c r="W238" s="13">
        <f>SUM(W226:W237)</f>
        <v>0</v>
      </c>
      <c r="X238" s="13"/>
      <c r="Y238" s="13">
        <f>SUM(Y226:Y237)</f>
        <v>0</v>
      </c>
      <c r="Z238" s="13">
        <f>SUM(Z226:Z237)</f>
        <v>0</v>
      </c>
      <c r="AA238" s="13"/>
      <c r="AB238" s="13">
        <f>SUM(AB226:AB237)</f>
        <v>0</v>
      </c>
      <c r="AC238" s="13">
        <f>SUM(AC226:AC237)</f>
        <v>0</v>
      </c>
      <c r="AD238" s="13"/>
      <c r="AE238" s="13">
        <f>SUM(AE226:AE237)</f>
        <v>0</v>
      </c>
      <c r="AF238" s="13">
        <f>SUM(AF226:AF237)</f>
        <v>0</v>
      </c>
      <c r="AG238" s="13"/>
      <c r="AH238" s="13">
        <f>SUM(AH226:AH237)</f>
        <v>0</v>
      </c>
      <c r="AI238" s="13"/>
      <c r="AJ238" s="13">
        <f>SUM(AJ226:AJ237)</f>
        <v>0</v>
      </c>
      <c r="AK238" s="13"/>
      <c r="AL238" s="13">
        <f>SUM(AL226:AL237)</f>
        <v>516497.58999999997</v>
      </c>
      <c r="AM238" s="13"/>
      <c r="AN238" s="13">
        <f>SUM(AN226:AN237)</f>
        <v>185415.34</v>
      </c>
      <c r="AO238" s="17">
        <f>SUM(H238:AN238)</f>
        <v>701912.92999999993</v>
      </c>
      <c r="AP238" s="14" t="str">
        <f>IF(ABS(AO238-F238)&lt;1,"ok","err")</f>
        <v>ok</v>
      </c>
    </row>
    <row r="239" spans="1:42" x14ac:dyDescent="0.25">
      <c r="A239" s="2"/>
      <c r="B239" s="2"/>
      <c r="F239" s="10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P239" s="14"/>
    </row>
    <row r="240" spans="1:42" x14ac:dyDescent="0.25">
      <c r="A240" s="2" t="s">
        <v>390</v>
      </c>
      <c r="B240" s="2"/>
      <c r="C240" s="2" t="s">
        <v>391</v>
      </c>
      <c r="F240" s="107">
        <f t="shared" ref="F240:T240" si="225">F212+F223+F238</f>
        <v>17283195.620000001</v>
      </c>
      <c r="G240" s="17">
        <f t="shared" si="225"/>
        <v>0</v>
      </c>
      <c r="H240" s="17">
        <f t="shared" si="225"/>
        <v>0</v>
      </c>
      <c r="I240" s="17">
        <f t="shared" si="225"/>
        <v>0</v>
      </c>
      <c r="J240" s="17">
        <f t="shared" si="225"/>
        <v>0</v>
      </c>
      <c r="K240" s="17">
        <f t="shared" si="225"/>
        <v>0</v>
      </c>
      <c r="L240" s="17">
        <f t="shared" si="225"/>
        <v>0</v>
      </c>
      <c r="M240" s="17">
        <f t="shared" si="225"/>
        <v>0</v>
      </c>
      <c r="N240" s="17">
        <f>N212+N223+N238</f>
        <v>0</v>
      </c>
      <c r="O240" s="17"/>
      <c r="P240" s="17">
        <f t="shared" si="225"/>
        <v>0</v>
      </c>
      <c r="Q240" s="17"/>
      <c r="R240" s="17">
        <f t="shared" si="225"/>
        <v>0</v>
      </c>
      <c r="S240" s="17"/>
      <c r="T240" s="17">
        <f t="shared" si="225"/>
        <v>36687.981975360293</v>
      </c>
      <c r="U240" s="17"/>
      <c r="V240" s="17">
        <f>V212+V223+V238</f>
        <v>6321613.1852936279</v>
      </c>
      <c r="W240" s="17">
        <f>W212+W223+W238</f>
        <v>2838612.7007163782</v>
      </c>
      <c r="X240" s="17"/>
      <c r="Y240" s="17">
        <f>Y212+Y223+Y238</f>
        <v>702401.46503262536</v>
      </c>
      <c r="Z240" s="17">
        <f>Z212+Z223+Z238</f>
        <v>315401.41119070869</v>
      </c>
      <c r="AA240" s="17"/>
      <c r="AB240" s="17">
        <f>AB212+AB223+AB238</f>
        <v>111353.76043450141</v>
      </c>
      <c r="AC240" s="17">
        <f>AC212+AC223+AC238</f>
        <v>145044.49062352625</v>
      </c>
      <c r="AD240" s="17"/>
      <c r="AE240" s="17">
        <f>AE212+AE223+AE238</f>
        <v>0</v>
      </c>
      <c r="AF240" s="17">
        <f>AF212+AF223+AF238</f>
        <v>110889.37681050236</v>
      </c>
      <c r="AG240" s="17"/>
      <c r="AH240" s="17">
        <f>AH212+AH223+AH238</f>
        <v>1620039.8381354702</v>
      </c>
      <c r="AI240" s="17"/>
      <c r="AJ240" s="17">
        <f>AJ212+AJ223+AJ238</f>
        <v>467775.28978730005</v>
      </c>
      <c r="AK240" s="17"/>
      <c r="AL240" s="17">
        <f>AL212+AL223+AL238</f>
        <v>4427960.7799999993</v>
      </c>
      <c r="AM240" s="17"/>
      <c r="AN240" s="17">
        <f>AN212+AN223+AN238</f>
        <v>185415.34</v>
      </c>
      <c r="AO240" s="17">
        <f>SUM(H240:AN240)</f>
        <v>17283195.620000001</v>
      </c>
      <c r="AP240" s="14" t="str">
        <f>IF(ABS(AO240-F240)&lt;1,"ok","err")</f>
        <v>ok</v>
      </c>
    </row>
    <row r="241" spans="1:42" x14ac:dyDescent="0.25">
      <c r="A241" s="2"/>
      <c r="B241" s="2"/>
      <c r="F241" s="10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P241" s="14"/>
    </row>
    <row r="242" spans="1:42" x14ac:dyDescent="0.25">
      <c r="A242" s="2"/>
      <c r="B242" s="2"/>
      <c r="F242" s="10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P242" s="14"/>
    </row>
    <row r="243" spans="1:42" x14ac:dyDescent="0.25">
      <c r="A243" s="2"/>
      <c r="B243" s="2"/>
      <c r="F243" s="10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P243" s="14"/>
    </row>
    <row r="244" spans="1:42" x14ac:dyDescent="0.25">
      <c r="A244" s="2"/>
      <c r="B244" s="2"/>
      <c r="F244" s="10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P244" s="14"/>
    </row>
    <row r="245" spans="1:42" x14ac:dyDescent="0.25">
      <c r="A245" s="6" t="s">
        <v>141</v>
      </c>
      <c r="B245" s="2"/>
      <c r="F245" s="10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P245" s="14"/>
    </row>
    <row r="246" spans="1:42" x14ac:dyDescent="0.25">
      <c r="A246" s="2"/>
      <c r="B246" s="2"/>
      <c r="F246" s="10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P246" s="14"/>
    </row>
    <row r="247" spans="1:42" x14ac:dyDescent="0.25">
      <c r="A247" s="8" t="s">
        <v>164</v>
      </c>
      <c r="B247" s="2"/>
      <c r="F247" s="10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P247" s="14"/>
    </row>
    <row r="248" spans="1:42" x14ac:dyDescent="0.25">
      <c r="A248" s="2">
        <v>920</v>
      </c>
      <c r="B248" s="2" t="s">
        <v>165</v>
      </c>
      <c r="C248" s="2" t="s">
        <v>166</v>
      </c>
      <c r="D248" s="2" t="s">
        <v>391</v>
      </c>
      <c r="F248" s="195">
        <v>1302907.76</v>
      </c>
      <c r="H248" s="17">
        <f>IF(VLOOKUP($D248,$C$5:$AN$495,6,)=0,0,((VLOOKUP($D248,$C$5:$AN$495,6,)/VLOOKUP($D248,$C$5:$AN$495,4,))*$F248))</f>
        <v>0</v>
      </c>
      <c r="I248" s="17">
        <f>IF(VLOOKUP($D248,$C$5:$AN$495,7,)=0,0,((VLOOKUP($D248,$C$5:$AN$495,7,)/VLOOKUP($D248,$C$5:$AN$495,4,))*$F248))</f>
        <v>0</v>
      </c>
      <c r="J248" s="17">
        <f>IF(VLOOKUP($D248,$C$5:$AN$495,8,)=0,0,((VLOOKUP($D248,$C$5:$AN$495,8,)/VLOOKUP($D248,$C$5:$AN$495,4,))*$F248))</f>
        <v>0</v>
      </c>
      <c r="K248" s="17">
        <f>IF(VLOOKUP($D248,$C$5:$AN$495,9,)=0,0,((VLOOKUP($D248,$C$5:$AN$495,9,)/VLOOKUP($D248,$C$5:$AN$495,4,))*$F248))</f>
        <v>0</v>
      </c>
      <c r="L248" s="17">
        <f>IF(VLOOKUP($D248,$C$5:$AN$495,10,)=0,0,((VLOOKUP($D248,$C$5:$AN$495,10,)/VLOOKUP($D248,$C$5:$AN$495,4,))*$F248))</f>
        <v>0</v>
      </c>
      <c r="M248" s="17">
        <f>IF(VLOOKUP($D248,$C$5:$AN$495,11,)=0,0,((VLOOKUP($D248,$C$5:$AN$495,11,)/VLOOKUP($D248,$C$5:$AN$495,4,))*$F248))</f>
        <v>0</v>
      </c>
      <c r="N248" s="17">
        <f>IF(VLOOKUP($D248,$C$5:$AN$495,12,)=0,0,((VLOOKUP($D248,$C$5:$AN$495,12,)/VLOOKUP($D248,$C$5:$AN$495,4,))*$F248))</f>
        <v>0</v>
      </c>
      <c r="O248" s="17"/>
      <c r="P248" s="17">
        <f>IF(VLOOKUP($D248,$C$5:$AN$495,14,)=0,0,((VLOOKUP($D248,$C$5:$AN$495,14,)/VLOOKUP($D248,$C$5:$AN$495,4,))*$F248))</f>
        <v>0</v>
      </c>
      <c r="Q248" s="17"/>
      <c r="R248" s="17">
        <f>IF(VLOOKUP($D248,$C$5:$AN$495,16,)=0,0,((VLOOKUP($D248,$C$5:$AN$495,16,)/VLOOKUP($D248,$C$5:$AN$495,4,))*$F248))</f>
        <v>0</v>
      </c>
      <c r="S248" s="17"/>
      <c r="T248" s="17">
        <f>IF(VLOOKUP($D248,$C$5:$AN$495,18,)=0,0,((VLOOKUP($D248,$C$5:$AN$495,18,)/VLOOKUP($D248,$C$5:$AN$495,4,))*$F248))</f>
        <v>2765.7533632913342</v>
      </c>
      <c r="U248" s="17"/>
      <c r="V248" s="17">
        <f>IF(VLOOKUP($D248,$C$5:$AN$495,20,)=0,0,((VLOOKUP($D248,$C$5:$AN$495,20,)/VLOOKUP($D248,$C$5:$AN$495,4,))*$F248))</f>
        <v>476559.95198632049</v>
      </c>
      <c r="W248" s="17">
        <f>IF(VLOOKUP($D248,$C$5:$AN$495,21,)=0,0,((VLOOKUP($D248,$C$5:$AN$495,21,)/VLOOKUP($D248,$C$5:$AN$495,4,))*$F248))</f>
        <v>213991.12737682051</v>
      </c>
      <c r="X248" s="17"/>
      <c r="Y248" s="17">
        <f>IF(VLOOKUP($D248,$C$5:$AN$495,23,)=0,0,((VLOOKUP($D248,$C$5:$AN$495,23,)/VLOOKUP($D248,$C$5:$AN$495,4,))*$F248))</f>
        <v>52951.105776257835</v>
      </c>
      <c r="Z248" s="17">
        <f>IF(VLOOKUP($D248,$C$5:$AN$495,24,)=0,0,((VLOOKUP($D248,$C$5:$AN$495,24,)/VLOOKUP($D248,$C$5:$AN$495,4,))*$F248))</f>
        <v>23776.791930757834</v>
      </c>
      <c r="AA248" s="17"/>
      <c r="AB248" s="17">
        <f>IF(VLOOKUP($D248,$C$5:$AN$495,26,)=0,0,((VLOOKUP($D248,$C$5:$AN$495,26,)/VLOOKUP($D248,$C$5:$AN$495,4,))*$F248))</f>
        <v>8394.4938057290146</v>
      </c>
      <c r="AC248" s="17">
        <f>IF(VLOOKUP($D248,$C$5:$AN$495,27,)=0,0,((VLOOKUP($D248,$C$5:$AN$495,27,)/VLOOKUP($D248,$C$5:$AN$495,4,))*$F248))</f>
        <v>10934.29690513678</v>
      </c>
      <c r="AD248" s="17"/>
      <c r="AE248" s="17">
        <f>IF(VLOOKUP($D248,$C$5:$AN$495,29,)=0,0,((VLOOKUP($D248,$C$5:$AN$495,29,)/VLOOKUP($D248,$C$5:$AN$495,4,))*$F248))</f>
        <v>0</v>
      </c>
      <c r="AF248" s="17">
        <f>IF(VLOOKUP($D248,$C$5:$AN$495,30,)=0,0,((VLOOKUP($D248,$C$5:$AN$495,30,)/VLOOKUP($D248,$C$5:$AN$495,4,))*$F248))</f>
        <v>8359.4858685032686</v>
      </c>
      <c r="AG248" s="17"/>
      <c r="AH248" s="17">
        <f>IF(VLOOKUP($D248,$C$5:$AN$495,32,)=0,0,((VLOOKUP($D248,$C$5:$AN$495,32,)/VLOOKUP($D248,$C$5:$AN$495,4,))*$F248))</f>
        <v>122128.02094152586</v>
      </c>
      <c r="AI248" s="17"/>
      <c r="AJ248" s="17">
        <f>IF(VLOOKUP($D248,$C$5:$AN$495,34,)=0,0,((VLOOKUP($D248,$C$5:$AN$495,34,)/VLOOKUP($D248,$C$5:$AN$495,4,))*$F248))</f>
        <v>35263.620709983144</v>
      </c>
      <c r="AK248" s="17"/>
      <c r="AL248" s="17">
        <f>IF(VLOOKUP($D248,$C$5:$AN$495,36,)=0,0,((VLOOKUP($D248,$C$5:$AN$495,36,)/VLOOKUP($D248,$C$5:$AN$495,4,))*$F248))</f>
        <v>333805.42511256097</v>
      </c>
      <c r="AM248" s="17"/>
      <c r="AN248" s="17">
        <f>IF(VLOOKUP($D248,$C$5:$AN$495,38,)=0,0,((VLOOKUP($D248,$C$5:$AN$495,38,)/VLOOKUP($D248,$C$5:$AN$495,4,))*$F248))</f>
        <v>13977.686223112853</v>
      </c>
      <c r="AO248" s="17">
        <f t="shared" ref="AO248:AO260" si="226">SUM(H248:AN248)</f>
        <v>1302907.7599999995</v>
      </c>
      <c r="AP248" s="14" t="str">
        <f t="shared" ref="AP248:AP260" si="227">IF(ABS(AO248-F248)&lt;1,"ok","err")</f>
        <v>ok</v>
      </c>
    </row>
    <row r="249" spans="1:42" x14ac:dyDescent="0.25">
      <c r="A249" s="2">
        <v>921</v>
      </c>
      <c r="B249" s="2" t="s">
        <v>167</v>
      </c>
      <c r="C249" s="2" t="s">
        <v>168</v>
      </c>
      <c r="D249" s="2" t="s">
        <v>506</v>
      </c>
      <c r="F249" s="148">
        <v>559063.72</v>
      </c>
      <c r="H249" s="17">
        <f>IF(VLOOKUP($D249,$C$5:$AN$495,6,)=0,0,((VLOOKUP($D249,$C$5:$AN$495,6,)/VLOOKUP($D249,$C$5:$AN$495,4,))*$F249))</f>
        <v>0</v>
      </c>
      <c r="I249" s="17">
        <f>IF(VLOOKUP($D249,$C$5:$AN$495,7,)=0,0,((VLOOKUP($D249,$C$5:$AN$495,7,)/VLOOKUP($D249,$C$5:$AN$495,4,))*$F249))</f>
        <v>0</v>
      </c>
      <c r="J249" s="17">
        <f>IF(VLOOKUP($D249,$C$5:$AN$495,8,)=0,0,((VLOOKUP($D249,$C$5:$AN$495,8,)/VLOOKUP($D249,$C$5:$AN$495,4,))*$F249))</f>
        <v>0</v>
      </c>
      <c r="K249" s="17">
        <f>IF(VLOOKUP($D249,$C$5:$AN$495,9,)=0,0,((VLOOKUP($D249,$C$5:$AN$495,9,)/VLOOKUP($D249,$C$5:$AN$495,4,))*$F249))</f>
        <v>0</v>
      </c>
      <c r="L249" s="17">
        <f>IF(VLOOKUP($D249,$C$5:$AN$495,10,)=0,0,((VLOOKUP($D249,$C$5:$AN$495,10,)/VLOOKUP($D249,$C$5:$AN$495,4,))*$F249))</f>
        <v>0</v>
      </c>
      <c r="M249" s="17">
        <f>IF(VLOOKUP($D249,$C$5:$AN$495,11,)=0,0,((VLOOKUP($D249,$C$5:$AN$495,11,)/VLOOKUP($D249,$C$5:$AN$495,4,))*$F249))</f>
        <v>0</v>
      </c>
      <c r="N249" s="17">
        <f>IF(VLOOKUP($D249,$C$5:$AN$495,12,)=0,0,((VLOOKUP($D249,$C$5:$AN$495,12,)/VLOOKUP($D249,$C$5:$AN$495,4,))*$F249))</f>
        <v>0</v>
      </c>
      <c r="O249" s="17"/>
      <c r="P249" s="17">
        <f>IF(VLOOKUP($D249,$C$5:$AN$495,14,)=0,0,((VLOOKUP($D249,$C$5:$AN$495,14,)/VLOOKUP($D249,$C$5:$AN$495,4,))*$F249))</f>
        <v>0</v>
      </c>
      <c r="Q249" s="17"/>
      <c r="R249" s="17">
        <f>IF(VLOOKUP($D249,$C$5:$AN$495,16,)=0,0,((VLOOKUP($D249,$C$5:$AN$495,16,)/VLOOKUP($D249,$C$5:$AN$495,4,))*$F249))</f>
        <v>0</v>
      </c>
      <c r="S249" s="17"/>
      <c r="T249" s="17">
        <f>IF(VLOOKUP($D249,$C$5:$AN$495,18,)=0,0,((VLOOKUP($D249,$C$5:$AN$495,18,)/VLOOKUP($D249,$C$5:$AN$495,4,))*$F249))</f>
        <v>351.08457148616532</v>
      </c>
      <c r="U249" s="17"/>
      <c r="V249" s="17">
        <f>IF(VLOOKUP($D249,$C$5:$AN$495,20,)=0,0,((VLOOKUP($D249,$C$5:$AN$495,20,)/VLOOKUP($D249,$C$5:$AN$495,4,))*$F249))</f>
        <v>176097.53387113317</v>
      </c>
      <c r="W249" s="17">
        <f>IF(VLOOKUP($D249,$C$5:$AN$495,21,)=0,0,((VLOOKUP($D249,$C$5:$AN$495,21,)/VLOOKUP($D249,$C$5:$AN$495,4,))*$F249))</f>
        <v>78353.051370986897</v>
      </c>
      <c r="X249" s="17"/>
      <c r="Y249" s="17">
        <f>IF(VLOOKUP($D249,$C$5:$AN$495,23,)=0,0,((VLOOKUP($D249,$C$5:$AN$495,23,)/VLOOKUP($D249,$C$5:$AN$495,4,))*$F249))</f>
        <v>19566.392652348135</v>
      </c>
      <c r="Z249" s="17">
        <f>IF(VLOOKUP($D249,$C$5:$AN$495,24,)=0,0,((VLOOKUP($D249,$C$5:$AN$495,24,)/VLOOKUP($D249,$C$5:$AN$495,4,))*$F249))</f>
        <v>8705.8945967763229</v>
      </c>
      <c r="AA249" s="17"/>
      <c r="AB249" s="17">
        <f>IF(VLOOKUP($D249,$C$5:$AN$495,26,)=0,0,((VLOOKUP($D249,$C$5:$AN$495,26,)/VLOOKUP($D249,$C$5:$AN$495,4,))*$F249))</f>
        <v>3195.0598520090475</v>
      </c>
      <c r="AC249" s="17">
        <f>IF(VLOOKUP($D249,$C$5:$AN$495,27,)=0,0,((VLOOKUP($D249,$C$5:$AN$495,27,)/VLOOKUP($D249,$C$5:$AN$495,4,))*$F249))</f>
        <v>4161.7438597317941</v>
      </c>
      <c r="AD249" s="17"/>
      <c r="AE249" s="17">
        <f>IF(VLOOKUP($D249,$C$5:$AN$495,29,)=0,0,((VLOOKUP($D249,$C$5:$AN$495,29,)/VLOOKUP($D249,$C$5:$AN$495,4,))*$F249))</f>
        <v>0</v>
      </c>
      <c r="AF249" s="17">
        <f>IF(VLOOKUP($D249,$C$5:$AN$495,30,)=0,0,((VLOOKUP($D249,$C$5:$AN$495,30,)/VLOOKUP($D249,$C$5:$AN$495,4,))*$F249))</f>
        <v>5179.3459182806619</v>
      </c>
      <c r="AG249" s="17"/>
      <c r="AH249" s="17">
        <f>IF(VLOOKUP($D249,$C$5:$AN$495,32,)=0,0,((VLOOKUP($D249,$C$5:$AN$495,32,)/VLOOKUP($D249,$C$5:$AN$495,4,))*$F249))</f>
        <v>73427.258198285825</v>
      </c>
      <c r="AI249" s="17"/>
      <c r="AJ249" s="17">
        <f>IF(VLOOKUP($D249,$C$5:$AN$495,34,)=0,0,((VLOOKUP($D249,$C$5:$AN$495,34,)/VLOOKUP($D249,$C$5:$AN$495,4,))*$F249))</f>
        <v>2293.5948990459756</v>
      </c>
      <c r="AK249" s="17"/>
      <c r="AL249" s="17">
        <f>IF(VLOOKUP($D249,$C$5:$AN$495,36,)=0,0,((VLOOKUP($D249,$C$5:$AN$495,36,)/VLOOKUP($D249,$C$5:$AN$495,4,))*$F249))</f>
        <v>179518.46286756563</v>
      </c>
      <c r="AM249" s="17"/>
      <c r="AN249" s="17">
        <f>IF(VLOOKUP($D249,$C$5:$AN$495,38,)=0,0,((VLOOKUP($D249,$C$5:$AN$495,38,)/VLOOKUP($D249,$C$5:$AN$495,4,))*$F249))</f>
        <v>8214.2973423503754</v>
      </c>
      <c r="AO249" s="17">
        <f t="shared" si="226"/>
        <v>559063.72000000009</v>
      </c>
      <c r="AP249" s="14" t="str">
        <f t="shared" si="227"/>
        <v>ok</v>
      </c>
    </row>
    <row r="250" spans="1:42" customFormat="1" x14ac:dyDescent="0.25">
      <c r="A250" s="2">
        <v>922</v>
      </c>
      <c r="B250" s="2" t="s">
        <v>964</v>
      </c>
      <c r="C250" t="s">
        <v>965</v>
      </c>
      <c r="D250" t="s">
        <v>31</v>
      </c>
      <c r="F250" s="148">
        <v>0</v>
      </c>
      <c r="H250" s="17">
        <f>IF(VLOOKUP($D250,$C$5:$AN$495,6,)=0,0,((VLOOKUP($D250,$C$5:$AN$495,6,)/VLOOKUP($D250,$C$5:$AN$495,4,))*$F250))</f>
        <v>0</v>
      </c>
      <c r="I250" s="17">
        <f>IF(VLOOKUP($D250,$C$5:$AN$495,7,)=0,0,((VLOOKUP($D250,$C$5:$AN$495,7,)/VLOOKUP($D250,$C$5:$AN$495,4,))*$F250))</f>
        <v>0</v>
      </c>
      <c r="J250" s="17">
        <f>IF(VLOOKUP($D250,$C$5:$AN$495,8,)=0,0,((VLOOKUP($D250,$C$5:$AN$495,8,)/VLOOKUP($D250,$C$5:$AN$495,4,))*$F250))</f>
        <v>0</v>
      </c>
      <c r="K250" s="17">
        <f>IF(VLOOKUP($D250,$C$5:$AN$495,9,)=0,0,((VLOOKUP($D250,$C$5:$AN$495,9,)/VLOOKUP($D250,$C$5:$AN$495,4,))*$F250))</f>
        <v>0</v>
      </c>
      <c r="L250" s="17">
        <f>IF(VLOOKUP($D250,$C$5:$AN$495,10,)=0,0,((VLOOKUP($D250,$C$5:$AN$495,10,)/VLOOKUP($D250,$C$5:$AN$495,4,))*$F250))</f>
        <v>0</v>
      </c>
      <c r="M250" s="17">
        <f>IF(VLOOKUP($D250,$C$5:$AN$495,11,)=0,0,((VLOOKUP($D250,$C$5:$AN$495,11,)/VLOOKUP($D250,$C$5:$AN$495,4,))*$F250))</f>
        <v>0</v>
      </c>
      <c r="N250" s="17">
        <f>IF(VLOOKUP($D250,$C$5:$AN$495,12,)=0,0,((VLOOKUP($D250,$C$5:$AN$495,12,)/VLOOKUP($D250,$C$5:$AN$495,4,))*$F250))</f>
        <v>0</v>
      </c>
      <c r="O250" s="17"/>
      <c r="P250" s="17">
        <f>IF(VLOOKUP($D250,$C$5:$AN$495,14,)=0,0,((VLOOKUP($D250,$C$5:$AN$495,14,)/VLOOKUP($D250,$C$5:$AN$495,4,))*$F250))</f>
        <v>0</v>
      </c>
      <c r="Q250" s="17"/>
      <c r="R250" s="17">
        <f>IF(VLOOKUP($D250,$C$5:$AN$495,16,)=0,0,((VLOOKUP($D250,$C$5:$AN$495,16,)/VLOOKUP($D250,$C$5:$AN$495,4,))*$F250))</f>
        <v>0</v>
      </c>
      <c r="S250" s="17"/>
      <c r="T250" s="17">
        <f>IF(VLOOKUP($D250,$C$5:$AN$495,18,)=0,0,((VLOOKUP($D250,$C$5:$AN$495,18,)/VLOOKUP($D250,$C$5:$AN$495,4,))*$F250))</f>
        <v>0</v>
      </c>
      <c r="U250" s="17"/>
      <c r="V250" s="17">
        <f>IF(VLOOKUP($D250,$C$5:$AN$495,20,)=0,0,((VLOOKUP($D250,$C$5:$AN$495,20,)/VLOOKUP($D250,$C$5:$AN$495,4,))*$F250))</f>
        <v>0</v>
      </c>
      <c r="W250" s="17">
        <f>IF(VLOOKUP($D250,$C$5:$AN$495,21,)=0,0,((VLOOKUP($D250,$C$5:$AN$495,21,)/VLOOKUP($D250,$C$5:$AN$495,4,))*$F250))</f>
        <v>0</v>
      </c>
      <c r="X250" s="17"/>
      <c r="Y250" s="17">
        <f>IF(VLOOKUP($D250,$C$5:$AN$495,23,)=0,0,((VLOOKUP($D250,$C$5:$AN$495,23,)/VLOOKUP($D250,$C$5:$AN$495,4,))*$F250))</f>
        <v>0</v>
      </c>
      <c r="Z250" s="17">
        <f>IF(VLOOKUP($D250,$C$5:$AN$495,24,)=0,0,((VLOOKUP($D250,$C$5:$AN$495,24,)/VLOOKUP($D250,$C$5:$AN$495,4,))*$F250))</f>
        <v>0</v>
      </c>
      <c r="AA250" s="17"/>
      <c r="AB250" s="17">
        <f>IF(VLOOKUP($D250,$C$5:$AN$495,26,)=0,0,((VLOOKUP($D250,$C$5:$AN$495,26,)/VLOOKUP($D250,$C$5:$AN$495,4,))*$F250))</f>
        <v>0</v>
      </c>
      <c r="AC250" s="17">
        <f>IF(VLOOKUP($D250,$C$5:$AN$495,27,)=0,0,((VLOOKUP($D250,$C$5:$AN$495,27,)/VLOOKUP($D250,$C$5:$AN$495,4,))*$F250))</f>
        <v>0</v>
      </c>
      <c r="AD250" s="17"/>
      <c r="AE250" s="17">
        <f>IF(VLOOKUP($D250,$C$5:$AN$495,29,)=0,0,((VLOOKUP($D250,$C$5:$AN$495,29,)/VLOOKUP($D250,$C$5:$AN$495,4,))*$F250))</f>
        <v>0</v>
      </c>
      <c r="AF250" s="17">
        <f>IF(VLOOKUP($D250,$C$5:$AN$495,30,)=0,0,((VLOOKUP($D250,$C$5:$AN$495,30,)/VLOOKUP($D250,$C$5:$AN$495,4,))*$F250))</f>
        <v>0</v>
      </c>
      <c r="AG250" s="17"/>
      <c r="AH250" s="17">
        <f>IF(VLOOKUP($D250,$C$5:$AN$495,32,)=0,0,((VLOOKUP($D250,$C$5:$AN$495,32,)/VLOOKUP($D250,$C$5:$AN$495,4,))*$F250))</f>
        <v>0</v>
      </c>
      <c r="AI250" s="17"/>
      <c r="AJ250" s="17">
        <f>IF(VLOOKUP($D250,$C$5:$AN$495,34,)=0,0,((VLOOKUP($D250,$C$5:$AN$495,34,)/VLOOKUP($D250,$C$5:$AN$495,4,))*$F250))</f>
        <v>0</v>
      </c>
      <c r="AK250" s="17"/>
      <c r="AL250" s="17">
        <f>IF(VLOOKUP($D250,$C$5:$AN$495,36,)=0,0,((VLOOKUP($D250,$C$5:$AN$495,36,)/VLOOKUP($D250,$C$5:$AN$495,4,))*$F250))</f>
        <v>0</v>
      </c>
      <c r="AM250" s="17"/>
      <c r="AN250" s="17">
        <f>IF(VLOOKUP($D250,$C$5:$AN$495,38,)=0,0,((VLOOKUP($D250,$C$5:$AN$495,38,)/VLOOKUP($D250,$C$5:$AN$495,4,))*$F250))</f>
        <v>0</v>
      </c>
      <c r="AO250" s="17">
        <f t="shared" ref="AO250" si="228">SUM(H250:AN250)</f>
        <v>0</v>
      </c>
      <c r="AP250" s="14" t="str">
        <f t="shared" ref="AP250" si="229">IF(ABS(AO250-F250)&lt;1,"ok","err")</f>
        <v>ok</v>
      </c>
    </row>
    <row r="251" spans="1:42" x14ac:dyDescent="0.25">
      <c r="A251" s="2">
        <v>923</v>
      </c>
      <c r="B251" s="2" t="s">
        <v>169</v>
      </c>
      <c r="C251" s="2" t="s">
        <v>170</v>
      </c>
      <c r="D251" s="2" t="s">
        <v>391</v>
      </c>
      <c r="F251" s="148">
        <v>390301.97</v>
      </c>
      <c r="H251" s="17">
        <f t="shared" ref="H251:H260" si="230">IF(VLOOKUP($D251,$C$5:$AN$495,6,)=0,0,((VLOOKUP($D251,$C$5:$AN$495,6,)/VLOOKUP($D251,$C$5:$AN$495,4,))*$F251))</f>
        <v>0</v>
      </c>
      <c r="I251" s="17">
        <f t="shared" ref="I251:I260" si="231">IF(VLOOKUP($D251,$C$5:$AN$495,7,)=0,0,((VLOOKUP($D251,$C$5:$AN$495,7,)/VLOOKUP($D251,$C$5:$AN$495,4,))*$F251))</f>
        <v>0</v>
      </c>
      <c r="J251" s="17">
        <f t="shared" ref="J251:J260" si="232">IF(VLOOKUP($D251,$C$5:$AN$495,8,)=0,0,((VLOOKUP($D251,$C$5:$AN$495,8,)/VLOOKUP($D251,$C$5:$AN$495,4,))*$F251))</f>
        <v>0</v>
      </c>
      <c r="K251" s="17">
        <f t="shared" ref="K251:K260" si="233">IF(VLOOKUP($D251,$C$5:$AN$495,9,)=0,0,((VLOOKUP($D251,$C$5:$AN$495,9,)/VLOOKUP($D251,$C$5:$AN$495,4,))*$F251))</f>
        <v>0</v>
      </c>
      <c r="L251" s="17">
        <f t="shared" ref="L251:L260" si="234">IF(VLOOKUP($D251,$C$5:$AN$495,10,)=0,0,((VLOOKUP($D251,$C$5:$AN$495,10,)/VLOOKUP($D251,$C$5:$AN$495,4,))*$F251))</f>
        <v>0</v>
      </c>
      <c r="M251" s="17">
        <f t="shared" ref="M251:M260" si="235">IF(VLOOKUP($D251,$C$5:$AN$495,11,)=0,0,((VLOOKUP($D251,$C$5:$AN$495,11,)/VLOOKUP($D251,$C$5:$AN$495,4,))*$F251))</f>
        <v>0</v>
      </c>
      <c r="N251" s="17">
        <f t="shared" ref="N251:N260" si="236">IF(VLOOKUP($D251,$C$5:$AN$495,12,)=0,0,((VLOOKUP($D251,$C$5:$AN$495,12,)/VLOOKUP($D251,$C$5:$AN$495,4,))*$F251))</f>
        <v>0</v>
      </c>
      <c r="O251" s="17"/>
      <c r="P251" s="17">
        <f t="shared" ref="P251:P260" si="237">IF(VLOOKUP($D251,$C$5:$AN$495,14,)=0,0,((VLOOKUP($D251,$C$5:$AN$495,14,)/VLOOKUP($D251,$C$5:$AN$495,4,))*$F251))</f>
        <v>0</v>
      </c>
      <c r="Q251" s="17"/>
      <c r="R251" s="17">
        <f t="shared" ref="R251:R260" si="238">IF(VLOOKUP($D251,$C$5:$AN$495,16,)=0,0,((VLOOKUP($D251,$C$5:$AN$495,16,)/VLOOKUP($D251,$C$5:$AN$495,4,))*$F251))</f>
        <v>0</v>
      </c>
      <c r="S251" s="17"/>
      <c r="T251" s="17">
        <f t="shared" ref="T251:T260" si="239">IF(VLOOKUP($D251,$C$5:$AN$495,18,)=0,0,((VLOOKUP($D251,$C$5:$AN$495,18,)/VLOOKUP($D251,$C$5:$AN$495,4,))*$F251))</f>
        <v>828.51527895323409</v>
      </c>
      <c r="U251" s="17"/>
      <c r="V251" s="17">
        <f t="shared" ref="V251:V260" si="240">IF(VLOOKUP($D251,$C$5:$AN$495,20,)=0,0,((VLOOKUP($D251,$C$5:$AN$495,20,)/VLOOKUP($D251,$C$5:$AN$495,4,))*$F251))</f>
        <v>142759.36777240952</v>
      </c>
      <c r="W251" s="17">
        <f t="shared" ref="W251:W260" si="241">IF(VLOOKUP($D251,$C$5:$AN$495,21,)=0,0,((VLOOKUP($D251,$C$5:$AN$495,21,)/VLOOKUP($D251,$C$5:$AN$495,4,))*$F251))</f>
        <v>64103.661933592266</v>
      </c>
      <c r="X251" s="17"/>
      <c r="Y251" s="17">
        <f t="shared" ref="Y251:Y260" si="242">IF(VLOOKUP($D251,$C$5:$AN$495,23,)=0,0,((VLOOKUP($D251,$C$5:$AN$495,23,)/VLOOKUP($D251,$C$5:$AN$495,4,))*$F251))</f>
        <v>15862.151974712171</v>
      </c>
      <c r="Z251" s="17">
        <f t="shared" ref="Z251:Z260" si="243">IF(VLOOKUP($D251,$C$5:$AN$495,24,)=0,0,((VLOOKUP($D251,$C$5:$AN$495,24,)/VLOOKUP($D251,$C$5:$AN$495,4,))*$F251))</f>
        <v>7122.6291037324736</v>
      </c>
      <c r="AA251" s="17"/>
      <c r="AB251" s="17">
        <f t="shared" ref="AB251:AB260" si="244">IF(VLOOKUP($D251,$C$5:$AN$495,26,)=0,0,((VLOOKUP($D251,$C$5:$AN$495,26,)/VLOOKUP($D251,$C$5:$AN$495,4,))*$F251))</f>
        <v>2514.6733868012511</v>
      </c>
      <c r="AC251" s="17">
        <f t="shared" ref="AC251:AC260" si="245">IF(VLOOKUP($D251,$C$5:$AN$495,27,)=0,0,((VLOOKUP($D251,$C$5:$AN$495,27,)/VLOOKUP($D251,$C$5:$AN$495,4,))*$F251))</f>
        <v>3275.5024980738376</v>
      </c>
      <c r="AD251" s="17"/>
      <c r="AE251" s="17">
        <f t="shared" ref="AE251:AE260" si="246">IF(VLOOKUP($D251,$C$5:$AN$495,29,)=0,0,((VLOOKUP($D251,$C$5:$AN$495,29,)/VLOOKUP($D251,$C$5:$AN$495,4,))*$F251))</f>
        <v>0</v>
      </c>
      <c r="AF251" s="17">
        <f t="shared" ref="AF251:AF260" si="247">IF(VLOOKUP($D251,$C$5:$AN$495,30,)=0,0,((VLOOKUP($D251,$C$5:$AN$495,30,)/VLOOKUP($D251,$C$5:$AN$495,4,))*$F251))</f>
        <v>2504.1863306301793</v>
      </c>
      <c r="AG251" s="17"/>
      <c r="AH251" s="17">
        <f t="shared" ref="AH251:AH260" si="248">IF(VLOOKUP($D251,$C$5:$AN$495,32,)=0,0,((VLOOKUP($D251,$C$5:$AN$495,32,)/VLOOKUP($D251,$C$5:$AN$495,4,))*$F251))</f>
        <v>36584.943791937192</v>
      </c>
      <c r="AI251" s="17"/>
      <c r="AJ251" s="17">
        <f t="shared" ref="AJ251:AJ260" si="249">IF(VLOOKUP($D251,$C$5:$AN$495,34,)=0,0,((VLOOKUP($D251,$C$5:$AN$495,34,)/VLOOKUP($D251,$C$5:$AN$495,4,))*$F251))</f>
        <v>10563.649288909921</v>
      </c>
      <c r="AK251" s="17"/>
      <c r="AL251" s="17">
        <f t="shared" ref="AL251:AL260" si="250">IF(VLOOKUP($D251,$C$5:$AN$495,36,)=0,0,((VLOOKUP($D251,$C$5:$AN$495,36,)/VLOOKUP($D251,$C$5:$AN$495,4,))*$F251))</f>
        <v>99995.501614112742</v>
      </c>
      <c r="AM251" s="17"/>
      <c r="AN251" s="17">
        <f t="shared" ref="AN251:AN260" si="251">IF(VLOOKUP($D251,$C$5:$AN$495,38,)=0,0,((VLOOKUP($D251,$C$5:$AN$495,38,)/VLOOKUP($D251,$C$5:$AN$495,4,))*$F251))</f>
        <v>4187.1870261351469</v>
      </c>
      <c r="AO251" s="17">
        <f t="shared" si="226"/>
        <v>390301.96999999991</v>
      </c>
      <c r="AP251" s="14" t="str">
        <f t="shared" si="227"/>
        <v>ok</v>
      </c>
    </row>
    <row r="252" spans="1:42" x14ac:dyDescent="0.25">
      <c r="A252" s="2">
        <v>924</v>
      </c>
      <c r="B252" s="2" t="s">
        <v>171</v>
      </c>
      <c r="C252" s="2" t="s">
        <v>172</v>
      </c>
      <c r="D252" s="2" t="s">
        <v>89</v>
      </c>
      <c r="F252" s="148">
        <v>0</v>
      </c>
      <c r="H252" s="17">
        <f t="shared" si="230"/>
        <v>0</v>
      </c>
      <c r="I252" s="17">
        <f t="shared" si="231"/>
        <v>0</v>
      </c>
      <c r="J252" s="17">
        <f t="shared" si="232"/>
        <v>0</v>
      </c>
      <c r="K252" s="17">
        <f t="shared" si="233"/>
        <v>0</v>
      </c>
      <c r="L252" s="17">
        <f t="shared" si="234"/>
        <v>0</v>
      </c>
      <c r="M252" s="17">
        <f t="shared" si="235"/>
        <v>0</v>
      </c>
      <c r="N252" s="17">
        <f t="shared" si="236"/>
        <v>0</v>
      </c>
      <c r="O252" s="17"/>
      <c r="P252" s="17">
        <f t="shared" si="237"/>
        <v>0</v>
      </c>
      <c r="Q252" s="17"/>
      <c r="R252" s="17">
        <f t="shared" si="238"/>
        <v>0</v>
      </c>
      <c r="S252" s="17"/>
      <c r="T252" s="17">
        <f t="shared" si="239"/>
        <v>0</v>
      </c>
      <c r="U252" s="17"/>
      <c r="V252" s="17">
        <f t="shared" si="240"/>
        <v>0</v>
      </c>
      <c r="W252" s="17">
        <f t="shared" si="241"/>
        <v>0</v>
      </c>
      <c r="X252" s="17"/>
      <c r="Y252" s="17">
        <f t="shared" si="242"/>
        <v>0</v>
      </c>
      <c r="Z252" s="17">
        <f t="shared" si="243"/>
        <v>0</v>
      </c>
      <c r="AA252" s="17"/>
      <c r="AB252" s="17">
        <f t="shared" si="244"/>
        <v>0</v>
      </c>
      <c r="AC252" s="17">
        <f t="shared" si="245"/>
        <v>0</v>
      </c>
      <c r="AD252" s="17"/>
      <c r="AE252" s="17">
        <f t="shared" si="246"/>
        <v>0</v>
      </c>
      <c r="AF252" s="17">
        <f t="shared" si="247"/>
        <v>0</v>
      </c>
      <c r="AG252" s="17"/>
      <c r="AH252" s="17">
        <f t="shared" si="248"/>
        <v>0</v>
      </c>
      <c r="AI252" s="17"/>
      <c r="AJ252" s="17">
        <f t="shared" si="249"/>
        <v>0</v>
      </c>
      <c r="AK252" s="17"/>
      <c r="AL252" s="17">
        <f t="shared" si="250"/>
        <v>0</v>
      </c>
      <c r="AM252" s="17"/>
      <c r="AN252" s="17">
        <f t="shared" si="251"/>
        <v>0</v>
      </c>
      <c r="AO252" s="17">
        <f t="shared" si="226"/>
        <v>0</v>
      </c>
      <c r="AP252" s="14" t="str">
        <f t="shared" si="227"/>
        <v>ok</v>
      </c>
    </row>
    <row r="253" spans="1:42" x14ac:dyDescent="0.25">
      <c r="A253" s="2">
        <v>925</v>
      </c>
      <c r="B253" s="2" t="s">
        <v>173</v>
      </c>
      <c r="C253" s="2" t="s">
        <v>174</v>
      </c>
      <c r="D253" s="2" t="s">
        <v>506</v>
      </c>
      <c r="F253" s="148">
        <v>339486.26</v>
      </c>
      <c r="H253" s="17">
        <f t="shared" si="230"/>
        <v>0</v>
      </c>
      <c r="I253" s="17">
        <f t="shared" si="231"/>
        <v>0</v>
      </c>
      <c r="J253" s="17">
        <f t="shared" si="232"/>
        <v>0</v>
      </c>
      <c r="K253" s="17">
        <f t="shared" si="233"/>
        <v>0</v>
      </c>
      <c r="L253" s="17">
        <f t="shared" si="234"/>
        <v>0</v>
      </c>
      <c r="M253" s="17">
        <f t="shared" si="235"/>
        <v>0</v>
      </c>
      <c r="N253" s="17">
        <f t="shared" si="236"/>
        <v>0</v>
      </c>
      <c r="O253" s="17"/>
      <c r="P253" s="17">
        <f t="shared" si="237"/>
        <v>0</v>
      </c>
      <c r="Q253" s="17"/>
      <c r="R253" s="17">
        <f t="shared" si="238"/>
        <v>0</v>
      </c>
      <c r="S253" s="17"/>
      <c r="T253" s="17">
        <f t="shared" si="239"/>
        <v>213.19285057084534</v>
      </c>
      <c r="U253" s="17"/>
      <c r="V253" s="17">
        <f t="shared" si="240"/>
        <v>106933.59456259177</v>
      </c>
      <c r="W253" s="17">
        <f t="shared" si="241"/>
        <v>47579.163909123301</v>
      </c>
      <c r="X253" s="17"/>
      <c r="Y253" s="17">
        <f t="shared" si="242"/>
        <v>11881.510506954644</v>
      </c>
      <c r="Z253" s="17">
        <f t="shared" si="243"/>
        <v>5286.5737676803674</v>
      </c>
      <c r="AA253" s="17"/>
      <c r="AB253" s="17">
        <f t="shared" si="244"/>
        <v>1940.1704686447999</v>
      </c>
      <c r="AC253" s="17">
        <f t="shared" si="245"/>
        <v>2527.1803686676562</v>
      </c>
      <c r="AD253" s="17"/>
      <c r="AE253" s="17">
        <f t="shared" si="246"/>
        <v>0</v>
      </c>
      <c r="AF253" s="17">
        <f t="shared" si="247"/>
        <v>3145.1097829123441</v>
      </c>
      <c r="AG253" s="17"/>
      <c r="AH253" s="17">
        <f t="shared" si="248"/>
        <v>44588.021679872902</v>
      </c>
      <c r="AI253" s="17"/>
      <c r="AJ253" s="17">
        <f t="shared" si="249"/>
        <v>1392.7642348750442</v>
      </c>
      <c r="AK253" s="17"/>
      <c r="AL253" s="17">
        <f t="shared" si="250"/>
        <v>109010.92197479517</v>
      </c>
      <c r="AM253" s="17"/>
      <c r="AN253" s="17">
        <f t="shared" si="251"/>
        <v>4988.0558933111752</v>
      </c>
      <c r="AO253" s="17">
        <f t="shared" si="226"/>
        <v>339486.26</v>
      </c>
      <c r="AP253" s="14" t="str">
        <f t="shared" si="227"/>
        <v>ok</v>
      </c>
    </row>
    <row r="254" spans="1:42" x14ac:dyDescent="0.25">
      <c r="A254" s="2">
        <v>926</v>
      </c>
      <c r="B254" s="2" t="s">
        <v>175</v>
      </c>
      <c r="C254" s="2" t="s">
        <v>176</v>
      </c>
      <c r="D254" s="2" t="s">
        <v>506</v>
      </c>
      <c r="F254" s="148">
        <v>-632.52</v>
      </c>
      <c r="H254" s="17">
        <f t="shared" si="230"/>
        <v>0</v>
      </c>
      <c r="I254" s="17">
        <f t="shared" si="231"/>
        <v>0</v>
      </c>
      <c r="J254" s="17">
        <f t="shared" si="232"/>
        <v>0</v>
      </c>
      <c r="K254" s="17">
        <f t="shared" si="233"/>
        <v>0</v>
      </c>
      <c r="L254" s="17">
        <f t="shared" si="234"/>
        <v>0</v>
      </c>
      <c r="M254" s="17">
        <f t="shared" si="235"/>
        <v>0</v>
      </c>
      <c r="N254" s="17">
        <f t="shared" si="236"/>
        <v>0</v>
      </c>
      <c r="O254" s="17"/>
      <c r="P254" s="17">
        <f t="shared" si="237"/>
        <v>0</v>
      </c>
      <c r="Q254" s="17"/>
      <c r="R254" s="17">
        <f t="shared" si="238"/>
        <v>0</v>
      </c>
      <c r="S254" s="17"/>
      <c r="T254" s="17">
        <f t="shared" si="239"/>
        <v>-0.39721413715851439</v>
      </c>
      <c r="U254" s="17"/>
      <c r="V254" s="17">
        <f t="shared" si="240"/>
        <v>-199.23527165055381</v>
      </c>
      <c r="W254" s="17">
        <f t="shared" si="241"/>
        <v>-88.64798462181848</v>
      </c>
      <c r="X254" s="17"/>
      <c r="Y254" s="17">
        <f t="shared" si="242"/>
        <v>-22.137252405617097</v>
      </c>
      <c r="Z254" s="17">
        <f t="shared" si="243"/>
        <v>-9.8497760690909431</v>
      </c>
      <c r="AA254" s="17"/>
      <c r="AB254" s="17">
        <f t="shared" si="244"/>
        <v>-3.6148638970755655</v>
      </c>
      <c r="AC254" s="17">
        <f t="shared" si="245"/>
        <v>-4.7085620690206014</v>
      </c>
      <c r="AD254" s="17"/>
      <c r="AE254" s="17">
        <f t="shared" si="246"/>
        <v>0</v>
      </c>
      <c r="AF254" s="17">
        <f t="shared" si="247"/>
        <v>-5.859868496261722</v>
      </c>
      <c r="AG254" s="17"/>
      <c r="AH254" s="17">
        <f t="shared" si="248"/>
        <v>-83.074983573571458</v>
      </c>
      <c r="AI254" s="17"/>
      <c r="AJ254" s="17">
        <f t="shared" si="249"/>
        <v>-2.5949540162337139</v>
      </c>
      <c r="AK254" s="17"/>
      <c r="AL254" s="17">
        <f t="shared" si="250"/>
        <v>-203.10568200167347</v>
      </c>
      <c r="AM254" s="17"/>
      <c r="AN254" s="17">
        <f t="shared" si="251"/>
        <v>-9.2935870619246401</v>
      </c>
      <c r="AO254" s="17">
        <f t="shared" si="226"/>
        <v>-632.52</v>
      </c>
      <c r="AP254" s="14" t="str">
        <f t="shared" si="227"/>
        <v>ok</v>
      </c>
    </row>
    <row r="255" spans="1:42" x14ac:dyDescent="0.25">
      <c r="A255" s="2">
        <v>928</v>
      </c>
      <c r="B255" s="2" t="s">
        <v>568</v>
      </c>
      <c r="C255" s="2" t="s">
        <v>178</v>
      </c>
      <c r="D255" s="2" t="s">
        <v>391</v>
      </c>
      <c r="F255" s="148">
        <v>0</v>
      </c>
      <c r="H255" s="17">
        <f t="shared" si="230"/>
        <v>0</v>
      </c>
      <c r="I255" s="17">
        <f t="shared" si="231"/>
        <v>0</v>
      </c>
      <c r="J255" s="17">
        <f t="shared" si="232"/>
        <v>0</v>
      </c>
      <c r="K255" s="17">
        <f t="shared" si="233"/>
        <v>0</v>
      </c>
      <c r="L255" s="17">
        <f t="shared" si="234"/>
        <v>0</v>
      </c>
      <c r="M255" s="17">
        <f t="shared" si="235"/>
        <v>0</v>
      </c>
      <c r="N255" s="17">
        <f t="shared" si="236"/>
        <v>0</v>
      </c>
      <c r="O255" s="17"/>
      <c r="P255" s="17">
        <f t="shared" si="237"/>
        <v>0</v>
      </c>
      <c r="Q255" s="17"/>
      <c r="R255" s="17">
        <f t="shared" si="238"/>
        <v>0</v>
      </c>
      <c r="S255" s="17"/>
      <c r="T255" s="17">
        <f t="shared" si="239"/>
        <v>0</v>
      </c>
      <c r="U255" s="17"/>
      <c r="V255" s="17">
        <f t="shared" si="240"/>
        <v>0</v>
      </c>
      <c r="W255" s="17">
        <f t="shared" si="241"/>
        <v>0</v>
      </c>
      <c r="X255" s="17"/>
      <c r="Y255" s="17">
        <f t="shared" si="242"/>
        <v>0</v>
      </c>
      <c r="Z255" s="17">
        <f t="shared" si="243"/>
        <v>0</v>
      </c>
      <c r="AA255" s="17"/>
      <c r="AB255" s="17">
        <f t="shared" si="244"/>
        <v>0</v>
      </c>
      <c r="AC255" s="17">
        <f t="shared" si="245"/>
        <v>0</v>
      </c>
      <c r="AD255" s="17"/>
      <c r="AE255" s="17">
        <f t="shared" si="246"/>
        <v>0</v>
      </c>
      <c r="AF255" s="17">
        <f t="shared" si="247"/>
        <v>0</v>
      </c>
      <c r="AG255" s="17"/>
      <c r="AH255" s="17">
        <f t="shared" si="248"/>
        <v>0</v>
      </c>
      <c r="AI255" s="17"/>
      <c r="AJ255" s="17">
        <f t="shared" si="249"/>
        <v>0</v>
      </c>
      <c r="AK255" s="17"/>
      <c r="AL255" s="17">
        <f t="shared" si="250"/>
        <v>0</v>
      </c>
      <c r="AM255" s="17"/>
      <c r="AN255" s="17">
        <f t="shared" si="251"/>
        <v>0</v>
      </c>
      <c r="AO255" s="17">
        <f t="shared" si="226"/>
        <v>0</v>
      </c>
      <c r="AP255" s="14" t="str">
        <f t="shared" si="227"/>
        <v>ok</v>
      </c>
    </row>
    <row r="256" spans="1:42" x14ac:dyDescent="0.25">
      <c r="A256" s="2">
        <v>929</v>
      </c>
      <c r="B256" s="2" t="s">
        <v>569</v>
      </c>
      <c r="C256" s="2" t="s">
        <v>364</v>
      </c>
      <c r="D256" s="2" t="s">
        <v>391</v>
      </c>
      <c r="F256" s="148">
        <v>-285844.18</v>
      </c>
      <c r="H256" s="17">
        <f t="shared" si="230"/>
        <v>0</v>
      </c>
      <c r="I256" s="17">
        <f t="shared" si="231"/>
        <v>0</v>
      </c>
      <c r="J256" s="17">
        <f t="shared" si="232"/>
        <v>0</v>
      </c>
      <c r="K256" s="17">
        <f t="shared" si="233"/>
        <v>0</v>
      </c>
      <c r="L256" s="17">
        <f t="shared" si="234"/>
        <v>0</v>
      </c>
      <c r="M256" s="17">
        <f t="shared" si="235"/>
        <v>0</v>
      </c>
      <c r="N256" s="17">
        <f t="shared" si="236"/>
        <v>0</v>
      </c>
      <c r="O256" s="17"/>
      <c r="P256" s="17">
        <f t="shared" si="237"/>
        <v>0</v>
      </c>
      <c r="Q256" s="17"/>
      <c r="R256" s="17">
        <f t="shared" si="238"/>
        <v>0</v>
      </c>
      <c r="S256" s="17"/>
      <c r="T256" s="17">
        <f t="shared" si="239"/>
        <v>-606.77703094826416</v>
      </c>
      <c r="U256" s="17"/>
      <c r="V256" s="17">
        <f t="shared" si="240"/>
        <v>-104552.2122735451</v>
      </c>
      <c r="W256" s="17">
        <f t="shared" si="241"/>
        <v>-46947.389684978778</v>
      </c>
      <c r="X256" s="17"/>
      <c r="Y256" s="17">
        <f t="shared" si="242"/>
        <v>-11616.912474838346</v>
      </c>
      <c r="Z256" s="17">
        <f t="shared" si="243"/>
        <v>-5216.3766316643087</v>
      </c>
      <c r="AA256" s="17"/>
      <c r="AB256" s="17">
        <f t="shared" si="244"/>
        <v>-1841.6631415363506</v>
      </c>
      <c r="AC256" s="17">
        <f t="shared" si="245"/>
        <v>-2398.8690747573419</v>
      </c>
      <c r="AD256" s="17"/>
      <c r="AE256" s="17">
        <f t="shared" si="246"/>
        <v>0</v>
      </c>
      <c r="AF256" s="17">
        <f t="shared" si="247"/>
        <v>-1833.9827704333454</v>
      </c>
      <c r="AG256" s="17"/>
      <c r="AH256" s="17">
        <f t="shared" si="248"/>
        <v>-26793.595888210297</v>
      </c>
      <c r="AI256" s="17"/>
      <c r="AJ256" s="17">
        <f t="shared" si="249"/>
        <v>-7736.4653547509379</v>
      </c>
      <c r="AK256" s="17"/>
      <c r="AL256" s="17">
        <f t="shared" si="250"/>
        <v>-73233.379177088791</v>
      </c>
      <c r="AM256" s="17"/>
      <c r="AN256" s="17">
        <f t="shared" si="251"/>
        <v>-3066.556497248117</v>
      </c>
      <c r="AO256" s="17">
        <f t="shared" si="226"/>
        <v>-285844.18000000005</v>
      </c>
      <c r="AP256" s="14" t="str">
        <f t="shared" si="227"/>
        <v>ok</v>
      </c>
    </row>
    <row r="257" spans="1:42" x14ac:dyDescent="0.25">
      <c r="A257" s="2">
        <v>930</v>
      </c>
      <c r="B257" s="2" t="s">
        <v>179</v>
      </c>
      <c r="C257" s="2" t="s">
        <v>180</v>
      </c>
      <c r="D257" s="2" t="s">
        <v>391</v>
      </c>
      <c r="F257" s="148">
        <v>950136.44000000006</v>
      </c>
      <c r="H257" s="17">
        <f t="shared" si="230"/>
        <v>0</v>
      </c>
      <c r="I257" s="17">
        <f t="shared" si="231"/>
        <v>0</v>
      </c>
      <c r="J257" s="17">
        <f t="shared" si="232"/>
        <v>0</v>
      </c>
      <c r="K257" s="17">
        <f t="shared" si="233"/>
        <v>0</v>
      </c>
      <c r="L257" s="17">
        <f t="shared" si="234"/>
        <v>0</v>
      </c>
      <c r="M257" s="17">
        <f t="shared" si="235"/>
        <v>0</v>
      </c>
      <c r="N257" s="17">
        <f t="shared" si="236"/>
        <v>0</v>
      </c>
      <c r="O257" s="17"/>
      <c r="P257" s="17">
        <f t="shared" si="237"/>
        <v>0</v>
      </c>
      <c r="Q257" s="17"/>
      <c r="R257" s="17">
        <f t="shared" si="238"/>
        <v>0</v>
      </c>
      <c r="S257" s="17"/>
      <c r="T257" s="17">
        <f t="shared" si="239"/>
        <v>2016.906442030597</v>
      </c>
      <c r="U257" s="17"/>
      <c r="V257" s="17">
        <f t="shared" si="240"/>
        <v>347528.03700152459</v>
      </c>
      <c r="W257" s="17">
        <f t="shared" si="241"/>
        <v>156051.54424546429</v>
      </c>
      <c r="X257" s="17"/>
      <c r="Y257" s="17">
        <f t="shared" si="242"/>
        <v>38614.226333502731</v>
      </c>
      <c r="Z257" s="17">
        <f t="shared" si="243"/>
        <v>17339.060471718254</v>
      </c>
      <c r="AA257" s="17"/>
      <c r="AB257" s="17">
        <f t="shared" si="244"/>
        <v>6121.6263384427293</v>
      </c>
      <c r="AC257" s="17">
        <f t="shared" si="245"/>
        <v>7973.7601189432471</v>
      </c>
      <c r="AD257" s="17"/>
      <c r="AE257" s="17">
        <f t="shared" si="246"/>
        <v>0</v>
      </c>
      <c r="AF257" s="17">
        <f t="shared" si="247"/>
        <v>6096.0970432243057</v>
      </c>
      <c r="AG257" s="17"/>
      <c r="AH257" s="17">
        <f t="shared" si="248"/>
        <v>89061.011534405814</v>
      </c>
      <c r="AI257" s="17"/>
      <c r="AJ257" s="17">
        <f t="shared" si="249"/>
        <v>25715.750624505959</v>
      </c>
      <c r="AK257" s="17"/>
      <c r="AL257" s="17">
        <f t="shared" si="250"/>
        <v>243425.2891924869</v>
      </c>
      <c r="AM257" s="17"/>
      <c r="AN257" s="17">
        <f t="shared" si="251"/>
        <v>10193.130653750572</v>
      </c>
      <c r="AO257" s="17">
        <f t="shared" si="226"/>
        <v>950136.44</v>
      </c>
      <c r="AP257" s="14" t="str">
        <f t="shared" si="227"/>
        <v>ok</v>
      </c>
    </row>
    <row r="258" spans="1:42" x14ac:dyDescent="0.25">
      <c r="A258" s="2">
        <v>931</v>
      </c>
      <c r="B258" s="2" t="s">
        <v>181</v>
      </c>
      <c r="C258" s="2" t="s">
        <v>182</v>
      </c>
      <c r="D258" s="2" t="s">
        <v>89</v>
      </c>
      <c r="F258" s="148">
        <v>0</v>
      </c>
      <c r="H258" s="17">
        <f t="shared" si="230"/>
        <v>0</v>
      </c>
      <c r="I258" s="17">
        <f t="shared" si="231"/>
        <v>0</v>
      </c>
      <c r="J258" s="17">
        <f t="shared" si="232"/>
        <v>0</v>
      </c>
      <c r="K258" s="17">
        <f t="shared" si="233"/>
        <v>0</v>
      </c>
      <c r="L258" s="17">
        <f t="shared" si="234"/>
        <v>0</v>
      </c>
      <c r="M258" s="17">
        <f t="shared" si="235"/>
        <v>0</v>
      </c>
      <c r="N258" s="17">
        <f t="shared" si="236"/>
        <v>0</v>
      </c>
      <c r="O258" s="17"/>
      <c r="P258" s="17">
        <f t="shared" si="237"/>
        <v>0</v>
      </c>
      <c r="Q258" s="17"/>
      <c r="R258" s="17">
        <f t="shared" si="238"/>
        <v>0</v>
      </c>
      <c r="S258" s="17"/>
      <c r="T258" s="17">
        <f t="shared" si="239"/>
        <v>0</v>
      </c>
      <c r="U258" s="17"/>
      <c r="V258" s="17">
        <f t="shared" si="240"/>
        <v>0</v>
      </c>
      <c r="W258" s="17">
        <f t="shared" si="241"/>
        <v>0</v>
      </c>
      <c r="X258" s="17"/>
      <c r="Y258" s="17">
        <f t="shared" si="242"/>
        <v>0</v>
      </c>
      <c r="Z258" s="17">
        <f t="shared" si="243"/>
        <v>0</v>
      </c>
      <c r="AA258" s="17"/>
      <c r="AB258" s="17">
        <f t="shared" si="244"/>
        <v>0</v>
      </c>
      <c r="AC258" s="17">
        <f t="shared" si="245"/>
        <v>0</v>
      </c>
      <c r="AD258" s="17"/>
      <c r="AE258" s="17">
        <f t="shared" si="246"/>
        <v>0</v>
      </c>
      <c r="AF258" s="17">
        <f t="shared" si="247"/>
        <v>0</v>
      </c>
      <c r="AG258" s="17"/>
      <c r="AH258" s="17">
        <f t="shared" si="248"/>
        <v>0</v>
      </c>
      <c r="AI258" s="17"/>
      <c r="AJ258" s="17">
        <f t="shared" si="249"/>
        <v>0</v>
      </c>
      <c r="AK258" s="17"/>
      <c r="AL258" s="17">
        <f t="shared" si="250"/>
        <v>0</v>
      </c>
      <c r="AM258" s="17"/>
      <c r="AN258" s="17">
        <f t="shared" si="251"/>
        <v>0</v>
      </c>
      <c r="AO258" s="17">
        <f t="shared" si="226"/>
        <v>0</v>
      </c>
      <c r="AP258" s="14" t="str">
        <f t="shared" si="227"/>
        <v>ok</v>
      </c>
    </row>
    <row r="259" spans="1:42" x14ac:dyDescent="0.25">
      <c r="A259" s="2">
        <v>935</v>
      </c>
      <c r="B259" s="2" t="s">
        <v>183</v>
      </c>
      <c r="C259" s="2" t="s">
        <v>974</v>
      </c>
      <c r="D259" s="2" t="s">
        <v>72</v>
      </c>
      <c r="F259" s="148">
        <v>827840.3</v>
      </c>
      <c r="H259" s="17">
        <f t="shared" si="230"/>
        <v>0</v>
      </c>
      <c r="I259" s="17">
        <f t="shared" si="231"/>
        <v>0</v>
      </c>
      <c r="J259" s="17">
        <f t="shared" si="232"/>
        <v>0</v>
      </c>
      <c r="K259" s="17">
        <f t="shared" si="233"/>
        <v>0</v>
      </c>
      <c r="L259" s="17">
        <f t="shared" si="234"/>
        <v>0</v>
      </c>
      <c r="M259" s="17">
        <f t="shared" si="235"/>
        <v>0</v>
      </c>
      <c r="N259" s="17">
        <f t="shared" si="236"/>
        <v>0</v>
      </c>
      <c r="O259" s="17"/>
      <c r="P259" s="17">
        <f t="shared" si="237"/>
        <v>0</v>
      </c>
      <c r="Q259" s="17"/>
      <c r="R259" s="17">
        <f t="shared" si="238"/>
        <v>0</v>
      </c>
      <c r="S259" s="17"/>
      <c r="T259" s="17">
        <f t="shared" si="239"/>
        <v>3048.0450323214973</v>
      </c>
      <c r="U259" s="17"/>
      <c r="V259" s="17">
        <f t="shared" si="240"/>
        <v>295208.06740044052</v>
      </c>
      <c r="W259" s="17">
        <f t="shared" si="241"/>
        <v>145345.98255044478</v>
      </c>
      <c r="X259" s="17"/>
      <c r="Y259" s="17">
        <f t="shared" si="242"/>
        <v>32800.896377826728</v>
      </c>
      <c r="Z259" s="17">
        <f t="shared" si="243"/>
        <v>16149.553616716084</v>
      </c>
      <c r="AA259" s="17"/>
      <c r="AB259" s="17">
        <f t="shared" si="244"/>
        <v>64220.877744203462</v>
      </c>
      <c r="AC259" s="17">
        <f t="shared" si="245"/>
        <v>83651.27916162998</v>
      </c>
      <c r="AD259" s="17"/>
      <c r="AE259" s="17">
        <f t="shared" si="246"/>
        <v>0</v>
      </c>
      <c r="AF259" s="17">
        <f t="shared" si="247"/>
        <v>104298.38616133356</v>
      </c>
      <c r="AG259" s="17"/>
      <c r="AH259" s="17">
        <f t="shared" si="248"/>
        <v>39934.804043890275</v>
      </c>
      <c r="AI259" s="17"/>
      <c r="AJ259" s="17">
        <f t="shared" si="249"/>
        <v>43182.407911193302</v>
      </c>
      <c r="AK259" s="17"/>
      <c r="AL259" s="17">
        <f t="shared" si="250"/>
        <v>0</v>
      </c>
      <c r="AM259" s="17"/>
      <c r="AN259" s="17">
        <f t="shared" si="251"/>
        <v>0</v>
      </c>
      <c r="AO259" s="17">
        <f t="shared" si="226"/>
        <v>827840.30000000016</v>
      </c>
      <c r="AP259" s="14" t="str">
        <f t="shared" si="227"/>
        <v>ok</v>
      </c>
    </row>
    <row r="260" spans="1:42" x14ac:dyDescent="0.25">
      <c r="A260" s="2">
        <v>942</v>
      </c>
      <c r="B260" s="2" t="s">
        <v>592</v>
      </c>
      <c r="C260" s="2" t="s">
        <v>685</v>
      </c>
      <c r="D260" s="2" t="s">
        <v>72</v>
      </c>
      <c r="F260" s="106">
        <v>0</v>
      </c>
      <c r="H260" s="17">
        <f t="shared" si="230"/>
        <v>0</v>
      </c>
      <c r="I260" s="17">
        <f t="shared" si="231"/>
        <v>0</v>
      </c>
      <c r="J260" s="17">
        <f t="shared" si="232"/>
        <v>0</v>
      </c>
      <c r="K260" s="17">
        <f t="shared" si="233"/>
        <v>0</v>
      </c>
      <c r="L260" s="17">
        <f t="shared" si="234"/>
        <v>0</v>
      </c>
      <c r="M260" s="17">
        <f t="shared" si="235"/>
        <v>0</v>
      </c>
      <c r="N260" s="17">
        <f t="shared" si="236"/>
        <v>0</v>
      </c>
      <c r="O260" s="17"/>
      <c r="P260" s="17">
        <f t="shared" si="237"/>
        <v>0</v>
      </c>
      <c r="Q260" s="17"/>
      <c r="R260" s="17">
        <f t="shared" si="238"/>
        <v>0</v>
      </c>
      <c r="S260" s="17"/>
      <c r="T260" s="17">
        <f t="shared" si="239"/>
        <v>0</v>
      </c>
      <c r="U260" s="17"/>
      <c r="V260" s="17">
        <f t="shared" si="240"/>
        <v>0</v>
      </c>
      <c r="W260" s="17">
        <f t="shared" si="241"/>
        <v>0</v>
      </c>
      <c r="X260" s="17"/>
      <c r="Y260" s="17">
        <f t="shared" si="242"/>
        <v>0</v>
      </c>
      <c r="Z260" s="17">
        <f t="shared" si="243"/>
        <v>0</v>
      </c>
      <c r="AA260" s="17"/>
      <c r="AB260" s="17">
        <f t="shared" si="244"/>
        <v>0</v>
      </c>
      <c r="AC260" s="17">
        <f t="shared" si="245"/>
        <v>0</v>
      </c>
      <c r="AD260" s="17"/>
      <c r="AE260" s="17">
        <f t="shared" si="246"/>
        <v>0</v>
      </c>
      <c r="AF260" s="17">
        <f t="shared" si="247"/>
        <v>0</v>
      </c>
      <c r="AG260" s="17"/>
      <c r="AH260" s="17">
        <f t="shared" si="248"/>
        <v>0</v>
      </c>
      <c r="AI260" s="17"/>
      <c r="AJ260" s="17">
        <f t="shared" si="249"/>
        <v>0</v>
      </c>
      <c r="AK260" s="17"/>
      <c r="AL260" s="17">
        <f t="shared" si="250"/>
        <v>0</v>
      </c>
      <c r="AM260" s="17"/>
      <c r="AN260" s="17">
        <f t="shared" si="251"/>
        <v>0</v>
      </c>
      <c r="AO260" s="17">
        <f t="shared" si="226"/>
        <v>0</v>
      </c>
      <c r="AP260" s="14" t="str">
        <f t="shared" si="227"/>
        <v>ok</v>
      </c>
    </row>
    <row r="261" spans="1:42" x14ac:dyDescent="0.25">
      <c r="A261" s="2"/>
      <c r="B261" s="2"/>
      <c r="F261" s="10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4"/>
    </row>
    <row r="262" spans="1:42" x14ac:dyDescent="0.25">
      <c r="A262" s="9" t="s">
        <v>184</v>
      </c>
      <c r="B262" s="2"/>
      <c r="C262" s="2" t="s">
        <v>185</v>
      </c>
      <c r="F262" s="106">
        <f t="shared" ref="F262:P262" si="252">SUM(F248:F260)</f>
        <v>4083259.75</v>
      </c>
      <c r="G262" s="13">
        <f t="shared" si="252"/>
        <v>0</v>
      </c>
      <c r="H262" s="13">
        <f t="shared" si="252"/>
        <v>0</v>
      </c>
      <c r="I262" s="13">
        <f t="shared" si="252"/>
        <v>0</v>
      </c>
      <c r="J262" s="13">
        <f t="shared" si="252"/>
        <v>0</v>
      </c>
      <c r="K262" s="13">
        <f t="shared" si="252"/>
        <v>0</v>
      </c>
      <c r="L262" s="13">
        <f t="shared" si="252"/>
        <v>0</v>
      </c>
      <c r="M262" s="13">
        <f t="shared" si="252"/>
        <v>0</v>
      </c>
      <c r="N262" s="13">
        <f t="shared" si="252"/>
        <v>0</v>
      </c>
      <c r="O262" s="13"/>
      <c r="P262" s="13">
        <f t="shared" si="252"/>
        <v>0</v>
      </c>
      <c r="Q262" s="13"/>
      <c r="R262" s="13">
        <f>SUM(R248:R260)</f>
        <v>0</v>
      </c>
      <c r="S262" s="13"/>
      <c r="T262" s="13">
        <f>SUM(T248:T260)</f>
        <v>8616.3232935682499</v>
      </c>
      <c r="U262" s="13"/>
      <c r="V262" s="13">
        <f>SUM(V248:V260)</f>
        <v>1440335.1050492243</v>
      </c>
      <c r="W262" s="13">
        <f>SUM(W248:W260)</f>
        <v>658388.49371683144</v>
      </c>
      <c r="X262" s="13"/>
      <c r="Y262" s="13">
        <f>SUM(Y248:Y260)</f>
        <v>160037.23389435827</v>
      </c>
      <c r="Z262" s="13">
        <f>SUM(Z248:Z260)</f>
        <v>73154.277079647945</v>
      </c>
      <c r="AA262" s="13"/>
      <c r="AB262" s="13">
        <f>SUM(AB248:AB260)</f>
        <v>84541.623590396877</v>
      </c>
      <c r="AC262" s="13">
        <f>SUM(AC248:AC260)</f>
        <v>110120.18527535693</v>
      </c>
      <c r="AD262" s="13"/>
      <c r="AE262" s="13">
        <f>SUM(AE248:AE260)</f>
        <v>0</v>
      </c>
      <c r="AF262" s="13">
        <f>SUM(AF248:AF260)</f>
        <v>127742.76846595471</v>
      </c>
      <c r="AG262" s="13"/>
      <c r="AH262" s="13">
        <f>SUM(AH248:AH260)</f>
        <v>378847.389318134</v>
      </c>
      <c r="AI262" s="13"/>
      <c r="AJ262" s="13">
        <f>SUM(AJ248:AJ260)</f>
        <v>110672.72735974618</v>
      </c>
      <c r="AK262" s="13"/>
      <c r="AL262" s="13">
        <f>SUM(AL248:AL260)</f>
        <v>892319.11590243096</v>
      </c>
      <c r="AM262" s="13"/>
      <c r="AN262" s="13">
        <f>SUM(AN248:AN260)</f>
        <v>38484.507054350077</v>
      </c>
      <c r="AO262" s="17">
        <f>SUM(H262:AN262)</f>
        <v>4083259.7499999995</v>
      </c>
      <c r="AP262" s="14" t="str">
        <f>IF(ABS(AO262-F262)&lt;1,"ok","err")</f>
        <v>ok</v>
      </c>
    </row>
    <row r="263" spans="1:42" x14ac:dyDescent="0.25">
      <c r="A263" s="2"/>
      <c r="B263" s="2"/>
      <c r="F263" s="10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4"/>
    </row>
    <row r="264" spans="1:42" x14ac:dyDescent="0.25">
      <c r="A264" s="9" t="s">
        <v>186</v>
      </c>
      <c r="B264" s="2"/>
      <c r="C264" s="2" t="s">
        <v>187</v>
      </c>
      <c r="F264" s="106">
        <f>F214+F223+F238+F262</f>
        <v>95613399.370000005</v>
      </c>
      <c r="G264" s="13"/>
      <c r="H264" s="13">
        <f t="shared" ref="H264:N264" si="253">H214+H223+H238+H262</f>
        <v>19679910.880000003</v>
      </c>
      <c r="I264" s="13">
        <f t="shared" si="253"/>
        <v>1704216</v>
      </c>
      <c r="J264" s="13">
        <f t="shared" si="253"/>
        <v>-130049</v>
      </c>
      <c r="K264" s="13">
        <f t="shared" si="253"/>
        <v>-6340583</v>
      </c>
      <c r="L264" s="13">
        <f t="shared" si="253"/>
        <v>29509797.417011004</v>
      </c>
      <c r="M264" s="13">
        <f t="shared" si="253"/>
        <v>29823651.702989001</v>
      </c>
      <c r="N264" s="13">
        <f t="shared" si="253"/>
        <v>0</v>
      </c>
      <c r="O264" s="13"/>
      <c r="P264" s="13">
        <f>P214+P223+P238+P262</f>
        <v>0</v>
      </c>
      <c r="Q264" s="13"/>
      <c r="R264" s="13">
        <f>R214+R223+R238+R262</f>
        <v>0</v>
      </c>
      <c r="S264" s="13"/>
      <c r="T264" s="13">
        <f>T214+T223+T238+T262</f>
        <v>45304.30526892854</v>
      </c>
      <c r="U264" s="13"/>
      <c r="V264" s="13">
        <f>V214+V223+V238+V262</f>
        <v>7761948.2903428525</v>
      </c>
      <c r="W264" s="13">
        <f>W214+W223+W238+W262</f>
        <v>3497001.1944332095</v>
      </c>
      <c r="X264" s="13"/>
      <c r="Y264" s="13">
        <f>Y214+Y223+Y238+Y262</f>
        <v>862438.69892698363</v>
      </c>
      <c r="Z264" s="13">
        <f>Z214+Z223+Z238+Z262</f>
        <v>388555.68827035662</v>
      </c>
      <c r="AA264" s="13"/>
      <c r="AB264" s="13">
        <f>AB214+AB223+AB238+AB262</f>
        <v>195895.38402489829</v>
      </c>
      <c r="AC264" s="13">
        <f>AC214+AC223+AC238+AC262</f>
        <v>255164.67589888317</v>
      </c>
      <c r="AD264" s="13"/>
      <c r="AE264" s="13">
        <f>AE214+AE223+AE238+AE262</f>
        <v>0</v>
      </c>
      <c r="AF264" s="13">
        <f>AF214+AF223+AF238+AF262</f>
        <v>238632.14527645707</v>
      </c>
      <c r="AG264" s="13"/>
      <c r="AH264" s="13">
        <f>AH214+AH223+AH238+AH262</f>
        <v>1998887.2274536041</v>
      </c>
      <c r="AI264" s="13"/>
      <c r="AJ264" s="13">
        <f>AJ214+AJ223+AJ238+AJ262</f>
        <v>578448.01714704628</v>
      </c>
      <c r="AK264" s="13"/>
      <c r="AL264" s="13">
        <f>AL214+AL223+AL238+AL262</f>
        <v>5320279.8959024306</v>
      </c>
      <c r="AM264" s="13"/>
      <c r="AN264" s="13">
        <f>AN214+AN223+AN238+AN262</f>
        <v>223899.84705435007</v>
      </c>
      <c r="AO264" s="17">
        <f>SUM(H264:AN264)</f>
        <v>95613399.370000005</v>
      </c>
      <c r="AP264" s="14" t="str">
        <f>IF(ABS(AO264-F264)&lt;1,"ok","err")</f>
        <v>ok</v>
      </c>
    </row>
    <row r="265" spans="1:42" x14ac:dyDescent="0.25">
      <c r="A265" s="2"/>
      <c r="B265" s="2"/>
      <c r="F265" s="10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4"/>
    </row>
    <row r="266" spans="1:42" x14ac:dyDescent="0.25">
      <c r="A266" s="2" t="s">
        <v>392</v>
      </c>
      <c r="B266" s="2"/>
      <c r="C266" s="2" t="s">
        <v>93</v>
      </c>
      <c r="F266" s="16">
        <f t="shared" ref="F266:N266" si="254">F264-F161</f>
        <v>21366455.370000005</v>
      </c>
      <c r="G266" s="16">
        <f t="shared" si="254"/>
        <v>0</v>
      </c>
      <c r="H266" s="16">
        <f t="shared" si="254"/>
        <v>0</v>
      </c>
      <c r="I266" s="16">
        <f t="shared" si="254"/>
        <v>0</v>
      </c>
      <c r="J266" s="16">
        <f t="shared" si="254"/>
        <v>0</v>
      </c>
      <c r="K266" s="16">
        <f t="shared" si="254"/>
        <v>0</v>
      </c>
      <c r="L266" s="16">
        <f t="shared" si="254"/>
        <v>0</v>
      </c>
      <c r="M266" s="16">
        <f t="shared" si="254"/>
        <v>0</v>
      </c>
      <c r="N266" s="16">
        <f t="shared" si="254"/>
        <v>0</v>
      </c>
      <c r="O266" s="16"/>
      <c r="P266" s="16">
        <f>P264-P161</f>
        <v>0</v>
      </c>
      <c r="Q266" s="16"/>
      <c r="R266" s="16">
        <f>R264-R161</f>
        <v>0</v>
      </c>
      <c r="S266" s="16"/>
      <c r="T266" s="16">
        <f>T264-T161</f>
        <v>45304.30526892854</v>
      </c>
      <c r="U266" s="16"/>
      <c r="V266" s="16">
        <f>V264-V161</f>
        <v>7761948.2903428525</v>
      </c>
      <c r="W266" s="16">
        <f>W264-W161</f>
        <v>3497001.1944332095</v>
      </c>
      <c r="X266" s="16"/>
      <c r="Y266" s="16">
        <f>Y264-Y161</f>
        <v>862438.69892698363</v>
      </c>
      <c r="Z266" s="16">
        <f>Z264-Z161</f>
        <v>388555.68827035662</v>
      </c>
      <c r="AA266" s="16"/>
      <c r="AB266" s="16">
        <f>AB264-AB161</f>
        <v>195895.38402489829</v>
      </c>
      <c r="AC266" s="16">
        <f>AC264-AC161</f>
        <v>255164.67589888317</v>
      </c>
      <c r="AD266" s="16"/>
      <c r="AE266" s="16">
        <f>AE264-AE161</f>
        <v>0</v>
      </c>
      <c r="AF266" s="16">
        <f>AF264-AF161</f>
        <v>238632.14527645707</v>
      </c>
      <c r="AG266" s="16"/>
      <c r="AH266" s="16">
        <f>AH264-AH161</f>
        <v>1998887.2274536041</v>
      </c>
      <c r="AI266" s="16"/>
      <c r="AJ266" s="16">
        <f>AJ264-AJ161</f>
        <v>578448.01714704628</v>
      </c>
      <c r="AK266" s="16"/>
      <c r="AL266" s="16">
        <f>AL264-AL161</f>
        <v>5320279.8959024306</v>
      </c>
      <c r="AM266" s="16"/>
      <c r="AN266" s="16">
        <f>AN264-AN161</f>
        <v>223899.84705435007</v>
      </c>
      <c r="AO266" s="17">
        <f>SUM(H266:AN266)</f>
        <v>21366455.370000001</v>
      </c>
      <c r="AP266" s="14" t="str">
        <f>IF(ABS(AO266-F266)&lt;1,"ok","err")</f>
        <v>ok</v>
      </c>
    </row>
    <row r="267" spans="1:42" x14ac:dyDescent="0.25">
      <c r="A267" s="2"/>
      <c r="B267" s="2"/>
      <c r="AD267" s="2"/>
      <c r="AP267" s="14"/>
    </row>
    <row r="268" spans="1:42" x14ac:dyDescent="0.25">
      <c r="A268" s="2"/>
      <c r="B268" s="2"/>
      <c r="AD268" s="2"/>
      <c r="AP268" s="14"/>
    </row>
    <row r="269" spans="1:42" x14ac:dyDescent="0.25">
      <c r="A269" s="2"/>
      <c r="B269" s="2"/>
      <c r="AD269" s="2"/>
      <c r="AP269" s="14"/>
    </row>
    <row r="270" spans="1:42" x14ac:dyDescent="0.25">
      <c r="A270" s="2"/>
      <c r="B270" s="2"/>
      <c r="AD270" s="2"/>
      <c r="AP270" s="14"/>
    </row>
    <row r="271" spans="1:42" x14ac:dyDescent="0.25">
      <c r="A271" s="2"/>
      <c r="B271" s="2"/>
      <c r="AD271" s="2"/>
      <c r="AP271" s="14"/>
    </row>
    <row r="272" spans="1:42" x14ac:dyDescent="0.25">
      <c r="A272" s="2"/>
      <c r="B272" s="2"/>
      <c r="AD272" s="2"/>
      <c r="AP272" s="14"/>
    </row>
    <row r="273" spans="1:42" x14ac:dyDescent="0.25">
      <c r="A273" s="2"/>
      <c r="B273" s="2"/>
      <c r="AD273" s="2"/>
      <c r="AP273" s="14"/>
    </row>
    <row r="274" spans="1:42" x14ac:dyDescent="0.25">
      <c r="A274" s="2"/>
      <c r="B274" s="2"/>
      <c r="AD274" s="2"/>
      <c r="AP274" s="14"/>
    </row>
    <row r="275" spans="1:42" x14ac:dyDescent="0.25">
      <c r="A275" s="2"/>
      <c r="B275" s="2"/>
      <c r="AD275" s="2"/>
      <c r="AP275" s="14"/>
    </row>
    <row r="276" spans="1:42" x14ac:dyDescent="0.25">
      <c r="A276" s="2"/>
      <c r="B276" s="2"/>
      <c r="AD276" s="2"/>
      <c r="AP276" s="14"/>
    </row>
    <row r="277" spans="1:42" x14ac:dyDescent="0.25">
      <c r="A277" s="2"/>
      <c r="B277" s="2"/>
      <c r="AD277" s="2"/>
      <c r="AP277" s="14"/>
    </row>
    <row r="278" spans="1:42" x14ac:dyDescent="0.25">
      <c r="A278" s="2"/>
      <c r="B278" s="2"/>
      <c r="AD278" s="2"/>
      <c r="AP278" s="14"/>
    </row>
    <row r="279" spans="1:42" x14ac:dyDescent="0.25">
      <c r="A279" s="2"/>
      <c r="B279" s="2"/>
      <c r="AD279" s="2"/>
      <c r="AP279" s="14"/>
    </row>
    <row r="280" spans="1:42" x14ac:dyDescent="0.25">
      <c r="A280" s="2"/>
      <c r="B280" s="2"/>
      <c r="AP280" s="14"/>
    </row>
    <row r="281" spans="1:42" x14ac:dyDescent="0.25">
      <c r="A281" s="2"/>
      <c r="B281" s="2"/>
      <c r="AP281" s="14"/>
    </row>
    <row r="282" spans="1:42" x14ac:dyDescent="0.25">
      <c r="A282" s="2"/>
      <c r="B282" s="2"/>
      <c r="AP282" s="14"/>
    </row>
    <row r="283" spans="1:42" x14ac:dyDescent="0.25">
      <c r="A283" s="2"/>
      <c r="B283" s="2"/>
      <c r="AP283" s="14"/>
    </row>
    <row r="284" spans="1:42" x14ac:dyDescent="0.25">
      <c r="A284" s="2"/>
      <c r="B284" s="2"/>
      <c r="AP284" s="14"/>
    </row>
    <row r="285" spans="1:42" x14ac:dyDescent="0.25">
      <c r="A285" s="2"/>
      <c r="B285" s="2"/>
      <c r="AP285" s="14"/>
    </row>
    <row r="286" spans="1:42" x14ac:dyDescent="0.25">
      <c r="A286" s="2"/>
      <c r="B286" s="2"/>
      <c r="AP286" s="14"/>
    </row>
    <row r="287" spans="1:42" x14ac:dyDescent="0.25">
      <c r="A287" s="2"/>
      <c r="B287" s="2"/>
      <c r="AP287" s="14"/>
    </row>
    <row r="288" spans="1:42" x14ac:dyDescent="0.25">
      <c r="A288" s="2"/>
      <c r="B288" s="2"/>
      <c r="AP288" s="14"/>
    </row>
    <row r="289" spans="1:42" x14ac:dyDescent="0.25">
      <c r="A289" s="2"/>
      <c r="B289" s="2"/>
      <c r="AP289" s="14"/>
    </row>
    <row r="290" spans="1:42" x14ac:dyDescent="0.25">
      <c r="A290" s="2"/>
      <c r="B290" s="2"/>
      <c r="AP290" s="14"/>
    </row>
    <row r="291" spans="1:42" x14ac:dyDescent="0.25">
      <c r="A291" s="2"/>
      <c r="B291" s="2"/>
      <c r="AP291" s="14"/>
    </row>
    <row r="292" spans="1:42" x14ac:dyDescent="0.25">
      <c r="A292" s="5" t="s">
        <v>188</v>
      </c>
      <c r="B292" s="2"/>
      <c r="AD292" s="2"/>
      <c r="AP292" s="14"/>
    </row>
    <row r="293" spans="1:42" x14ac:dyDescent="0.25">
      <c r="A293" s="5"/>
      <c r="B293" s="2"/>
      <c r="AD293" s="2"/>
      <c r="AP293" s="14"/>
    </row>
    <row r="294" spans="1:42" x14ac:dyDescent="0.25">
      <c r="A294" s="7" t="s">
        <v>780</v>
      </c>
      <c r="B294" s="2"/>
      <c r="AD294" s="2"/>
      <c r="AP294" s="14"/>
    </row>
    <row r="295" spans="1:42" x14ac:dyDescent="0.25">
      <c r="A295" s="178">
        <v>547</v>
      </c>
      <c r="B295" s="2" t="s">
        <v>777</v>
      </c>
      <c r="C295" s="2" t="s">
        <v>784</v>
      </c>
      <c r="D295" s="2" t="s">
        <v>789</v>
      </c>
      <c r="F295" s="106">
        <v>0</v>
      </c>
      <c r="H295" s="17">
        <f>IF(VLOOKUP($D295,$C$5:$AN$495,6,)=0,0,((VLOOKUP($D295,$C$5:$AN$495,6,)/VLOOKUP($D295,$C$5:$AN$495,4,))*$F295))</f>
        <v>0</v>
      </c>
      <c r="I295" s="17">
        <f>IF(VLOOKUP($D295,$C$5:$AN$495,7,)=0,0,((VLOOKUP($D295,$C$5:$AN$495,7,)/VLOOKUP($D295,$C$5:$AN$495,4,))*$F295))</f>
        <v>0</v>
      </c>
      <c r="J295" s="17">
        <f>IF(VLOOKUP($D295,$C$5:$AN$495,8,)=0,0,((VLOOKUP($D295,$C$5:$AN$495,8,)/VLOOKUP($D295,$C$5:$AN$495,4,))*$F295))</f>
        <v>0</v>
      </c>
      <c r="K295" s="17">
        <f>IF(VLOOKUP($D295,$C$5:$AN$495,9,)=0,0,((VLOOKUP($D295,$C$5:$AN$495,9,)/VLOOKUP($D295,$C$5:$AN$495,4,))*$F295))</f>
        <v>0</v>
      </c>
      <c r="L295" s="17">
        <f>IF(VLOOKUP($D295,$C$5:$AN$495,10,)=0,0,((VLOOKUP($D295,$C$5:$AN$495,10,)/VLOOKUP($D295,$C$5:$AN$495,4,))*$F295))</f>
        <v>0</v>
      </c>
      <c r="M295" s="17">
        <f>IF(VLOOKUP($D295,$C$5:$AN$495,11,)=0,0,((VLOOKUP($D295,$C$5:$AN$495,11,)/VLOOKUP($D295,$C$5:$AN$495,4,))*$F295))</f>
        <v>0</v>
      </c>
      <c r="N295" s="17">
        <f>IF(VLOOKUP($D295,$C$5:$AN$495,12,)=0,0,((VLOOKUP($D295,$C$5:$AN$495,12,)/VLOOKUP($D295,$C$5:$AN$495,4,))*$F295))</f>
        <v>0</v>
      </c>
      <c r="O295" s="17"/>
      <c r="P295" s="17">
        <f>IF(VLOOKUP($D295,$C$5:$AN$495,14,)=0,0,((VLOOKUP($D295,$C$5:$AN$495,14,)/VLOOKUP($D295,$C$5:$AN$495,4,))*$F295))</f>
        <v>0</v>
      </c>
      <c r="Q295" s="17"/>
      <c r="R295" s="17">
        <f>IF(VLOOKUP($D295,$C$5:$AN$495,16,)=0,0,((VLOOKUP($D295,$C$5:$AN$495,16,)/VLOOKUP($D295,$C$5:$AN$495,4,))*$F295))</f>
        <v>0</v>
      </c>
      <c r="S295" s="17"/>
      <c r="T295" s="17">
        <f>IF(VLOOKUP($D295,$C$5:$AN$495,18,)=0,0,((VLOOKUP($D295,$C$5:$AN$495,18,)/VLOOKUP($D295,$C$5:$AN$495,4,))*$F295))</f>
        <v>0</v>
      </c>
      <c r="U295" s="17"/>
      <c r="V295" s="17">
        <f>IF(VLOOKUP($D295,$C$5:$AN$495,20,)=0,0,((VLOOKUP($D295,$C$5:$AN$495,20,)/VLOOKUP($D295,$C$5:$AN$495,4,))*$F295))</f>
        <v>0</v>
      </c>
      <c r="W295" s="17">
        <f>IF(VLOOKUP($D295,$C$5:$AN$495,21,)=0,0,((VLOOKUP($D295,$C$5:$AN$495,21,)/VLOOKUP($D295,$C$5:$AN$495,4,))*$F295))</f>
        <v>0</v>
      </c>
      <c r="X295" s="17"/>
      <c r="Y295" s="17">
        <f>IF(VLOOKUP($D295,$C$5:$AN$495,23,)=0,0,((VLOOKUP($D295,$C$5:$AN$495,23,)/VLOOKUP($D295,$C$5:$AN$495,4,))*$F295))</f>
        <v>0</v>
      </c>
      <c r="Z295" s="17">
        <f>IF(VLOOKUP($D295,$C$5:$AN$495,24,)=0,0,((VLOOKUP($D295,$C$5:$AN$495,24,)/VLOOKUP($D295,$C$5:$AN$495,4,))*$F295))</f>
        <v>0</v>
      </c>
      <c r="AA295" s="17"/>
      <c r="AB295" s="17">
        <f>IF(VLOOKUP($D295,$C$5:$AN$495,26,)=0,0,((VLOOKUP($D295,$C$5:$AN$495,26,)/VLOOKUP($D295,$C$5:$AN$495,4,))*$F295))</f>
        <v>0</v>
      </c>
      <c r="AC295" s="17">
        <f>IF(VLOOKUP($D295,$C$5:$AN$495,27,)=0,0,((VLOOKUP($D295,$C$5:$AN$495,27,)/VLOOKUP($D295,$C$5:$AN$495,4,))*$F295))</f>
        <v>0</v>
      </c>
      <c r="AD295" s="17"/>
      <c r="AE295" s="17">
        <f>IF(VLOOKUP($D295,$C$5:$AN$495,29,)=0,0,((VLOOKUP($D295,$C$5:$AN$495,29,)/VLOOKUP($D295,$C$5:$AN$495,4,))*$F295))</f>
        <v>0</v>
      </c>
      <c r="AF295" s="17">
        <f>IF(VLOOKUP($D295,$C$5:$AN$495,30,)=0,0,((VLOOKUP($D295,$C$5:$AN$495,30,)/VLOOKUP($D295,$C$5:$AN$495,4,))*$F295))</f>
        <v>0</v>
      </c>
      <c r="AG295" s="17"/>
      <c r="AH295" s="17">
        <f>IF(VLOOKUP($D295,$C$5:$AN$495,32,)=0,0,((VLOOKUP($D295,$C$5:$AN$495,32,)/VLOOKUP($D295,$C$5:$AN$495,4,))*$F295))</f>
        <v>0</v>
      </c>
      <c r="AI295" s="17"/>
      <c r="AJ295" s="17">
        <f>IF(VLOOKUP($D295,$C$5:$AN$495,34,)=0,0,((VLOOKUP($D295,$C$5:$AN$495,34,)/VLOOKUP($D295,$C$5:$AN$495,4,))*$F295))</f>
        <v>0</v>
      </c>
      <c r="AK295" s="17"/>
      <c r="AL295" s="17">
        <f>IF(VLOOKUP($D295,$C$5:$AN$495,36,)=0,0,((VLOOKUP($D295,$C$5:$AN$495,36,)/VLOOKUP($D295,$C$5:$AN$495,4,))*$F295))</f>
        <v>0</v>
      </c>
      <c r="AM295" s="17"/>
      <c r="AN295" s="17">
        <f>IF(VLOOKUP($D295,$C$5:$AN$495,38,)=0,0,((VLOOKUP($D295,$C$5:$AN$495,38,)/VLOOKUP($D295,$C$5:$AN$495,4,))*$F295))</f>
        <v>0</v>
      </c>
      <c r="AO295" s="17">
        <f>SUM(H295:AN295)</f>
        <v>0</v>
      </c>
      <c r="AP295" s="14" t="str">
        <f>IF(ABS(AO295-F295)&lt;1,"ok","err")</f>
        <v>ok</v>
      </c>
    </row>
    <row r="296" spans="1:42" x14ac:dyDescent="0.25">
      <c r="A296" s="178">
        <v>548</v>
      </c>
      <c r="B296" s="2" t="s">
        <v>778</v>
      </c>
      <c r="C296" s="2" t="s">
        <v>785</v>
      </c>
      <c r="D296" s="2" t="s">
        <v>789</v>
      </c>
      <c r="F296" s="106">
        <v>0</v>
      </c>
      <c r="H296" s="17">
        <f>IF(VLOOKUP($D296,$C$5:$AN$495,6,)=0,0,((VLOOKUP($D296,$C$5:$AN$495,6,)/VLOOKUP($D296,$C$5:$AN$495,4,))*$F296))</f>
        <v>0</v>
      </c>
      <c r="I296" s="17">
        <f>IF(VLOOKUP($D296,$C$5:$AN$495,7,)=0,0,((VLOOKUP($D296,$C$5:$AN$495,7,)/VLOOKUP($D296,$C$5:$AN$495,4,))*$F296))</f>
        <v>0</v>
      </c>
      <c r="J296" s="17">
        <f>IF(VLOOKUP($D296,$C$5:$AN$495,8,)=0,0,((VLOOKUP($D296,$C$5:$AN$495,8,)/VLOOKUP($D296,$C$5:$AN$495,4,))*$F296))</f>
        <v>0</v>
      </c>
      <c r="K296" s="17">
        <f>IF(VLOOKUP($D296,$C$5:$AN$495,9,)=0,0,((VLOOKUP($D296,$C$5:$AN$495,9,)/VLOOKUP($D296,$C$5:$AN$495,4,))*$F296))</f>
        <v>0</v>
      </c>
      <c r="L296" s="17">
        <f>IF(VLOOKUP($D296,$C$5:$AN$495,10,)=0,0,((VLOOKUP($D296,$C$5:$AN$495,10,)/VLOOKUP($D296,$C$5:$AN$495,4,))*$F296))</f>
        <v>0</v>
      </c>
      <c r="M296" s="17">
        <f>IF(VLOOKUP($D296,$C$5:$AN$495,11,)=0,0,((VLOOKUP($D296,$C$5:$AN$495,11,)/VLOOKUP($D296,$C$5:$AN$495,4,))*$F296))</f>
        <v>0</v>
      </c>
      <c r="N296" s="17">
        <f>IF(VLOOKUP($D296,$C$5:$AN$495,12,)=0,0,((VLOOKUP($D296,$C$5:$AN$495,12,)/VLOOKUP($D296,$C$5:$AN$495,4,))*$F296))</f>
        <v>0</v>
      </c>
      <c r="O296" s="17"/>
      <c r="P296" s="17">
        <f>IF(VLOOKUP($D296,$C$5:$AN$495,14,)=0,0,((VLOOKUP($D296,$C$5:$AN$495,14,)/VLOOKUP($D296,$C$5:$AN$495,4,))*$F296))</f>
        <v>0</v>
      </c>
      <c r="Q296" s="17"/>
      <c r="R296" s="17">
        <f>IF(VLOOKUP($D296,$C$5:$AN$495,16,)=0,0,((VLOOKUP($D296,$C$5:$AN$495,16,)/VLOOKUP($D296,$C$5:$AN$495,4,))*$F296))</f>
        <v>0</v>
      </c>
      <c r="S296" s="17"/>
      <c r="T296" s="17">
        <f>IF(VLOOKUP($D296,$C$5:$AN$495,18,)=0,0,((VLOOKUP($D296,$C$5:$AN$495,18,)/VLOOKUP($D296,$C$5:$AN$495,4,))*$F296))</f>
        <v>0</v>
      </c>
      <c r="U296" s="17"/>
      <c r="V296" s="17">
        <f>IF(VLOOKUP($D296,$C$5:$AN$495,20,)=0,0,((VLOOKUP($D296,$C$5:$AN$495,20,)/VLOOKUP($D296,$C$5:$AN$495,4,))*$F296))</f>
        <v>0</v>
      </c>
      <c r="W296" s="17">
        <f>IF(VLOOKUP($D296,$C$5:$AN$495,21,)=0,0,((VLOOKUP($D296,$C$5:$AN$495,21,)/VLOOKUP($D296,$C$5:$AN$495,4,))*$F296))</f>
        <v>0</v>
      </c>
      <c r="X296" s="17"/>
      <c r="Y296" s="17">
        <f>IF(VLOOKUP($D296,$C$5:$AN$495,23,)=0,0,((VLOOKUP($D296,$C$5:$AN$495,23,)/VLOOKUP($D296,$C$5:$AN$495,4,))*$F296))</f>
        <v>0</v>
      </c>
      <c r="Z296" s="17">
        <f>IF(VLOOKUP($D296,$C$5:$AN$495,24,)=0,0,((VLOOKUP($D296,$C$5:$AN$495,24,)/VLOOKUP($D296,$C$5:$AN$495,4,))*$F296))</f>
        <v>0</v>
      </c>
      <c r="AA296" s="17"/>
      <c r="AB296" s="17">
        <f>IF(VLOOKUP($D296,$C$5:$AN$495,26,)=0,0,((VLOOKUP($D296,$C$5:$AN$495,26,)/VLOOKUP($D296,$C$5:$AN$495,4,))*$F296))</f>
        <v>0</v>
      </c>
      <c r="AC296" s="17">
        <f>IF(VLOOKUP($D296,$C$5:$AN$495,27,)=0,0,((VLOOKUP($D296,$C$5:$AN$495,27,)/VLOOKUP($D296,$C$5:$AN$495,4,))*$F296))</f>
        <v>0</v>
      </c>
      <c r="AD296" s="17"/>
      <c r="AE296" s="17">
        <f>IF(VLOOKUP($D296,$C$5:$AN$495,29,)=0,0,((VLOOKUP($D296,$C$5:$AN$495,29,)/VLOOKUP($D296,$C$5:$AN$495,4,))*$F296))</f>
        <v>0</v>
      </c>
      <c r="AF296" s="17">
        <f>IF(VLOOKUP($D296,$C$5:$AN$495,30,)=0,0,((VLOOKUP($D296,$C$5:$AN$495,30,)/VLOOKUP($D296,$C$5:$AN$495,4,))*$F296))</f>
        <v>0</v>
      </c>
      <c r="AG296" s="17"/>
      <c r="AH296" s="17">
        <f>IF(VLOOKUP($D296,$C$5:$AN$495,32,)=0,0,((VLOOKUP($D296,$C$5:$AN$495,32,)/VLOOKUP($D296,$C$5:$AN$495,4,))*$F296))</f>
        <v>0</v>
      </c>
      <c r="AI296" s="17"/>
      <c r="AJ296" s="17">
        <f>IF(VLOOKUP($D296,$C$5:$AN$495,34,)=0,0,((VLOOKUP($D296,$C$5:$AN$495,34,)/VLOOKUP($D296,$C$5:$AN$495,4,))*$F296))</f>
        <v>0</v>
      </c>
      <c r="AK296" s="17"/>
      <c r="AL296" s="17">
        <f>IF(VLOOKUP($D296,$C$5:$AN$495,36,)=0,0,((VLOOKUP($D296,$C$5:$AN$495,36,)/VLOOKUP($D296,$C$5:$AN$495,4,))*$F296))</f>
        <v>0</v>
      </c>
      <c r="AM296" s="17"/>
      <c r="AN296" s="17">
        <f>IF(VLOOKUP($D296,$C$5:$AN$495,38,)=0,0,((VLOOKUP($D296,$C$5:$AN$495,38,)/VLOOKUP($D296,$C$5:$AN$495,4,))*$F296))</f>
        <v>0</v>
      </c>
      <c r="AO296" s="17">
        <f>SUM(H296:AN296)</f>
        <v>0</v>
      </c>
      <c r="AP296" s="14" t="str">
        <f>IF(ABS(AO296-F296)&lt;1,"ok","err")</f>
        <v>ok</v>
      </c>
    </row>
    <row r="297" spans="1:42" x14ac:dyDescent="0.25">
      <c r="A297" s="178">
        <v>553</v>
      </c>
      <c r="B297" s="2" t="s">
        <v>779</v>
      </c>
      <c r="C297" s="2" t="s">
        <v>786</v>
      </c>
      <c r="D297" s="2" t="s">
        <v>789</v>
      </c>
      <c r="F297" s="106">
        <v>0</v>
      </c>
      <c r="H297" s="17">
        <f>IF(VLOOKUP($D297,$C$5:$AN$495,6,)=0,0,((VLOOKUP($D297,$C$5:$AN$495,6,)/VLOOKUP($D297,$C$5:$AN$495,4,))*$F297))</f>
        <v>0</v>
      </c>
      <c r="I297" s="17">
        <f>IF(VLOOKUP($D297,$C$5:$AN$495,7,)=0,0,((VLOOKUP($D297,$C$5:$AN$495,7,)/VLOOKUP($D297,$C$5:$AN$495,4,))*$F297))</f>
        <v>0</v>
      </c>
      <c r="J297" s="17">
        <f>IF(VLOOKUP($D297,$C$5:$AN$495,8,)=0,0,((VLOOKUP($D297,$C$5:$AN$495,8,)/VLOOKUP($D297,$C$5:$AN$495,4,))*$F297))</f>
        <v>0</v>
      </c>
      <c r="K297" s="17">
        <f>IF(VLOOKUP($D297,$C$5:$AN$495,9,)=0,0,((VLOOKUP($D297,$C$5:$AN$495,9,)/VLOOKUP($D297,$C$5:$AN$495,4,))*$F297))</f>
        <v>0</v>
      </c>
      <c r="L297" s="17">
        <f>IF(VLOOKUP($D297,$C$5:$AN$495,10,)=0,0,((VLOOKUP($D297,$C$5:$AN$495,10,)/VLOOKUP($D297,$C$5:$AN$495,4,))*$F297))</f>
        <v>0</v>
      </c>
      <c r="M297" s="17">
        <f>IF(VLOOKUP($D297,$C$5:$AN$495,11,)=0,0,((VLOOKUP($D297,$C$5:$AN$495,11,)/VLOOKUP($D297,$C$5:$AN$495,4,))*$F297))</f>
        <v>0</v>
      </c>
      <c r="N297" s="17">
        <f>IF(VLOOKUP($D297,$C$5:$AN$495,12,)=0,0,((VLOOKUP($D297,$C$5:$AN$495,12,)/VLOOKUP($D297,$C$5:$AN$495,4,))*$F297))</f>
        <v>0</v>
      </c>
      <c r="O297" s="17"/>
      <c r="P297" s="17">
        <f>IF(VLOOKUP($D297,$C$5:$AN$495,14,)=0,0,((VLOOKUP($D297,$C$5:$AN$495,14,)/VLOOKUP($D297,$C$5:$AN$495,4,))*$F297))</f>
        <v>0</v>
      </c>
      <c r="Q297" s="17"/>
      <c r="R297" s="17">
        <f>IF(VLOOKUP($D297,$C$5:$AN$495,16,)=0,0,((VLOOKUP($D297,$C$5:$AN$495,16,)/VLOOKUP($D297,$C$5:$AN$495,4,))*$F297))</f>
        <v>0</v>
      </c>
      <c r="S297" s="17"/>
      <c r="T297" s="17">
        <f>IF(VLOOKUP($D297,$C$5:$AN$495,18,)=0,0,((VLOOKUP($D297,$C$5:$AN$495,18,)/VLOOKUP($D297,$C$5:$AN$495,4,))*$F297))</f>
        <v>0</v>
      </c>
      <c r="U297" s="17"/>
      <c r="V297" s="17">
        <f>IF(VLOOKUP($D297,$C$5:$AN$495,20,)=0,0,((VLOOKUP($D297,$C$5:$AN$495,20,)/VLOOKUP($D297,$C$5:$AN$495,4,))*$F297))</f>
        <v>0</v>
      </c>
      <c r="W297" s="17">
        <f>IF(VLOOKUP($D297,$C$5:$AN$495,21,)=0,0,((VLOOKUP($D297,$C$5:$AN$495,21,)/VLOOKUP($D297,$C$5:$AN$495,4,))*$F297))</f>
        <v>0</v>
      </c>
      <c r="X297" s="17"/>
      <c r="Y297" s="17">
        <f>IF(VLOOKUP($D297,$C$5:$AN$495,23,)=0,0,((VLOOKUP($D297,$C$5:$AN$495,23,)/VLOOKUP($D297,$C$5:$AN$495,4,))*$F297))</f>
        <v>0</v>
      </c>
      <c r="Z297" s="17">
        <f>IF(VLOOKUP($D297,$C$5:$AN$495,24,)=0,0,((VLOOKUP($D297,$C$5:$AN$495,24,)/VLOOKUP($D297,$C$5:$AN$495,4,))*$F297))</f>
        <v>0</v>
      </c>
      <c r="AA297" s="17"/>
      <c r="AB297" s="17">
        <f>IF(VLOOKUP($D297,$C$5:$AN$495,26,)=0,0,((VLOOKUP($D297,$C$5:$AN$495,26,)/VLOOKUP($D297,$C$5:$AN$495,4,))*$F297))</f>
        <v>0</v>
      </c>
      <c r="AC297" s="17">
        <f>IF(VLOOKUP($D297,$C$5:$AN$495,27,)=0,0,((VLOOKUP($D297,$C$5:$AN$495,27,)/VLOOKUP($D297,$C$5:$AN$495,4,))*$F297))</f>
        <v>0</v>
      </c>
      <c r="AD297" s="17"/>
      <c r="AE297" s="17">
        <f>IF(VLOOKUP($D297,$C$5:$AN$495,29,)=0,0,((VLOOKUP($D297,$C$5:$AN$495,29,)/VLOOKUP($D297,$C$5:$AN$495,4,))*$F297))</f>
        <v>0</v>
      </c>
      <c r="AF297" s="17">
        <f>IF(VLOOKUP($D297,$C$5:$AN$495,30,)=0,0,((VLOOKUP($D297,$C$5:$AN$495,30,)/VLOOKUP($D297,$C$5:$AN$495,4,))*$F297))</f>
        <v>0</v>
      </c>
      <c r="AG297" s="17"/>
      <c r="AH297" s="17">
        <f>IF(VLOOKUP($D297,$C$5:$AN$495,32,)=0,0,((VLOOKUP($D297,$C$5:$AN$495,32,)/VLOOKUP($D297,$C$5:$AN$495,4,))*$F297))</f>
        <v>0</v>
      </c>
      <c r="AI297" s="17"/>
      <c r="AJ297" s="17">
        <f>IF(VLOOKUP($D297,$C$5:$AN$495,34,)=0,0,((VLOOKUP($D297,$C$5:$AN$495,34,)/VLOOKUP($D297,$C$5:$AN$495,4,))*$F297))</f>
        <v>0</v>
      </c>
      <c r="AK297" s="17"/>
      <c r="AL297" s="17">
        <f>IF(VLOOKUP($D297,$C$5:$AN$495,36,)=0,0,((VLOOKUP($D297,$C$5:$AN$495,36,)/VLOOKUP($D297,$C$5:$AN$495,4,))*$F297))</f>
        <v>0</v>
      </c>
      <c r="AM297" s="17"/>
      <c r="AN297" s="17">
        <f>IF(VLOOKUP($D297,$C$5:$AN$495,38,)=0,0,((VLOOKUP($D297,$C$5:$AN$495,38,)/VLOOKUP($D297,$C$5:$AN$495,4,))*$F297))</f>
        <v>0</v>
      </c>
      <c r="AO297" s="17">
        <f>SUM(H297:AN297)</f>
        <v>0</v>
      </c>
      <c r="AP297" s="14" t="str">
        <f>IF(ABS(AO297-F297)&lt;1,"ok","err")</f>
        <v>ok</v>
      </c>
    </row>
    <row r="298" spans="1:42" x14ac:dyDescent="0.25">
      <c r="A298" s="178"/>
      <c r="B298" s="2"/>
      <c r="F298" s="106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7"/>
      <c r="AP298" s="14"/>
    </row>
    <row r="299" spans="1:42" x14ac:dyDescent="0.25">
      <c r="A299" s="178"/>
      <c r="B299" s="2" t="s">
        <v>781</v>
      </c>
      <c r="C299" s="2" t="s">
        <v>787</v>
      </c>
      <c r="F299" s="106">
        <f>SUM(F295:F298)</f>
        <v>0</v>
      </c>
      <c r="G299" s="13"/>
      <c r="H299" s="13">
        <f t="shared" ref="H299:P299" si="255">SUM(H295:H298)</f>
        <v>0</v>
      </c>
      <c r="I299" s="13">
        <f t="shared" si="255"/>
        <v>0</v>
      </c>
      <c r="J299" s="13">
        <f t="shared" si="255"/>
        <v>0</v>
      </c>
      <c r="K299" s="13">
        <f t="shared" si="255"/>
        <v>0</v>
      </c>
      <c r="L299" s="13">
        <f t="shared" si="255"/>
        <v>0</v>
      </c>
      <c r="M299" s="13">
        <f t="shared" si="255"/>
        <v>0</v>
      </c>
      <c r="N299" s="13">
        <f t="shared" si="255"/>
        <v>0</v>
      </c>
      <c r="O299" s="13"/>
      <c r="P299" s="13">
        <f t="shared" si="255"/>
        <v>0</v>
      </c>
      <c r="Q299" s="13"/>
      <c r="R299" s="13">
        <f>SUM(R295:R298)</f>
        <v>0</v>
      </c>
      <c r="S299" s="13"/>
      <c r="T299" s="13">
        <f>SUM(T295:T298)</f>
        <v>0</v>
      </c>
      <c r="U299" s="13"/>
      <c r="V299" s="13">
        <f>SUM(V295:V298)</f>
        <v>0</v>
      </c>
      <c r="W299" s="13">
        <f>SUM(W295:W298)</f>
        <v>0</v>
      </c>
      <c r="X299" s="13"/>
      <c r="Y299" s="13">
        <f>SUM(Y295:Y298)</f>
        <v>0</v>
      </c>
      <c r="Z299" s="13">
        <f>SUM(Z295:Z298)</f>
        <v>0</v>
      </c>
      <c r="AA299" s="13"/>
      <c r="AB299" s="13">
        <f>SUM(AB295:AB298)</f>
        <v>0</v>
      </c>
      <c r="AC299" s="13">
        <f>SUM(AC295:AC298)</f>
        <v>0</v>
      </c>
      <c r="AD299" s="13"/>
      <c r="AE299" s="13">
        <f>SUM(AE295:AE298)</f>
        <v>0</v>
      </c>
      <c r="AF299" s="13">
        <f>SUM(AF295:AF298)</f>
        <v>0</v>
      </c>
      <c r="AG299" s="13"/>
      <c r="AH299" s="13">
        <f>SUM(AH295:AH298)</f>
        <v>0</v>
      </c>
      <c r="AI299" s="13"/>
      <c r="AJ299" s="13">
        <f>SUM(AJ295:AJ298)</f>
        <v>0</v>
      </c>
      <c r="AK299" s="13"/>
      <c r="AL299" s="13">
        <f>SUM(AL295:AL298)</f>
        <v>0</v>
      </c>
      <c r="AM299" s="13"/>
      <c r="AN299" s="13">
        <f>SUM(AN295:AN298)</f>
        <v>0</v>
      </c>
      <c r="AO299" s="17">
        <f>SUM(H299:AN299)</f>
        <v>0</v>
      </c>
      <c r="AP299" s="14" t="str">
        <f>IF(ABS(AO299-F299)&lt;1,"ok","err")</f>
        <v>ok</v>
      </c>
    </row>
    <row r="300" spans="1:42" x14ac:dyDescent="0.25">
      <c r="A300" s="5"/>
      <c r="B300" s="2"/>
      <c r="AD300" s="2"/>
      <c r="AP300" s="14"/>
    </row>
    <row r="301" spans="1:42" x14ac:dyDescent="0.25">
      <c r="A301" s="7" t="s">
        <v>102</v>
      </c>
      <c r="B301" s="2"/>
      <c r="AD301" s="2"/>
      <c r="AP301" s="14"/>
    </row>
    <row r="302" spans="1:42" x14ac:dyDescent="0.25">
      <c r="A302" s="178">
        <v>555</v>
      </c>
      <c r="B302" s="2" t="s">
        <v>356</v>
      </c>
      <c r="C302" s="2" t="s">
        <v>520</v>
      </c>
      <c r="D302" s="2" t="s">
        <v>103</v>
      </c>
      <c r="F302" s="106">
        <v>0</v>
      </c>
      <c r="H302" s="17">
        <f>IF(VLOOKUP($D302,$C$5:$AN$495,6,)=0,0,((VLOOKUP($D302,$C$5:$AN$495,6,)/VLOOKUP($D302,$C$5:$AN$495,4,))*$F302))</f>
        <v>0</v>
      </c>
      <c r="I302" s="17">
        <f>IF(VLOOKUP($D302,$C$5:$AN$495,7,)=0,0,((VLOOKUP($D302,$C$5:$AN$495,7,)/VLOOKUP($D302,$C$5:$AN$495,4,))*$F302))</f>
        <v>0</v>
      </c>
      <c r="J302" s="17">
        <f>IF(VLOOKUP($D302,$C$5:$AN$495,8,)=0,0,((VLOOKUP($D302,$C$5:$AN$495,8,)/VLOOKUP($D302,$C$5:$AN$495,4,))*$F302))</f>
        <v>0</v>
      </c>
      <c r="K302" s="17">
        <f>IF(VLOOKUP($D302,$C$5:$AN$495,9,)=0,0,((VLOOKUP($D302,$C$5:$AN$495,9,)/VLOOKUP($D302,$C$5:$AN$495,4,))*$F302))</f>
        <v>0</v>
      </c>
      <c r="L302" s="17">
        <f>IF(VLOOKUP($D302,$C$5:$AN$495,10,)=0,0,((VLOOKUP($D302,$C$5:$AN$495,10,)/VLOOKUP($D302,$C$5:$AN$495,4,))*$F302))</f>
        <v>0</v>
      </c>
      <c r="M302" s="17">
        <f>IF(VLOOKUP($D302,$C$5:$AN$495,11,)=0,0,((VLOOKUP($D302,$C$5:$AN$495,11,)/VLOOKUP($D302,$C$5:$AN$495,4,))*$F302))</f>
        <v>0</v>
      </c>
      <c r="N302" s="17">
        <f>IF(VLOOKUP($D302,$C$5:$AN$495,12,)=0,0,((VLOOKUP($D302,$C$5:$AN$495,12,)/VLOOKUP($D302,$C$5:$AN$495,4,))*$F302))</f>
        <v>0</v>
      </c>
      <c r="O302" s="17"/>
      <c r="P302" s="17">
        <f>IF(VLOOKUP($D302,$C$5:$AN$495,14,)=0,0,((VLOOKUP($D302,$C$5:$AN$495,14,)/VLOOKUP($D302,$C$5:$AN$495,4,))*$F302))</f>
        <v>0</v>
      </c>
      <c r="Q302" s="17"/>
      <c r="R302" s="17">
        <f>IF(VLOOKUP($D302,$C$5:$AN$495,16,)=0,0,((VLOOKUP($D302,$C$5:$AN$495,16,)/VLOOKUP($D302,$C$5:$AN$495,4,))*$F302))</f>
        <v>0</v>
      </c>
      <c r="S302" s="17"/>
      <c r="T302" s="17">
        <f>IF(VLOOKUP($D302,$C$5:$AN$495,18,)=0,0,((VLOOKUP($D302,$C$5:$AN$495,18,)/VLOOKUP($D302,$C$5:$AN$495,4,))*$F302))</f>
        <v>0</v>
      </c>
      <c r="U302" s="17"/>
      <c r="V302" s="17">
        <f>IF(VLOOKUP($D302,$C$5:$AN$495,20,)=0,0,((VLOOKUP($D302,$C$5:$AN$495,20,)/VLOOKUP($D302,$C$5:$AN$495,4,))*$F302))</f>
        <v>0</v>
      </c>
      <c r="W302" s="17">
        <f>IF(VLOOKUP($D302,$C$5:$AN$495,21,)=0,0,((VLOOKUP($D302,$C$5:$AN$495,21,)/VLOOKUP($D302,$C$5:$AN$495,4,))*$F302))</f>
        <v>0</v>
      </c>
      <c r="X302" s="17"/>
      <c r="Y302" s="17">
        <f>IF(VLOOKUP($D302,$C$5:$AN$495,23,)=0,0,((VLOOKUP($D302,$C$5:$AN$495,23,)/VLOOKUP($D302,$C$5:$AN$495,4,))*$F302))</f>
        <v>0</v>
      </c>
      <c r="Z302" s="17">
        <f>IF(VLOOKUP($D302,$C$5:$AN$495,24,)=0,0,((VLOOKUP($D302,$C$5:$AN$495,24,)/VLOOKUP($D302,$C$5:$AN$495,4,))*$F302))</f>
        <v>0</v>
      </c>
      <c r="AA302" s="17"/>
      <c r="AB302" s="17">
        <f>IF(VLOOKUP($D302,$C$5:$AN$495,26,)=0,0,((VLOOKUP($D302,$C$5:$AN$495,26,)/VLOOKUP($D302,$C$5:$AN$495,4,))*$F302))</f>
        <v>0</v>
      </c>
      <c r="AC302" s="17">
        <f>IF(VLOOKUP($D302,$C$5:$AN$495,27,)=0,0,((VLOOKUP($D302,$C$5:$AN$495,27,)/VLOOKUP($D302,$C$5:$AN$495,4,))*$F302))</f>
        <v>0</v>
      </c>
      <c r="AD302" s="17"/>
      <c r="AE302" s="17">
        <f>IF(VLOOKUP($D302,$C$5:$AN$495,29,)=0,0,((VLOOKUP($D302,$C$5:$AN$495,29,)/VLOOKUP($D302,$C$5:$AN$495,4,))*$F302))</f>
        <v>0</v>
      </c>
      <c r="AF302" s="17">
        <f>IF(VLOOKUP($D302,$C$5:$AN$495,30,)=0,0,((VLOOKUP($D302,$C$5:$AN$495,30,)/VLOOKUP($D302,$C$5:$AN$495,4,))*$F302))</f>
        <v>0</v>
      </c>
      <c r="AG302" s="17"/>
      <c r="AH302" s="17">
        <f>IF(VLOOKUP($D302,$C$5:$AN$495,32,)=0,0,((VLOOKUP($D302,$C$5:$AN$495,32,)/VLOOKUP($D302,$C$5:$AN$495,4,))*$F302))</f>
        <v>0</v>
      </c>
      <c r="AI302" s="17"/>
      <c r="AJ302" s="17">
        <f>IF(VLOOKUP($D302,$C$5:$AN$495,34,)=0,0,((VLOOKUP($D302,$C$5:$AN$495,34,)/VLOOKUP($D302,$C$5:$AN$495,4,))*$F302))</f>
        <v>0</v>
      </c>
      <c r="AK302" s="17"/>
      <c r="AL302" s="17">
        <f>IF(VLOOKUP($D302,$C$5:$AN$495,36,)=0,0,((VLOOKUP($D302,$C$5:$AN$495,36,)/VLOOKUP($D302,$C$5:$AN$495,4,))*$F302))</f>
        <v>0</v>
      </c>
      <c r="AM302" s="17"/>
      <c r="AN302" s="17">
        <f>IF(VLOOKUP($D302,$C$5:$AN$495,38,)=0,0,((VLOOKUP($D302,$C$5:$AN$495,38,)/VLOOKUP($D302,$C$5:$AN$495,4,))*$F302))</f>
        <v>0</v>
      </c>
      <c r="AO302" s="17">
        <f>SUM(H302:AN302)</f>
        <v>0</v>
      </c>
      <c r="AP302" s="14" t="str">
        <f>IF(ABS(AO302-F302)&lt;1,"ok","err")</f>
        <v>ok</v>
      </c>
    </row>
    <row r="303" spans="1:42" x14ac:dyDescent="0.25">
      <c r="A303" s="178">
        <v>557</v>
      </c>
      <c r="B303" s="2" t="s">
        <v>378</v>
      </c>
      <c r="C303" s="2" t="s">
        <v>465</v>
      </c>
      <c r="D303" s="2" t="s">
        <v>103</v>
      </c>
      <c r="F303" s="106">
        <v>0</v>
      </c>
      <c r="H303" s="17">
        <f>IF(VLOOKUP($D303,$C$5:$AN$495,6,)=0,0,((VLOOKUP($D303,$C$5:$AN$495,6,)/VLOOKUP($D303,$C$5:$AN$495,4,))*$F303))</f>
        <v>0</v>
      </c>
      <c r="I303" s="17">
        <f>IF(VLOOKUP($D303,$C$5:$AN$495,7,)=0,0,((VLOOKUP($D303,$C$5:$AN$495,7,)/VLOOKUP($D303,$C$5:$AN$495,4,))*$F303))</f>
        <v>0</v>
      </c>
      <c r="J303" s="17">
        <f>IF(VLOOKUP($D303,$C$5:$AN$495,8,)=0,0,((VLOOKUP($D303,$C$5:$AN$495,8,)/VLOOKUP($D303,$C$5:$AN$495,4,))*$F303))</f>
        <v>0</v>
      </c>
      <c r="K303" s="17">
        <f>IF(VLOOKUP($D303,$C$5:$AN$495,9,)=0,0,((VLOOKUP($D303,$C$5:$AN$495,9,)/VLOOKUP($D303,$C$5:$AN$495,4,))*$F303))</f>
        <v>0</v>
      </c>
      <c r="L303" s="17">
        <f>IF(VLOOKUP($D303,$C$5:$AN$495,10,)=0,0,((VLOOKUP($D303,$C$5:$AN$495,10,)/VLOOKUP($D303,$C$5:$AN$495,4,))*$F303))</f>
        <v>0</v>
      </c>
      <c r="M303" s="17">
        <f>IF(VLOOKUP($D303,$C$5:$AN$495,11,)=0,0,((VLOOKUP($D303,$C$5:$AN$495,11,)/VLOOKUP($D303,$C$5:$AN$495,4,))*$F303))</f>
        <v>0</v>
      </c>
      <c r="N303" s="17">
        <f>IF(VLOOKUP($D303,$C$5:$AN$495,12,)=0,0,((VLOOKUP($D303,$C$5:$AN$495,12,)/VLOOKUP($D303,$C$5:$AN$495,4,))*$F303))</f>
        <v>0</v>
      </c>
      <c r="O303" s="17"/>
      <c r="P303" s="17">
        <f>IF(VLOOKUP($D303,$C$5:$AN$495,14,)=0,0,((VLOOKUP($D303,$C$5:$AN$495,14,)/VLOOKUP($D303,$C$5:$AN$495,4,))*$F303))</f>
        <v>0</v>
      </c>
      <c r="Q303" s="17"/>
      <c r="R303" s="17">
        <f>IF(VLOOKUP($D303,$C$5:$AN$495,16,)=0,0,((VLOOKUP($D303,$C$5:$AN$495,16,)/VLOOKUP($D303,$C$5:$AN$495,4,))*$F303))</f>
        <v>0</v>
      </c>
      <c r="S303" s="17"/>
      <c r="T303" s="17">
        <f>IF(VLOOKUP($D303,$C$5:$AN$495,18,)=0,0,((VLOOKUP($D303,$C$5:$AN$495,18,)/VLOOKUP($D303,$C$5:$AN$495,4,))*$F303))</f>
        <v>0</v>
      </c>
      <c r="U303" s="17"/>
      <c r="V303" s="17">
        <f>IF(VLOOKUP($D303,$C$5:$AN$495,20,)=0,0,((VLOOKUP($D303,$C$5:$AN$495,20,)/VLOOKUP($D303,$C$5:$AN$495,4,))*$F303))</f>
        <v>0</v>
      </c>
      <c r="W303" s="17">
        <f>IF(VLOOKUP($D303,$C$5:$AN$495,21,)=0,0,((VLOOKUP($D303,$C$5:$AN$495,21,)/VLOOKUP($D303,$C$5:$AN$495,4,))*$F303))</f>
        <v>0</v>
      </c>
      <c r="X303" s="17"/>
      <c r="Y303" s="17">
        <f>IF(VLOOKUP($D303,$C$5:$AN$495,23,)=0,0,((VLOOKUP($D303,$C$5:$AN$495,23,)/VLOOKUP($D303,$C$5:$AN$495,4,))*$F303))</f>
        <v>0</v>
      </c>
      <c r="Z303" s="17">
        <f>IF(VLOOKUP($D303,$C$5:$AN$495,24,)=0,0,((VLOOKUP($D303,$C$5:$AN$495,24,)/VLOOKUP($D303,$C$5:$AN$495,4,))*$F303))</f>
        <v>0</v>
      </c>
      <c r="AA303" s="17"/>
      <c r="AB303" s="17">
        <f>IF(VLOOKUP($D303,$C$5:$AN$495,26,)=0,0,((VLOOKUP($D303,$C$5:$AN$495,26,)/VLOOKUP($D303,$C$5:$AN$495,4,))*$F303))</f>
        <v>0</v>
      </c>
      <c r="AC303" s="17">
        <f>IF(VLOOKUP($D303,$C$5:$AN$495,27,)=0,0,((VLOOKUP($D303,$C$5:$AN$495,27,)/VLOOKUP($D303,$C$5:$AN$495,4,))*$F303))</f>
        <v>0</v>
      </c>
      <c r="AD303" s="17"/>
      <c r="AE303" s="17">
        <f>IF(VLOOKUP($D303,$C$5:$AN$495,29,)=0,0,((VLOOKUP($D303,$C$5:$AN$495,29,)/VLOOKUP($D303,$C$5:$AN$495,4,))*$F303))</f>
        <v>0</v>
      </c>
      <c r="AF303" s="17">
        <f>IF(VLOOKUP($D303,$C$5:$AN$495,30,)=0,0,((VLOOKUP($D303,$C$5:$AN$495,30,)/VLOOKUP($D303,$C$5:$AN$495,4,))*$F303))</f>
        <v>0</v>
      </c>
      <c r="AG303" s="17"/>
      <c r="AH303" s="17">
        <f>IF(VLOOKUP($D303,$C$5:$AN$495,32,)=0,0,((VLOOKUP($D303,$C$5:$AN$495,32,)/VLOOKUP($D303,$C$5:$AN$495,4,))*$F303))</f>
        <v>0</v>
      </c>
      <c r="AI303" s="17"/>
      <c r="AJ303" s="17">
        <f>IF(VLOOKUP($D303,$C$5:$AN$495,34,)=0,0,((VLOOKUP($D303,$C$5:$AN$495,34,)/VLOOKUP($D303,$C$5:$AN$495,4,))*$F303))</f>
        <v>0</v>
      </c>
      <c r="AK303" s="17"/>
      <c r="AL303" s="17">
        <f>IF(VLOOKUP($D303,$C$5:$AN$495,36,)=0,0,((VLOOKUP($D303,$C$5:$AN$495,36,)/VLOOKUP($D303,$C$5:$AN$495,4,))*$F303))</f>
        <v>0</v>
      </c>
      <c r="AM303" s="17"/>
      <c r="AN303" s="17">
        <f>IF(VLOOKUP($D303,$C$5:$AN$495,38,)=0,0,((VLOOKUP($D303,$C$5:$AN$495,38,)/VLOOKUP($D303,$C$5:$AN$495,4,))*$F303))</f>
        <v>0</v>
      </c>
      <c r="AO303" s="17">
        <f>SUM(H303:AN303)</f>
        <v>0</v>
      </c>
      <c r="AP303" s="14" t="str">
        <f>IF(ABS(AO303-F303)&lt;1,"ok","err")</f>
        <v>ok</v>
      </c>
    </row>
    <row r="304" spans="1:42" x14ac:dyDescent="0.25">
      <c r="A304" s="178"/>
      <c r="B304" s="2"/>
      <c r="F304" s="110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7"/>
      <c r="AP304" s="14"/>
    </row>
    <row r="305" spans="1:42" x14ac:dyDescent="0.25">
      <c r="A305" s="178"/>
      <c r="B305" s="2" t="s">
        <v>522</v>
      </c>
      <c r="C305" s="2" t="s">
        <v>464</v>
      </c>
      <c r="F305" s="110">
        <f>SUM(F302:F304)</f>
        <v>0</v>
      </c>
      <c r="G305" s="13"/>
      <c r="H305" s="13">
        <f t="shared" ref="H305:P305" si="256">SUM(H302:H304)</f>
        <v>0</v>
      </c>
      <c r="I305" s="13">
        <f t="shared" si="256"/>
        <v>0</v>
      </c>
      <c r="J305" s="13">
        <f t="shared" si="256"/>
        <v>0</v>
      </c>
      <c r="K305" s="13">
        <f t="shared" si="256"/>
        <v>0</v>
      </c>
      <c r="L305" s="13">
        <f t="shared" si="256"/>
        <v>0</v>
      </c>
      <c r="M305" s="13">
        <f t="shared" si="256"/>
        <v>0</v>
      </c>
      <c r="N305" s="13">
        <f t="shared" si="256"/>
        <v>0</v>
      </c>
      <c r="O305" s="13"/>
      <c r="P305" s="13">
        <f t="shared" si="256"/>
        <v>0</v>
      </c>
      <c r="Q305" s="13"/>
      <c r="R305" s="13">
        <f>SUM(R302:R304)</f>
        <v>0</v>
      </c>
      <c r="S305" s="13"/>
      <c r="T305" s="13">
        <f>SUM(T302:T304)</f>
        <v>0</v>
      </c>
      <c r="U305" s="13"/>
      <c r="V305" s="13">
        <f>SUM(V302:V304)</f>
        <v>0</v>
      </c>
      <c r="W305" s="13">
        <f>SUM(W302:W304)</f>
        <v>0</v>
      </c>
      <c r="X305" s="13"/>
      <c r="Y305" s="13">
        <f>SUM(Y302:Y304)</f>
        <v>0</v>
      </c>
      <c r="Z305" s="13">
        <f>SUM(Z302:Z304)</f>
        <v>0</v>
      </c>
      <c r="AA305" s="13"/>
      <c r="AB305" s="13">
        <f>SUM(AB302:AB304)</f>
        <v>0</v>
      </c>
      <c r="AC305" s="13">
        <f>SUM(AC302:AC304)</f>
        <v>0</v>
      </c>
      <c r="AD305" s="13"/>
      <c r="AE305" s="13">
        <f>SUM(AE302:AE304)</f>
        <v>0</v>
      </c>
      <c r="AF305" s="13">
        <f>SUM(AF302:AF304)</f>
        <v>0</v>
      </c>
      <c r="AG305" s="13"/>
      <c r="AH305" s="13">
        <f>SUM(AH302:AH304)</f>
        <v>0</v>
      </c>
      <c r="AI305" s="13"/>
      <c r="AJ305" s="13">
        <f>SUM(AJ302:AJ304)</f>
        <v>0</v>
      </c>
      <c r="AK305" s="13"/>
      <c r="AL305" s="13">
        <f>SUM(AL302:AL304)</f>
        <v>0</v>
      </c>
      <c r="AM305" s="13"/>
      <c r="AN305" s="13">
        <f>SUM(AN302:AN304)</f>
        <v>0</v>
      </c>
      <c r="AO305" s="17">
        <f>SUM(H305:AN305)</f>
        <v>0</v>
      </c>
      <c r="AP305" s="14" t="str">
        <f>IF(ABS(AO305-F305)&lt;1,"ok","err")</f>
        <v>ok</v>
      </c>
    </row>
    <row r="306" spans="1:42" x14ac:dyDescent="0.25">
      <c r="A306" s="178"/>
      <c r="B306" s="2"/>
      <c r="F306" s="110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7"/>
      <c r="AP306" s="14"/>
    </row>
    <row r="307" spans="1:42" x14ac:dyDescent="0.25">
      <c r="A307" s="7" t="s">
        <v>524</v>
      </c>
      <c r="B307" s="2"/>
      <c r="F307" s="110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7"/>
      <c r="AP307" s="14"/>
    </row>
    <row r="308" spans="1:42" x14ac:dyDescent="0.25">
      <c r="A308" s="178">
        <v>560</v>
      </c>
      <c r="B308" s="2" t="s">
        <v>351</v>
      </c>
      <c r="C308" s="2" t="s">
        <v>521</v>
      </c>
      <c r="D308" s="2" t="s">
        <v>368</v>
      </c>
      <c r="F308" s="106">
        <v>0</v>
      </c>
      <c r="H308" s="17">
        <f t="shared" ref="H308:H315" si="257">IF(VLOOKUP($D308,$C$5:$AN$495,6,)=0,0,((VLOOKUP($D308,$C$5:$AN$495,6,)/VLOOKUP($D308,$C$5:$AN$495,4,))*$F308))</f>
        <v>0</v>
      </c>
      <c r="I308" s="17">
        <f t="shared" ref="I308:I315" si="258">IF(VLOOKUP($D308,$C$5:$AN$495,7,)=0,0,((VLOOKUP($D308,$C$5:$AN$495,7,)/VLOOKUP($D308,$C$5:$AN$495,4,))*$F308))</f>
        <v>0</v>
      </c>
      <c r="J308" s="17">
        <f t="shared" ref="J308:J315" si="259">IF(VLOOKUP($D308,$C$5:$AN$495,8,)=0,0,((VLOOKUP($D308,$C$5:$AN$495,8,)/VLOOKUP($D308,$C$5:$AN$495,4,))*$F308))</f>
        <v>0</v>
      </c>
      <c r="K308" s="17">
        <f t="shared" ref="K308:K315" si="260">IF(VLOOKUP($D308,$C$5:$AN$495,9,)=0,0,((VLOOKUP($D308,$C$5:$AN$495,9,)/VLOOKUP($D308,$C$5:$AN$495,4,))*$F308))</f>
        <v>0</v>
      </c>
      <c r="L308" s="17">
        <f t="shared" ref="L308:L315" si="261">IF(VLOOKUP($D308,$C$5:$AN$495,10,)=0,0,((VLOOKUP($D308,$C$5:$AN$495,10,)/VLOOKUP($D308,$C$5:$AN$495,4,))*$F308))</f>
        <v>0</v>
      </c>
      <c r="M308" s="17">
        <f t="shared" ref="M308:M315" si="262">IF(VLOOKUP($D308,$C$5:$AN$495,11,)=0,0,((VLOOKUP($D308,$C$5:$AN$495,11,)/VLOOKUP($D308,$C$5:$AN$495,4,))*$F308))</f>
        <v>0</v>
      </c>
      <c r="N308" s="17">
        <f t="shared" ref="N308:N315" si="263">IF(VLOOKUP($D308,$C$5:$AN$495,12,)=0,0,((VLOOKUP($D308,$C$5:$AN$495,12,)/VLOOKUP($D308,$C$5:$AN$495,4,))*$F308))</f>
        <v>0</v>
      </c>
      <c r="O308" s="17"/>
      <c r="P308" s="17">
        <f t="shared" ref="P308:P315" si="264">IF(VLOOKUP($D308,$C$5:$AN$495,14,)=0,0,((VLOOKUP($D308,$C$5:$AN$495,14,)/VLOOKUP($D308,$C$5:$AN$495,4,))*$F308))</f>
        <v>0</v>
      </c>
      <c r="Q308" s="17"/>
      <c r="R308" s="17">
        <f t="shared" ref="R308:R315" si="265">IF(VLOOKUP($D308,$C$5:$AN$495,16,)=0,0,((VLOOKUP($D308,$C$5:$AN$495,16,)/VLOOKUP($D308,$C$5:$AN$495,4,))*$F308))</f>
        <v>0</v>
      </c>
      <c r="S308" s="17"/>
      <c r="T308" s="17">
        <f t="shared" ref="T308:T315" si="266">IF(VLOOKUP($D308,$C$5:$AN$495,18,)=0,0,((VLOOKUP($D308,$C$5:$AN$495,18,)/VLOOKUP($D308,$C$5:$AN$495,4,))*$F308))</f>
        <v>0</v>
      </c>
      <c r="U308" s="17"/>
      <c r="V308" s="17">
        <f t="shared" ref="V308:V315" si="267">IF(VLOOKUP($D308,$C$5:$AN$495,20,)=0,0,((VLOOKUP($D308,$C$5:$AN$495,20,)/VLOOKUP($D308,$C$5:$AN$495,4,))*$F308))</f>
        <v>0</v>
      </c>
      <c r="W308" s="17">
        <f t="shared" ref="W308:W315" si="268">IF(VLOOKUP($D308,$C$5:$AN$495,21,)=0,0,((VLOOKUP($D308,$C$5:$AN$495,21,)/VLOOKUP($D308,$C$5:$AN$495,4,))*$F308))</f>
        <v>0</v>
      </c>
      <c r="X308" s="17"/>
      <c r="Y308" s="17">
        <f t="shared" ref="Y308:Y315" si="269">IF(VLOOKUP($D308,$C$5:$AN$495,23,)=0,0,((VLOOKUP($D308,$C$5:$AN$495,23,)/VLOOKUP($D308,$C$5:$AN$495,4,))*$F308))</f>
        <v>0</v>
      </c>
      <c r="Z308" s="17">
        <f t="shared" ref="Z308:Z315" si="270">IF(VLOOKUP($D308,$C$5:$AN$495,24,)=0,0,((VLOOKUP($D308,$C$5:$AN$495,24,)/VLOOKUP($D308,$C$5:$AN$495,4,))*$F308))</f>
        <v>0</v>
      </c>
      <c r="AA308" s="17"/>
      <c r="AB308" s="17">
        <f t="shared" ref="AB308:AB315" si="271">IF(VLOOKUP($D308,$C$5:$AN$495,26,)=0,0,((VLOOKUP($D308,$C$5:$AN$495,26,)/VLOOKUP($D308,$C$5:$AN$495,4,))*$F308))</f>
        <v>0</v>
      </c>
      <c r="AC308" s="17">
        <f t="shared" ref="AC308:AC315" si="272">IF(VLOOKUP($D308,$C$5:$AN$495,27,)=0,0,((VLOOKUP($D308,$C$5:$AN$495,27,)/VLOOKUP($D308,$C$5:$AN$495,4,))*$F308))</f>
        <v>0</v>
      </c>
      <c r="AD308" s="17"/>
      <c r="AE308" s="17">
        <f t="shared" ref="AE308:AE315" si="273">IF(VLOOKUP($D308,$C$5:$AN$495,29,)=0,0,((VLOOKUP($D308,$C$5:$AN$495,29,)/VLOOKUP($D308,$C$5:$AN$495,4,))*$F308))</f>
        <v>0</v>
      </c>
      <c r="AF308" s="17">
        <f t="shared" ref="AF308:AF315" si="274">IF(VLOOKUP($D308,$C$5:$AN$495,30,)=0,0,((VLOOKUP($D308,$C$5:$AN$495,30,)/VLOOKUP($D308,$C$5:$AN$495,4,))*$F308))</f>
        <v>0</v>
      </c>
      <c r="AG308" s="17"/>
      <c r="AH308" s="17">
        <f t="shared" ref="AH308:AH315" si="275">IF(VLOOKUP($D308,$C$5:$AN$495,32,)=0,0,((VLOOKUP($D308,$C$5:$AN$495,32,)/VLOOKUP($D308,$C$5:$AN$495,4,))*$F308))</f>
        <v>0</v>
      </c>
      <c r="AI308" s="17"/>
      <c r="AJ308" s="17">
        <f t="shared" ref="AJ308:AJ315" si="276">IF(VLOOKUP($D308,$C$5:$AN$495,34,)=0,0,((VLOOKUP($D308,$C$5:$AN$495,34,)/VLOOKUP($D308,$C$5:$AN$495,4,))*$F308))</f>
        <v>0</v>
      </c>
      <c r="AK308" s="17"/>
      <c r="AL308" s="17">
        <f t="shared" ref="AL308:AL315" si="277">IF(VLOOKUP($D308,$C$5:$AN$495,36,)=0,0,((VLOOKUP($D308,$C$5:$AN$495,36,)/VLOOKUP($D308,$C$5:$AN$495,4,))*$F308))</f>
        <v>0</v>
      </c>
      <c r="AM308" s="17"/>
      <c r="AN308" s="17">
        <f t="shared" ref="AN308:AN315" si="278">IF(VLOOKUP($D308,$C$5:$AN$495,38,)=0,0,((VLOOKUP($D308,$C$5:$AN$495,38,)/VLOOKUP($D308,$C$5:$AN$495,4,))*$F308))</f>
        <v>0</v>
      </c>
      <c r="AO308" s="17">
        <f t="shared" ref="AO308:AO315" si="279">SUM(H308:AN308)</f>
        <v>0</v>
      </c>
      <c r="AP308" s="14" t="str">
        <f t="shared" ref="AP308:AP315" si="280">IF(ABS(AO308-F308)&lt;1,"ok","err")</f>
        <v>ok</v>
      </c>
    </row>
    <row r="309" spans="1:42" x14ac:dyDescent="0.25">
      <c r="A309" s="178">
        <v>561</v>
      </c>
      <c r="B309" s="2" t="s">
        <v>107</v>
      </c>
      <c r="C309" s="2" t="s">
        <v>466</v>
      </c>
      <c r="D309" s="2" t="s">
        <v>368</v>
      </c>
      <c r="F309" s="106">
        <v>0</v>
      </c>
      <c r="H309" s="17">
        <f t="shared" si="257"/>
        <v>0</v>
      </c>
      <c r="I309" s="17">
        <f t="shared" si="258"/>
        <v>0</v>
      </c>
      <c r="J309" s="17">
        <f t="shared" si="259"/>
        <v>0</v>
      </c>
      <c r="K309" s="17">
        <f t="shared" si="260"/>
        <v>0</v>
      </c>
      <c r="L309" s="17">
        <f t="shared" si="261"/>
        <v>0</v>
      </c>
      <c r="M309" s="17">
        <f t="shared" si="262"/>
        <v>0</v>
      </c>
      <c r="N309" s="17">
        <f t="shared" si="263"/>
        <v>0</v>
      </c>
      <c r="O309" s="17"/>
      <c r="P309" s="17">
        <f t="shared" si="264"/>
        <v>0</v>
      </c>
      <c r="Q309" s="17"/>
      <c r="R309" s="17">
        <f t="shared" si="265"/>
        <v>0</v>
      </c>
      <c r="S309" s="17"/>
      <c r="T309" s="17">
        <f t="shared" si="266"/>
        <v>0</v>
      </c>
      <c r="U309" s="17"/>
      <c r="V309" s="17">
        <f t="shared" si="267"/>
        <v>0</v>
      </c>
      <c r="W309" s="17">
        <f t="shared" si="268"/>
        <v>0</v>
      </c>
      <c r="X309" s="17"/>
      <c r="Y309" s="17">
        <f t="shared" si="269"/>
        <v>0</v>
      </c>
      <c r="Z309" s="17">
        <f t="shared" si="270"/>
        <v>0</v>
      </c>
      <c r="AA309" s="17"/>
      <c r="AB309" s="17">
        <f t="shared" si="271"/>
        <v>0</v>
      </c>
      <c r="AC309" s="17">
        <f t="shared" si="272"/>
        <v>0</v>
      </c>
      <c r="AD309" s="17"/>
      <c r="AE309" s="17">
        <f t="shared" si="273"/>
        <v>0</v>
      </c>
      <c r="AF309" s="17">
        <f t="shared" si="274"/>
        <v>0</v>
      </c>
      <c r="AG309" s="17"/>
      <c r="AH309" s="17">
        <f t="shared" si="275"/>
        <v>0</v>
      </c>
      <c r="AI309" s="17"/>
      <c r="AJ309" s="17">
        <f t="shared" si="276"/>
        <v>0</v>
      </c>
      <c r="AK309" s="17"/>
      <c r="AL309" s="17">
        <f t="shared" si="277"/>
        <v>0</v>
      </c>
      <c r="AM309" s="17"/>
      <c r="AN309" s="17">
        <f t="shared" si="278"/>
        <v>0</v>
      </c>
      <c r="AO309" s="17">
        <f t="shared" si="279"/>
        <v>0</v>
      </c>
      <c r="AP309" s="14" t="str">
        <f t="shared" si="280"/>
        <v>ok</v>
      </c>
    </row>
    <row r="310" spans="1:42" x14ac:dyDescent="0.25">
      <c r="A310" s="178">
        <v>562</v>
      </c>
      <c r="B310" s="2" t="s">
        <v>349</v>
      </c>
      <c r="C310" s="2" t="s">
        <v>467</v>
      </c>
      <c r="D310" s="2" t="s">
        <v>368</v>
      </c>
      <c r="F310" s="106">
        <v>0</v>
      </c>
      <c r="H310" s="17">
        <f t="shared" si="257"/>
        <v>0</v>
      </c>
      <c r="I310" s="17">
        <f t="shared" si="258"/>
        <v>0</v>
      </c>
      <c r="J310" s="17">
        <f t="shared" si="259"/>
        <v>0</v>
      </c>
      <c r="K310" s="17">
        <f t="shared" si="260"/>
        <v>0</v>
      </c>
      <c r="L310" s="17">
        <f t="shared" si="261"/>
        <v>0</v>
      </c>
      <c r="M310" s="17">
        <f t="shared" si="262"/>
        <v>0</v>
      </c>
      <c r="N310" s="17">
        <f t="shared" si="263"/>
        <v>0</v>
      </c>
      <c r="O310" s="17"/>
      <c r="P310" s="17">
        <f t="shared" si="264"/>
        <v>0</v>
      </c>
      <c r="Q310" s="17"/>
      <c r="R310" s="17">
        <f t="shared" si="265"/>
        <v>0</v>
      </c>
      <c r="S310" s="17"/>
      <c r="T310" s="17">
        <f t="shared" si="266"/>
        <v>0</v>
      </c>
      <c r="U310" s="17"/>
      <c r="V310" s="17">
        <f t="shared" si="267"/>
        <v>0</v>
      </c>
      <c r="W310" s="17">
        <f t="shared" si="268"/>
        <v>0</v>
      </c>
      <c r="X310" s="17"/>
      <c r="Y310" s="17">
        <f t="shared" si="269"/>
        <v>0</v>
      </c>
      <c r="Z310" s="17">
        <f t="shared" si="270"/>
        <v>0</v>
      </c>
      <c r="AA310" s="17"/>
      <c r="AB310" s="17">
        <f t="shared" si="271"/>
        <v>0</v>
      </c>
      <c r="AC310" s="17">
        <f t="shared" si="272"/>
        <v>0</v>
      </c>
      <c r="AD310" s="17"/>
      <c r="AE310" s="17">
        <f t="shared" si="273"/>
        <v>0</v>
      </c>
      <c r="AF310" s="17">
        <f t="shared" si="274"/>
        <v>0</v>
      </c>
      <c r="AG310" s="17"/>
      <c r="AH310" s="17">
        <f t="shared" si="275"/>
        <v>0</v>
      </c>
      <c r="AI310" s="17"/>
      <c r="AJ310" s="17">
        <f t="shared" si="276"/>
        <v>0</v>
      </c>
      <c r="AK310" s="17"/>
      <c r="AL310" s="17">
        <f t="shared" si="277"/>
        <v>0</v>
      </c>
      <c r="AM310" s="17"/>
      <c r="AN310" s="17">
        <f t="shared" si="278"/>
        <v>0</v>
      </c>
      <c r="AO310" s="17">
        <f t="shared" si="279"/>
        <v>0</v>
      </c>
      <c r="AP310" s="14" t="str">
        <f t="shared" si="280"/>
        <v>ok</v>
      </c>
    </row>
    <row r="311" spans="1:42" x14ac:dyDescent="0.25">
      <c r="A311" s="178">
        <v>563</v>
      </c>
      <c r="B311" s="2" t="s">
        <v>109</v>
      </c>
      <c r="C311" s="2" t="s">
        <v>468</v>
      </c>
      <c r="D311" s="2" t="s">
        <v>368</v>
      </c>
      <c r="F311" s="106">
        <v>0</v>
      </c>
      <c r="H311" s="17">
        <f t="shared" si="257"/>
        <v>0</v>
      </c>
      <c r="I311" s="17">
        <f t="shared" si="258"/>
        <v>0</v>
      </c>
      <c r="J311" s="17">
        <f t="shared" si="259"/>
        <v>0</v>
      </c>
      <c r="K311" s="17">
        <f t="shared" si="260"/>
        <v>0</v>
      </c>
      <c r="L311" s="17">
        <f t="shared" si="261"/>
        <v>0</v>
      </c>
      <c r="M311" s="17">
        <f t="shared" si="262"/>
        <v>0</v>
      </c>
      <c r="N311" s="17">
        <f t="shared" si="263"/>
        <v>0</v>
      </c>
      <c r="O311" s="17"/>
      <c r="P311" s="17">
        <f t="shared" si="264"/>
        <v>0</v>
      </c>
      <c r="Q311" s="17"/>
      <c r="R311" s="17">
        <f t="shared" si="265"/>
        <v>0</v>
      </c>
      <c r="S311" s="17"/>
      <c r="T311" s="17">
        <f t="shared" si="266"/>
        <v>0</v>
      </c>
      <c r="U311" s="17"/>
      <c r="V311" s="17">
        <f t="shared" si="267"/>
        <v>0</v>
      </c>
      <c r="W311" s="17">
        <f t="shared" si="268"/>
        <v>0</v>
      </c>
      <c r="X311" s="17"/>
      <c r="Y311" s="17">
        <f t="shared" si="269"/>
        <v>0</v>
      </c>
      <c r="Z311" s="17">
        <f t="shared" si="270"/>
        <v>0</v>
      </c>
      <c r="AA311" s="17"/>
      <c r="AB311" s="17">
        <f t="shared" si="271"/>
        <v>0</v>
      </c>
      <c r="AC311" s="17">
        <f t="shared" si="272"/>
        <v>0</v>
      </c>
      <c r="AD311" s="17"/>
      <c r="AE311" s="17">
        <f t="shared" si="273"/>
        <v>0</v>
      </c>
      <c r="AF311" s="17">
        <f t="shared" si="274"/>
        <v>0</v>
      </c>
      <c r="AG311" s="17"/>
      <c r="AH311" s="17">
        <f t="shared" si="275"/>
        <v>0</v>
      </c>
      <c r="AI311" s="17"/>
      <c r="AJ311" s="17">
        <f t="shared" si="276"/>
        <v>0</v>
      </c>
      <c r="AK311" s="17"/>
      <c r="AL311" s="17">
        <f t="shared" si="277"/>
        <v>0</v>
      </c>
      <c r="AM311" s="17"/>
      <c r="AN311" s="17">
        <f t="shared" si="278"/>
        <v>0</v>
      </c>
      <c r="AO311" s="17">
        <f t="shared" si="279"/>
        <v>0</v>
      </c>
      <c r="AP311" s="14" t="str">
        <f t="shared" si="280"/>
        <v>ok</v>
      </c>
    </row>
    <row r="312" spans="1:42" x14ac:dyDescent="0.25">
      <c r="A312" s="178">
        <v>566</v>
      </c>
      <c r="B312" s="2" t="s">
        <v>585</v>
      </c>
      <c r="C312" s="2" t="s">
        <v>589</v>
      </c>
      <c r="D312" s="2" t="s">
        <v>368</v>
      </c>
      <c r="F312" s="106">
        <v>0</v>
      </c>
      <c r="H312" s="17">
        <f t="shared" si="257"/>
        <v>0</v>
      </c>
      <c r="I312" s="17">
        <f t="shared" si="258"/>
        <v>0</v>
      </c>
      <c r="J312" s="17">
        <f t="shared" si="259"/>
        <v>0</v>
      </c>
      <c r="K312" s="17">
        <f t="shared" si="260"/>
        <v>0</v>
      </c>
      <c r="L312" s="17">
        <f t="shared" si="261"/>
        <v>0</v>
      </c>
      <c r="M312" s="17">
        <f t="shared" si="262"/>
        <v>0</v>
      </c>
      <c r="N312" s="17">
        <f t="shared" si="263"/>
        <v>0</v>
      </c>
      <c r="O312" s="17"/>
      <c r="P312" s="17">
        <f t="shared" si="264"/>
        <v>0</v>
      </c>
      <c r="Q312" s="17"/>
      <c r="R312" s="17">
        <f t="shared" si="265"/>
        <v>0</v>
      </c>
      <c r="S312" s="17"/>
      <c r="T312" s="17">
        <f t="shared" si="266"/>
        <v>0</v>
      </c>
      <c r="U312" s="17"/>
      <c r="V312" s="17">
        <f t="shared" si="267"/>
        <v>0</v>
      </c>
      <c r="W312" s="17">
        <f t="shared" si="268"/>
        <v>0</v>
      </c>
      <c r="X312" s="17"/>
      <c r="Y312" s="17">
        <f t="shared" si="269"/>
        <v>0</v>
      </c>
      <c r="Z312" s="17">
        <f t="shared" si="270"/>
        <v>0</v>
      </c>
      <c r="AA312" s="17"/>
      <c r="AB312" s="17">
        <f t="shared" si="271"/>
        <v>0</v>
      </c>
      <c r="AC312" s="17">
        <f t="shared" si="272"/>
        <v>0</v>
      </c>
      <c r="AD312" s="17"/>
      <c r="AE312" s="17">
        <f t="shared" si="273"/>
        <v>0</v>
      </c>
      <c r="AF312" s="17">
        <f t="shared" si="274"/>
        <v>0</v>
      </c>
      <c r="AG312" s="17"/>
      <c r="AH312" s="17">
        <f t="shared" si="275"/>
        <v>0</v>
      </c>
      <c r="AI312" s="17"/>
      <c r="AJ312" s="17">
        <f t="shared" si="276"/>
        <v>0</v>
      </c>
      <c r="AK312" s="17"/>
      <c r="AL312" s="17">
        <f t="shared" si="277"/>
        <v>0</v>
      </c>
      <c r="AM312" s="17"/>
      <c r="AN312" s="17">
        <f t="shared" si="278"/>
        <v>0</v>
      </c>
      <c r="AO312" s="17">
        <f t="shared" si="279"/>
        <v>0</v>
      </c>
      <c r="AP312" s="14" t="str">
        <f t="shared" si="280"/>
        <v>ok</v>
      </c>
    </row>
    <row r="313" spans="1:42" x14ac:dyDescent="0.25">
      <c r="A313" s="178">
        <v>568</v>
      </c>
      <c r="B313" s="2" t="s">
        <v>350</v>
      </c>
      <c r="C313" s="2" t="s">
        <v>469</v>
      </c>
      <c r="D313" s="2" t="s">
        <v>368</v>
      </c>
      <c r="F313" s="106">
        <v>0</v>
      </c>
      <c r="H313" s="17">
        <f t="shared" si="257"/>
        <v>0</v>
      </c>
      <c r="I313" s="17">
        <f t="shared" si="258"/>
        <v>0</v>
      </c>
      <c r="J313" s="17">
        <f t="shared" si="259"/>
        <v>0</v>
      </c>
      <c r="K313" s="17">
        <f t="shared" si="260"/>
        <v>0</v>
      </c>
      <c r="L313" s="17">
        <f t="shared" si="261"/>
        <v>0</v>
      </c>
      <c r="M313" s="17">
        <f t="shared" si="262"/>
        <v>0</v>
      </c>
      <c r="N313" s="17">
        <f t="shared" si="263"/>
        <v>0</v>
      </c>
      <c r="O313" s="17"/>
      <c r="P313" s="17">
        <f t="shared" si="264"/>
        <v>0</v>
      </c>
      <c r="Q313" s="17"/>
      <c r="R313" s="17">
        <f t="shared" si="265"/>
        <v>0</v>
      </c>
      <c r="S313" s="17"/>
      <c r="T313" s="17">
        <f t="shared" si="266"/>
        <v>0</v>
      </c>
      <c r="U313" s="17"/>
      <c r="V313" s="17">
        <f t="shared" si="267"/>
        <v>0</v>
      </c>
      <c r="W313" s="17">
        <f t="shared" si="268"/>
        <v>0</v>
      </c>
      <c r="X313" s="17"/>
      <c r="Y313" s="17">
        <f t="shared" si="269"/>
        <v>0</v>
      </c>
      <c r="Z313" s="17">
        <f t="shared" si="270"/>
        <v>0</v>
      </c>
      <c r="AA313" s="17"/>
      <c r="AB313" s="17">
        <f t="shared" si="271"/>
        <v>0</v>
      </c>
      <c r="AC313" s="17">
        <f t="shared" si="272"/>
        <v>0</v>
      </c>
      <c r="AD313" s="17"/>
      <c r="AE313" s="17">
        <f t="shared" si="273"/>
        <v>0</v>
      </c>
      <c r="AF313" s="17">
        <f t="shared" si="274"/>
        <v>0</v>
      </c>
      <c r="AG313" s="17"/>
      <c r="AH313" s="17">
        <f t="shared" si="275"/>
        <v>0</v>
      </c>
      <c r="AI313" s="17"/>
      <c r="AJ313" s="17">
        <f t="shared" si="276"/>
        <v>0</v>
      </c>
      <c r="AK313" s="17"/>
      <c r="AL313" s="17">
        <f t="shared" si="277"/>
        <v>0</v>
      </c>
      <c r="AM313" s="17"/>
      <c r="AN313" s="17">
        <f t="shared" si="278"/>
        <v>0</v>
      </c>
      <c r="AO313" s="17">
        <f t="shared" si="279"/>
        <v>0</v>
      </c>
      <c r="AP313" s="14" t="str">
        <f t="shared" si="280"/>
        <v>ok</v>
      </c>
    </row>
    <row r="314" spans="1:42" x14ac:dyDescent="0.25">
      <c r="A314" s="178">
        <v>570</v>
      </c>
      <c r="B314" s="2" t="s">
        <v>352</v>
      </c>
      <c r="C314" s="2" t="s">
        <v>470</v>
      </c>
      <c r="D314" s="2" t="s">
        <v>368</v>
      </c>
      <c r="F314" s="106">
        <v>0</v>
      </c>
      <c r="H314" s="17">
        <f t="shared" si="257"/>
        <v>0</v>
      </c>
      <c r="I314" s="17">
        <f t="shared" si="258"/>
        <v>0</v>
      </c>
      <c r="J314" s="17">
        <f t="shared" si="259"/>
        <v>0</v>
      </c>
      <c r="K314" s="17">
        <f t="shared" si="260"/>
        <v>0</v>
      </c>
      <c r="L314" s="17">
        <f t="shared" si="261"/>
        <v>0</v>
      </c>
      <c r="M314" s="17">
        <f t="shared" si="262"/>
        <v>0</v>
      </c>
      <c r="N314" s="17">
        <f t="shared" si="263"/>
        <v>0</v>
      </c>
      <c r="O314" s="17"/>
      <c r="P314" s="17">
        <f t="shared" si="264"/>
        <v>0</v>
      </c>
      <c r="Q314" s="17"/>
      <c r="R314" s="17">
        <f t="shared" si="265"/>
        <v>0</v>
      </c>
      <c r="S314" s="17"/>
      <c r="T314" s="17">
        <f t="shared" si="266"/>
        <v>0</v>
      </c>
      <c r="U314" s="17"/>
      <c r="V314" s="17">
        <f t="shared" si="267"/>
        <v>0</v>
      </c>
      <c r="W314" s="17">
        <f t="shared" si="268"/>
        <v>0</v>
      </c>
      <c r="X314" s="17"/>
      <c r="Y314" s="17">
        <f t="shared" si="269"/>
        <v>0</v>
      </c>
      <c r="Z314" s="17">
        <f t="shared" si="270"/>
        <v>0</v>
      </c>
      <c r="AA314" s="17"/>
      <c r="AB314" s="17">
        <f t="shared" si="271"/>
        <v>0</v>
      </c>
      <c r="AC314" s="17">
        <f t="shared" si="272"/>
        <v>0</v>
      </c>
      <c r="AD314" s="17"/>
      <c r="AE314" s="17">
        <f t="shared" si="273"/>
        <v>0</v>
      </c>
      <c r="AF314" s="17">
        <f t="shared" si="274"/>
        <v>0</v>
      </c>
      <c r="AG314" s="17"/>
      <c r="AH314" s="17">
        <f t="shared" si="275"/>
        <v>0</v>
      </c>
      <c r="AI314" s="17"/>
      <c r="AJ314" s="17">
        <f t="shared" si="276"/>
        <v>0</v>
      </c>
      <c r="AK314" s="17"/>
      <c r="AL314" s="17">
        <f t="shared" si="277"/>
        <v>0</v>
      </c>
      <c r="AM314" s="17"/>
      <c r="AN314" s="17">
        <f t="shared" si="278"/>
        <v>0</v>
      </c>
      <c r="AO314" s="17">
        <f t="shared" si="279"/>
        <v>0</v>
      </c>
      <c r="AP314" s="14" t="str">
        <f t="shared" si="280"/>
        <v>ok</v>
      </c>
    </row>
    <row r="315" spans="1:42" x14ac:dyDescent="0.25">
      <c r="A315" s="178">
        <v>571</v>
      </c>
      <c r="B315" s="2" t="s">
        <v>353</v>
      </c>
      <c r="C315" s="2" t="s">
        <v>471</v>
      </c>
      <c r="D315" s="2" t="s">
        <v>368</v>
      </c>
      <c r="F315" s="106">
        <v>0</v>
      </c>
      <c r="H315" s="17">
        <f t="shared" si="257"/>
        <v>0</v>
      </c>
      <c r="I315" s="17">
        <f t="shared" si="258"/>
        <v>0</v>
      </c>
      <c r="J315" s="17">
        <f t="shared" si="259"/>
        <v>0</v>
      </c>
      <c r="K315" s="17">
        <f t="shared" si="260"/>
        <v>0</v>
      </c>
      <c r="L315" s="17">
        <f t="shared" si="261"/>
        <v>0</v>
      </c>
      <c r="M315" s="17">
        <f t="shared" si="262"/>
        <v>0</v>
      </c>
      <c r="N315" s="17">
        <f t="shared" si="263"/>
        <v>0</v>
      </c>
      <c r="O315" s="17"/>
      <c r="P315" s="17">
        <f t="shared" si="264"/>
        <v>0</v>
      </c>
      <c r="Q315" s="17"/>
      <c r="R315" s="17">
        <f t="shared" si="265"/>
        <v>0</v>
      </c>
      <c r="S315" s="17"/>
      <c r="T315" s="17">
        <f t="shared" si="266"/>
        <v>0</v>
      </c>
      <c r="U315" s="17"/>
      <c r="V315" s="17">
        <f t="shared" si="267"/>
        <v>0</v>
      </c>
      <c r="W315" s="17">
        <f t="shared" si="268"/>
        <v>0</v>
      </c>
      <c r="X315" s="17"/>
      <c r="Y315" s="17">
        <f t="shared" si="269"/>
        <v>0</v>
      </c>
      <c r="Z315" s="17">
        <f t="shared" si="270"/>
        <v>0</v>
      </c>
      <c r="AA315" s="17"/>
      <c r="AB315" s="17">
        <f t="shared" si="271"/>
        <v>0</v>
      </c>
      <c r="AC315" s="17">
        <f t="shared" si="272"/>
        <v>0</v>
      </c>
      <c r="AD315" s="17"/>
      <c r="AE315" s="17">
        <f t="shared" si="273"/>
        <v>0</v>
      </c>
      <c r="AF315" s="17">
        <f t="shared" si="274"/>
        <v>0</v>
      </c>
      <c r="AG315" s="17"/>
      <c r="AH315" s="17">
        <f t="shared" si="275"/>
        <v>0</v>
      </c>
      <c r="AI315" s="17"/>
      <c r="AJ315" s="17">
        <f t="shared" si="276"/>
        <v>0</v>
      </c>
      <c r="AK315" s="17"/>
      <c r="AL315" s="17">
        <f t="shared" si="277"/>
        <v>0</v>
      </c>
      <c r="AM315" s="17"/>
      <c r="AN315" s="17">
        <f t="shared" si="278"/>
        <v>0</v>
      </c>
      <c r="AO315" s="17">
        <f t="shared" si="279"/>
        <v>0</v>
      </c>
      <c r="AP315" s="14" t="str">
        <f t="shared" si="280"/>
        <v>ok</v>
      </c>
    </row>
    <row r="316" spans="1:42" x14ac:dyDescent="0.25">
      <c r="A316" s="178"/>
      <c r="B316" s="2"/>
      <c r="F316" s="110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7"/>
      <c r="AP316" s="14"/>
    </row>
    <row r="317" spans="1:42" x14ac:dyDescent="0.25">
      <c r="A317" s="178" t="s">
        <v>523</v>
      </c>
      <c r="B317" s="2"/>
      <c r="F317" s="16">
        <f t="shared" ref="F317:P317" si="281">SUM(F308:F315)</f>
        <v>0</v>
      </c>
      <c r="G317" s="16">
        <f t="shared" si="281"/>
        <v>0</v>
      </c>
      <c r="H317" s="16">
        <f t="shared" si="281"/>
        <v>0</v>
      </c>
      <c r="I317" s="16">
        <f t="shared" si="281"/>
        <v>0</v>
      </c>
      <c r="J317" s="16">
        <f t="shared" si="281"/>
        <v>0</v>
      </c>
      <c r="K317" s="16">
        <f t="shared" si="281"/>
        <v>0</v>
      </c>
      <c r="L317" s="16">
        <f t="shared" si="281"/>
        <v>0</v>
      </c>
      <c r="M317" s="16">
        <f t="shared" si="281"/>
        <v>0</v>
      </c>
      <c r="N317" s="16">
        <f t="shared" si="281"/>
        <v>0</v>
      </c>
      <c r="O317" s="16"/>
      <c r="P317" s="16">
        <f t="shared" si="281"/>
        <v>0</v>
      </c>
      <c r="Q317" s="16"/>
      <c r="R317" s="16">
        <f>SUM(R308:R315)</f>
        <v>0</v>
      </c>
      <c r="S317" s="16"/>
      <c r="T317" s="16">
        <f>SUM(T308:T315)</f>
        <v>0</v>
      </c>
      <c r="U317" s="16"/>
      <c r="V317" s="16">
        <f>SUM(V308:V315)</f>
        <v>0</v>
      </c>
      <c r="W317" s="16">
        <f>SUM(W308:W315)</f>
        <v>0</v>
      </c>
      <c r="X317" s="16"/>
      <c r="Y317" s="16">
        <f>SUM(Y308:Y315)</f>
        <v>0</v>
      </c>
      <c r="Z317" s="16">
        <f>SUM(Z308:Z315)</f>
        <v>0</v>
      </c>
      <c r="AA317" s="16"/>
      <c r="AB317" s="16">
        <f>SUM(AB308:AB315)</f>
        <v>0</v>
      </c>
      <c r="AC317" s="16">
        <f>SUM(AC308:AC315)</f>
        <v>0</v>
      </c>
      <c r="AD317" s="16"/>
      <c r="AE317" s="16">
        <f>SUM(AE308:AE315)</f>
        <v>0</v>
      </c>
      <c r="AF317" s="16">
        <f>SUM(AF308:AF315)</f>
        <v>0</v>
      </c>
      <c r="AG317" s="16"/>
      <c r="AH317" s="16">
        <f>SUM(AH308:AH315)</f>
        <v>0</v>
      </c>
      <c r="AI317" s="16"/>
      <c r="AJ317" s="16">
        <f>SUM(AJ308:AJ315)</f>
        <v>0</v>
      </c>
      <c r="AK317" s="16"/>
      <c r="AL317" s="16">
        <f>SUM(AL308:AL315)</f>
        <v>0</v>
      </c>
      <c r="AM317" s="16"/>
      <c r="AN317" s="16">
        <f>SUM(AN308:AN315)</f>
        <v>0</v>
      </c>
      <c r="AO317" s="13">
        <f>SUM(H317:AN317)</f>
        <v>0</v>
      </c>
      <c r="AP317" s="14" t="str">
        <f>IF(ABS(AO317-F317)&lt;1,"ok","err")</f>
        <v>ok</v>
      </c>
    </row>
    <row r="318" spans="1:42" x14ac:dyDescent="0.25">
      <c r="A318" s="2"/>
      <c r="B318" s="2"/>
      <c r="AD318" s="2"/>
      <c r="AP318" s="14"/>
    </row>
    <row r="319" spans="1:42" x14ac:dyDescent="0.25">
      <c r="A319" s="8" t="s">
        <v>525</v>
      </c>
      <c r="B319" s="2"/>
      <c r="AD319" s="2"/>
      <c r="AP319" s="14"/>
    </row>
    <row r="320" spans="1:42" x14ac:dyDescent="0.25">
      <c r="A320" s="2">
        <v>580</v>
      </c>
      <c r="B320" s="2" t="s">
        <v>105</v>
      </c>
      <c r="C320" s="2" t="s">
        <v>472</v>
      </c>
      <c r="D320" s="2" t="s">
        <v>18</v>
      </c>
      <c r="F320" s="195">
        <v>39543.42</v>
      </c>
      <c r="H320" s="17">
        <f t="shared" ref="H320:H330" si="282">IF(VLOOKUP($D320,$C$5:$AN$495,6,)=0,0,((VLOOKUP($D320,$C$5:$AN$495,6,)/VLOOKUP($D320,$C$5:$AN$495,4,))*$F320))</f>
        <v>0</v>
      </c>
      <c r="I320" s="17">
        <f t="shared" ref="I320:I330" si="283">IF(VLOOKUP($D320,$C$5:$AN$495,7,)=0,0,((VLOOKUP($D320,$C$5:$AN$495,7,)/VLOOKUP($D320,$C$5:$AN$495,4,))*$F320))</f>
        <v>0</v>
      </c>
      <c r="J320" s="17">
        <f t="shared" ref="J320:J330" si="284">IF(VLOOKUP($D320,$C$5:$AN$495,8,)=0,0,((VLOOKUP($D320,$C$5:$AN$495,8,)/VLOOKUP($D320,$C$5:$AN$495,4,))*$F320))</f>
        <v>0</v>
      </c>
      <c r="K320" s="17">
        <f t="shared" ref="K320:K330" si="285">IF(VLOOKUP($D320,$C$5:$AN$495,9,)=0,0,((VLOOKUP($D320,$C$5:$AN$495,9,)/VLOOKUP($D320,$C$5:$AN$495,4,))*$F320))</f>
        <v>0</v>
      </c>
      <c r="L320" s="17">
        <f t="shared" ref="L320:L330" si="286">IF(VLOOKUP($D320,$C$5:$AN$495,10,)=0,0,((VLOOKUP($D320,$C$5:$AN$495,10,)/VLOOKUP($D320,$C$5:$AN$495,4,))*$F320))</f>
        <v>0</v>
      </c>
      <c r="M320" s="17">
        <f t="shared" ref="M320:M330" si="287">IF(VLOOKUP($D320,$C$5:$AN$495,11,)=0,0,((VLOOKUP($D320,$C$5:$AN$495,11,)/VLOOKUP($D320,$C$5:$AN$495,4,))*$F320))</f>
        <v>0</v>
      </c>
      <c r="N320" s="17">
        <f t="shared" ref="N320:N330" si="288">IF(VLOOKUP($D320,$C$5:$AN$495,12,)=0,0,((VLOOKUP($D320,$C$5:$AN$495,12,)/VLOOKUP($D320,$C$5:$AN$495,4,))*$F320))</f>
        <v>0</v>
      </c>
      <c r="O320" s="17"/>
      <c r="P320" s="17">
        <f t="shared" ref="P320:P330" si="289">IF(VLOOKUP($D320,$C$5:$AN$495,14,)=0,0,((VLOOKUP($D320,$C$5:$AN$495,14,)/VLOOKUP($D320,$C$5:$AN$495,4,))*$F320))</f>
        <v>0</v>
      </c>
      <c r="Q320" s="17"/>
      <c r="R320" s="17">
        <f t="shared" ref="R320:R330" si="290">IF(VLOOKUP($D320,$C$5:$AN$495,16,)=0,0,((VLOOKUP($D320,$C$5:$AN$495,16,)/VLOOKUP($D320,$C$5:$AN$495,4,))*$F320))</f>
        <v>0</v>
      </c>
      <c r="S320" s="17"/>
      <c r="T320" s="17">
        <f t="shared" ref="T320:T330" si="291">IF(VLOOKUP($D320,$C$5:$AN$495,18,)=0,0,((VLOOKUP($D320,$C$5:$AN$495,18,)/VLOOKUP($D320,$C$5:$AN$495,4,))*$F320))</f>
        <v>145.59586540061235</v>
      </c>
      <c r="U320" s="17"/>
      <c r="V320" s="17">
        <f t="shared" ref="V320:V330" si="292">IF(VLOOKUP($D320,$C$5:$AN$495,20,)=0,0,((VLOOKUP($D320,$C$5:$AN$495,20,)/VLOOKUP($D320,$C$5:$AN$495,4,))*$F320))</f>
        <v>14101.193909747964</v>
      </c>
      <c r="W320" s="17">
        <f t="shared" ref="W320:W330" si="293">IF(VLOOKUP($D320,$C$5:$AN$495,21,)=0,0,((VLOOKUP($D320,$C$5:$AN$495,21,)/VLOOKUP($D320,$C$5:$AN$495,4,))*$F320))</f>
        <v>6942.7367009130976</v>
      </c>
      <c r="X320" s="17"/>
      <c r="Y320" s="17">
        <f t="shared" ref="Y320:Y330" si="294">IF(VLOOKUP($D320,$C$5:$AN$495,23,)=0,0,((VLOOKUP($D320,$C$5:$AN$495,23,)/VLOOKUP($D320,$C$5:$AN$495,4,))*$F320))</f>
        <v>1566.7993233053292</v>
      </c>
      <c r="Z320" s="17">
        <f t="shared" ref="Z320:Z330" si="295">IF(VLOOKUP($D320,$C$5:$AN$495,24,)=0,0,((VLOOKUP($D320,$C$5:$AN$495,24,)/VLOOKUP($D320,$C$5:$AN$495,4,))*$F320))</f>
        <v>771.41518899034395</v>
      </c>
      <c r="AA320" s="17"/>
      <c r="AB320" s="17">
        <f t="shared" ref="AB320:AB330" si="296">IF(VLOOKUP($D320,$C$5:$AN$495,26,)=0,0,((VLOOKUP($D320,$C$5:$AN$495,26,)/VLOOKUP($D320,$C$5:$AN$495,4,))*$F320))</f>
        <v>3067.6365253149552</v>
      </c>
      <c r="AC320" s="17">
        <f t="shared" ref="AC320:AC330" si="297">IF(VLOOKUP($D320,$C$5:$AN$495,27,)=0,0,((VLOOKUP($D320,$C$5:$AN$495,27,)/VLOOKUP($D320,$C$5:$AN$495,4,))*$F320))</f>
        <v>3995.7678617791162</v>
      </c>
      <c r="AD320" s="17"/>
      <c r="AE320" s="17">
        <f t="shared" ref="AE320:AE330" si="298">IF(VLOOKUP($D320,$C$5:$AN$495,29,)=0,0,((VLOOKUP($D320,$C$5:$AN$495,29,)/VLOOKUP($D320,$C$5:$AN$495,4,))*$F320))</f>
        <v>0</v>
      </c>
      <c r="AF320" s="17">
        <f t="shared" ref="AF320:AF330" si="299">IF(VLOOKUP($D320,$C$5:$AN$495,30,)=0,0,((VLOOKUP($D320,$C$5:$AN$495,30,)/VLOOKUP($D320,$C$5:$AN$495,4,))*$F320))</f>
        <v>4982.0175332123845</v>
      </c>
      <c r="AG320" s="17"/>
      <c r="AH320" s="17">
        <f t="shared" ref="AH320:AH330" si="300">IF(VLOOKUP($D320,$C$5:$AN$495,32,)=0,0,((VLOOKUP($D320,$C$5:$AN$495,32,)/VLOOKUP($D320,$C$5:$AN$495,4,))*$F320))</f>
        <v>1907.5644528603541</v>
      </c>
      <c r="AI320" s="17"/>
      <c r="AJ320" s="17">
        <f t="shared" ref="AJ320:AJ330" si="301">IF(VLOOKUP($D320,$C$5:$AN$495,34,)=0,0,((VLOOKUP($D320,$C$5:$AN$495,34,)/VLOOKUP($D320,$C$5:$AN$495,4,))*$F320))</f>
        <v>2062.6926384758503</v>
      </c>
      <c r="AK320" s="17"/>
      <c r="AL320" s="17">
        <f t="shared" ref="AL320:AL330" si="302">IF(VLOOKUP($D320,$C$5:$AN$495,36,)=0,0,((VLOOKUP($D320,$C$5:$AN$495,36,)/VLOOKUP($D320,$C$5:$AN$495,4,))*$F320))</f>
        <v>0</v>
      </c>
      <c r="AM320" s="17"/>
      <c r="AN320" s="17">
        <f t="shared" ref="AN320:AN330" si="303">IF(VLOOKUP($D320,$C$5:$AN$495,38,)=0,0,((VLOOKUP($D320,$C$5:$AN$495,38,)/VLOOKUP($D320,$C$5:$AN$495,4,))*$F320))</f>
        <v>0</v>
      </c>
      <c r="AO320" s="17">
        <f t="shared" ref="AO320:AO330" si="304">SUM(H320:AN320)</f>
        <v>39543.420000000006</v>
      </c>
      <c r="AP320" s="14" t="str">
        <f t="shared" ref="AP320:AP330" si="305">IF(ABS(AO320-F320)&lt;1,"ok","err")</f>
        <v>ok</v>
      </c>
    </row>
    <row r="321" spans="1:42" x14ac:dyDescent="0.25">
      <c r="A321" s="2">
        <v>581</v>
      </c>
      <c r="B321" s="2" t="s">
        <v>107</v>
      </c>
      <c r="C321" s="2" t="s">
        <v>473</v>
      </c>
      <c r="D321" s="2" t="s">
        <v>25</v>
      </c>
      <c r="F321" s="148">
        <v>0</v>
      </c>
      <c r="H321" s="17">
        <f t="shared" si="282"/>
        <v>0</v>
      </c>
      <c r="I321" s="17">
        <f t="shared" si="283"/>
        <v>0</v>
      </c>
      <c r="J321" s="17">
        <f t="shared" si="284"/>
        <v>0</v>
      </c>
      <c r="K321" s="17">
        <f t="shared" si="285"/>
        <v>0</v>
      </c>
      <c r="L321" s="17">
        <f t="shared" si="286"/>
        <v>0</v>
      </c>
      <c r="M321" s="17">
        <f t="shared" si="287"/>
        <v>0</v>
      </c>
      <c r="N321" s="17">
        <f t="shared" si="288"/>
        <v>0</v>
      </c>
      <c r="O321" s="17"/>
      <c r="P321" s="17">
        <f t="shared" si="289"/>
        <v>0</v>
      </c>
      <c r="Q321" s="17"/>
      <c r="R321" s="17">
        <f t="shared" si="290"/>
        <v>0</v>
      </c>
      <c r="S321" s="17"/>
      <c r="T321" s="17">
        <f t="shared" si="291"/>
        <v>0</v>
      </c>
      <c r="U321" s="17"/>
      <c r="V321" s="17">
        <f t="shared" si="292"/>
        <v>0</v>
      </c>
      <c r="W321" s="17">
        <f t="shared" si="293"/>
        <v>0</v>
      </c>
      <c r="X321" s="17"/>
      <c r="Y321" s="17">
        <f t="shared" si="294"/>
        <v>0</v>
      </c>
      <c r="Z321" s="17">
        <f t="shared" si="295"/>
        <v>0</v>
      </c>
      <c r="AA321" s="17"/>
      <c r="AB321" s="17">
        <f t="shared" si="296"/>
        <v>0</v>
      </c>
      <c r="AC321" s="17">
        <f t="shared" si="297"/>
        <v>0</v>
      </c>
      <c r="AD321" s="17"/>
      <c r="AE321" s="17">
        <f t="shared" si="298"/>
        <v>0</v>
      </c>
      <c r="AF321" s="17">
        <f t="shared" si="299"/>
        <v>0</v>
      </c>
      <c r="AG321" s="17"/>
      <c r="AH321" s="17">
        <f t="shared" si="300"/>
        <v>0</v>
      </c>
      <c r="AI321" s="17"/>
      <c r="AJ321" s="17">
        <f t="shared" si="301"/>
        <v>0</v>
      </c>
      <c r="AK321" s="17"/>
      <c r="AL321" s="17">
        <f t="shared" si="302"/>
        <v>0</v>
      </c>
      <c r="AM321" s="17"/>
      <c r="AN321" s="17">
        <f t="shared" si="303"/>
        <v>0</v>
      </c>
      <c r="AO321" s="17">
        <f t="shared" si="304"/>
        <v>0</v>
      </c>
      <c r="AP321" s="14" t="str">
        <f t="shared" si="305"/>
        <v>ok</v>
      </c>
    </row>
    <row r="322" spans="1:42" x14ac:dyDescent="0.25">
      <c r="A322" s="2">
        <v>582</v>
      </c>
      <c r="B322" s="2" t="s">
        <v>349</v>
      </c>
      <c r="C322" s="2" t="s">
        <v>474</v>
      </c>
      <c r="D322" s="2" t="s">
        <v>25</v>
      </c>
      <c r="F322" s="148">
        <v>270.60000000000002</v>
      </c>
      <c r="H322" s="17">
        <f t="shared" si="282"/>
        <v>0</v>
      </c>
      <c r="I322" s="17">
        <f t="shared" si="283"/>
        <v>0</v>
      </c>
      <c r="J322" s="17">
        <f t="shared" si="284"/>
        <v>0</v>
      </c>
      <c r="K322" s="17">
        <f t="shared" si="285"/>
        <v>0</v>
      </c>
      <c r="L322" s="17">
        <f t="shared" si="286"/>
        <v>0</v>
      </c>
      <c r="M322" s="17">
        <f t="shared" si="287"/>
        <v>0</v>
      </c>
      <c r="N322" s="17">
        <f t="shared" si="288"/>
        <v>0</v>
      </c>
      <c r="O322" s="17"/>
      <c r="P322" s="17">
        <f t="shared" si="289"/>
        <v>0</v>
      </c>
      <c r="Q322" s="17"/>
      <c r="R322" s="17">
        <f t="shared" si="290"/>
        <v>0</v>
      </c>
      <c r="S322" s="17"/>
      <c r="T322" s="17">
        <f t="shared" si="291"/>
        <v>270.60000000000002</v>
      </c>
      <c r="U322" s="17"/>
      <c r="V322" s="17">
        <f t="shared" si="292"/>
        <v>0</v>
      </c>
      <c r="W322" s="17">
        <f t="shared" si="293"/>
        <v>0</v>
      </c>
      <c r="X322" s="17"/>
      <c r="Y322" s="17">
        <f t="shared" si="294"/>
        <v>0</v>
      </c>
      <c r="Z322" s="17">
        <f t="shared" si="295"/>
        <v>0</v>
      </c>
      <c r="AA322" s="17"/>
      <c r="AB322" s="17">
        <f t="shared" si="296"/>
        <v>0</v>
      </c>
      <c r="AC322" s="17">
        <f t="shared" si="297"/>
        <v>0</v>
      </c>
      <c r="AD322" s="17"/>
      <c r="AE322" s="17">
        <f t="shared" si="298"/>
        <v>0</v>
      </c>
      <c r="AF322" s="17">
        <f t="shared" si="299"/>
        <v>0</v>
      </c>
      <c r="AG322" s="17"/>
      <c r="AH322" s="17">
        <f t="shared" si="300"/>
        <v>0</v>
      </c>
      <c r="AI322" s="17"/>
      <c r="AJ322" s="17">
        <f t="shared" si="301"/>
        <v>0</v>
      </c>
      <c r="AK322" s="17"/>
      <c r="AL322" s="17">
        <f t="shared" si="302"/>
        <v>0</v>
      </c>
      <c r="AM322" s="17"/>
      <c r="AN322" s="17">
        <f t="shared" si="303"/>
        <v>0</v>
      </c>
      <c r="AO322" s="17">
        <f t="shared" si="304"/>
        <v>270.60000000000002</v>
      </c>
      <c r="AP322" s="14" t="str">
        <f t="shared" si="305"/>
        <v>ok</v>
      </c>
    </row>
    <row r="323" spans="1:42" x14ac:dyDescent="0.25">
      <c r="A323" s="2">
        <v>583</v>
      </c>
      <c r="B323" s="2" t="s">
        <v>109</v>
      </c>
      <c r="C323" s="2" t="s">
        <v>475</v>
      </c>
      <c r="D323" s="2" t="s">
        <v>31</v>
      </c>
      <c r="F323" s="148">
        <v>103440.26</v>
      </c>
      <c r="H323" s="17">
        <f t="shared" si="282"/>
        <v>0</v>
      </c>
      <c r="I323" s="17">
        <f t="shared" si="283"/>
        <v>0</v>
      </c>
      <c r="J323" s="17">
        <f t="shared" si="284"/>
        <v>0</v>
      </c>
      <c r="K323" s="17">
        <f t="shared" si="285"/>
        <v>0</v>
      </c>
      <c r="L323" s="17">
        <f t="shared" si="286"/>
        <v>0</v>
      </c>
      <c r="M323" s="17">
        <f t="shared" si="287"/>
        <v>0</v>
      </c>
      <c r="N323" s="17">
        <f t="shared" si="288"/>
        <v>0</v>
      </c>
      <c r="O323" s="17"/>
      <c r="P323" s="17">
        <f t="shared" si="289"/>
        <v>0</v>
      </c>
      <c r="Q323" s="17"/>
      <c r="R323" s="17">
        <f t="shared" si="290"/>
        <v>0</v>
      </c>
      <c r="S323" s="17"/>
      <c r="T323" s="17">
        <f t="shared" si="291"/>
        <v>0</v>
      </c>
      <c r="U323" s="17"/>
      <c r="V323" s="17">
        <f t="shared" si="292"/>
        <v>64720.501876800001</v>
      </c>
      <c r="W323" s="17">
        <f t="shared" si="293"/>
        <v>28375.732123199999</v>
      </c>
      <c r="X323" s="17"/>
      <c r="Y323" s="17">
        <f t="shared" si="294"/>
        <v>7191.1668752000005</v>
      </c>
      <c r="Z323" s="17">
        <f t="shared" si="295"/>
        <v>3152.8591248000002</v>
      </c>
      <c r="AA323" s="17"/>
      <c r="AB323" s="17">
        <f t="shared" si="296"/>
        <v>0</v>
      </c>
      <c r="AC323" s="17">
        <f t="shared" si="297"/>
        <v>0</v>
      </c>
      <c r="AD323" s="17"/>
      <c r="AE323" s="17">
        <f t="shared" si="298"/>
        <v>0</v>
      </c>
      <c r="AF323" s="17">
        <f t="shared" si="299"/>
        <v>0</v>
      </c>
      <c r="AG323" s="17"/>
      <c r="AH323" s="17">
        <f t="shared" si="300"/>
        <v>0</v>
      </c>
      <c r="AI323" s="17"/>
      <c r="AJ323" s="17">
        <f t="shared" si="301"/>
        <v>0</v>
      </c>
      <c r="AK323" s="17"/>
      <c r="AL323" s="17">
        <f t="shared" si="302"/>
        <v>0</v>
      </c>
      <c r="AM323" s="17"/>
      <c r="AN323" s="17">
        <f t="shared" si="303"/>
        <v>0</v>
      </c>
      <c r="AO323" s="17">
        <f t="shared" si="304"/>
        <v>103440.26</v>
      </c>
      <c r="AP323" s="14" t="str">
        <f t="shared" si="305"/>
        <v>ok</v>
      </c>
    </row>
    <row r="324" spans="1:42" x14ac:dyDescent="0.25">
      <c r="A324" s="2">
        <v>584</v>
      </c>
      <c r="B324" s="2" t="s">
        <v>111</v>
      </c>
      <c r="C324" s="2" t="s">
        <v>476</v>
      </c>
      <c r="D324" s="2" t="s">
        <v>37</v>
      </c>
      <c r="F324" s="148">
        <v>7236.06</v>
      </c>
      <c r="H324" s="17">
        <f t="shared" si="282"/>
        <v>0</v>
      </c>
      <c r="I324" s="17">
        <f t="shared" si="283"/>
        <v>0</v>
      </c>
      <c r="J324" s="17">
        <f t="shared" si="284"/>
        <v>0</v>
      </c>
      <c r="K324" s="17">
        <f t="shared" si="285"/>
        <v>0</v>
      </c>
      <c r="L324" s="17">
        <f t="shared" si="286"/>
        <v>0</v>
      </c>
      <c r="M324" s="17">
        <f t="shared" si="287"/>
        <v>0</v>
      </c>
      <c r="N324" s="17">
        <f t="shared" si="288"/>
        <v>0</v>
      </c>
      <c r="O324" s="17"/>
      <c r="P324" s="17">
        <f t="shared" si="289"/>
        <v>0</v>
      </c>
      <c r="Q324" s="17"/>
      <c r="R324" s="17">
        <f t="shared" si="290"/>
        <v>0</v>
      </c>
      <c r="S324" s="17"/>
      <c r="T324" s="17">
        <f t="shared" si="291"/>
        <v>0</v>
      </c>
      <c r="U324" s="17"/>
      <c r="V324" s="17">
        <f t="shared" si="292"/>
        <v>2091.8002248000003</v>
      </c>
      <c r="W324" s="17">
        <f t="shared" si="293"/>
        <v>4420.6537752000004</v>
      </c>
      <c r="X324" s="17"/>
      <c r="Y324" s="17">
        <f t="shared" si="294"/>
        <v>232.42224720000004</v>
      </c>
      <c r="Z324" s="17">
        <f t="shared" si="295"/>
        <v>491.18375279999998</v>
      </c>
      <c r="AA324" s="17"/>
      <c r="AB324" s="17">
        <f t="shared" si="296"/>
        <v>0</v>
      </c>
      <c r="AC324" s="17">
        <f t="shared" si="297"/>
        <v>0</v>
      </c>
      <c r="AD324" s="17"/>
      <c r="AE324" s="17">
        <f t="shared" si="298"/>
        <v>0</v>
      </c>
      <c r="AF324" s="17">
        <f t="shared" si="299"/>
        <v>0</v>
      </c>
      <c r="AG324" s="17"/>
      <c r="AH324" s="17">
        <f t="shared" si="300"/>
        <v>0</v>
      </c>
      <c r="AI324" s="17"/>
      <c r="AJ324" s="17">
        <f t="shared" si="301"/>
        <v>0</v>
      </c>
      <c r="AK324" s="17"/>
      <c r="AL324" s="17">
        <f t="shared" si="302"/>
        <v>0</v>
      </c>
      <c r="AM324" s="17"/>
      <c r="AN324" s="17">
        <f t="shared" si="303"/>
        <v>0</v>
      </c>
      <c r="AO324" s="17">
        <f t="shared" si="304"/>
        <v>7236.06</v>
      </c>
      <c r="AP324" s="14" t="str">
        <f t="shared" si="305"/>
        <v>ok</v>
      </c>
    </row>
    <row r="325" spans="1:42" x14ac:dyDescent="0.25">
      <c r="A325" s="2">
        <v>585</v>
      </c>
      <c r="B325" s="2" t="s">
        <v>113</v>
      </c>
      <c r="C325" s="2" t="s">
        <v>477</v>
      </c>
      <c r="D325" s="2" t="s">
        <v>48</v>
      </c>
      <c r="F325" s="148">
        <v>0</v>
      </c>
      <c r="H325" s="17">
        <f t="shared" si="282"/>
        <v>0</v>
      </c>
      <c r="I325" s="17">
        <f t="shared" si="283"/>
        <v>0</v>
      </c>
      <c r="J325" s="17">
        <f t="shared" si="284"/>
        <v>0</v>
      </c>
      <c r="K325" s="17">
        <f t="shared" si="285"/>
        <v>0</v>
      </c>
      <c r="L325" s="17">
        <f t="shared" si="286"/>
        <v>0</v>
      </c>
      <c r="M325" s="17">
        <f t="shared" si="287"/>
        <v>0</v>
      </c>
      <c r="N325" s="17">
        <f t="shared" si="288"/>
        <v>0</v>
      </c>
      <c r="O325" s="17"/>
      <c r="P325" s="17">
        <f t="shared" si="289"/>
        <v>0</v>
      </c>
      <c r="Q325" s="17"/>
      <c r="R325" s="17">
        <f t="shared" si="290"/>
        <v>0</v>
      </c>
      <c r="S325" s="17"/>
      <c r="T325" s="17">
        <f t="shared" si="291"/>
        <v>0</v>
      </c>
      <c r="U325" s="17"/>
      <c r="V325" s="17">
        <f t="shared" si="292"/>
        <v>0</v>
      </c>
      <c r="W325" s="17">
        <f t="shared" si="293"/>
        <v>0</v>
      </c>
      <c r="X325" s="17"/>
      <c r="Y325" s="17">
        <f t="shared" si="294"/>
        <v>0</v>
      </c>
      <c r="Z325" s="17">
        <f t="shared" si="295"/>
        <v>0</v>
      </c>
      <c r="AA325" s="17"/>
      <c r="AB325" s="17">
        <f t="shared" si="296"/>
        <v>0</v>
      </c>
      <c r="AC325" s="17">
        <f t="shared" si="297"/>
        <v>0</v>
      </c>
      <c r="AD325" s="17"/>
      <c r="AE325" s="17">
        <f t="shared" si="298"/>
        <v>0</v>
      </c>
      <c r="AF325" s="17">
        <f t="shared" si="299"/>
        <v>0</v>
      </c>
      <c r="AG325" s="17"/>
      <c r="AH325" s="17">
        <f t="shared" si="300"/>
        <v>0</v>
      </c>
      <c r="AI325" s="17"/>
      <c r="AJ325" s="17">
        <f t="shared" si="301"/>
        <v>0</v>
      </c>
      <c r="AK325" s="17"/>
      <c r="AL325" s="17">
        <f t="shared" si="302"/>
        <v>0</v>
      </c>
      <c r="AM325" s="17"/>
      <c r="AN325" s="17">
        <f t="shared" si="303"/>
        <v>0</v>
      </c>
      <c r="AO325" s="17">
        <f t="shared" si="304"/>
        <v>0</v>
      </c>
      <c r="AP325" s="14" t="str">
        <f t="shared" si="305"/>
        <v>ok</v>
      </c>
    </row>
    <row r="326" spans="1:42" x14ac:dyDescent="0.25">
      <c r="A326" s="2">
        <v>586</v>
      </c>
      <c r="B326" s="2" t="s">
        <v>115</v>
      </c>
      <c r="C326" s="2" t="s">
        <v>478</v>
      </c>
      <c r="D326" s="2" t="s">
        <v>45</v>
      </c>
      <c r="F326" s="148">
        <v>753692.85</v>
      </c>
      <c r="H326" s="17">
        <f t="shared" si="282"/>
        <v>0</v>
      </c>
      <c r="I326" s="17">
        <f t="shared" si="283"/>
        <v>0</v>
      </c>
      <c r="J326" s="17">
        <f t="shared" si="284"/>
        <v>0</v>
      </c>
      <c r="K326" s="17">
        <f t="shared" si="285"/>
        <v>0</v>
      </c>
      <c r="L326" s="17">
        <f t="shared" si="286"/>
        <v>0</v>
      </c>
      <c r="M326" s="17">
        <f t="shared" si="287"/>
        <v>0</v>
      </c>
      <c r="N326" s="17">
        <f t="shared" si="288"/>
        <v>0</v>
      </c>
      <c r="O326" s="17"/>
      <c r="P326" s="17">
        <f t="shared" si="289"/>
        <v>0</v>
      </c>
      <c r="Q326" s="17"/>
      <c r="R326" s="17">
        <f t="shared" si="290"/>
        <v>0</v>
      </c>
      <c r="S326" s="17"/>
      <c r="T326" s="17">
        <f t="shared" si="291"/>
        <v>0</v>
      </c>
      <c r="U326" s="17"/>
      <c r="V326" s="17">
        <f t="shared" si="292"/>
        <v>0</v>
      </c>
      <c r="W326" s="17">
        <f t="shared" si="293"/>
        <v>0</v>
      </c>
      <c r="X326" s="17"/>
      <c r="Y326" s="17">
        <f t="shared" si="294"/>
        <v>0</v>
      </c>
      <c r="Z326" s="17">
        <f t="shared" si="295"/>
        <v>0</v>
      </c>
      <c r="AA326" s="17"/>
      <c r="AB326" s="17">
        <f t="shared" si="296"/>
        <v>0</v>
      </c>
      <c r="AC326" s="17">
        <f t="shared" si="297"/>
        <v>0</v>
      </c>
      <c r="AD326" s="17"/>
      <c r="AE326" s="17">
        <f t="shared" si="298"/>
        <v>0</v>
      </c>
      <c r="AF326" s="17">
        <f t="shared" si="299"/>
        <v>0</v>
      </c>
      <c r="AG326" s="17"/>
      <c r="AH326" s="17">
        <f t="shared" si="300"/>
        <v>753692.85</v>
      </c>
      <c r="AI326" s="17"/>
      <c r="AJ326" s="17">
        <f t="shared" si="301"/>
        <v>0</v>
      </c>
      <c r="AK326" s="17"/>
      <c r="AL326" s="17">
        <f t="shared" si="302"/>
        <v>0</v>
      </c>
      <c r="AM326" s="17"/>
      <c r="AN326" s="17">
        <f t="shared" si="303"/>
        <v>0</v>
      </c>
      <c r="AO326" s="17">
        <f t="shared" si="304"/>
        <v>753692.85</v>
      </c>
      <c r="AP326" s="14" t="str">
        <f t="shared" si="305"/>
        <v>ok</v>
      </c>
    </row>
    <row r="327" spans="1:42" x14ac:dyDescent="0.25">
      <c r="A327" s="2">
        <v>586</v>
      </c>
      <c r="B327" s="2" t="s">
        <v>433</v>
      </c>
      <c r="C327" s="2" t="s">
        <v>479</v>
      </c>
      <c r="D327" s="2" t="s">
        <v>454</v>
      </c>
      <c r="F327" s="148">
        <v>0</v>
      </c>
      <c r="H327" s="17">
        <f t="shared" si="282"/>
        <v>0</v>
      </c>
      <c r="I327" s="17">
        <f t="shared" si="283"/>
        <v>0</v>
      </c>
      <c r="J327" s="17">
        <f t="shared" si="284"/>
        <v>0</v>
      </c>
      <c r="K327" s="17">
        <f t="shared" si="285"/>
        <v>0</v>
      </c>
      <c r="L327" s="17">
        <f t="shared" si="286"/>
        <v>0</v>
      </c>
      <c r="M327" s="17">
        <f t="shared" si="287"/>
        <v>0</v>
      </c>
      <c r="N327" s="17">
        <f t="shared" si="288"/>
        <v>0</v>
      </c>
      <c r="O327" s="17"/>
      <c r="P327" s="17">
        <f t="shared" si="289"/>
        <v>0</v>
      </c>
      <c r="Q327" s="17"/>
      <c r="R327" s="17">
        <f t="shared" si="290"/>
        <v>0</v>
      </c>
      <c r="S327" s="17"/>
      <c r="T327" s="17">
        <f t="shared" si="291"/>
        <v>0</v>
      </c>
      <c r="U327" s="17"/>
      <c r="V327" s="17">
        <f t="shared" si="292"/>
        <v>0</v>
      </c>
      <c r="W327" s="17">
        <f t="shared" si="293"/>
        <v>0</v>
      </c>
      <c r="X327" s="17"/>
      <c r="Y327" s="17">
        <f t="shared" si="294"/>
        <v>0</v>
      </c>
      <c r="Z327" s="17">
        <f t="shared" si="295"/>
        <v>0</v>
      </c>
      <c r="AA327" s="17"/>
      <c r="AB327" s="17">
        <f t="shared" si="296"/>
        <v>0</v>
      </c>
      <c r="AC327" s="17">
        <f t="shared" si="297"/>
        <v>0</v>
      </c>
      <c r="AD327" s="17"/>
      <c r="AE327" s="17">
        <f t="shared" si="298"/>
        <v>0</v>
      </c>
      <c r="AF327" s="17">
        <f t="shared" si="299"/>
        <v>0</v>
      </c>
      <c r="AG327" s="17"/>
      <c r="AH327" s="17">
        <f t="shared" si="300"/>
        <v>0</v>
      </c>
      <c r="AI327" s="17"/>
      <c r="AJ327" s="17">
        <f t="shared" si="301"/>
        <v>0</v>
      </c>
      <c r="AK327" s="17"/>
      <c r="AL327" s="17">
        <f t="shared" si="302"/>
        <v>0</v>
      </c>
      <c r="AM327" s="17"/>
      <c r="AN327" s="17">
        <f t="shared" si="303"/>
        <v>0</v>
      </c>
      <c r="AO327" s="17">
        <f t="shared" si="304"/>
        <v>0</v>
      </c>
      <c r="AP327" s="14" t="str">
        <f t="shared" si="305"/>
        <v>ok</v>
      </c>
    </row>
    <row r="328" spans="1:42" x14ac:dyDescent="0.25">
      <c r="A328" s="2">
        <v>587</v>
      </c>
      <c r="B328" s="2" t="s">
        <v>117</v>
      </c>
      <c r="C328" s="2" t="s">
        <v>480</v>
      </c>
      <c r="D328" s="2" t="s">
        <v>42</v>
      </c>
      <c r="F328" s="148">
        <v>0</v>
      </c>
      <c r="H328" s="17">
        <f t="shared" si="282"/>
        <v>0</v>
      </c>
      <c r="I328" s="17">
        <f t="shared" si="283"/>
        <v>0</v>
      </c>
      <c r="J328" s="17">
        <f t="shared" si="284"/>
        <v>0</v>
      </c>
      <c r="K328" s="17">
        <f t="shared" si="285"/>
        <v>0</v>
      </c>
      <c r="L328" s="17">
        <f t="shared" si="286"/>
        <v>0</v>
      </c>
      <c r="M328" s="17">
        <f t="shared" si="287"/>
        <v>0</v>
      </c>
      <c r="N328" s="17">
        <f t="shared" si="288"/>
        <v>0</v>
      </c>
      <c r="O328" s="17"/>
      <c r="P328" s="17">
        <f t="shared" si="289"/>
        <v>0</v>
      </c>
      <c r="Q328" s="17"/>
      <c r="R328" s="17">
        <f t="shared" si="290"/>
        <v>0</v>
      </c>
      <c r="S328" s="17"/>
      <c r="T328" s="17">
        <f t="shared" si="291"/>
        <v>0</v>
      </c>
      <c r="U328" s="17"/>
      <c r="V328" s="17">
        <f t="shared" si="292"/>
        <v>0</v>
      </c>
      <c r="W328" s="17">
        <f t="shared" si="293"/>
        <v>0</v>
      </c>
      <c r="X328" s="17"/>
      <c r="Y328" s="17">
        <f t="shared" si="294"/>
        <v>0</v>
      </c>
      <c r="Z328" s="17">
        <f t="shared" si="295"/>
        <v>0</v>
      </c>
      <c r="AA328" s="17"/>
      <c r="AB328" s="17">
        <f t="shared" si="296"/>
        <v>0</v>
      </c>
      <c r="AC328" s="17">
        <f t="shared" si="297"/>
        <v>0</v>
      </c>
      <c r="AD328" s="17"/>
      <c r="AE328" s="17">
        <f t="shared" si="298"/>
        <v>0</v>
      </c>
      <c r="AF328" s="17">
        <f t="shared" si="299"/>
        <v>0</v>
      </c>
      <c r="AG328" s="17"/>
      <c r="AH328" s="17">
        <f t="shared" si="300"/>
        <v>0</v>
      </c>
      <c r="AI328" s="17"/>
      <c r="AJ328" s="17">
        <f t="shared" si="301"/>
        <v>0</v>
      </c>
      <c r="AK328" s="17"/>
      <c r="AL328" s="17">
        <f t="shared" si="302"/>
        <v>0</v>
      </c>
      <c r="AM328" s="17"/>
      <c r="AN328" s="17">
        <f t="shared" si="303"/>
        <v>0</v>
      </c>
      <c r="AO328" s="17">
        <f t="shared" si="304"/>
        <v>0</v>
      </c>
      <c r="AP328" s="14" t="str">
        <f t="shared" si="305"/>
        <v>ok</v>
      </c>
    </row>
    <row r="329" spans="1:42" x14ac:dyDescent="0.25">
      <c r="A329" s="2">
        <v>588</v>
      </c>
      <c r="B329" s="2" t="s">
        <v>119</v>
      </c>
      <c r="C329" s="2" t="s">
        <v>481</v>
      </c>
      <c r="D329" s="2" t="s">
        <v>18</v>
      </c>
      <c r="F329" s="148">
        <f>166821.67+172339.82</f>
        <v>339161.49</v>
      </c>
      <c r="H329" s="17">
        <f t="shared" si="282"/>
        <v>0</v>
      </c>
      <c r="I329" s="17">
        <f t="shared" si="283"/>
        <v>0</v>
      </c>
      <c r="J329" s="17">
        <f t="shared" si="284"/>
        <v>0</v>
      </c>
      <c r="K329" s="17">
        <f t="shared" si="285"/>
        <v>0</v>
      </c>
      <c r="L329" s="17">
        <f t="shared" si="286"/>
        <v>0</v>
      </c>
      <c r="M329" s="17">
        <f t="shared" si="287"/>
        <v>0</v>
      </c>
      <c r="N329" s="17">
        <f t="shared" si="288"/>
        <v>0</v>
      </c>
      <c r="O329" s="17"/>
      <c r="P329" s="17">
        <f t="shared" si="289"/>
        <v>0</v>
      </c>
      <c r="Q329" s="17"/>
      <c r="R329" s="17">
        <f t="shared" si="290"/>
        <v>0</v>
      </c>
      <c r="S329" s="17"/>
      <c r="T329" s="17">
        <f t="shared" si="291"/>
        <v>1248.7668149874526</v>
      </c>
      <c r="U329" s="17"/>
      <c r="V329" s="17">
        <f t="shared" si="292"/>
        <v>120945.07600023077</v>
      </c>
      <c r="W329" s="17">
        <f t="shared" si="293"/>
        <v>59547.427211894428</v>
      </c>
      <c r="X329" s="17"/>
      <c r="Y329" s="17">
        <f t="shared" si="294"/>
        <v>13438.341777803418</v>
      </c>
      <c r="Z329" s="17">
        <f t="shared" si="295"/>
        <v>6616.3808013216021</v>
      </c>
      <c r="AA329" s="17"/>
      <c r="AB329" s="17">
        <f t="shared" si="296"/>
        <v>26310.930483611257</v>
      </c>
      <c r="AC329" s="17">
        <f t="shared" si="297"/>
        <v>34271.456077777773</v>
      </c>
      <c r="AD329" s="17"/>
      <c r="AE329" s="17">
        <f t="shared" si="298"/>
        <v>0</v>
      </c>
      <c r="AF329" s="17">
        <f t="shared" si="299"/>
        <v>42730.45906930753</v>
      </c>
      <c r="AG329" s="17"/>
      <c r="AH329" s="17">
        <f t="shared" si="300"/>
        <v>16361.063410882329</v>
      </c>
      <c r="AI329" s="17"/>
      <c r="AJ329" s="17">
        <f t="shared" si="301"/>
        <v>17691.588352183517</v>
      </c>
      <c r="AK329" s="17"/>
      <c r="AL329" s="17">
        <f t="shared" si="302"/>
        <v>0</v>
      </c>
      <c r="AM329" s="17"/>
      <c r="AN329" s="17">
        <f t="shared" si="303"/>
        <v>0</v>
      </c>
      <c r="AO329" s="17">
        <f t="shared" si="304"/>
        <v>339161.49000000005</v>
      </c>
      <c r="AP329" s="14" t="str">
        <f t="shared" si="305"/>
        <v>ok</v>
      </c>
    </row>
    <row r="330" spans="1:42" x14ac:dyDescent="0.25">
      <c r="A330" s="2">
        <v>589</v>
      </c>
      <c r="B330" s="2" t="s">
        <v>121</v>
      </c>
      <c r="C330" s="2" t="s">
        <v>482</v>
      </c>
      <c r="D330" s="2" t="s">
        <v>18</v>
      </c>
      <c r="F330" s="148">
        <v>0</v>
      </c>
      <c r="H330" s="17">
        <f t="shared" si="282"/>
        <v>0</v>
      </c>
      <c r="I330" s="17">
        <f t="shared" si="283"/>
        <v>0</v>
      </c>
      <c r="J330" s="17">
        <f t="shared" si="284"/>
        <v>0</v>
      </c>
      <c r="K330" s="17">
        <f t="shared" si="285"/>
        <v>0</v>
      </c>
      <c r="L330" s="17">
        <f t="shared" si="286"/>
        <v>0</v>
      </c>
      <c r="M330" s="17">
        <f t="shared" si="287"/>
        <v>0</v>
      </c>
      <c r="N330" s="17">
        <f t="shared" si="288"/>
        <v>0</v>
      </c>
      <c r="O330" s="17"/>
      <c r="P330" s="17">
        <f t="shared" si="289"/>
        <v>0</v>
      </c>
      <c r="Q330" s="17"/>
      <c r="R330" s="17">
        <f t="shared" si="290"/>
        <v>0</v>
      </c>
      <c r="S330" s="17"/>
      <c r="T330" s="17">
        <f t="shared" si="291"/>
        <v>0</v>
      </c>
      <c r="U330" s="17"/>
      <c r="V330" s="17">
        <f t="shared" si="292"/>
        <v>0</v>
      </c>
      <c r="W330" s="17">
        <f t="shared" si="293"/>
        <v>0</v>
      </c>
      <c r="X330" s="17"/>
      <c r="Y330" s="17">
        <f t="shared" si="294"/>
        <v>0</v>
      </c>
      <c r="Z330" s="17">
        <f t="shared" si="295"/>
        <v>0</v>
      </c>
      <c r="AA330" s="17"/>
      <c r="AB330" s="17">
        <f t="shared" si="296"/>
        <v>0</v>
      </c>
      <c r="AC330" s="17">
        <f t="shared" si="297"/>
        <v>0</v>
      </c>
      <c r="AD330" s="17"/>
      <c r="AE330" s="17">
        <f t="shared" si="298"/>
        <v>0</v>
      </c>
      <c r="AF330" s="17">
        <f t="shared" si="299"/>
        <v>0</v>
      </c>
      <c r="AG330" s="17"/>
      <c r="AH330" s="17">
        <f t="shared" si="300"/>
        <v>0</v>
      </c>
      <c r="AI330" s="17"/>
      <c r="AJ330" s="17">
        <f t="shared" si="301"/>
        <v>0</v>
      </c>
      <c r="AK330" s="17"/>
      <c r="AL330" s="17">
        <f t="shared" si="302"/>
        <v>0</v>
      </c>
      <c r="AM330" s="17"/>
      <c r="AN330" s="17">
        <f t="shared" si="303"/>
        <v>0</v>
      </c>
      <c r="AO330" s="17">
        <f t="shared" si="304"/>
        <v>0</v>
      </c>
      <c r="AP330" s="14" t="str">
        <f t="shared" si="305"/>
        <v>ok</v>
      </c>
    </row>
    <row r="331" spans="1:42" x14ac:dyDescent="0.25">
      <c r="A331" s="2"/>
      <c r="B331" s="2"/>
      <c r="F331" s="66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P331" s="14"/>
    </row>
    <row r="332" spans="1:42" x14ac:dyDescent="0.25">
      <c r="A332" s="2" t="s">
        <v>526</v>
      </c>
      <c r="B332" s="2"/>
      <c r="C332" s="2" t="s">
        <v>483</v>
      </c>
      <c r="F332" s="110">
        <f>SUM(F320:F331)</f>
        <v>1243344.68</v>
      </c>
      <c r="G332" s="13">
        <f t="shared" ref="G332:P332" si="306">SUM(G320:G331)</f>
        <v>0</v>
      </c>
      <c r="H332" s="13">
        <f t="shared" si="306"/>
        <v>0</v>
      </c>
      <c r="I332" s="13">
        <f t="shared" si="306"/>
        <v>0</v>
      </c>
      <c r="J332" s="13">
        <f t="shared" si="306"/>
        <v>0</v>
      </c>
      <c r="K332" s="13">
        <f t="shared" si="306"/>
        <v>0</v>
      </c>
      <c r="L332" s="13">
        <f t="shared" si="306"/>
        <v>0</v>
      </c>
      <c r="M332" s="13">
        <f t="shared" si="306"/>
        <v>0</v>
      </c>
      <c r="N332" s="13">
        <f t="shared" si="306"/>
        <v>0</v>
      </c>
      <c r="O332" s="13"/>
      <c r="P332" s="13">
        <f t="shared" si="306"/>
        <v>0</v>
      </c>
      <c r="Q332" s="13"/>
      <c r="R332" s="13">
        <f>SUM(R320:R331)</f>
        <v>0</v>
      </c>
      <c r="S332" s="13"/>
      <c r="T332" s="13">
        <f>SUM(T320:T331)</f>
        <v>1664.9626803880649</v>
      </c>
      <c r="U332" s="13"/>
      <c r="V332" s="13">
        <f>SUM(V320:V331)</f>
        <v>201858.57201157871</v>
      </c>
      <c r="W332" s="13">
        <f>SUM(W320:W331)</f>
        <v>99286.549811207515</v>
      </c>
      <c r="X332" s="13"/>
      <c r="Y332" s="13">
        <f>SUM(Y320:Y331)</f>
        <v>22428.730223508748</v>
      </c>
      <c r="Z332" s="13">
        <f>SUM(Z320:Z331)</f>
        <v>11031.838867911945</v>
      </c>
      <c r="AA332" s="13"/>
      <c r="AB332" s="13">
        <f>SUM(AB320:AB331)</f>
        <v>29378.567008926213</v>
      </c>
      <c r="AC332" s="13">
        <f>SUM(AC320:AC331)</f>
        <v>38267.22393955689</v>
      </c>
      <c r="AD332" s="13"/>
      <c r="AE332" s="13">
        <f>SUM(AE320:AE331)</f>
        <v>0</v>
      </c>
      <c r="AF332" s="13">
        <f>SUM(AF320:AF331)</f>
        <v>47712.476602519913</v>
      </c>
      <c r="AG332" s="13"/>
      <c r="AH332" s="13">
        <f>SUM(AH320:AH331)</f>
        <v>771961.47786374274</v>
      </c>
      <c r="AI332" s="13"/>
      <c r="AJ332" s="13">
        <f>SUM(AJ320:AJ331)</f>
        <v>19754.280990659368</v>
      </c>
      <c r="AK332" s="13"/>
      <c r="AL332" s="13">
        <f>SUM(AL320:AL331)</f>
        <v>0</v>
      </c>
      <c r="AM332" s="13"/>
      <c r="AN332" s="13">
        <f>SUM(AN320:AN331)</f>
        <v>0</v>
      </c>
      <c r="AO332" s="17">
        <f>SUM(H332:AN332)</f>
        <v>1243344.68</v>
      </c>
      <c r="AP332" s="14" t="str">
        <f>IF(ABS(AO332-F332)&lt;1,"ok","err")</f>
        <v>ok</v>
      </c>
    </row>
    <row r="333" spans="1:42" x14ac:dyDescent="0.25">
      <c r="A333" s="2"/>
      <c r="B333" s="2"/>
      <c r="F333" s="110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7"/>
      <c r="AP333" s="14"/>
    </row>
    <row r="334" spans="1:42" x14ac:dyDescent="0.25">
      <c r="A334" s="2"/>
      <c r="B334" s="2"/>
      <c r="F334" s="110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7"/>
      <c r="AP334" s="14"/>
    </row>
    <row r="335" spans="1:42" x14ac:dyDescent="0.25">
      <c r="A335" s="2"/>
      <c r="B335" s="2"/>
      <c r="F335" s="110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7"/>
      <c r="AP335" s="14"/>
    </row>
    <row r="336" spans="1:42" x14ac:dyDescent="0.25">
      <c r="A336" s="2"/>
      <c r="B336" s="2"/>
      <c r="F336" s="110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7"/>
      <c r="AP336" s="14"/>
    </row>
    <row r="337" spans="1:42" x14ac:dyDescent="0.25">
      <c r="A337" s="8"/>
      <c r="B337" s="2"/>
      <c r="F337" s="66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P337" s="14"/>
    </row>
    <row r="338" spans="1:42" x14ac:dyDescent="0.25">
      <c r="A338" s="6" t="s">
        <v>463</v>
      </c>
      <c r="B338" s="2"/>
      <c r="F338" s="66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P338" s="14"/>
    </row>
    <row r="339" spans="1:42" x14ac:dyDescent="0.25">
      <c r="A339" s="2"/>
      <c r="B339" s="2"/>
      <c r="F339" s="66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P339" s="14"/>
    </row>
    <row r="340" spans="1:42" x14ac:dyDescent="0.25">
      <c r="A340" s="8" t="s">
        <v>527</v>
      </c>
      <c r="B340" s="2"/>
      <c r="F340" s="66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P340" s="14"/>
    </row>
    <row r="341" spans="1:42" x14ac:dyDescent="0.25">
      <c r="A341" s="2">
        <v>590</v>
      </c>
      <c r="B341" s="2" t="s">
        <v>126</v>
      </c>
      <c r="C341" s="2" t="s">
        <v>484</v>
      </c>
      <c r="D341" s="2" t="s">
        <v>18</v>
      </c>
      <c r="F341" s="195">
        <v>42285.18</v>
      </c>
      <c r="H341" s="17">
        <f t="shared" ref="H341:H348" si="307">IF(VLOOKUP($D341,$C$5:$AN$495,6,)=0,0,((VLOOKUP($D341,$C$5:$AN$495,6,)/VLOOKUP($D341,$C$5:$AN$495,4,))*$F341))</f>
        <v>0</v>
      </c>
      <c r="I341" s="17">
        <f t="shared" ref="I341:I348" si="308">IF(VLOOKUP($D341,$C$5:$AN$495,7,)=0,0,((VLOOKUP($D341,$C$5:$AN$495,7,)/VLOOKUP($D341,$C$5:$AN$495,4,))*$F341))</f>
        <v>0</v>
      </c>
      <c r="J341" s="17">
        <f t="shared" ref="J341:J348" si="309">IF(VLOOKUP($D341,$C$5:$AN$495,8,)=0,0,((VLOOKUP($D341,$C$5:$AN$495,8,)/VLOOKUP($D341,$C$5:$AN$495,4,))*$F341))</f>
        <v>0</v>
      </c>
      <c r="K341" s="17">
        <f t="shared" ref="K341:K348" si="310">IF(VLOOKUP($D341,$C$5:$AN$495,9,)=0,0,((VLOOKUP($D341,$C$5:$AN$495,9,)/VLOOKUP($D341,$C$5:$AN$495,4,))*$F341))</f>
        <v>0</v>
      </c>
      <c r="L341" s="17">
        <f t="shared" ref="L341:L348" si="311">IF(VLOOKUP($D341,$C$5:$AN$495,10,)=0,0,((VLOOKUP($D341,$C$5:$AN$495,10,)/VLOOKUP($D341,$C$5:$AN$495,4,))*$F341))</f>
        <v>0</v>
      </c>
      <c r="M341" s="17">
        <f t="shared" ref="M341:M348" si="312">IF(VLOOKUP($D341,$C$5:$AN$495,11,)=0,0,((VLOOKUP($D341,$C$5:$AN$495,11,)/VLOOKUP($D341,$C$5:$AN$495,4,))*$F341))</f>
        <v>0</v>
      </c>
      <c r="N341" s="17">
        <f t="shared" ref="N341:N348" si="313">IF(VLOOKUP($D341,$C$5:$AN$495,12,)=0,0,((VLOOKUP($D341,$C$5:$AN$495,12,)/VLOOKUP($D341,$C$5:$AN$495,4,))*$F341))</f>
        <v>0</v>
      </c>
      <c r="O341" s="17"/>
      <c r="P341" s="17">
        <f t="shared" ref="P341:P348" si="314">IF(VLOOKUP($D341,$C$5:$AN$495,14,)=0,0,((VLOOKUP($D341,$C$5:$AN$495,14,)/VLOOKUP($D341,$C$5:$AN$495,4,))*$F341))</f>
        <v>0</v>
      </c>
      <c r="Q341" s="17"/>
      <c r="R341" s="17">
        <f t="shared" ref="R341:R348" si="315">IF(VLOOKUP($D341,$C$5:$AN$495,16,)=0,0,((VLOOKUP($D341,$C$5:$AN$495,16,)/VLOOKUP($D341,$C$5:$AN$495,4,))*$F341))</f>
        <v>0</v>
      </c>
      <c r="S341" s="17"/>
      <c r="T341" s="17">
        <f t="shared" ref="T341:T348" si="316">IF(VLOOKUP($D341,$C$5:$AN$495,18,)=0,0,((VLOOKUP($D341,$C$5:$AN$495,18,)/VLOOKUP($D341,$C$5:$AN$495,4,))*$F341))</f>
        <v>155.69081722624563</v>
      </c>
      <c r="U341" s="17"/>
      <c r="V341" s="17">
        <f t="shared" ref="V341:V348" si="317">IF(VLOOKUP($D341,$C$5:$AN$495,20,)=0,0,((VLOOKUP($D341,$C$5:$AN$495,20,)/VLOOKUP($D341,$C$5:$AN$495,4,))*$F341))</f>
        <v>15078.906242520157</v>
      </c>
      <c r="W341" s="17">
        <f t="shared" ref="W341:W348" si="318">IF(VLOOKUP($D341,$C$5:$AN$495,21,)=0,0,((VLOOKUP($D341,$C$5:$AN$495,21,)/VLOOKUP($D341,$C$5:$AN$495,4,))*$F341))</f>
        <v>7424.1143302910195</v>
      </c>
      <c r="X341" s="17"/>
      <c r="Y341" s="17">
        <f t="shared" ref="Y341:Y348" si="319">IF(VLOOKUP($D341,$C$5:$AN$495,23,)=0,0,((VLOOKUP($D341,$C$5:$AN$495,23,)/VLOOKUP($D341,$C$5:$AN$495,4,))*$F341))</f>
        <v>1675.4340269466841</v>
      </c>
      <c r="Z341" s="17">
        <f t="shared" ref="Z341:Z348" si="320">IF(VLOOKUP($D341,$C$5:$AN$495,24,)=0,0,((VLOOKUP($D341,$C$5:$AN$495,24,)/VLOOKUP($D341,$C$5:$AN$495,4,))*$F341))</f>
        <v>824.9015922545575</v>
      </c>
      <c r="AA341" s="17"/>
      <c r="AB341" s="17">
        <f t="shared" ref="AB341:AB348" si="321">IF(VLOOKUP($D341,$C$5:$AN$495,26,)=0,0,((VLOOKUP($D341,$C$5:$AN$495,26,)/VLOOKUP($D341,$C$5:$AN$495,4,))*$F341))</f>
        <v>3280.3324206029083</v>
      </c>
      <c r="AC341" s="17">
        <f t="shared" ref="AC341:AC348" si="322">IF(VLOOKUP($D341,$C$5:$AN$495,27,)=0,0,((VLOOKUP($D341,$C$5:$AN$495,27,)/VLOOKUP($D341,$C$5:$AN$495,4,))*$F341))</f>
        <v>4272.8161416879229</v>
      </c>
      <c r="AD341" s="17"/>
      <c r="AE341" s="17">
        <f t="shared" ref="AE341:AE348" si="323">IF(VLOOKUP($D341,$C$5:$AN$495,29,)=0,0,((VLOOKUP($D341,$C$5:$AN$495,29,)/VLOOKUP($D341,$C$5:$AN$495,4,))*$F341))</f>
        <v>0</v>
      </c>
      <c r="AF341" s="17">
        <f t="shared" ref="AF341:AF348" si="324">IF(VLOOKUP($D341,$C$5:$AN$495,30,)=0,0,((VLOOKUP($D341,$C$5:$AN$495,30,)/VLOOKUP($D341,$C$5:$AN$495,4,))*$F341))</f>
        <v>5327.4478574448458</v>
      </c>
      <c r="AG341" s="17"/>
      <c r="AH341" s="17">
        <f t="shared" ref="AH341:AH348" si="325">IF(VLOOKUP($D341,$C$5:$AN$495,32,)=0,0,((VLOOKUP($D341,$C$5:$AN$495,32,)/VLOOKUP($D341,$C$5:$AN$495,4,))*$F341))</f>
        <v>2039.8262530353115</v>
      </c>
      <c r="AI341" s="17"/>
      <c r="AJ341" s="17">
        <f t="shared" ref="AJ341:AJ348" si="326">IF(VLOOKUP($D341,$C$5:$AN$495,34,)=0,0,((VLOOKUP($D341,$C$5:$AN$495,34,)/VLOOKUP($D341,$C$5:$AN$495,4,))*$F341))</f>
        <v>2205.7103179903575</v>
      </c>
      <c r="AK341" s="17"/>
      <c r="AL341" s="17">
        <f t="shared" ref="AL341:AL348" si="327">IF(VLOOKUP($D341,$C$5:$AN$495,36,)=0,0,((VLOOKUP($D341,$C$5:$AN$495,36,)/VLOOKUP($D341,$C$5:$AN$495,4,))*$F341))</f>
        <v>0</v>
      </c>
      <c r="AM341" s="17"/>
      <c r="AN341" s="17">
        <f t="shared" ref="AN341:AN348" si="328">IF(VLOOKUP($D341,$C$5:$AN$495,38,)=0,0,((VLOOKUP($D341,$C$5:$AN$495,38,)/VLOOKUP($D341,$C$5:$AN$495,4,))*$F341))</f>
        <v>0</v>
      </c>
      <c r="AO341" s="17">
        <f t="shared" ref="AO341:AO348" si="329">SUM(H341:AN341)</f>
        <v>42285.180000000008</v>
      </c>
      <c r="AP341" s="14" t="str">
        <f t="shared" ref="AP341:AP348" si="330">IF(ABS(AO341-F341)&lt;1,"ok","err")</f>
        <v>ok</v>
      </c>
    </row>
    <row r="342" spans="1:42" x14ac:dyDescent="0.25">
      <c r="A342" s="2">
        <v>592</v>
      </c>
      <c r="B342" s="2" t="s">
        <v>128</v>
      </c>
      <c r="C342" s="2" t="s">
        <v>485</v>
      </c>
      <c r="D342" s="2" t="s">
        <v>25</v>
      </c>
      <c r="F342" s="148">
        <v>1836.64</v>
      </c>
      <c r="H342" s="17">
        <f t="shared" si="307"/>
        <v>0</v>
      </c>
      <c r="I342" s="17">
        <f t="shared" si="308"/>
        <v>0</v>
      </c>
      <c r="J342" s="17">
        <f t="shared" si="309"/>
        <v>0</v>
      </c>
      <c r="K342" s="17">
        <f t="shared" si="310"/>
        <v>0</v>
      </c>
      <c r="L342" s="17">
        <f t="shared" si="311"/>
        <v>0</v>
      </c>
      <c r="M342" s="17">
        <f t="shared" si="312"/>
        <v>0</v>
      </c>
      <c r="N342" s="17">
        <f t="shared" si="313"/>
        <v>0</v>
      </c>
      <c r="O342" s="17"/>
      <c r="P342" s="17">
        <f t="shared" si="314"/>
        <v>0</v>
      </c>
      <c r="Q342" s="17"/>
      <c r="R342" s="17">
        <f t="shared" si="315"/>
        <v>0</v>
      </c>
      <c r="S342" s="17"/>
      <c r="T342" s="17">
        <f t="shared" si="316"/>
        <v>1836.64</v>
      </c>
      <c r="U342" s="17"/>
      <c r="V342" s="17">
        <f t="shared" si="317"/>
        <v>0</v>
      </c>
      <c r="W342" s="17">
        <f t="shared" si="318"/>
        <v>0</v>
      </c>
      <c r="X342" s="17"/>
      <c r="Y342" s="17">
        <f t="shared" si="319"/>
        <v>0</v>
      </c>
      <c r="Z342" s="17">
        <f t="shared" si="320"/>
        <v>0</v>
      </c>
      <c r="AA342" s="17"/>
      <c r="AB342" s="17">
        <f t="shared" si="321"/>
        <v>0</v>
      </c>
      <c r="AC342" s="17">
        <f t="shared" si="322"/>
        <v>0</v>
      </c>
      <c r="AD342" s="17"/>
      <c r="AE342" s="17">
        <f t="shared" si="323"/>
        <v>0</v>
      </c>
      <c r="AF342" s="17">
        <f t="shared" si="324"/>
        <v>0</v>
      </c>
      <c r="AG342" s="17"/>
      <c r="AH342" s="17">
        <f t="shared" si="325"/>
        <v>0</v>
      </c>
      <c r="AI342" s="17"/>
      <c r="AJ342" s="17">
        <f t="shared" si="326"/>
        <v>0</v>
      </c>
      <c r="AK342" s="17"/>
      <c r="AL342" s="17">
        <f t="shared" si="327"/>
        <v>0</v>
      </c>
      <c r="AM342" s="17"/>
      <c r="AN342" s="17">
        <f t="shared" si="328"/>
        <v>0</v>
      </c>
      <c r="AO342" s="17">
        <f t="shared" si="329"/>
        <v>1836.64</v>
      </c>
      <c r="AP342" s="14" t="str">
        <f t="shared" si="330"/>
        <v>ok</v>
      </c>
    </row>
    <row r="343" spans="1:42" x14ac:dyDescent="0.25">
      <c r="A343" s="2">
        <v>593</v>
      </c>
      <c r="B343" s="2" t="s">
        <v>130</v>
      </c>
      <c r="C343" s="2" t="s">
        <v>486</v>
      </c>
      <c r="D343" s="2" t="s">
        <v>31</v>
      </c>
      <c r="F343" s="148">
        <f>2273807.46+212.29+341295.47</f>
        <v>2615315.2199999997</v>
      </c>
      <c r="H343" s="17">
        <f t="shared" si="307"/>
        <v>0</v>
      </c>
      <c r="I343" s="17">
        <f t="shared" si="308"/>
        <v>0</v>
      </c>
      <c r="J343" s="17">
        <f t="shared" si="309"/>
        <v>0</v>
      </c>
      <c r="K343" s="17">
        <f t="shared" si="310"/>
        <v>0</v>
      </c>
      <c r="L343" s="17">
        <f t="shared" si="311"/>
        <v>0</v>
      </c>
      <c r="M343" s="17">
        <f t="shared" si="312"/>
        <v>0</v>
      </c>
      <c r="N343" s="17">
        <f t="shared" si="313"/>
        <v>0</v>
      </c>
      <c r="O343" s="17"/>
      <c r="P343" s="17">
        <f t="shared" si="314"/>
        <v>0</v>
      </c>
      <c r="Q343" s="17"/>
      <c r="R343" s="17">
        <f t="shared" si="315"/>
        <v>0</v>
      </c>
      <c r="S343" s="17"/>
      <c r="T343" s="17">
        <f t="shared" si="316"/>
        <v>0</v>
      </c>
      <c r="U343" s="17"/>
      <c r="V343" s="17">
        <f t="shared" si="317"/>
        <v>1636350.4268495999</v>
      </c>
      <c r="W343" s="17">
        <f t="shared" si="318"/>
        <v>717433.27115039993</v>
      </c>
      <c r="X343" s="17"/>
      <c r="Y343" s="17">
        <f t="shared" si="319"/>
        <v>181816.71409440003</v>
      </c>
      <c r="Z343" s="17">
        <f t="shared" si="320"/>
        <v>79714.807905599999</v>
      </c>
      <c r="AA343" s="17"/>
      <c r="AB343" s="17">
        <f t="shared" si="321"/>
        <v>0</v>
      </c>
      <c r="AC343" s="17">
        <f t="shared" si="322"/>
        <v>0</v>
      </c>
      <c r="AD343" s="17"/>
      <c r="AE343" s="17">
        <f t="shared" si="323"/>
        <v>0</v>
      </c>
      <c r="AF343" s="17">
        <f t="shared" si="324"/>
        <v>0</v>
      </c>
      <c r="AG343" s="17"/>
      <c r="AH343" s="17">
        <f t="shared" si="325"/>
        <v>0</v>
      </c>
      <c r="AI343" s="17"/>
      <c r="AJ343" s="17">
        <f t="shared" si="326"/>
        <v>0</v>
      </c>
      <c r="AK343" s="17"/>
      <c r="AL343" s="17">
        <f t="shared" si="327"/>
        <v>0</v>
      </c>
      <c r="AM343" s="17"/>
      <c r="AN343" s="17">
        <f t="shared" si="328"/>
        <v>0</v>
      </c>
      <c r="AO343" s="17">
        <f t="shared" si="329"/>
        <v>2615315.2199999997</v>
      </c>
      <c r="AP343" s="14" t="str">
        <f t="shared" si="330"/>
        <v>ok</v>
      </c>
    </row>
    <row r="344" spans="1:42" x14ac:dyDescent="0.25">
      <c r="A344" s="2">
        <v>594</v>
      </c>
      <c r="B344" s="2" t="s">
        <v>132</v>
      </c>
      <c r="C344" s="2" t="s">
        <v>487</v>
      </c>
      <c r="D344" s="2" t="s">
        <v>37</v>
      </c>
      <c r="F344" s="148">
        <v>507.25</v>
      </c>
      <c r="H344" s="17">
        <f t="shared" si="307"/>
        <v>0</v>
      </c>
      <c r="I344" s="17">
        <f t="shared" si="308"/>
        <v>0</v>
      </c>
      <c r="J344" s="17">
        <f t="shared" si="309"/>
        <v>0</v>
      </c>
      <c r="K344" s="17">
        <f t="shared" si="310"/>
        <v>0</v>
      </c>
      <c r="L344" s="17">
        <f t="shared" si="311"/>
        <v>0</v>
      </c>
      <c r="M344" s="17">
        <f t="shared" si="312"/>
        <v>0</v>
      </c>
      <c r="N344" s="17">
        <f t="shared" si="313"/>
        <v>0</v>
      </c>
      <c r="O344" s="17"/>
      <c r="P344" s="17">
        <f t="shared" si="314"/>
        <v>0</v>
      </c>
      <c r="Q344" s="17"/>
      <c r="R344" s="17">
        <f t="shared" si="315"/>
        <v>0</v>
      </c>
      <c r="S344" s="17"/>
      <c r="T344" s="17">
        <f t="shared" si="316"/>
        <v>0</v>
      </c>
      <c r="U344" s="17"/>
      <c r="V344" s="17">
        <f t="shared" si="317"/>
        <v>146.63583</v>
      </c>
      <c r="W344" s="17">
        <f t="shared" si="318"/>
        <v>309.88917000000004</v>
      </c>
      <c r="X344" s="17"/>
      <c r="Y344" s="17">
        <f t="shared" si="319"/>
        <v>16.292870000000001</v>
      </c>
      <c r="Z344" s="17">
        <f t="shared" si="320"/>
        <v>34.432130000000001</v>
      </c>
      <c r="AA344" s="17"/>
      <c r="AB344" s="17">
        <f t="shared" si="321"/>
        <v>0</v>
      </c>
      <c r="AC344" s="17">
        <f t="shared" si="322"/>
        <v>0</v>
      </c>
      <c r="AD344" s="17"/>
      <c r="AE344" s="17">
        <f t="shared" si="323"/>
        <v>0</v>
      </c>
      <c r="AF344" s="17">
        <f t="shared" si="324"/>
        <v>0</v>
      </c>
      <c r="AG344" s="17"/>
      <c r="AH344" s="17">
        <f t="shared" si="325"/>
        <v>0</v>
      </c>
      <c r="AI344" s="17"/>
      <c r="AJ344" s="17">
        <f t="shared" si="326"/>
        <v>0</v>
      </c>
      <c r="AK344" s="17"/>
      <c r="AL344" s="17">
        <f t="shared" si="327"/>
        <v>0</v>
      </c>
      <c r="AM344" s="17"/>
      <c r="AN344" s="17">
        <f t="shared" si="328"/>
        <v>0</v>
      </c>
      <c r="AO344" s="17">
        <f t="shared" si="329"/>
        <v>507.25</v>
      </c>
      <c r="AP344" s="14" t="str">
        <f t="shared" si="330"/>
        <v>ok</v>
      </c>
    </row>
    <row r="345" spans="1:42" x14ac:dyDescent="0.25">
      <c r="A345" s="2">
        <v>595</v>
      </c>
      <c r="B345" s="2" t="s">
        <v>134</v>
      </c>
      <c r="C345" s="2" t="s">
        <v>488</v>
      </c>
      <c r="D345" s="2" t="s">
        <v>39</v>
      </c>
      <c r="F345" s="148">
        <v>143.82</v>
      </c>
      <c r="H345" s="17">
        <f t="shared" si="307"/>
        <v>0</v>
      </c>
      <c r="I345" s="17">
        <f t="shared" si="308"/>
        <v>0</v>
      </c>
      <c r="J345" s="17">
        <f t="shared" si="309"/>
        <v>0</v>
      </c>
      <c r="K345" s="17">
        <f t="shared" si="310"/>
        <v>0</v>
      </c>
      <c r="L345" s="17">
        <f t="shared" si="311"/>
        <v>0</v>
      </c>
      <c r="M345" s="17">
        <f t="shared" si="312"/>
        <v>0</v>
      </c>
      <c r="N345" s="17">
        <f t="shared" si="313"/>
        <v>0</v>
      </c>
      <c r="O345" s="17"/>
      <c r="P345" s="17">
        <f t="shared" si="314"/>
        <v>0</v>
      </c>
      <c r="Q345" s="17"/>
      <c r="R345" s="17">
        <f t="shared" si="315"/>
        <v>0</v>
      </c>
      <c r="S345" s="17"/>
      <c r="T345" s="17">
        <f t="shared" si="316"/>
        <v>0</v>
      </c>
      <c r="U345" s="17"/>
      <c r="V345" s="17">
        <f t="shared" si="317"/>
        <v>0</v>
      </c>
      <c r="W345" s="17">
        <f t="shared" si="318"/>
        <v>0</v>
      </c>
      <c r="X345" s="17"/>
      <c r="Y345" s="17">
        <f t="shared" si="319"/>
        <v>0</v>
      </c>
      <c r="Z345" s="17">
        <f t="shared" si="320"/>
        <v>0</v>
      </c>
      <c r="AA345" s="17"/>
      <c r="AB345" s="17">
        <f t="shared" si="321"/>
        <v>62.46102599999999</v>
      </c>
      <c r="AC345" s="17">
        <f t="shared" si="322"/>
        <v>81.358973999999989</v>
      </c>
      <c r="AD345" s="17"/>
      <c r="AE345" s="17">
        <f t="shared" si="323"/>
        <v>0</v>
      </c>
      <c r="AF345" s="17">
        <f t="shared" si="324"/>
        <v>0</v>
      </c>
      <c r="AG345" s="17"/>
      <c r="AH345" s="17">
        <f t="shared" si="325"/>
        <v>0</v>
      </c>
      <c r="AI345" s="17"/>
      <c r="AJ345" s="17">
        <f t="shared" si="326"/>
        <v>0</v>
      </c>
      <c r="AK345" s="17"/>
      <c r="AL345" s="17">
        <f t="shared" si="327"/>
        <v>0</v>
      </c>
      <c r="AM345" s="17"/>
      <c r="AN345" s="17">
        <f t="shared" si="328"/>
        <v>0</v>
      </c>
      <c r="AO345" s="17">
        <f t="shared" si="329"/>
        <v>143.82</v>
      </c>
      <c r="AP345" s="14" t="str">
        <f t="shared" si="330"/>
        <v>ok</v>
      </c>
    </row>
    <row r="346" spans="1:42" x14ac:dyDescent="0.25">
      <c r="A346" s="2">
        <v>596</v>
      </c>
      <c r="B346" s="2" t="s">
        <v>357</v>
      </c>
      <c r="C346" s="2" t="s">
        <v>489</v>
      </c>
      <c r="D346" s="2" t="s">
        <v>50</v>
      </c>
      <c r="F346" s="148">
        <f>289.58+117.1+1167.54</f>
        <v>1574.2199999999998</v>
      </c>
      <c r="H346" s="17">
        <f t="shared" si="307"/>
        <v>0</v>
      </c>
      <c r="I346" s="17">
        <f t="shared" si="308"/>
        <v>0</v>
      </c>
      <c r="J346" s="17">
        <f t="shared" si="309"/>
        <v>0</v>
      </c>
      <c r="K346" s="17">
        <f t="shared" si="310"/>
        <v>0</v>
      </c>
      <c r="L346" s="17">
        <f t="shared" si="311"/>
        <v>0</v>
      </c>
      <c r="M346" s="17">
        <f t="shared" si="312"/>
        <v>0</v>
      </c>
      <c r="N346" s="17">
        <f t="shared" si="313"/>
        <v>0</v>
      </c>
      <c r="O346" s="17"/>
      <c r="P346" s="17">
        <f t="shared" si="314"/>
        <v>0</v>
      </c>
      <c r="Q346" s="17"/>
      <c r="R346" s="17">
        <f t="shared" si="315"/>
        <v>0</v>
      </c>
      <c r="S346" s="17"/>
      <c r="T346" s="17">
        <f t="shared" si="316"/>
        <v>0</v>
      </c>
      <c r="U346" s="17"/>
      <c r="V346" s="17">
        <f t="shared" si="317"/>
        <v>0</v>
      </c>
      <c r="W346" s="17">
        <f t="shared" si="318"/>
        <v>0</v>
      </c>
      <c r="X346" s="17"/>
      <c r="Y346" s="17">
        <f t="shared" si="319"/>
        <v>0</v>
      </c>
      <c r="Z346" s="17">
        <f t="shared" si="320"/>
        <v>0</v>
      </c>
      <c r="AA346" s="17"/>
      <c r="AB346" s="17">
        <f t="shared" si="321"/>
        <v>0</v>
      </c>
      <c r="AC346" s="17">
        <f t="shared" si="322"/>
        <v>0</v>
      </c>
      <c r="AD346" s="17"/>
      <c r="AE346" s="17">
        <f t="shared" si="323"/>
        <v>0</v>
      </c>
      <c r="AF346" s="17">
        <f t="shared" si="324"/>
        <v>0</v>
      </c>
      <c r="AG346" s="17"/>
      <c r="AH346" s="17">
        <f t="shared" si="325"/>
        <v>0</v>
      </c>
      <c r="AI346" s="17"/>
      <c r="AJ346" s="17">
        <f t="shared" si="326"/>
        <v>1574.2199999999998</v>
      </c>
      <c r="AK346" s="17"/>
      <c r="AL346" s="17">
        <f t="shared" si="327"/>
        <v>0</v>
      </c>
      <c r="AM346" s="17"/>
      <c r="AN346" s="17">
        <f t="shared" si="328"/>
        <v>0</v>
      </c>
      <c r="AO346" s="17">
        <f t="shared" si="329"/>
        <v>1574.2199999999998</v>
      </c>
      <c r="AP346" s="14" t="str">
        <f t="shared" si="330"/>
        <v>ok</v>
      </c>
    </row>
    <row r="347" spans="1:42" x14ac:dyDescent="0.25">
      <c r="A347" s="2">
        <v>597</v>
      </c>
      <c r="B347" s="2" t="s">
        <v>136</v>
      </c>
      <c r="C347" s="2" t="s">
        <v>490</v>
      </c>
      <c r="D347" s="2" t="s">
        <v>45</v>
      </c>
      <c r="F347" s="148">
        <v>104.94</v>
      </c>
      <c r="H347" s="17">
        <f t="shared" si="307"/>
        <v>0</v>
      </c>
      <c r="I347" s="17">
        <f t="shared" si="308"/>
        <v>0</v>
      </c>
      <c r="J347" s="17">
        <f t="shared" si="309"/>
        <v>0</v>
      </c>
      <c r="K347" s="17">
        <f t="shared" si="310"/>
        <v>0</v>
      </c>
      <c r="L347" s="17">
        <f t="shared" si="311"/>
        <v>0</v>
      </c>
      <c r="M347" s="17">
        <f t="shared" si="312"/>
        <v>0</v>
      </c>
      <c r="N347" s="17">
        <f t="shared" si="313"/>
        <v>0</v>
      </c>
      <c r="O347" s="17"/>
      <c r="P347" s="17">
        <f t="shared" si="314"/>
        <v>0</v>
      </c>
      <c r="Q347" s="17"/>
      <c r="R347" s="17">
        <f t="shared" si="315"/>
        <v>0</v>
      </c>
      <c r="S347" s="17"/>
      <c r="T347" s="17">
        <f t="shared" si="316"/>
        <v>0</v>
      </c>
      <c r="U347" s="17"/>
      <c r="V347" s="17">
        <f t="shared" si="317"/>
        <v>0</v>
      </c>
      <c r="W347" s="17">
        <f t="shared" si="318"/>
        <v>0</v>
      </c>
      <c r="X347" s="17"/>
      <c r="Y347" s="17">
        <f t="shared" si="319"/>
        <v>0</v>
      </c>
      <c r="Z347" s="17">
        <f t="shared" si="320"/>
        <v>0</v>
      </c>
      <c r="AA347" s="17"/>
      <c r="AB347" s="17">
        <f t="shared" si="321"/>
        <v>0</v>
      </c>
      <c r="AC347" s="17">
        <f t="shared" si="322"/>
        <v>0</v>
      </c>
      <c r="AD347" s="17"/>
      <c r="AE347" s="17">
        <f t="shared" si="323"/>
        <v>0</v>
      </c>
      <c r="AF347" s="17">
        <f t="shared" si="324"/>
        <v>0</v>
      </c>
      <c r="AG347" s="17"/>
      <c r="AH347" s="17">
        <f t="shared" si="325"/>
        <v>104.94</v>
      </c>
      <c r="AI347" s="17"/>
      <c r="AJ347" s="17">
        <f t="shared" si="326"/>
        <v>0</v>
      </c>
      <c r="AK347" s="17"/>
      <c r="AL347" s="17">
        <f t="shared" si="327"/>
        <v>0</v>
      </c>
      <c r="AM347" s="17"/>
      <c r="AN347" s="17">
        <f t="shared" si="328"/>
        <v>0</v>
      </c>
      <c r="AO347" s="17">
        <f t="shared" si="329"/>
        <v>104.94</v>
      </c>
      <c r="AP347" s="14" t="str">
        <f t="shared" si="330"/>
        <v>ok</v>
      </c>
    </row>
    <row r="348" spans="1:42" x14ac:dyDescent="0.25">
      <c r="A348" s="2">
        <v>598</v>
      </c>
      <c r="B348" s="2" t="s">
        <v>361</v>
      </c>
      <c r="C348" s="2" t="s">
        <v>491</v>
      </c>
      <c r="D348" s="2" t="s">
        <v>18</v>
      </c>
      <c r="F348" s="148">
        <f>414.61+540.54+154.99+19.31+902.06+10721.07</f>
        <v>12752.58</v>
      </c>
      <c r="H348" s="17">
        <f t="shared" si="307"/>
        <v>0</v>
      </c>
      <c r="I348" s="17">
        <f t="shared" si="308"/>
        <v>0</v>
      </c>
      <c r="J348" s="17">
        <f t="shared" si="309"/>
        <v>0</v>
      </c>
      <c r="K348" s="17">
        <f t="shared" si="310"/>
        <v>0</v>
      </c>
      <c r="L348" s="17">
        <f t="shared" si="311"/>
        <v>0</v>
      </c>
      <c r="M348" s="17">
        <f t="shared" si="312"/>
        <v>0</v>
      </c>
      <c r="N348" s="17">
        <f t="shared" si="313"/>
        <v>0</v>
      </c>
      <c r="O348" s="17"/>
      <c r="P348" s="17">
        <f t="shared" si="314"/>
        <v>0</v>
      </c>
      <c r="Q348" s="17"/>
      <c r="R348" s="17">
        <f t="shared" si="315"/>
        <v>0</v>
      </c>
      <c r="S348" s="17"/>
      <c r="T348" s="17">
        <f t="shared" si="316"/>
        <v>46.954029802949293</v>
      </c>
      <c r="U348" s="17"/>
      <c r="V348" s="17">
        <f t="shared" si="317"/>
        <v>4547.5733618785043</v>
      </c>
      <c r="W348" s="17">
        <f t="shared" si="318"/>
        <v>2239.002220782379</v>
      </c>
      <c r="X348" s="17"/>
      <c r="Y348" s="17">
        <f t="shared" si="319"/>
        <v>505.28592909761159</v>
      </c>
      <c r="Z348" s="17">
        <f t="shared" si="320"/>
        <v>248.77802453137542</v>
      </c>
      <c r="AA348" s="17"/>
      <c r="AB348" s="17">
        <f t="shared" si="321"/>
        <v>989.29936257412726</v>
      </c>
      <c r="AC348" s="17">
        <f t="shared" si="322"/>
        <v>1288.6176592405798</v>
      </c>
      <c r="AD348" s="17"/>
      <c r="AE348" s="17">
        <f t="shared" si="323"/>
        <v>0</v>
      </c>
      <c r="AF348" s="17">
        <f t="shared" si="324"/>
        <v>1606.6788647439596</v>
      </c>
      <c r="AG348" s="17"/>
      <c r="AH348" s="17">
        <f t="shared" si="325"/>
        <v>615.18119298376052</v>
      </c>
      <c r="AI348" s="17"/>
      <c r="AJ348" s="17">
        <f t="shared" si="326"/>
        <v>665.20935436475554</v>
      </c>
      <c r="AK348" s="17"/>
      <c r="AL348" s="17">
        <f t="shared" si="327"/>
        <v>0</v>
      </c>
      <c r="AM348" s="17"/>
      <c r="AN348" s="17">
        <f t="shared" si="328"/>
        <v>0</v>
      </c>
      <c r="AO348" s="17">
        <f t="shared" si="329"/>
        <v>12752.58</v>
      </c>
      <c r="AP348" s="14" t="str">
        <f t="shared" si="330"/>
        <v>ok</v>
      </c>
    </row>
    <row r="349" spans="1:42" x14ac:dyDescent="0.25">
      <c r="A349" s="2"/>
      <c r="B349" s="2"/>
      <c r="F349" s="66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4"/>
    </row>
    <row r="350" spans="1:42" x14ac:dyDescent="0.25">
      <c r="A350" s="9" t="s">
        <v>528</v>
      </c>
      <c r="B350" s="2"/>
      <c r="C350" s="2" t="s">
        <v>492</v>
      </c>
      <c r="F350" s="110">
        <f t="shared" ref="F350:P350" si="331">SUM(F341:F349)</f>
        <v>2674519.8499999996</v>
      </c>
      <c r="G350" s="13">
        <f t="shared" si="331"/>
        <v>0</v>
      </c>
      <c r="H350" s="13">
        <f t="shared" si="331"/>
        <v>0</v>
      </c>
      <c r="I350" s="13">
        <f t="shared" si="331"/>
        <v>0</v>
      </c>
      <c r="J350" s="13">
        <f t="shared" si="331"/>
        <v>0</v>
      </c>
      <c r="K350" s="13">
        <f t="shared" si="331"/>
        <v>0</v>
      </c>
      <c r="L350" s="13">
        <f t="shared" si="331"/>
        <v>0</v>
      </c>
      <c r="M350" s="13">
        <f t="shared" si="331"/>
        <v>0</v>
      </c>
      <c r="N350" s="13">
        <f t="shared" si="331"/>
        <v>0</v>
      </c>
      <c r="O350" s="13"/>
      <c r="P350" s="13">
        <f t="shared" si="331"/>
        <v>0</v>
      </c>
      <c r="Q350" s="13"/>
      <c r="R350" s="13">
        <f>SUM(R341:R349)</f>
        <v>0</v>
      </c>
      <c r="S350" s="13"/>
      <c r="T350" s="13">
        <f>SUM(T341:T349)</f>
        <v>2039.2848470291949</v>
      </c>
      <c r="U350" s="13"/>
      <c r="V350" s="13">
        <f>SUM(V341:V349)</f>
        <v>1656123.5422839986</v>
      </c>
      <c r="W350" s="13">
        <f>SUM(W341:W349)</f>
        <v>727406.2768714733</v>
      </c>
      <c r="X350" s="13"/>
      <c r="Y350" s="13">
        <f>SUM(Y341:Y349)</f>
        <v>184013.72692044434</v>
      </c>
      <c r="Z350" s="13">
        <f>SUM(Z341:Z349)</f>
        <v>80822.919652385928</v>
      </c>
      <c r="AA350" s="13"/>
      <c r="AB350" s="13">
        <f>SUM(AB341:AB349)</f>
        <v>4332.0928091770356</v>
      </c>
      <c r="AC350" s="13">
        <f>SUM(AC341:AC349)</f>
        <v>5642.7927749285027</v>
      </c>
      <c r="AD350" s="13"/>
      <c r="AE350" s="13">
        <f>SUM(AE341:AE349)</f>
        <v>0</v>
      </c>
      <c r="AF350" s="13">
        <f>SUM(AF341:AF349)</f>
        <v>6934.1267221888056</v>
      </c>
      <c r="AG350" s="13"/>
      <c r="AH350" s="13">
        <f>SUM(AH341:AH349)</f>
        <v>2759.9474460190718</v>
      </c>
      <c r="AI350" s="13"/>
      <c r="AJ350" s="13">
        <f>SUM(AJ341:AJ349)</f>
        <v>4445.1396723551125</v>
      </c>
      <c r="AK350" s="13"/>
      <c r="AL350" s="13">
        <f>SUM(AL341:AL349)</f>
        <v>0</v>
      </c>
      <c r="AM350" s="13"/>
      <c r="AN350" s="13">
        <f>SUM(AN341:AN349)</f>
        <v>0</v>
      </c>
      <c r="AO350" s="17">
        <f>SUM(H350:AN350)</f>
        <v>2674519.85</v>
      </c>
      <c r="AP350" s="14" t="str">
        <f>IF(ABS(AO350-F350)&lt;1,"ok","err")</f>
        <v>ok</v>
      </c>
    </row>
    <row r="351" spans="1:42" x14ac:dyDescent="0.25">
      <c r="A351" s="2"/>
      <c r="B351" s="2"/>
      <c r="F351" s="66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P351" s="14"/>
    </row>
    <row r="352" spans="1:42" x14ac:dyDescent="0.25">
      <c r="A352" s="2" t="s">
        <v>529</v>
      </c>
      <c r="B352" s="2"/>
      <c r="F352" s="66">
        <f t="shared" ref="F352:P352" si="332">F332+F350</f>
        <v>3917864.5299999993</v>
      </c>
      <c r="G352" s="17">
        <f t="shared" si="332"/>
        <v>0</v>
      </c>
      <c r="H352" s="17">
        <f t="shared" si="332"/>
        <v>0</v>
      </c>
      <c r="I352" s="17">
        <f t="shared" si="332"/>
        <v>0</v>
      </c>
      <c r="J352" s="17">
        <f t="shared" si="332"/>
        <v>0</v>
      </c>
      <c r="K352" s="17">
        <f t="shared" si="332"/>
        <v>0</v>
      </c>
      <c r="L352" s="17">
        <f t="shared" si="332"/>
        <v>0</v>
      </c>
      <c r="M352" s="17">
        <f t="shared" si="332"/>
        <v>0</v>
      </c>
      <c r="N352" s="17">
        <f t="shared" si="332"/>
        <v>0</v>
      </c>
      <c r="O352" s="17"/>
      <c r="P352" s="17">
        <f t="shared" si="332"/>
        <v>0</v>
      </c>
      <c r="Q352" s="17"/>
      <c r="R352" s="17">
        <f>R332+R350</f>
        <v>0</v>
      </c>
      <c r="S352" s="17"/>
      <c r="T352" s="17">
        <f>T332+T350</f>
        <v>3704.2475274172598</v>
      </c>
      <c r="U352" s="17"/>
      <c r="V352" s="17">
        <f>V332+V350</f>
        <v>1857982.1142955772</v>
      </c>
      <c r="W352" s="17">
        <f>W332+W350</f>
        <v>826692.82668268075</v>
      </c>
      <c r="X352" s="17"/>
      <c r="Y352" s="17">
        <f>Y332+Y350</f>
        <v>206442.4571439531</v>
      </c>
      <c r="Z352" s="17">
        <f>Z332+Z350</f>
        <v>91854.758520297881</v>
      </c>
      <c r="AA352" s="17"/>
      <c r="AB352" s="17">
        <f>AB332+AB350</f>
        <v>33710.659818103246</v>
      </c>
      <c r="AC352" s="17">
        <f>AC332+AC350</f>
        <v>43910.016714485391</v>
      </c>
      <c r="AD352" s="17"/>
      <c r="AE352" s="17">
        <f>AE332+AE350</f>
        <v>0</v>
      </c>
      <c r="AF352" s="17">
        <f>AF332+AF350</f>
        <v>54646.603324708718</v>
      </c>
      <c r="AG352" s="17"/>
      <c r="AH352" s="17">
        <f>AH332+AH350</f>
        <v>774721.42530976178</v>
      </c>
      <c r="AI352" s="17"/>
      <c r="AJ352" s="17">
        <f>AJ332+AJ350</f>
        <v>24199.42066301448</v>
      </c>
      <c r="AK352" s="17"/>
      <c r="AL352" s="17">
        <f>AL332+AL350</f>
        <v>0</v>
      </c>
      <c r="AM352" s="17"/>
      <c r="AN352" s="17">
        <f>AN332+AN350</f>
        <v>0</v>
      </c>
      <c r="AO352" s="17">
        <f>SUM(H352:AN352)</f>
        <v>3917864.5299999993</v>
      </c>
      <c r="AP352" s="14" t="str">
        <f>IF(ABS(AO352-F352)&lt;1,"ok","err")</f>
        <v>ok</v>
      </c>
    </row>
    <row r="353" spans="1:42" x14ac:dyDescent="0.25">
      <c r="A353" s="2"/>
      <c r="B353" s="2"/>
      <c r="F353" s="66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P353" s="14"/>
    </row>
    <row r="354" spans="1:42" x14ac:dyDescent="0.25">
      <c r="A354" s="2" t="s">
        <v>530</v>
      </c>
      <c r="B354" s="2"/>
      <c r="F354" s="66">
        <f t="shared" ref="F354:P354" si="333">F352+F317</f>
        <v>3917864.5299999993</v>
      </c>
      <c r="G354" s="17">
        <f t="shared" si="333"/>
        <v>0</v>
      </c>
      <c r="H354" s="17">
        <f t="shared" si="333"/>
        <v>0</v>
      </c>
      <c r="I354" s="17">
        <f t="shared" si="333"/>
        <v>0</v>
      </c>
      <c r="J354" s="17">
        <f t="shared" si="333"/>
        <v>0</v>
      </c>
      <c r="K354" s="17">
        <f t="shared" si="333"/>
        <v>0</v>
      </c>
      <c r="L354" s="17">
        <f t="shared" si="333"/>
        <v>0</v>
      </c>
      <c r="M354" s="17">
        <f t="shared" si="333"/>
        <v>0</v>
      </c>
      <c r="N354" s="17">
        <f t="shared" si="333"/>
        <v>0</v>
      </c>
      <c r="O354" s="17"/>
      <c r="P354" s="17">
        <f t="shared" si="333"/>
        <v>0</v>
      </c>
      <c r="Q354" s="17"/>
      <c r="R354" s="17">
        <f>R352+R317</f>
        <v>0</v>
      </c>
      <c r="S354" s="17"/>
      <c r="T354" s="17">
        <f>T352+T317</f>
        <v>3704.2475274172598</v>
      </c>
      <c r="U354" s="17"/>
      <c r="V354" s="17">
        <f>V352+V317</f>
        <v>1857982.1142955772</v>
      </c>
      <c r="W354" s="17">
        <f>W352+W317</f>
        <v>826692.82668268075</v>
      </c>
      <c r="X354" s="17"/>
      <c r="Y354" s="17">
        <f>Y352+Y317</f>
        <v>206442.4571439531</v>
      </c>
      <c r="Z354" s="17">
        <f>Z352+Z317</f>
        <v>91854.758520297881</v>
      </c>
      <c r="AA354" s="17"/>
      <c r="AB354" s="17">
        <f>AB352+AB317</f>
        <v>33710.659818103246</v>
      </c>
      <c r="AC354" s="17">
        <f>AC352+AC317</f>
        <v>43910.016714485391</v>
      </c>
      <c r="AD354" s="17"/>
      <c r="AE354" s="17">
        <f>AE352+AE317</f>
        <v>0</v>
      </c>
      <c r="AF354" s="17">
        <f>AF352+AF317</f>
        <v>54646.603324708718</v>
      </c>
      <c r="AG354" s="17"/>
      <c r="AH354" s="17">
        <f>AH352+AH317</f>
        <v>774721.42530976178</v>
      </c>
      <c r="AI354" s="17"/>
      <c r="AJ354" s="17">
        <f>AJ352+AJ317</f>
        <v>24199.42066301448</v>
      </c>
      <c r="AK354" s="17"/>
      <c r="AL354" s="17">
        <f>AL352+AL317</f>
        <v>0</v>
      </c>
      <c r="AM354" s="17"/>
      <c r="AN354" s="17">
        <f>AN352+AN317</f>
        <v>0</v>
      </c>
      <c r="AO354" s="17">
        <f>SUM(H354:AN354)</f>
        <v>3917864.5299999993</v>
      </c>
      <c r="AP354" s="14" t="str">
        <f>IF(ABS(AO354-F354)&lt;1,"ok","err")</f>
        <v>ok</v>
      </c>
    </row>
    <row r="355" spans="1:42" x14ac:dyDescent="0.25">
      <c r="A355" s="2"/>
      <c r="B355" s="2"/>
      <c r="F355" s="66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P355" s="14"/>
    </row>
    <row r="356" spans="1:42" x14ac:dyDescent="0.25">
      <c r="A356" s="2" t="s">
        <v>783</v>
      </c>
      <c r="B356" s="2"/>
      <c r="C356" s="2" t="s">
        <v>493</v>
      </c>
      <c r="F356" s="110">
        <f>F354+F299+F305</f>
        <v>3917864.5299999993</v>
      </c>
      <c r="G356" s="13">
        <f>G354+G305</f>
        <v>0</v>
      </c>
      <c r="H356" s="110">
        <f t="shared" ref="H356:N356" si="334">H354+H299+H305</f>
        <v>0</v>
      </c>
      <c r="I356" s="110">
        <f t="shared" si="334"/>
        <v>0</v>
      </c>
      <c r="J356" s="110">
        <f t="shared" si="334"/>
        <v>0</v>
      </c>
      <c r="K356" s="110">
        <f t="shared" si="334"/>
        <v>0</v>
      </c>
      <c r="L356" s="110">
        <f t="shared" si="334"/>
        <v>0</v>
      </c>
      <c r="M356" s="13">
        <f t="shared" si="334"/>
        <v>0</v>
      </c>
      <c r="N356" s="13">
        <f t="shared" si="334"/>
        <v>0</v>
      </c>
      <c r="O356" s="110"/>
      <c r="P356" s="13">
        <f>P354+P299+P305</f>
        <v>0</v>
      </c>
      <c r="Q356" s="13"/>
      <c r="R356" s="110">
        <f>R354+R299+R305</f>
        <v>0</v>
      </c>
      <c r="S356" s="13"/>
      <c r="T356" s="110">
        <f>T354+T299+T305</f>
        <v>3704.2475274172598</v>
      </c>
      <c r="U356" s="13"/>
      <c r="V356" s="110">
        <f>V354+V299+V305</f>
        <v>1857982.1142955772</v>
      </c>
      <c r="W356" s="110">
        <f>W354+W299+W305</f>
        <v>826692.82668268075</v>
      </c>
      <c r="X356" s="13"/>
      <c r="Y356" s="110">
        <f>Y354+Y299+Y305</f>
        <v>206442.4571439531</v>
      </c>
      <c r="Z356" s="110">
        <f>Z354+Z299+Z305</f>
        <v>91854.758520297881</v>
      </c>
      <c r="AA356" s="110"/>
      <c r="AB356" s="110">
        <f>AB354+AB299+AB305</f>
        <v>33710.659818103246</v>
      </c>
      <c r="AC356" s="110">
        <f>AC354+AC299+AC305</f>
        <v>43910.016714485391</v>
      </c>
      <c r="AD356" s="13"/>
      <c r="AE356" s="110">
        <f>AE354+AE299+AE305</f>
        <v>0</v>
      </c>
      <c r="AF356" s="110">
        <f>AF354+AF299+AF305</f>
        <v>54646.603324708718</v>
      </c>
      <c r="AG356" s="13"/>
      <c r="AH356" s="110">
        <f>AH354+AH299+AH305</f>
        <v>774721.42530976178</v>
      </c>
      <c r="AI356" s="13"/>
      <c r="AJ356" s="110">
        <f>AJ354+AJ299+AJ305</f>
        <v>24199.42066301448</v>
      </c>
      <c r="AK356" s="13"/>
      <c r="AL356" s="110">
        <f>AL354+AL299+AL305</f>
        <v>0</v>
      </c>
      <c r="AM356" s="13"/>
      <c r="AN356" s="110">
        <f>AN354+AN299+AN305</f>
        <v>0</v>
      </c>
      <c r="AO356" s="17">
        <f>SUM(H356:AN356)</f>
        <v>3917864.5299999993</v>
      </c>
      <c r="AP356" s="14" t="str">
        <f>IF(ABS(AO356-F356)&lt;1,"ok","err")</f>
        <v>ok</v>
      </c>
    </row>
    <row r="357" spans="1:42" x14ac:dyDescent="0.25">
      <c r="A357" s="8"/>
      <c r="B357" s="2"/>
      <c r="F357" s="66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P357" s="14"/>
    </row>
    <row r="358" spans="1:42" x14ac:dyDescent="0.25">
      <c r="A358" s="8" t="s">
        <v>142</v>
      </c>
      <c r="B358" s="2"/>
      <c r="F358" s="66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P358" s="14"/>
    </row>
    <row r="359" spans="1:42" x14ac:dyDescent="0.25">
      <c r="A359" s="2">
        <v>901</v>
      </c>
      <c r="B359" s="2" t="s">
        <v>143</v>
      </c>
      <c r="C359" s="2" t="s">
        <v>494</v>
      </c>
      <c r="D359" s="2" t="s">
        <v>145</v>
      </c>
      <c r="F359" s="195">
        <v>8611.07</v>
      </c>
      <c r="H359" s="17">
        <f>IF(VLOOKUP($D359,$C$5:$AN$495,6,)=0,0,((VLOOKUP($D359,$C$5:$AN$495,6,)/VLOOKUP($D359,$C$5:$AN$495,4,))*$F359))</f>
        <v>0</v>
      </c>
      <c r="I359" s="17">
        <f>IF(VLOOKUP($D359,$C$5:$AN$495,7,)=0,0,((VLOOKUP($D359,$C$5:$AN$495,7,)/VLOOKUP($D359,$C$5:$AN$495,4,))*$F359))</f>
        <v>0</v>
      </c>
      <c r="J359" s="17">
        <f>IF(VLOOKUP($D359,$C$5:$AN$495,8,)=0,0,((VLOOKUP($D359,$C$5:$AN$495,8,)/VLOOKUP($D359,$C$5:$AN$495,4,))*$F359))</f>
        <v>0</v>
      </c>
      <c r="K359" s="17">
        <f>IF(VLOOKUP($D359,$C$5:$AN$495,9,)=0,0,((VLOOKUP($D359,$C$5:$AN$495,9,)/VLOOKUP($D359,$C$5:$AN$495,4,))*$F359))</f>
        <v>0</v>
      </c>
      <c r="L359" s="17">
        <f>IF(VLOOKUP($D359,$C$5:$AN$495,10,)=0,0,((VLOOKUP($D359,$C$5:$AN$495,10,)/VLOOKUP($D359,$C$5:$AN$495,4,))*$F359))</f>
        <v>0</v>
      </c>
      <c r="M359" s="17">
        <f>IF(VLOOKUP($D359,$C$5:$AN$495,11,)=0,0,((VLOOKUP($D359,$C$5:$AN$495,11,)/VLOOKUP($D359,$C$5:$AN$495,4,))*$F359))</f>
        <v>0</v>
      </c>
      <c r="N359" s="17">
        <f>IF(VLOOKUP($D359,$C$5:$AN$495,12,)=0,0,((VLOOKUP($D359,$C$5:$AN$495,12,)/VLOOKUP($D359,$C$5:$AN$495,4,))*$F359))</f>
        <v>0</v>
      </c>
      <c r="O359" s="17"/>
      <c r="P359" s="17">
        <f>IF(VLOOKUP($D359,$C$5:$AN$495,14,)=0,0,((VLOOKUP($D359,$C$5:$AN$495,14,)/VLOOKUP($D359,$C$5:$AN$495,4,))*$F359))</f>
        <v>0</v>
      </c>
      <c r="Q359" s="17"/>
      <c r="R359" s="17">
        <f>IF(VLOOKUP($D359,$C$5:$AN$495,16,)=0,0,((VLOOKUP($D359,$C$5:$AN$495,16,)/VLOOKUP($D359,$C$5:$AN$495,4,))*$F359))</f>
        <v>0</v>
      </c>
      <c r="S359" s="17"/>
      <c r="T359" s="17">
        <f>IF(VLOOKUP($D359,$C$5:$AN$495,18,)=0,0,((VLOOKUP($D359,$C$5:$AN$495,18,)/VLOOKUP($D359,$C$5:$AN$495,4,))*$F359))</f>
        <v>0</v>
      </c>
      <c r="U359" s="17"/>
      <c r="V359" s="17">
        <f>IF(VLOOKUP($D359,$C$5:$AN$495,20,)=0,0,((VLOOKUP($D359,$C$5:$AN$495,20,)/VLOOKUP($D359,$C$5:$AN$495,4,))*$F359))</f>
        <v>0</v>
      </c>
      <c r="W359" s="17">
        <f>IF(VLOOKUP($D359,$C$5:$AN$495,21,)=0,0,((VLOOKUP($D359,$C$5:$AN$495,21,)/VLOOKUP($D359,$C$5:$AN$495,4,))*$F359))</f>
        <v>0</v>
      </c>
      <c r="X359" s="17"/>
      <c r="Y359" s="17">
        <f>IF(VLOOKUP($D359,$C$5:$AN$495,23,)=0,0,((VLOOKUP($D359,$C$5:$AN$495,23,)/VLOOKUP($D359,$C$5:$AN$495,4,))*$F359))</f>
        <v>0</v>
      </c>
      <c r="Z359" s="17">
        <f>IF(VLOOKUP($D359,$C$5:$AN$495,24,)=0,0,((VLOOKUP($D359,$C$5:$AN$495,24,)/VLOOKUP($D359,$C$5:$AN$495,4,))*$F359))</f>
        <v>0</v>
      </c>
      <c r="AA359" s="17"/>
      <c r="AB359" s="17">
        <f>IF(VLOOKUP($D359,$C$5:$AN$495,26,)=0,0,((VLOOKUP($D359,$C$5:$AN$495,26,)/VLOOKUP($D359,$C$5:$AN$495,4,))*$F359))</f>
        <v>0</v>
      </c>
      <c r="AC359" s="17">
        <f>IF(VLOOKUP($D359,$C$5:$AN$495,27,)=0,0,((VLOOKUP($D359,$C$5:$AN$495,27,)/VLOOKUP($D359,$C$5:$AN$495,4,))*$F359))</f>
        <v>0</v>
      </c>
      <c r="AD359" s="17"/>
      <c r="AE359" s="17">
        <f>IF(VLOOKUP($D359,$C$5:$AN$495,29,)=0,0,((VLOOKUP($D359,$C$5:$AN$495,29,)/VLOOKUP($D359,$C$5:$AN$495,4,))*$F359))</f>
        <v>0</v>
      </c>
      <c r="AF359" s="17">
        <f>IF(VLOOKUP($D359,$C$5:$AN$495,30,)=0,0,((VLOOKUP($D359,$C$5:$AN$495,30,)/VLOOKUP($D359,$C$5:$AN$495,4,))*$F359))</f>
        <v>0</v>
      </c>
      <c r="AG359" s="17"/>
      <c r="AH359" s="17">
        <f>IF(VLOOKUP($D359,$C$5:$AN$495,32,)=0,0,((VLOOKUP($D359,$C$5:$AN$495,32,)/VLOOKUP($D359,$C$5:$AN$495,4,))*$F359))</f>
        <v>0</v>
      </c>
      <c r="AI359" s="17"/>
      <c r="AJ359" s="17">
        <f>IF(VLOOKUP($D359,$C$5:$AN$495,34,)=0,0,((VLOOKUP($D359,$C$5:$AN$495,34,)/VLOOKUP($D359,$C$5:$AN$495,4,))*$F359))</f>
        <v>0</v>
      </c>
      <c r="AK359" s="17"/>
      <c r="AL359" s="17">
        <f>IF(VLOOKUP($D359,$C$5:$AN$495,36,)=0,0,((VLOOKUP($D359,$C$5:$AN$495,36,)/VLOOKUP($D359,$C$5:$AN$495,4,))*$F359))</f>
        <v>8611.07</v>
      </c>
      <c r="AM359" s="17"/>
      <c r="AN359" s="17">
        <f>IF(VLOOKUP($D359,$C$5:$AN$495,38,)=0,0,((VLOOKUP($D359,$C$5:$AN$495,38,)/VLOOKUP($D359,$C$5:$AN$495,4,))*$F359))</f>
        <v>0</v>
      </c>
      <c r="AO359" s="17">
        <f>SUM(H359:AN359)</f>
        <v>8611.07</v>
      </c>
      <c r="AP359" s="14" t="str">
        <f>IF(ABS(AO359-F359)&lt;1,"ok","err")</f>
        <v>ok</v>
      </c>
    </row>
    <row r="360" spans="1:42" x14ac:dyDescent="0.25">
      <c r="A360" s="2">
        <v>902</v>
      </c>
      <c r="B360" s="2" t="s">
        <v>146</v>
      </c>
      <c r="C360" s="2" t="s">
        <v>495</v>
      </c>
      <c r="D360" s="2" t="s">
        <v>145</v>
      </c>
      <c r="F360" s="148">
        <v>729.9</v>
      </c>
      <c r="H360" s="17">
        <f>IF(VLOOKUP($D360,$C$5:$AN$495,6,)=0,0,((VLOOKUP($D360,$C$5:$AN$495,6,)/VLOOKUP($D360,$C$5:$AN$495,4,))*$F360))</f>
        <v>0</v>
      </c>
      <c r="I360" s="17">
        <f>IF(VLOOKUP($D360,$C$5:$AN$495,7,)=0,0,((VLOOKUP($D360,$C$5:$AN$495,7,)/VLOOKUP($D360,$C$5:$AN$495,4,))*$F360))</f>
        <v>0</v>
      </c>
      <c r="J360" s="17">
        <f>IF(VLOOKUP($D360,$C$5:$AN$495,8,)=0,0,((VLOOKUP($D360,$C$5:$AN$495,8,)/VLOOKUP($D360,$C$5:$AN$495,4,))*$F360))</f>
        <v>0</v>
      </c>
      <c r="K360" s="17">
        <f>IF(VLOOKUP($D360,$C$5:$AN$495,9,)=0,0,((VLOOKUP($D360,$C$5:$AN$495,9,)/VLOOKUP($D360,$C$5:$AN$495,4,))*$F360))</f>
        <v>0</v>
      </c>
      <c r="L360" s="17">
        <f>IF(VLOOKUP($D360,$C$5:$AN$495,10,)=0,0,((VLOOKUP($D360,$C$5:$AN$495,10,)/VLOOKUP($D360,$C$5:$AN$495,4,))*$F360))</f>
        <v>0</v>
      </c>
      <c r="M360" s="17">
        <f>IF(VLOOKUP($D360,$C$5:$AN$495,11,)=0,0,((VLOOKUP($D360,$C$5:$AN$495,11,)/VLOOKUP($D360,$C$5:$AN$495,4,))*$F360))</f>
        <v>0</v>
      </c>
      <c r="N360" s="17">
        <f>IF(VLOOKUP($D360,$C$5:$AN$495,12,)=0,0,((VLOOKUP($D360,$C$5:$AN$495,12,)/VLOOKUP($D360,$C$5:$AN$495,4,))*$F360))</f>
        <v>0</v>
      </c>
      <c r="O360" s="17"/>
      <c r="P360" s="17">
        <f>IF(VLOOKUP($D360,$C$5:$AN$495,14,)=0,0,((VLOOKUP($D360,$C$5:$AN$495,14,)/VLOOKUP($D360,$C$5:$AN$495,4,))*$F360))</f>
        <v>0</v>
      </c>
      <c r="Q360" s="17"/>
      <c r="R360" s="17">
        <f>IF(VLOOKUP($D360,$C$5:$AN$495,16,)=0,0,((VLOOKUP($D360,$C$5:$AN$495,16,)/VLOOKUP($D360,$C$5:$AN$495,4,))*$F360))</f>
        <v>0</v>
      </c>
      <c r="S360" s="17"/>
      <c r="T360" s="17">
        <f>IF(VLOOKUP($D360,$C$5:$AN$495,18,)=0,0,((VLOOKUP($D360,$C$5:$AN$495,18,)/VLOOKUP($D360,$C$5:$AN$495,4,))*$F360))</f>
        <v>0</v>
      </c>
      <c r="U360" s="17"/>
      <c r="V360" s="17">
        <f>IF(VLOOKUP($D360,$C$5:$AN$495,20,)=0,0,((VLOOKUP($D360,$C$5:$AN$495,20,)/VLOOKUP($D360,$C$5:$AN$495,4,))*$F360))</f>
        <v>0</v>
      </c>
      <c r="W360" s="17">
        <f>IF(VLOOKUP($D360,$C$5:$AN$495,21,)=0,0,((VLOOKUP($D360,$C$5:$AN$495,21,)/VLOOKUP($D360,$C$5:$AN$495,4,))*$F360))</f>
        <v>0</v>
      </c>
      <c r="X360" s="17"/>
      <c r="Y360" s="17">
        <f>IF(VLOOKUP($D360,$C$5:$AN$495,23,)=0,0,((VLOOKUP($D360,$C$5:$AN$495,23,)/VLOOKUP($D360,$C$5:$AN$495,4,))*$F360))</f>
        <v>0</v>
      </c>
      <c r="Z360" s="17">
        <f>IF(VLOOKUP($D360,$C$5:$AN$495,24,)=0,0,((VLOOKUP($D360,$C$5:$AN$495,24,)/VLOOKUP($D360,$C$5:$AN$495,4,))*$F360))</f>
        <v>0</v>
      </c>
      <c r="AA360" s="17"/>
      <c r="AB360" s="17">
        <f>IF(VLOOKUP($D360,$C$5:$AN$495,26,)=0,0,((VLOOKUP($D360,$C$5:$AN$495,26,)/VLOOKUP($D360,$C$5:$AN$495,4,))*$F360))</f>
        <v>0</v>
      </c>
      <c r="AC360" s="17">
        <f>IF(VLOOKUP($D360,$C$5:$AN$495,27,)=0,0,((VLOOKUP($D360,$C$5:$AN$495,27,)/VLOOKUP($D360,$C$5:$AN$495,4,))*$F360))</f>
        <v>0</v>
      </c>
      <c r="AD360" s="17"/>
      <c r="AE360" s="17">
        <f>IF(VLOOKUP($D360,$C$5:$AN$495,29,)=0,0,((VLOOKUP($D360,$C$5:$AN$495,29,)/VLOOKUP($D360,$C$5:$AN$495,4,))*$F360))</f>
        <v>0</v>
      </c>
      <c r="AF360" s="17">
        <f>IF(VLOOKUP($D360,$C$5:$AN$495,30,)=0,0,((VLOOKUP($D360,$C$5:$AN$495,30,)/VLOOKUP($D360,$C$5:$AN$495,4,))*$F360))</f>
        <v>0</v>
      </c>
      <c r="AG360" s="17"/>
      <c r="AH360" s="17">
        <f>IF(VLOOKUP($D360,$C$5:$AN$495,32,)=0,0,((VLOOKUP($D360,$C$5:$AN$495,32,)/VLOOKUP($D360,$C$5:$AN$495,4,))*$F360))</f>
        <v>0</v>
      </c>
      <c r="AI360" s="17"/>
      <c r="AJ360" s="17">
        <f>IF(VLOOKUP($D360,$C$5:$AN$495,34,)=0,0,((VLOOKUP($D360,$C$5:$AN$495,34,)/VLOOKUP($D360,$C$5:$AN$495,4,))*$F360))</f>
        <v>0</v>
      </c>
      <c r="AK360" s="17"/>
      <c r="AL360" s="17">
        <f>IF(VLOOKUP($D360,$C$5:$AN$495,36,)=0,0,((VLOOKUP($D360,$C$5:$AN$495,36,)/VLOOKUP($D360,$C$5:$AN$495,4,))*$F360))</f>
        <v>729.9</v>
      </c>
      <c r="AM360" s="17"/>
      <c r="AN360" s="17">
        <f>IF(VLOOKUP($D360,$C$5:$AN$495,38,)=0,0,((VLOOKUP($D360,$C$5:$AN$495,38,)/VLOOKUP($D360,$C$5:$AN$495,4,))*$F360))</f>
        <v>0</v>
      </c>
      <c r="AO360" s="17">
        <f>SUM(H360:AN360)</f>
        <v>729.9</v>
      </c>
      <c r="AP360" s="14" t="str">
        <f>IF(ABS(AO360-F360)&lt;1,"ok","err")</f>
        <v>ok</v>
      </c>
    </row>
    <row r="361" spans="1:42" x14ac:dyDescent="0.25">
      <c r="A361" s="2">
        <v>903</v>
      </c>
      <c r="B361" s="2" t="s">
        <v>435</v>
      </c>
      <c r="C361" s="2" t="s">
        <v>496</v>
      </c>
      <c r="D361" s="2" t="s">
        <v>145</v>
      </c>
      <c r="F361" s="148">
        <v>1524447.24</v>
      </c>
      <c r="H361" s="17">
        <f>IF(VLOOKUP($D361,$C$5:$AN$495,6,)=0,0,((VLOOKUP($D361,$C$5:$AN$495,6,)/VLOOKUP($D361,$C$5:$AN$495,4,))*$F361))</f>
        <v>0</v>
      </c>
      <c r="I361" s="17">
        <f>IF(VLOOKUP($D361,$C$5:$AN$495,7,)=0,0,((VLOOKUP($D361,$C$5:$AN$495,7,)/VLOOKUP($D361,$C$5:$AN$495,4,))*$F361))</f>
        <v>0</v>
      </c>
      <c r="J361" s="17">
        <f>IF(VLOOKUP($D361,$C$5:$AN$495,8,)=0,0,((VLOOKUP($D361,$C$5:$AN$495,8,)/VLOOKUP($D361,$C$5:$AN$495,4,))*$F361))</f>
        <v>0</v>
      </c>
      <c r="K361" s="17">
        <f>IF(VLOOKUP($D361,$C$5:$AN$495,9,)=0,0,((VLOOKUP($D361,$C$5:$AN$495,9,)/VLOOKUP($D361,$C$5:$AN$495,4,))*$F361))</f>
        <v>0</v>
      </c>
      <c r="L361" s="17">
        <f>IF(VLOOKUP($D361,$C$5:$AN$495,10,)=0,0,((VLOOKUP($D361,$C$5:$AN$495,10,)/VLOOKUP($D361,$C$5:$AN$495,4,))*$F361))</f>
        <v>0</v>
      </c>
      <c r="M361" s="17">
        <f>IF(VLOOKUP($D361,$C$5:$AN$495,11,)=0,0,((VLOOKUP($D361,$C$5:$AN$495,11,)/VLOOKUP($D361,$C$5:$AN$495,4,))*$F361))</f>
        <v>0</v>
      </c>
      <c r="N361" s="17">
        <f>IF(VLOOKUP($D361,$C$5:$AN$495,12,)=0,0,((VLOOKUP($D361,$C$5:$AN$495,12,)/VLOOKUP($D361,$C$5:$AN$495,4,))*$F361))</f>
        <v>0</v>
      </c>
      <c r="O361" s="17"/>
      <c r="P361" s="17">
        <f>IF(VLOOKUP($D361,$C$5:$AN$495,14,)=0,0,((VLOOKUP($D361,$C$5:$AN$495,14,)/VLOOKUP($D361,$C$5:$AN$495,4,))*$F361))</f>
        <v>0</v>
      </c>
      <c r="Q361" s="17"/>
      <c r="R361" s="17">
        <f>IF(VLOOKUP($D361,$C$5:$AN$495,16,)=0,0,((VLOOKUP($D361,$C$5:$AN$495,16,)/VLOOKUP($D361,$C$5:$AN$495,4,))*$F361))</f>
        <v>0</v>
      </c>
      <c r="S361" s="17"/>
      <c r="T361" s="17">
        <f>IF(VLOOKUP($D361,$C$5:$AN$495,18,)=0,0,((VLOOKUP($D361,$C$5:$AN$495,18,)/VLOOKUP($D361,$C$5:$AN$495,4,))*$F361))</f>
        <v>0</v>
      </c>
      <c r="U361" s="17"/>
      <c r="V361" s="17">
        <f>IF(VLOOKUP($D361,$C$5:$AN$495,20,)=0,0,((VLOOKUP($D361,$C$5:$AN$495,20,)/VLOOKUP($D361,$C$5:$AN$495,4,))*$F361))</f>
        <v>0</v>
      </c>
      <c r="W361" s="17">
        <f>IF(VLOOKUP($D361,$C$5:$AN$495,21,)=0,0,((VLOOKUP($D361,$C$5:$AN$495,21,)/VLOOKUP($D361,$C$5:$AN$495,4,))*$F361))</f>
        <v>0</v>
      </c>
      <c r="X361" s="17"/>
      <c r="Y361" s="17">
        <f>IF(VLOOKUP($D361,$C$5:$AN$495,23,)=0,0,((VLOOKUP($D361,$C$5:$AN$495,23,)/VLOOKUP($D361,$C$5:$AN$495,4,))*$F361))</f>
        <v>0</v>
      </c>
      <c r="Z361" s="17">
        <f>IF(VLOOKUP($D361,$C$5:$AN$495,24,)=0,0,((VLOOKUP($D361,$C$5:$AN$495,24,)/VLOOKUP($D361,$C$5:$AN$495,4,))*$F361))</f>
        <v>0</v>
      </c>
      <c r="AA361" s="17"/>
      <c r="AB361" s="17">
        <f>IF(VLOOKUP($D361,$C$5:$AN$495,26,)=0,0,((VLOOKUP($D361,$C$5:$AN$495,26,)/VLOOKUP($D361,$C$5:$AN$495,4,))*$F361))</f>
        <v>0</v>
      </c>
      <c r="AC361" s="17">
        <f>IF(VLOOKUP($D361,$C$5:$AN$495,27,)=0,0,((VLOOKUP($D361,$C$5:$AN$495,27,)/VLOOKUP($D361,$C$5:$AN$495,4,))*$F361))</f>
        <v>0</v>
      </c>
      <c r="AD361" s="17"/>
      <c r="AE361" s="17">
        <f>IF(VLOOKUP($D361,$C$5:$AN$495,29,)=0,0,((VLOOKUP($D361,$C$5:$AN$495,29,)/VLOOKUP($D361,$C$5:$AN$495,4,))*$F361))</f>
        <v>0</v>
      </c>
      <c r="AF361" s="17">
        <f>IF(VLOOKUP($D361,$C$5:$AN$495,30,)=0,0,((VLOOKUP($D361,$C$5:$AN$495,30,)/VLOOKUP($D361,$C$5:$AN$495,4,))*$F361))</f>
        <v>0</v>
      </c>
      <c r="AG361" s="17"/>
      <c r="AH361" s="17">
        <f>IF(VLOOKUP($D361,$C$5:$AN$495,32,)=0,0,((VLOOKUP($D361,$C$5:$AN$495,32,)/VLOOKUP($D361,$C$5:$AN$495,4,))*$F361))</f>
        <v>0</v>
      </c>
      <c r="AI361" s="17"/>
      <c r="AJ361" s="17">
        <f>IF(VLOOKUP($D361,$C$5:$AN$495,34,)=0,0,((VLOOKUP($D361,$C$5:$AN$495,34,)/VLOOKUP($D361,$C$5:$AN$495,4,))*$F361))</f>
        <v>0</v>
      </c>
      <c r="AK361" s="17"/>
      <c r="AL361" s="17">
        <f>IF(VLOOKUP($D361,$C$5:$AN$495,36,)=0,0,((VLOOKUP($D361,$C$5:$AN$495,36,)/VLOOKUP($D361,$C$5:$AN$495,4,))*$F361))</f>
        <v>1524447.24</v>
      </c>
      <c r="AM361" s="17"/>
      <c r="AN361" s="17">
        <f>IF(VLOOKUP($D361,$C$5:$AN$495,38,)=0,0,((VLOOKUP($D361,$C$5:$AN$495,38,)/VLOOKUP($D361,$C$5:$AN$495,4,))*$F361))</f>
        <v>0</v>
      </c>
      <c r="AO361" s="17">
        <f>SUM(H361:AN361)</f>
        <v>1524447.24</v>
      </c>
      <c r="AP361" s="14" t="str">
        <f>IF(ABS(AO361-F361)&lt;1,"ok","err")</f>
        <v>ok</v>
      </c>
    </row>
    <row r="362" spans="1:42" x14ac:dyDescent="0.25">
      <c r="A362" s="2">
        <v>904</v>
      </c>
      <c r="B362" s="2" t="s">
        <v>149</v>
      </c>
      <c r="C362" s="2" t="s">
        <v>497</v>
      </c>
      <c r="D362" s="2" t="s">
        <v>145</v>
      </c>
      <c r="F362" s="148"/>
      <c r="H362" s="17">
        <f>IF(VLOOKUP($D362,$C$5:$AN$495,6,)=0,0,((VLOOKUP($D362,$C$5:$AN$495,6,)/VLOOKUP($D362,$C$5:$AN$495,4,))*$F362))</f>
        <v>0</v>
      </c>
      <c r="I362" s="17">
        <f>IF(VLOOKUP($D362,$C$5:$AN$495,7,)=0,0,((VLOOKUP($D362,$C$5:$AN$495,7,)/VLOOKUP($D362,$C$5:$AN$495,4,))*$F362))</f>
        <v>0</v>
      </c>
      <c r="J362" s="17">
        <f>IF(VLOOKUP($D362,$C$5:$AN$495,8,)=0,0,((VLOOKUP($D362,$C$5:$AN$495,8,)/VLOOKUP($D362,$C$5:$AN$495,4,))*$F362))</f>
        <v>0</v>
      </c>
      <c r="K362" s="17">
        <f>IF(VLOOKUP($D362,$C$5:$AN$495,9,)=0,0,((VLOOKUP($D362,$C$5:$AN$495,9,)/VLOOKUP($D362,$C$5:$AN$495,4,))*$F362))</f>
        <v>0</v>
      </c>
      <c r="L362" s="17">
        <f>IF(VLOOKUP($D362,$C$5:$AN$495,10,)=0,0,((VLOOKUP($D362,$C$5:$AN$495,10,)/VLOOKUP($D362,$C$5:$AN$495,4,))*$F362))</f>
        <v>0</v>
      </c>
      <c r="M362" s="17">
        <f>IF(VLOOKUP($D362,$C$5:$AN$495,11,)=0,0,((VLOOKUP($D362,$C$5:$AN$495,11,)/VLOOKUP($D362,$C$5:$AN$495,4,))*$F362))</f>
        <v>0</v>
      </c>
      <c r="N362" s="17">
        <f>IF(VLOOKUP($D362,$C$5:$AN$495,12,)=0,0,((VLOOKUP($D362,$C$5:$AN$495,12,)/VLOOKUP($D362,$C$5:$AN$495,4,))*$F362))</f>
        <v>0</v>
      </c>
      <c r="O362" s="17"/>
      <c r="P362" s="17">
        <f>IF(VLOOKUP($D362,$C$5:$AN$495,14,)=0,0,((VLOOKUP($D362,$C$5:$AN$495,14,)/VLOOKUP($D362,$C$5:$AN$495,4,))*$F362))</f>
        <v>0</v>
      </c>
      <c r="Q362" s="17"/>
      <c r="R362" s="17">
        <f>IF(VLOOKUP($D362,$C$5:$AN$495,16,)=0,0,((VLOOKUP($D362,$C$5:$AN$495,16,)/VLOOKUP($D362,$C$5:$AN$495,4,))*$F362))</f>
        <v>0</v>
      </c>
      <c r="S362" s="17"/>
      <c r="T362" s="17">
        <f>IF(VLOOKUP($D362,$C$5:$AN$495,18,)=0,0,((VLOOKUP($D362,$C$5:$AN$495,18,)/VLOOKUP($D362,$C$5:$AN$495,4,))*$F362))</f>
        <v>0</v>
      </c>
      <c r="U362" s="17"/>
      <c r="V362" s="17">
        <f>IF(VLOOKUP($D362,$C$5:$AN$495,20,)=0,0,((VLOOKUP($D362,$C$5:$AN$495,20,)/VLOOKUP($D362,$C$5:$AN$495,4,))*$F362))</f>
        <v>0</v>
      </c>
      <c r="W362" s="17">
        <f>IF(VLOOKUP($D362,$C$5:$AN$495,21,)=0,0,((VLOOKUP($D362,$C$5:$AN$495,21,)/VLOOKUP($D362,$C$5:$AN$495,4,))*$F362))</f>
        <v>0</v>
      </c>
      <c r="X362" s="17"/>
      <c r="Y362" s="17">
        <f>IF(VLOOKUP($D362,$C$5:$AN$495,23,)=0,0,((VLOOKUP($D362,$C$5:$AN$495,23,)/VLOOKUP($D362,$C$5:$AN$495,4,))*$F362))</f>
        <v>0</v>
      </c>
      <c r="Z362" s="17">
        <f>IF(VLOOKUP($D362,$C$5:$AN$495,24,)=0,0,((VLOOKUP($D362,$C$5:$AN$495,24,)/VLOOKUP($D362,$C$5:$AN$495,4,))*$F362))</f>
        <v>0</v>
      </c>
      <c r="AA362" s="17"/>
      <c r="AB362" s="17">
        <f>IF(VLOOKUP($D362,$C$5:$AN$495,26,)=0,0,((VLOOKUP($D362,$C$5:$AN$495,26,)/VLOOKUP($D362,$C$5:$AN$495,4,))*$F362))</f>
        <v>0</v>
      </c>
      <c r="AC362" s="17">
        <f>IF(VLOOKUP($D362,$C$5:$AN$495,27,)=0,0,((VLOOKUP($D362,$C$5:$AN$495,27,)/VLOOKUP($D362,$C$5:$AN$495,4,))*$F362))</f>
        <v>0</v>
      </c>
      <c r="AD362" s="17"/>
      <c r="AE362" s="17">
        <f>IF(VLOOKUP($D362,$C$5:$AN$495,29,)=0,0,((VLOOKUP($D362,$C$5:$AN$495,29,)/VLOOKUP($D362,$C$5:$AN$495,4,))*$F362))</f>
        <v>0</v>
      </c>
      <c r="AF362" s="17">
        <f>IF(VLOOKUP($D362,$C$5:$AN$495,30,)=0,0,((VLOOKUP($D362,$C$5:$AN$495,30,)/VLOOKUP($D362,$C$5:$AN$495,4,))*$F362))</f>
        <v>0</v>
      </c>
      <c r="AG362" s="17"/>
      <c r="AH362" s="17">
        <f>IF(VLOOKUP($D362,$C$5:$AN$495,32,)=0,0,((VLOOKUP($D362,$C$5:$AN$495,32,)/VLOOKUP($D362,$C$5:$AN$495,4,))*$F362))</f>
        <v>0</v>
      </c>
      <c r="AI362" s="17"/>
      <c r="AJ362" s="17">
        <f>IF(VLOOKUP($D362,$C$5:$AN$495,34,)=0,0,((VLOOKUP($D362,$C$5:$AN$495,34,)/VLOOKUP($D362,$C$5:$AN$495,4,))*$F362))</f>
        <v>0</v>
      </c>
      <c r="AK362" s="17"/>
      <c r="AL362" s="17">
        <f>IF(VLOOKUP($D362,$C$5:$AN$495,36,)=0,0,((VLOOKUP($D362,$C$5:$AN$495,36,)/VLOOKUP($D362,$C$5:$AN$495,4,))*$F362))</f>
        <v>0</v>
      </c>
      <c r="AM362" s="17"/>
      <c r="AN362" s="17">
        <f>IF(VLOOKUP($D362,$C$5:$AN$495,38,)=0,0,((VLOOKUP($D362,$C$5:$AN$495,38,)/VLOOKUP($D362,$C$5:$AN$495,4,))*$F362))</f>
        <v>0</v>
      </c>
      <c r="AO362" s="17">
        <f>SUM(H362:AN362)</f>
        <v>0</v>
      </c>
      <c r="AP362" s="14" t="str">
        <f>IF(ABS(AO362-F362)&lt;1,"ok","err")</f>
        <v>ok</v>
      </c>
    </row>
    <row r="363" spans="1:42" x14ac:dyDescent="0.25">
      <c r="A363" s="2">
        <v>905</v>
      </c>
      <c r="B363" s="2" t="s">
        <v>436</v>
      </c>
      <c r="C363" s="2" t="s">
        <v>496</v>
      </c>
      <c r="D363" s="2" t="s">
        <v>145</v>
      </c>
      <c r="F363" s="148">
        <v>0</v>
      </c>
      <c r="H363" s="17">
        <f>IF(VLOOKUP($D363,$C$5:$AN$495,6,)=0,0,((VLOOKUP($D363,$C$5:$AN$495,6,)/VLOOKUP($D363,$C$5:$AN$495,4,))*$F363))</f>
        <v>0</v>
      </c>
      <c r="I363" s="17">
        <f>IF(VLOOKUP($D363,$C$5:$AN$495,7,)=0,0,((VLOOKUP($D363,$C$5:$AN$495,7,)/VLOOKUP($D363,$C$5:$AN$495,4,))*$F363))</f>
        <v>0</v>
      </c>
      <c r="J363" s="17">
        <f>IF(VLOOKUP($D363,$C$5:$AN$495,8,)=0,0,((VLOOKUP($D363,$C$5:$AN$495,8,)/VLOOKUP($D363,$C$5:$AN$495,4,))*$F363))</f>
        <v>0</v>
      </c>
      <c r="K363" s="17">
        <f>IF(VLOOKUP($D363,$C$5:$AN$495,9,)=0,0,((VLOOKUP($D363,$C$5:$AN$495,9,)/VLOOKUP($D363,$C$5:$AN$495,4,))*$F363))</f>
        <v>0</v>
      </c>
      <c r="L363" s="17">
        <f>IF(VLOOKUP($D363,$C$5:$AN$495,10,)=0,0,((VLOOKUP($D363,$C$5:$AN$495,10,)/VLOOKUP($D363,$C$5:$AN$495,4,))*$F363))</f>
        <v>0</v>
      </c>
      <c r="M363" s="17">
        <f>IF(VLOOKUP($D363,$C$5:$AN$495,11,)=0,0,((VLOOKUP($D363,$C$5:$AN$495,11,)/VLOOKUP($D363,$C$5:$AN$495,4,))*$F363))</f>
        <v>0</v>
      </c>
      <c r="N363" s="17">
        <f>IF(VLOOKUP($D363,$C$5:$AN$495,12,)=0,0,((VLOOKUP($D363,$C$5:$AN$495,12,)/VLOOKUP($D363,$C$5:$AN$495,4,))*$F363))</f>
        <v>0</v>
      </c>
      <c r="O363" s="17"/>
      <c r="P363" s="17">
        <f>IF(VLOOKUP($D363,$C$5:$AN$495,14,)=0,0,((VLOOKUP($D363,$C$5:$AN$495,14,)/VLOOKUP($D363,$C$5:$AN$495,4,))*$F363))</f>
        <v>0</v>
      </c>
      <c r="Q363" s="17"/>
      <c r="R363" s="17">
        <f>IF(VLOOKUP($D363,$C$5:$AN$495,16,)=0,0,((VLOOKUP($D363,$C$5:$AN$495,16,)/VLOOKUP($D363,$C$5:$AN$495,4,))*$F363))</f>
        <v>0</v>
      </c>
      <c r="S363" s="17"/>
      <c r="T363" s="17">
        <f>IF(VLOOKUP($D363,$C$5:$AN$495,18,)=0,0,((VLOOKUP($D363,$C$5:$AN$495,18,)/VLOOKUP($D363,$C$5:$AN$495,4,))*$F363))</f>
        <v>0</v>
      </c>
      <c r="U363" s="17"/>
      <c r="V363" s="17">
        <f>IF(VLOOKUP($D363,$C$5:$AN$495,20,)=0,0,((VLOOKUP($D363,$C$5:$AN$495,20,)/VLOOKUP($D363,$C$5:$AN$495,4,))*$F363))</f>
        <v>0</v>
      </c>
      <c r="W363" s="17">
        <f>IF(VLOOKUP($D363,$C$5:$AN$495,21,)=0,0,((VLOOKUP($D363,$C$5:$AN$495,21,)/VLOOKUP($D363,$C$5:$AN$495,4,))*$F363))</f>
        <v>0</v>
      </c>
      <c r="X363" s="17"/>
      <c r="Y363" s="17">
        <f>IF(VLOOKUP($D363,$C$5:$AN$495,23,)=0,0,((VLOOKUP($D363,$C$5:$AN$495,23,)/VLOOKUP($D363,$C$5:$AN$495,4,))*$F363))</f>
        <v>0</v>
      </c>
      <c r="Z363" s="17">
        <f>IF(VLOOKUP($D363,$C$5:$AN$495,24,)=0,0,((VLOOKUP($D363,$C$5:$AN$495,24,)/VLOOKUP($D363,$C$5:$AN$495,4,))*$F363))</f>
        <v>0</v>
      </c>
      <c r="AA363" s="17"/>
      <c r="AB363" s="17">
        <f>IF(VLOOKUP($D363,$C$5:$AN$495,26,)=0,0,((VLOOKUP($D363,$C$5:$AN$495,26,)/VLOOKUP($D363,$C$5:$AN$495,4,))*$F363))</f>
        <v>0</v>
      </c>
      <c r="AC363" s="17">
        <f>IF(VLOOKUP($D363,$C$5:$AN$495,27,)=0,0,((VLOOKUP($D363,$C$5:$AN$495,27,)/VLOOKUP($D363,$C$5:$AN$495,4,))*$F363))</f>
        <v>0</v>
      </c>
      <c r="AD363" s="17"/>
      <c r="AE363" s="17">
        <f>IF(VLOOKUP($D363,$C$5:$AN$495,29,)=0,0,((VLOOKUP($D363,$C$5:$AN$495,29,)/VLOOKUP($D363,$C$5:$AN$495,4,))*$F363))</f>
        <v>0</v>
      </c>
      <c r="AF363" s="17">
        <f>IF(VLOOKUP($D363,$C$5:$AN$495,30,)=0,0,((VLOOKUP($D363,$C$5:$AN$495,30,)/VLOOKUP($D363,$C$5:$AN$495,4,))*$F363))</f>
        <v>0</v>
      </c>
      <c r="AG363" s="17"/>
      <c r="AH363" s="17">
        <f>IF(VLOOKUP($D363,$C$5:$AN$495,32,)=0,0,((VLOOKUP($D363,$C$5:$AN$495,32,)/VLOOKUP($D363,$C$5:$AN$495,4,))*$F363))</f>
        <v>0</v>
      </c>
      <c r="AI363" s="17"/>
      <c r="AJ363" s="17">
        <f>IF(VLOOKUP($D363,$C$5:$AN$495,34,)=0,0,((VLOOKUP($D363,$C$5:$AN$495,34,)/VLOOKUP($D363,$C$5:$AN$495,4,))*$F363))</f>
        <v>0</v>
      </c>
      <c r="AK363" s="17"/>
      <c r="AL363" s="17">
        <f>IF(VLOOKUP($D363,$C$5:$AN$495,36,)=0,0,((VLOOKUP($D363,$C$5:$AN$495,36,)/VLOOKUP($D363,$C$5:$AN$495,4,))*$F363))</f>
        <v>0</v>
      </c>
      <c r="AM363" s="17"/>
      <c r="AN363" s="17">
        <f>IF(VLOOKUP($D363,$C$5:$AN$495,38,)=0,0,((VLOOKUP($D363,$C$5:$AN$495,38,)/VLOOKUP($D363,$C$5:$AN$495,4,))*$F363))</f>
        <v>0</v>
      </c>
      <c r="AO363" s="17">
        <f>SUM(H363:AN363)</f>
        <v>0</v>
      </c>
      <c r="AP363" s="14" t="str">
        <f>IF(ABS(AO363-F363)&lt;1,"ok","err")</f>
        <v>ok</v>
      </c>
    </row>
    <row r="364" spans="1:42" x14ac:dyDescent="0.25">
      <c r="A364" s="8"/>
      <c r="B364" s="2"/>
      <c r="F364" s="66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4"/>
    </row>
    <row r="365" spans="1:42" x14ac:dyDescent="0.25">
      <c r="A365" s="2" t="s">
        <v>531</v>
      </c>
      <c r="B365" s="2"/>
      <c r="C365" s="2" t="s">
        <v>498</v>
      </c>
      <c r="F365" s="110">
        <f t="shared" ref="F365:P365" si="335">SUM(F359:F364)</f>
        <v>1533788.21</v>
      </c>
      <c r="G365" s="13">
        <f t="shared" si="335"/>
        <v>0</v>
      </c>
      <c r="H365" s="13">
        <f t="shared" si="335"/>
        <v>0</v>
      </c>
      <c r="I365" s="13">
        <f t="shared" si="335"/>
        <v>0</v>
      </c>
      <c r="J365" s="13">
        <f t="shared" si="335"/>
        <v>0</v>
      </c>
      <c r="K365" s="13">
        <f t="shared" si="335"/>
        <v>0</v>
      </c>
      <c r="L365" s="13">
        <f t="shared" si="335"/>
        <v>0</v>
      </c>
      <c r="M365" s="13">
        <f t="shared" si="335"/>
        <v>0</v>
      </c>
      <c r="N365" s="13">
        <f t="shared" si="335"/>
        <v>0</v>
      </c>
      <c r="O365" s="13"/>
      <c r="P365" s="13">
        <f t="shared" si="335"/>
        <v>0</v>
      </c>
      <c r="Q365" s="13"/>
      <c r="R365" s="13">
        <f>SUM(R359:R364)</f>
        <v>0</v>
      </c>
      <c r="S365" s="13"/>
      <c r="T365" s="13">
        <f>SUM(T359:T364)</f>
        <v>0</v>
      </c>
      <c r="U365" s="13"/>
      <c r="V365" s="13">
        <f>SUM(V359:V364)</f>
        <v>0</v>
      </c>
      <c r="W365" s="13">
        <f>SUM(W359:W364)</f>
        <v>0</v>
      </c>
      <c r="X365" s="13"/>
      <c r="Y365" s="13">
        <f>SUM(Y359:Y364)</f>
        <v>0</v>
      </c>
      <c r="Z365" s="13">
        <f>SUM(Z359:Z364)</f>
        <v>0</v>
      </c>
      <c r="AA365" s="13"/>
      <c r="AB365" s="13">
        <f>SUM(AB359:AB364)</f>
        <v>0</v>
      </c>
      <c r="AC365" s="13">
        <f>SUM(AC359:AC364)</f>
        <v>0</v>
      </c>
      <c r="AD365" s="13"/>
      <c r="AE365" s="13">
        <f>SUM(AE359:AE364)</f>
        <v>0</v>
      </c>
      <c r="AF365" s="13">
        <f>SUM(AF359:AF364)</f>
        <v>0</v>
      </c>
      <c r="AG365" s="13"/>
      <c r="AH365" s="13">
        <f>SUM(AH359:AH364)</f>
        <v>0</v>
      </c>
      <c r="AI365" s="13"/>
      <c r="AJ365" s="13">
        <f>SUM(AJ359:AJ364)</f>
        <v>0</v>
      </c>
      <c r="AK365" s="13"/>
      <c r="AL365" s="13">
        <f>SUM(AL359:AL364)</f>
        <v>1533788.21</v>
      </c>
      <c r="AM365" s="13"/>
      <c r="AN365" s="13">
        <f>SUM(AN359:AN364)</f>
        <v>0</v>
      </c>
      <c r="AO365" s="17">
        <f>SUM(H365:AN365)</f>
        <v>1533788.21</v>
      </c>
      <c r="AP365" s="14" t="str">
        <f>IF(ABS(AO365-F365)&lt;1,"ok","err")</f>
        <v>ok</v>
      </c>
    </row>
    <row r="366" spans="1:42" x14ac:dyDescent="0.25">
      <c r="A366" s="2"/>
      <c r="B366" s="2"/>
      <c r="F366" s="66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P366" s="14"/>
    </row>
    <row r="367" spans="1:42" x14ac:dyDescent="0.25">
      <c r="A367" s="8" t="s">
        <v>153</v>
      </c>
      <c r="B367" s="2"/>
      <c r="F367" s="66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P367" s="14"/>
    </row>
    <row r="368" spans="1:42" x14ac:dyDescent="0.25">
      <c r="A368" s="2">
        <v>907</v>
      </c>
      <c r="B368" s="2" t="s">
        <v>362</v>
      </c>
      <c r="C368" s="2" t="s">
        <v>499</v>
      </c>
      <c r="D368" s="2" t="s">
        <v>155</v>
      </c>
      <c r="F368" s="195">
        <v>7286.64</v>
      </c>
      <c r="H368" s="17">
        <f t="shared" ref="H368:H378" si="336">IF(VLOOKUP($D368,$C$5:$AN$495,6,)=0,0,((VLOOKUP($D368,$C$5:$AN$495,6,)/VLOOKUP($D368,$C$5:$AN$495,4,))*$F368))</f>
        <v>0</v>
      </c>
      <c r="I368" s="17">
        <f t="shared" ref="I368:I378" si="337">IF(VLOOKUP($D368,$C$5:$AN$495,7,)=0,0,((VLOOKUP($D368,$C$5:$AN$495,7,)/VLOOKUP($D368,$C$5:$AN$495,4,))*$F368))</f>
        <v>0</v>
      </c>
      <c r="J368" s="17">
        <f t="shared" ref="J368:J378" si="338">IF(VLOOKUP($D368,$C$5:$AN$495,8,)=0,0,((VLOOKUP($D368,$C$5:$AN$495,8,)/VLOOKUP($D368,$C$5:$AN$495,4,))*$F368))</f>
        <v>0</v>
      </c>
      <c r="K368" s="17">
        <f t="shared" ref="K368:K378" si="339">IF(VLOOKUP($D368,$C$5:$AN$495,9,)=0,0,((VLOOKUP($D368,$C$5:$AN$495,9,)/VLOOKUP($D368,$C$5:$AN$495,4,))*$F368))</f>
        <v>0</v>
      </c>
      <c r="L368" s="17">
        <f t="shared" ref="L368:L378" si="340">IF(VLOOKUP($D368,$C$5:$AN$495,10,)=0,0,((VLOOKUP($D368,$C$5:$AN$495,10,)/VLOOKUP($D368,$C$5:$AN$495,4,))*$F368))</f>
        <v>0</v>
      </c>
      <c r="M368" s="17">
        <f t="shared" ref="M368:M378" si="341">IF(VLOOKUP($D368,$C$5:$AN$495,11,)=0,0,((VLOOKUP($D368,$C$5:$AN$495,11,)/VLOOKUP($D368,$C$5:$AN$495,4,))*$F368))</f>
        <v>0</v>
      </c>
      <c r="N368" s="17">
        <f t="shared" ref="N368:N378" si="342">IF(VLOOKUP($D368,$C$5:$AN$495,12,)=0,0,((VLOOKUP($D368,$C$5:$AN$495,12,)/VLOOKUP($D368,$C$5:$AN$495,4,))*$F368))</f>
        <v>0</v>
      </c>
      <c r="O368" s="17"/>
      <c r="P368" s="17">
        <f t="shared" ref="P368:P378" si="343">IF(VLOOKUP($D368,$C$5:$AN$495,14,)=0,0,((VLOOKUP($D368,$C$5:$AN$495,14,)/VLOOKUP($D368,$C$5:$AN$495,4,))*$F368))</f>
        <v>0</v>
      </c>
      <c r="Q368" s="17"/>
      <c r="R368" s="17">
        <f t="shared" ref="R368:R378" si="344">IF(VLOOKUP($D368,$C$5:$AN$495,16,)=0,0,((VLOOKUP($D368,$C$5:$AN$495,16,)/VLOOKUP($D368,$C$5:$AN$495,4,))*$F368))</f>
        <v>0</v>
      </c>
      <c r="S368" s="17"/>
      <c r="T368" s="17">
        <f t="shared" ref="T368:T378" si="345">IF(VLOOKUP($D368,$C$5:$AN$495,18,)=0,0,((VLOOKUP($D368,$C$5:$AN$495,18,)/VLOOKUP($D368,$C$5:$AN$495,4,))*$F368))</f>
        <v>0</v>
      </c>
      <c r="U368" s="17"/>
      <c r="V368" s="17">
        <f t="shared" ref="V368:V378" si="346">IF(VLOOKUP($D368,$C$5:$AN$495,20,)=0,0,((VLOOKUP($D368,$C$5:$AN$495,20,)/VLOOKUP($D368,$C$5:$AN$495,4,))*$F368))</f>
        <v>0</v>
      </c>
      <c r="W368" s="17">
        <f t="shared" ref="W368:W378" si="347">IF(VLOOKUP($D368,$C$5:$AN$495,21,)=0,0,((VLOOKUP($D368,$C$5:$AN$495,21,)/VLOOKUP($D368,$C$5:$AN$495,4,))*$F368))</f>
        <v>0</v>
      </c>
      <c r="X368" s="17"/>
      <c r="Y368" s="17">
        <f t="shared" ref="Y368:Y378" si="348">IF(VLOOKUP($D368,$C$5:$AN$495,23,)=0,0,((VLOOKUP($D368,$C$5:$AN$495,23,)/VLOOKUP($D368,$C$5:$AN$495,4,))*$F368))</f>
        <v>0</v>
      </c>
      <c r="Z368" s="17">
        <f t="shared" ref="Z368:Z378" si="349">IF(VLOOKUP($D368,$C$5:$AN$495,24,)=0,0,((VLOOKUP($D368,$C$5:$AN$495,24,)/VLOOKUP($D368,$C$5:$AN$495,4,))*$F368))</f>
        <v>0</v>
      </c>
      <c r="AA368" s="17"/>
      <c r="AB368" s="17">
        <f t="shared" ref="AB368:AB378" si="350">IF(VLOOKUP($D368,$C$5:$AN$495,26,)=0,0,((VLOOKUP($D368,$C$5:$AN$495,26,)/VLOOKUP($D368,$C$5:$AN$495,4,))*$F368))</f>
        <v>0</v>
      </c>
      <c r="AC368" s="17">
        <f t="shared" ref="AC368:AC378" si="351">IF(VLOOKUP($D368,$C$5:$AN$495,27,)=0,0,((VLOOKUP($D368,$C$5:$AN$495,27,)/VLOOKUP($D368,$C$5:$AN$495,4,))*$F368))</f>
        <v>0</v>
      </c>
      <c r="AD368" s="17"/>
      <c r="AE368" s="17">
        <f t="shared" ref="AE368:AE378" si="352">IF(VLOOKUP($D368,$C$5:$AN$495,29,)=0,0,((VLOOKUP($D368,$C$5:$AN$495,29,)/VLOOKUP($D368,$C$5:$AN$495,4,))*$F368))</f>
        <v>0</v>
      </c>
      <c r="AF368" s="17">
        <f t="shared" ref="AF368:AF378" si="353">IF(VLOOKUP($D368,$C$5:$AN$495,30,)=0,0,((VLOOKUP($D368,$C$5:$AN$495,30,)/VLOOKUP($D368,$C$5:$AN$495,4,))*$F368))</f>
        <v>0</v>
      </c>
      <c r="AG368" s="17"/>
      <c r="AH368" s="17">
        <f t="shared" ref="AH368:AH378" si="354">IF(VLOOKUP($D368,$C$5:$AN$495,32,)=0,0,((VLOOKUP($D368,$C$5:$AN$495,32,)/VLOOKUP($D368,$C$5:$AN$495,4,))*$F368))</f>
        <v>0</v>
      </c>
      <c r="AI368" s="17"/>
      <c r="AJ368" s="17">
        <f t="shared" ref="AJ368:AJ378" si="355">IF(VLOOKUP($D368,$C$5:$AN$495,34,)=0,0,((VLOOKUP($D368,$C$5:$AN$495,34,)/VLOOKUP($D368,$C$5:$AN$495,4,))*$F368))</f>
        <v>0</v>
      </c>
      <c r="AK368" s="17"/>
      <c r="AL368" s="17">
        <f t="shared" ref="AL368:AL378" si="356">IF(VLOOKUP($D368,$C$5:$AN$495,36,)=0,0,((VLOOKUP($D368,$C$5:$AN$495,36,)/VLOOKUP($D368,$C$5:$AN$495,4,))*$F368))</f>
        <v>7286.64</v>
      </c>
      <c r="AM368" s="17"/>
      <c r="AN368" s="17">
        <f t="shared" ref="AN368:AN378" si="357">IF(VLOOKUP($D368,$C$5:$AN$495,38,)=0,0,((VLOOKUP($D368,$C$5:$AN$495,38,)/VLOOKUP($D368,$C$5:$AN$495,4,))*$F368))</f>
        <v>0</v>
      </c>
      <c r="AO368" s="17">
        <f t="shared" ref="AO368:AO378" si="358">SUM(H368:AN368)</f>
        <v>7286.64</v>
      </c>
      <c r="AP368" s="14" t="str">
        <f t="shared" ref="AP368:AP378" si="359">IF(ABS(AO368-F368)&lt;1,"ok","err")</f>
        <v>ok</v>
      </c>
    </row>
    <row r="369" spans="1:42" x14ac:dyDescent="0.25">
      <c r="A369" s="2">
        <v>908</v>
      </c>
      <c r="B369" s="2" t="s">
        <v>156</v>
      </c>
      <c r="C369" s="2" t="s">
        <v>500</v>
      </c>
      <c r="D369" s="2" t="s">
        <v>155</v>
      </c>
      <c r="F369" s="148">
        <v>258528.99</v>
      </c>
      <c r="H369" s="17">
        <f t="shared" si="336"/>
        <v>0</v>
      </c>
      <c r="I369" s="17">
        <f t="shared" si="337"/>
        <v>0</v>
      </c>
      <c r="J369" s="17">
        <f t="shared" si="338"/>
        <v>0</v>
      </c>
      <c r="K369" s="17">
        <f t="shared" si="339"/>
        <v>0</v>
      </c>
      <c r="L369" s="17">
        <f t="shared" si="340"/>
        <v>0</v>
      </c>
      <c r="M369" s="17">
        <f t="shared" si="341"/>
        <v>0</v>
      </c>
      <c r="N369" s="17">
        <f t="shared" si="342"/>
        <v>0</v>
      </c>
      <c r="O369" s="17"/>
      <c r="P369" s="17">
        <f t="shared" si="343"/>
        <v>0</v>
      </c>
      <c r="Q369" s="17"/>
      <c r="R369" s="17">
        <f t="shared" si="344"/>
        <v>0</v>
      </c>
      <c r="S369" s="17"/>
      <c r="T369" s="17">
        <f t="shared" si="345"/>
        <v>0</v>
      </c>
      <c r="U369" s="17"/>
      <c r="V369" s="17">
        <f t="shared" si="346"/>
        <v>0</v>
      </c>
      <c r="W369" s="17">
        <f t="shared" si="347"/>
        <v>0</v>
      </c>
      <c r="X369" s="17"/>
      <c r="Y369" s="17">
        <f t="shared" si="348"/>
        <v>0</v>
      </c>
      <c r="Z369" s="17">
        <f t="shared" si="349"/>
        <v>0</v>
      </c>
      <c r="AA369" s="17"/>
      <c r="AB369" s="17">
        <f t="shared" si="350"/>
        <v>0</v>
      </c>
      <c r="AC369" s="17">
        <f t="shared" si="351"/>
        <v>0</v>
      </c>
      <c r="AD369" s="17"/>
      <c r="AE369" s="17">
        <f t="shared" si="352"/>
        <v>0</v>
      </c>
      <c r="AF369" s="17">
        <f t="shared" si="353"/>
        <v>0</v>
      </c>
      <c r="AG369" s="17"/>
      <c r="AH369" s="17">
        <f t="shared" si="354"/>
        <v>0</v>
      </c>
      <c r="AI369" s="17"/>
      <c r="AJ369" s="17">
        <f t="shared" si="355"/>
        <v>0</v>
      </c>
      <c r="AK369" s="17"/>
      <c r="AL369" s="17">
        <f t="shared" si="356"/>
        <v>258528.99</v>
      </c>
      <c r="AM369" s="17"/>
      <c r="AN369" s="17">
        <f t="shared" si="357"/>
        <v>0</v>
      </c>
      <c r="AO369" s="17">
        <f t="shared" si="358"/>
        <v>258528.99</v>
      </c>
      <c r="AP369" s="14" t="str">
        <f t="shared" si="359"/>
        <v>ok</v>
      </c>
    </row>
    <row r="370" spans="1:42" x14ac:dyDescent="0.25">
      <c r="A370" s="2">
        <v>908</v>
      </c>
      <c r="B370" s="2" t="s">
        <v>437</v>
      </c>
      <c r="C370" s="2" t="s">
        <v>501</v>
      </c>
      <c r="D370" s="2" t="s">
        <v>454</v>
      </c>
      <c r="F370" s="148">
        <v>79381.34</v>
      </c>
      <c r="H370" s="17">
        <f t="shared" si="336"/>
        <v>0</v>
      </c>
      <c r="I370" s="17">
        <f t="shared" si="337"/>
        <v>0</v>
      </c>
      <c r="J370" s="17">
        <f t="shared" si="338"/>
        <v>0</v>
      </c>
      <c r="K370" s="17">
        <f t="shared" si="339"/>
        <v>0</v>
      </c>
      <c r="L370" s="17">
        <f t="shared" si="340"/>
        <v>0</v>
      </c>
      <c r="M370" s="17">
        <f t="shared" si="341"/>
        <v>0</v>
      </c>
      <c r="N370" s="17">
        <f t="shared" si="342"/>
        <v>0</v>
      </c>
      <c r="O370" s="17"/>
      <c r="P370" s="17">
        <f t="shared" si="343"/>
        <v>0</v>
      </c>
      <c r="Q370" s="17"/>
      <c r="R370" s="17">
        <f t="shared" si="344"/>
        <v>0</v>
      </c>
      <c r="S370" s="17"/>
      <c r="T370" s="17">
        <f t="shared" si="345"/>
        <v>0</v>
      </c>
      <c r="U370" s="17"/>
      <c r="V370" s="17">
        <f t="shared" si="346"/>
        <v>0</v>
      </c>
      <c r="W370" s="17">
        <f t="shared" si="347"/>
        <v>0</v>
      </c>
      <c r="X370" s="17"/>
      <c r="Y370" s="17">
        <f t="shared" si="348"/>
        <v>0</v>
      </c>
      <c r="Z370" s="17">
        <f t="shared" si="349"/>
        <v>0</v>
      </c>
      <c r="AA370" s="17"/>
      <c r="AB370" s="17">
        <f t="shared" si="350"/>
        <v>0</v>
      </c>
      <c r="AC370" s="17">
        <f t="shared" si="351"/>
        <v>0</v>
      </c>
      <c r="AD370" s="17"/>
      <c r="AE370" s="17">
        <f t="shared" si="352"/>
        <v>0</v>
      </c>
      <c r="AF370" s="17">
        <f t="shared" si="353"/>
        <v>0</v>
      </c>
      <c r="AG370" s="17"/>
      <c r="AH370" s="17">
        <f t="shared" si="354"/>
        <v>0</v>
      </c>
      <c r="AI370" s="17"/>
      <c r="AJ370" s="17">
        <f t="shared" si="355"/>
        <v>0</v>
      </c>
      <c r="AK370" s="17"/>
      <c r="AL370" s="17">
        <f t="shared" si="356"/>
        <v>0</v>
      </c>
      <c r="AM370" s="17"/>
      <c r="AN370" s="17">
        <f t="shared" si="357"/>
        <v>79381.34</v>
      </c>
      <c r="AO370" s="17">
        <f t="shared" si="358"/>
        <v>79381.34</v>
      </c>
      <c r="AP370" s="14" t="str">
        <f t="shared" si="359"/>
        <v>ok</v>
      </c>
    </row>
    <row r="371" spans="1:42" x14ac:dyDescent="0.25">
      <c r="A371" s="2">
        <v>909</v>
      </c>
      <c r="B371" s="2" t="s">
        <v>158</v>
      </c>
      <c r="C371" s="2" t="s">
        <v>502</v>
      </c>
      <c r="D371" s="2" t="s">
        <v>155</v>
      </c>
      <c r="F371" s="148">
        <v>94472.05</v>
      </c>
      <c r="H371" s="17">
        <f t="shared" si="336"/>
        <v>0</v>
      </c>
      <c r="I371" s="17">
        <f t="shared" si="337"/>
        <v>0</v>
      </c>
      <c r="J371" s="17">
        <f t="shared" si="338"/>
        <v>0</v>
      </c>
      <c r="K371" s="17">
        <f t="shared" si="339"/>
        <v>0</v>
      </c>
      <c r="L371" s="17">
        <f t="shared" si="340"/>
        <v>0</v>
      </c>
      <c r="M371" s="17">
        <f t="shared" si="341"/>
        <v>0</v>
      </c>
      <c r="N371" s="17">
        <f t="shared" si="342"/>
        <v>0</v>
      </c>
      <c r="O371" s="17"/>
      <c r="P371" s="17">
        <f t="shared" si="343"/>
        <v>0</v>
      </c>
      <c r="Q371" s="17"/>
      <c r="R371" s="17">
        <f t="shared" si="344"/>
        <v>0</v>
      </c>
      <c r="S371" s="17"/>
      <c r="T371" s="17">
        <f t="shared" si="345"/>
        <v>0</v>
      </c>
      <c r="U371" s="17"/>
      <c r="V371" s="17">
        <f t="shared" si="346"/>
        <v>0</v>
      </c>
      <c r="W371" s="17">
        <f t="shared" si="347"/>
        <v>0</v>
      </c>
      <c r="X371" s="17"/>
      <c r="Y371" s="17">
        <f t="shared" si="348"/>
        <v>0</v>
      </c>
      <c r="Z371" s="17">
        <f t="shared" si="349"/>
        <v>0</v>
      </c>
      <c r="AA371" s="17"/>
      <c r="AB371" s="17">
        <f t="shared" si="350"/>
        <v>0</v>
      </c>
      <c r="AC371" s="17">
        <f t="shared" si="351"/>
        <v>0</v>
      </c>
      <c r="AD371" s="17"/>
      <c r="AE371" s="17">
        <f t="shared" si="352"/>
        <v>0</v>
      </c>
      <c r="AF371" s="17">
        <f t="shared" si="353"/>
        <v>0</v>
      </c>
      <c r="AG371" s="17"/>
      <c r="AH371" s="17">
        <f t="shared" si="354"/>
        <v>0</v>
      </c>
      <c r="AI371" s="17"/>
      <c r="AJ371" s="17">
        <f t="shared" si="355"/>
        <v>0</v>
      </c>
      <c r="AK371" s="17"/>
      <c r="AL371" s="17">
        <f t="shared" si="356"/>
        <v>94472.05</v>
      </c>
      <c r="AM371" s="17"/>
      <c r="AN371" s="17">
        <f t="shared" si="357"/>
        <v>0</v>
      </c>
      <c r="AO371" s="17">
        <f t="shared" si="358"/>
        <v>94472.05</v>
      </c>
      <c r="AP371" s="14" t="str">
        <f t="shared" si="359"/>
        <v>ok</v>
      </c>
    </row>
    <row r="372" spans="1:42" x14ac:dyDescent="0.25">
      <c r="A372" s="2">
        <v>909</v>
      </c>
      <c r="B372" s="2" t="s">
        <v>439</v>
      </c>
      <c r="C372" s="2" t="s">
        <v>503</v>
      </c>
      <c r="D372" s="2" t="s">
        <v>454</v>
      </c>
      <c r="F372" s="148">
        <v>0</v>
      </c>
      <c r="H372" s="17">
        <f t="shared" si="336"/>
        <v>0</v>
      </c>
      <c r="I372" s="17">
        <f t="shared" si="337"/>
        <v>0</v>
      </c>
      <c r="J372" s="17">
        <f t="shared" si="338"/>
        <v>0</v>
      </c>
      <c r="K372" s="17">
        <f t="shared" si="339"/>
        <v>0</v>
      </c>
      <c r="L372" s="17">
        <f t="shared" si="340"/>
        <v>0</v>
      </c>
      <c r="M372" s="17">
        <f t="shared" si="341"/>
        <v>0</v>
      </c>
      <c r="N372" s="17">
        <f t="shared" si="342"/>
        <v>0</v>
      </c>
      <c r="O372" s="17"/>
      <c r="P372" s="17">
        <f t="shared" si="343"/>
        <v>0</v>
      </c>
      <c r="Q372" s="17"/>
      <c r="R372" s="17">
        <f t="shared" si="344"/>
        <v>0</v>
      </c>
      <c r="S372" s="17"/>
      <c r="T372" s="17">
        <f t="shared" si="345"/>
        <v>0</v>
      </c>
      <c r="U372" s="17"/>
      <c r="V372" s="17">
        <f t="shared" si="346"/>
        <v>0</v>
      </c>
      <c r="W372" s="17">
        <f t="shared" si="347"/>
        <v>0</v>
      </c>
      <c r="X372" s="17"/>
      <c r="Y372" s="17">
        <f t="shared" si="348"/>
        <v>0</v>
      </c>
      <c r="Z372" s="17">
        <f t="shared" si="349"/>
        <v>0</v>
      </c>
      <c r="AA372" s="17"/>
      <c r="AB372" s="17">
        <f t="shared" si="350"/>
        <v>0</v>
      </c>
      <c r="AC372" s="17">
        <f t="shared" si="351"/>
        <v>0</v>
      </c>
      <c r="AD372" s="17"/>
      <c r="AE372" s="17">
        <f t="shared" si="352"/>
        <v>0</v>
      </c>
      <c r="AF372" s="17">
        <f t="shared" si="353"/>
        <v>0</v>
      </c>
      <c r="AG372" s="17"/>
      <c r="AH372" s="17">
        <f t="shared" si="354"/>
        <v>0</v>
      </c>
      <c r="AI372" s="17"/>
      <c r="AJ372" s="17">
        <f t="shared" si="355"/>
        <v>0</v>
      </c>
      <c r="AK372" s="17"/>
      <c r="AL372" s="17">
        <f t="shared" si="356"/>
        <v>0</v>
      </c>
      <c r="AM372" s="17"/>
      <c r="AN372" s="17">
        <f t="shared" si="357"/>
        <v>0</v>
      </c>
      <c r="AO372" s="17">
        <f t="shared" si="358"/>
        <v>0</v>
      </c>
      <c r="AP372" s="14" t="str">
        <f t="shared" si="359"/>
        <v>ok</v>
      </c>
    </row>
    <row r="373" spans="1:42" x14ac:dyDescent="0.25">
      <c r="A373" s="2">
        <v>910</v>
      </c>
      <c r="B373" s="2" t="s">
        <v>160</v>
      </c>
      <c r="C373" s="2" t="s">
        <v>504</v>
      </c>
      <c r="D373" s="2" t="s">
        <v>155</v>
      </c>
      <c r="F373" s="148">
        <v>0</v>
      </c>
      <c r="H373" s="17">
        <f t="shared" si="336"/>
        <v>0</v>
      </c>
      <c r="I373" s="17">
        <f t="shared" si="337"/>
        <v>0</v>
      </c>
      <c r="J373" s="17">
        <f t="shared" si="338"/>
        <v>0</v>
      </c>
      <c r="K373" s="17">
        <f t="shared" si="339"/>
        <v>0</v>
      </c>
      <c r="L373" s="17">
        <f t="shared" si="340"/>
        <v>0</v>
      </c>
      <c r="M373" s="17">
        <f t="shared" si="341"/>
        <v>0</v>
      </c>
      <c r="N373" s="17">
        <f t="shared" si="342"/>
        <v>0</v>
      </c>
      <c r="O373" s="17"/>
      <c r="P373" s="17">
        <f t="shared" si="343"/>
        <v>0</v>
      </c>
      <c r="Q373" s="17"/>
      <c r="R373" s="17">
        <f t="shared" si="344"/>
        <v>0</v>
      </c>
      <c r="S373" s="17"/>
      <c r="T373" s="17">
        <f t="shared" si="345"/>
        <v>0</v>
      </c>
      <c r="U373" s="17"/>
      <c r="V373" s="17">
        <f t="shared" si="346"/>
        <v>0</v>
      </c>
      <c r="W373" s="17">
        <f t="shared" si="347"/>
        <v>0</v>
      </c>
      <c r="X373" s="17"/>
      <c r="Y373" s="17">
        <f t="shared" si="348"/>
        <v>0</v>
      </c>
      <c r="Z373" s="17">
        <f t="shared" si="349"/>
        <v>0</v>
      </c>
      <c r="AA373" s="17"/>
      <c r="AB373" s="17">
        <f t="shared" si="350"/>
        <v>0</v>
      </c>
      <c r="AC373" s="17">
        <f t="shared" si="351"/>
        <v>0</v>
      </c>
      <c r="AD373" s="17"/>
      <c r="AE373" s="17">
        <f t="shared" si="352"/>
        <v>0</v>
      </c>
      <c r="AF373" s="17">
        <f t="shared" si="353"/>
        <v>0</v>
      </c>
      <c r="AG373" s="17"/>
      <c r="AH373" s="17">
        <f t="shared" si="354"/>
        <v>0</v>
      </c>
      <c r="AI373" s="17"/>
      <c r="AJ373" s="17">
        <f t="shared" si="355"/>
        <v>0</v>
      </c>
      <c r="AK373" s="17"/>
      <c r="AL373" s="17">
        <f t="shared" si="356"/>
        <v>0</v>
      </c>
      <c r="AM373" s="17"/>
      <c r="AN373" s="17">
        <f t="shared" si="357"/>
        <v>0</v>
      </c>
      <c r="AO373" s="17">
        <f t="shared" si="358"/>
        <v>0</v>
      </c>
      <c r="AP373" s="14" t="str">
        <f t="shared" si="359"/>
        <v>ok</v>
      </c>
    </row>
    <row r="374" spans="1:42" x14ac:dyDescent="0.25">
      <c r="A374" s="2">
        <v>911</v>
      </c>
      <c r="B374" s="2" t="s">
        <v>587</v>
      </c>
      <c r="C374" s="2" t="s">
        <v>654</v>
      </c>
      <c r="D374" s="2" t="s">
        <v>454</v>
      </c>
      <c r="F374" s="148">
        <v>0</v>
      </c>
      <c r="H374" s="17">
        <f t="shared" si="336"/>
        <v>0</v>
      </c>
      <c r="I374" s="17">
        <f t="shared" si="337"/>
        <v>0</v>
      </c>
      <c r="J374" s="17">
        <f t="shared" si="338"/>
        <v>0</v>
      </c>
      <c r="K374" s="17">
        <f t="shared" si="339"/>
        <v>0</v>
      </c>
      <c r="L374" s="17">
        <f t="shared" si="340"/>
        <v>0</v>
      </c>
      <c r="M374" s="17">
        <f t="shared" si="341"/>
        <v>0</v>
      </c>
      <c r="N374" s="17">
        <f t="shared" si="342"/>
        <v>0</v>
      </c>
      <c r="O374" s="17"/>
      <c r="P374" s="17">
        <f t="shared" si="343"/>
        <v>0</v>
      </c>
      <c r="Q374" s="17"/>
      <c r="R374" s="17">
        <f t="shared" si="344"/>
        <v>0</v>
      </c>
      <c r="S374" s="17"/>
      <c r="T374" s="17">
        <f t="shared" si="345"/>
        <v>0</v>
      </c>
      <c r="U374" s="17"/>
      <c r="V374" s="17">
        <f t="shared" si="346"/>
        <v>0</v>
      </c>
      <c r="W374" s="17">
        <f t="shared" si="347"/>
        <v>0</v>
      </c>
      <c r="X374" s="17"/>
      <c r="Y374" s="17">
        <f t="shared" si="348"/>
        <v>0</v>
      </c>
      <c r="Z374" s="17">
        <f t="shared" si="349"/>
        <v>0</v>
      </c>
      <c r="AA374" s="17"/>
      <c r="AB374" s="17">
        <f t="shared" si="350"/>
        <v>0</v>
      </c>
      <c r="AC374" s="17">
        <f t="shared" si="351"/>
        <v>0</v>
      </c>
      <c r="AD374" s="17"/>
      <c r="AE374" s="17">
        <f t="shared" si="352"/>
        <v>0</v>
      </c>
      <c r="AF374" s="17">
        <f t="shared" si="353"/>
        <v>0</v>
      </c>
      <c r="AG374" s="17"/>
      <c r="AH374" s="17">
        <f t="shared" si="354"/>
        <v>0</v>
      </c>
      <c r="AI374" s="17"/>
      <c r="AJ374" s="17">
        <f t="shared" si="355"/>
        <v>0</v>
      </c>
      <c r="AK374" s="17"/>
      <c r="AL374" s="17">
        <f t="shared" si="356"/>
        <v>0</v>
      </c>
      <c r="AM374" s="17"/>
      <c r="AN374" s="17">
        <f t="shared" si="357"/>
        <v>0</v>
      </c>
      <c r="AO374" s="17">
        <f t="shared" si="358"/>
        <v>0</v>
      </c>
      <c r="AP374" s="14" t="str">
        <f t="shared" si="359"/>
        <v>ok</v>
      </c>
    </row>
    <row r="375" spans="1:42" x14ac:dyDescent="0.25">
      <c r="A375" s="2">
        <v>912</v>
      </c>
      <c r="B375" s="2" t="s">
        <v>587</v>
      </c>
      <c r="C375" s="2" t="s">
        <v>590</v>
      </c>
      <c r="D375" s="2" t="s">
        <v>454</v>
      </c>
      <c r="F375" s="148">
        <v>7286.64</v>
      </c>
      <c r="H375" s="17">
        <f t="shared" si="336"/>
        <v>0</v>
      </c>
      <c r="I375" s="17">
        <f t="shared" si="337"/>
        <v>0</v>
      </c>
      <c r="J375" s="17">
        <f t="shared" si="338"/>
        <v>0</v>
      </c>
      <c r="K375" s="17">
        <f t="shared" si="339"/>
        <v>0</v>
      </c>
      <c r="L375" s="17">
        <f t="shared" si="340"/>
        <v>0</v>
      </c>
      <c r="M375" s="17">
        <f t="shared" si="341"/>
        <v>0</v>
      </c>
      <c r="N375" s="17">
        <f t="shared" si="342"/>
        <v>0</v>
      </c>
      <c r="O375" s="17"/>
      <c r="P375" s="17">
        <f t="shared" si="343"/>
        <v>0</v>
      </c>
      <c r="Q375" s="17"/>
      <c r="R375" s="17">
        <f t="shared" si="344"/>
        <v>0</v>
      </c>
      <c r="S375" s="17"/>
      <c r="T375" s="17">
        <f t="shared" si="345"/>
        <v>0</v>
      </c>
      <c r="U375" s="17"/>
      <c r="V375" s="17">
        <f t="shared" si="346"/>
        <v>0</v>
      </c>
      <c r="W375" s="17">
        <f t="shared" si="347"/>
        <v>0</v>
      </c>
      <c r="X375" s="17"/>
      <c r="Y375" s="17">
        <f t="shared" si="348"/>
        <v>0</v>
      </c>
      <c r="Z375" s="17">
        <f t="shared" si="349"/>
        <v>0</v>
      </c>
      <c r="AA375" s="17"/>
      <c r="AB375" s="17">
        <f t="shared" si="350"/>
        <v>0</v>
      </c>
      <c r="AC375" s="17">
        <f t="shared" si="351"/>
        <v>0</v>
      </c>
      <c r="AD375" s="17"/>
      <c r="AE375" s="17">
        <f t="shared" si="352"/>
        <v>0</v>
      </c>
      <c r="AF375" s="17">
        <f t="shared" si="353"/>
        <v>0</v>
      </c>
      <c r="AG375" s="17"/>
      <c r="AH375" s="17">
        <f t="shared" si="354"/>
        <v>0</v>
      </c>
      <c r="AI375" s="17"/>
      <c r="AJ375" s="17">
        <f t="shared" si="355"/>
        <v>0</v>
      </c>
      <c r="AK375" s="17"/>
      <c r="AL375" s="17">
        <f t="shared" si="356"/>
        <v>0</v>
      </c>
      <c r="AM375" s="17"/>
      <c r="AN375" s="17">
        <f t="shared" si="357"/>
        <v>7286.64</v>
      </c>
      <c r="AO375" s="17">
        <f t="shared" si="358"/>
        <v>7286.64</v>
      </c>
      <c r="AP375" s="14" t="str">
        <f t="shared" si="359"/>
        <v>ok</v>
      </c>
    </row>
    <row r="376" spans="1:42" x14ac:dyDescent="0.25">
      <c r="A376" s="2">
        <v>913</v>
      </c>
      <c r="B376" s="2" t="s">
        <v>566</v>
      </c>
      <c r="C376" s="2" t="s">
        <v>591</v>
      </c>
      <c r="D376" s="2" t="s">
        <v>454</v>
      </c>
      <c r="F376" s="148">
        <v>0</v>
      </c>
      <c r="H376" s="17">
        <f t="shared" si="336"/>
        <v>0</v>
      </c>
      <c r="I376" s="17">
        <f t="shared" si="337"/>
        <v>0</v>
      </c>
      <c r="J376" s="17">
        <f t="shared" si="338"/>
        <v>0</v>
      </c>
      <c r="K376" s="17">
        <f t="shared" si="339"/>
        <v>0</v>
      </c>
      <c r="L376" s="17">
        <f t="shared" si="340"/>
        <v>0</v>
      </c>
      <c r="M376" s="17">
        <f t="shared" si="341"/>
        <v>0</v>
      </c>
      <c r="N376" s="17">
        <f t="shared" si="342"/>
        <v>0</v>
      </c>
      <c r="O376" s="17"/>
      <c r="P376" s="17">
        <f t="shared" si="343"/>
        <v>0</v>
      </c>
      <c r="Q376" s="17"/>
      <c r="R376" s="17">
        <f t="shared" si="344"/>
        <v>0</v>
      </c>
      <c r="S376" s="17"/>
      <c r="T376" s="17">
        <f t="shared" si="345"/>
        <v>0</v>
      </c>
      <c r="U376" s="17"/>
      <c r="V376" s="17">
        <f t="shared" si="346"/>
        <v>0</v>
      </c>
      <c r="W376" s="17">
        <f t="shared" si="347"/>
        <v>0</v>
      </c>
      <c r="X376" s="17"/>
      <c r="Y376" s="17">
        <f t="shared" si="348"/>
        <v>0</v>
      </c>
      <c r="Z376" s="17">
        <f t="shared" si="349"/>
        <v>0</v>
      </c>
      <c r="AA376" s="17"/>
      <c r="AB376" s="17">
        <f t="shared" si="350"/>
        <v>0</v>
      </c>
      <c r="AC376" s="17">
        <f t="shared" si="351"/>
        <v>0</v>
      </c>
      <c r="AD376" s="17"/>
      <c r="AE376" s="17">
        <f t="shared" si="352"/>
        <v>0</v>
      </c>
      <c r="AF376" s="17">
        <f t="shared" si="353"/>
        <v>0</v>
      </c>
      <c r="AG376" s="17"/>
      <c r="AH376" s="17">
        <f t="shared" si="354"/>
        <v>0</v>
      </c>
      <c r="AI376" s="17"/>
      <c r="AJ376" s="17">
        <f t="shared" si="355"/>
        <v>0</v>
      </c>
      <c r="AK376" s="17"/>
      <c r="AL376" s="17">
        <f t="shared" si="356"/>
        <v>0</v>
      </c>
      <c r="AM376" s="17"/>
      <c r="AN376" s="17">
        <f t="shared" si="357"/>
        <v>0</v>
      </c>
      <c r="AO376" s="17">
        <f t="shared" si="358"/>
        <v>0</v>
      </c>
      <c r="AP376" s="14" t="str">
        <f t="shared" si="359"/>
        <v>ok</v>
      </c>
    </row>
    <row r="377" spans="1:42" x14ac:dyDescent="0.25">
      <c r="A377" s="2">
        <v>915</v>
      </c>
      <c r="B377" s="2" t="s">
        <v>626</v>
      </c>
      <c r="C377" s="2" t="s">
        <v>629</v>
      </c>
      <c r="D377" s="2" t="s">
        <v>454</v>
      </c>
      <c r="F377" s="148">
        <v>0</v>
      </c>
      <c r="H377" s="17">
        <f t="shared" si="336"/>
        <v>0</v>
      </c>
      <c r="I377" s="17">
        <f t="shared" si="337"/>
        <v>0</v>
      </c>
      <c r="J377" s="17">
        <f t="shared" si="338"/>
        <v>0</v>
      </c>
      <c r="K377" s="17">
        <f t="shared" si="339"/>
        <v>0</v>
      </c>
      <c r="L377" s="17">
        <f t="shared" si="340"/>
        <v>0</v>
      </c>
      <c r="M377" s="17">
        <f t="shared" si="341"/>
        <v>0</v>
      </c>
      <c r="N377" s="17">
        <f t="shared" si="342"/>
        <v>0</v>
      </c>
      <c r="O377" s="17"/>
      <c r="P377" s="17">
        <f t="shared" si="343"/>
        <v>0</v>
      </c>
      <c r="Q377" s="17"/>
      <c r="R377" s="17">
        <f t="shared" si="344"/>
        <v>0</v>
      </c>
      <c r="S377" s="17"/>
      <c r="T377" s="17">
        <f t="shared" si="345"/>
        <v>0</v>
      </c>
      <c r="U377" s="17"/>
      <c r="V377" s="17">
        <f t="shared" si="346"/>
        <v>0</v>
      </c>
      <c r="W377" s="17">
        <f t="shared" si="347"/>
        <v>0</v>
      </c>
      <c r="X377" s="17"/>
      <c r="Y377" s="17">
        <f t="shared" si="348"/>
        <v>0</v>
      </c>
      <c r="Z377" s="17">
        <f t="shared" si="349"/>
        <v>0</v>
      </c>
      <c r="AA377" s="17"/>
      <c r="AB377" s="17">
        <f t="shared" si="350"/>
        <v>0</v>
      </c>
      <c r="AC377" s="17">
        <f t="shared" si="351"/>
        <v>0</v>
      </c>
      <c r="AD377" s="17"/>
      <c r="AE377" s="17">
        <f t="shared" si="352"/>
        <v>0</v>
      </c>
      <c r="AF377" s="17">
        <f t="shared" si="353"/>
        <v>0</v>
      </c>
      <c r="AG377" s="17"/>
      <c r="AH377" s="17">
        <f t="shared" si="354"/>
        <v>0</v>
      </c>
      <c r="AI377" s="17"/>
      <c r="AJ377" s="17">
        <f t="shared" si="355"/>
        <v>0</v>
      </c>
      <c r="AK377" s="17"/>
      <c r="AL377" s="17">
        <f t="shared" si="356"/>
        <v>0</v>
      </c>
      <c r="AM377" s="17"/>
      <c r="AN377" s="17">
        <f t="shared" si="357"/>
        <v>0</v>
      </c>
      <c r="AO377" s="17">
        <f t="shared" si="358"/>
        <v>0</v>
      </c>
      <c r="AP377" s="14" t="str">
        <f t="shared" si="359"/>
        <v>ok</v>
      </c>
    </row>
    <row r="378" spans="1:42" x14ac:dyDescent="0.25">
      <c r="A378" s="2">
        <v>916</v>
      </c>
      <c r="B378" s="2" t="s">
        <v>627</v>
      </c>
      <c r="C378" s="2" t="s">
        <v>630</v>
      </c>
      <c r="D378" s="2" t="s">
        <v>454</v>
      </c>
      <c r="F378" s="148">
        <v>0</v>
      </c>
      <c r="H378" s="17">
        <f t="shared" si="336"/>
        <v>0</v>
      </c>
      <c r="I378" s="17">
        <f t="shared" si="337"/>
        <v>0</v>
      </c>
      <c r="J378" s="17">
        <f t="shared" si="338"/>
        <v>0</v>
      </c>
      <c r="K378" s="17">
        <f t="shared" si="339"/>
        <v>0</v>
      </c>
      <c r="L378" s="17">
        <f t="shared" si="340"/>
        <v>0</v>
      </c>
      <c r="M378" s="17">
        <f t="shared" si="341"/>
        <v>0</v>
      </c>
      <c r="N378" s="17">
        <f t="shared" si="342"/>
        <v>0</v>
      </c>
      <c r="O378" s="17"/>
      <c r="P378" s="17">
        <f t="shared" si="343"/>
        <v>0</v>
      </c>
      <c r="Q378" s="17"/>
      <c r="R378" s="17">
        <f t="shared" si="344"/>
        <v>0</v>
      </c>
      <c r="S378" s="17"/>
      <c r="T378" s="17">
        <f t="shared" si="345"/>
        <v>0</v>
      </c>
      <c r="U378" s="17"/>
      <c r="V378" s="17">
        <f t="shared" si="346"/>
        <v>0</v>
      </c>
      <c r="W378" s="17">
        <f t="shared" si="347"/>
        <v>0</v>
      </c>
      <c r="X378" s="17"/>
      <c r="Y378" s="17">
        <f t="shared" si="348"/>
        <v>0</v>
      </c>
      <c r="Z378" s="17">
        <f t="shared" si="349"/>
        <v>0</v>
      </c>
      <c r="AA378" s="17"/>
      <c r="AB378" s="17">
        <f t="shared" si="350"/>
        <v>0</v>
      </c>
      <c r="AC378" s="17">
        <f t="shared" si="351"/>
        <v>0</v>
      </c>
      <c r="AD378" s="17"/>
      <c r="AE378" s="17">
        <f t="shared" si="352"/>
        <v>0</v>
      </c>
      <c r="AF378" s="17">
        <f t="shared" si="353"/>
        <v>0</v>
      </c>
      <c r="AG378" s="17"/>
      <c r="AH378" s="17">
        <f t="shared" si="354"/>
        <v>0</v>
      </c>
      <c r="AI378" s="17"/>
      <c r="AJ378" s="17">
        <f t="shared" si="355"/>
        <v>0</v>
      </c>
      <c r="AK378" s="17"/>
      <c r="AL378" s="17">
        <f t="shared" si="356"/>
        <v>0</v>
      </c>
      <c r="AM378" s="17"/>
      <c r="AN378" s="17">
        <f t="shared" si="357"/>
        <v>0</v>
      </c>
      <c r="AO378" s="17">
        <f t="shared" si="358"/>
        <v>0</v>
      </c>
      <c r="AP378" s="14" t="str">
        <f t="shared" si="359"/>
        <v>ok</v>
      </c>
    </row>
    <row r="379" spans="1:42" x14ac:dyDescent="0.25">
      <c r="A379" s="2"/>
      <c r="B379" s="2"/>
      <c r="F379" s="66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4"/>
    </row>
    <row r="380" spans="1:42" x14ac:dyDescent="0.25">
      <c r="A380" s="2" t="s">
        <v>532</v>
      </c>
      <c r="B380" s="2"/>
      <c r="C380" s="2" t="s">
        <v>505</v>
      </c>
      <c r="F380" s="110">
        <f t="shared" ref="F380:P380" si="360">SUM(F368:F379)</f>
        <v>446955.66</v>
      </c>
      <c r="G380" s="13">
        <f t="shared" si="360"/>
        <v>0</v>
      </c>
      <c r="H380" s="13">
        <f t="shared" si="360"/>
        <v>0</v>
      </c>
      <c r="I380" s="13">
        <f t="shared" si="360"/>
        <v>0</v>
      </c>
      <c r="J380" s="13">
        <f t="shared" si="360"/>
        <v>0</v>
      </c>
      <c r="K380" s="13">
        <f t="shared" si="360"/>
        <v>0</v>
      </c>
      <c r="L380" s="13">
        <f t="shared" si="360"/>
        <v>0</v>
      </c>
      <c r="M380" s="13">
        <f t="shared" si="360"/>
        <v>0</v>
      </c>
      <c r="N380" s="13">
        <f t="shared" si="360"/>
        <v>0</v>
      </c>
      <c r="O380" s="13"/>
      <c r="P380" s="13">
        <f t="shared" si="360"/>
        <v>0</v>
      </c>
      <c r="Q380" s="13"/>
      <c r="R380" s="13">
        <f>SUM(R368:R379)</f>
        <v>0</v>
      </c>
      <c r="S380" s="13"/>
      <c r="T380" s="13">
        <f>SUM(T368:T379)</f>
        <v>0</v>
      </c>
      <c r="U380" s="13"/>
      <c r="V380" s="13">
        <f>SUM(V368:V379)</f>
        <v>0</v>
      </c>
      <c r="W380" s="13">
        <f>SUM(W368:W379)</f>
        <v>0</v>
      </c>
      <c r="X380" s="13"/>
      <c r="Y380" s="13">
        <f>SUM(Y368:Y379)</f>
        <v>0</v>
      </c>
      <c r="Z380" s="13">
        <f>SUM(Z368:Z379)</f>
        <v>0</v>
      </c>
      <c r="AA380" s="13"/>
      <c r="AB380" s="13">
        <f>SUM(AB368:AB379)</f>
        <v>0</v>
      </c>
      <c r="AC380" s="13">
        <f>SUM(AC368:AC379)</f>
        <v>0</v>
      </c>
      <c r="AD380" s="13"/>
      <c r="AE380" s="13">
        <f>SUM(AE368:AE379)</f>
        <v>0</v>
      </c>
      <c r="AF380" s="13">
        <f>SUM(AF368:AF379)</f>
        <v>0</v>
      </c>
      <c r="AG380" s="13"/>
      <c r="AH380" s="13">
        <f>SUM(AH368:AH379)</f>
        <v>0</v>
      </c>
      <c r="AI380" s="13"/>
      <c r="AJ380" s="13">
        <f>SUM(AJ368:AJ379)</f>
        <v>0</v>
      </c>
      <c r="AK380" s="13"/>
      <c r="AL380" s="13">
        <f>SUM(AL368:AL379)</f>
        <v>360287.68</v>
      </c>
      <c r="AM380" s="13"/>
      <c r="AN380" s="13">
        <f>SUM(AN368:AN379)</f>
        <v>86667.98</v>
      </c>
      <c r="AO380" s="17">
        <f>SUM(H380:AN380)</f>
        <v>446955.66</v>
      </c>
      <c r="AP380" s="14" t="str">
        <f>IF(ABS(AO380-F380)&lt;1,"ok","err")</f>
        <v>ok</v>
      </c>
    </row>
    <row r="381" spans="1:42" x14ac:dyDescent="0.25">
      <c r="A381" s="2"/>
      <c r="B381" s="2"/>
      <c r="F381" s="66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P381" s="14"/>
    </row>
    <row r="382" spans="1:42" x14ac:dyDescent="0.25">
      <c r="A382" s="2" t="s">
        <v>533</v>
      </c>
      <c r="B382" s="2"/>
      <c r="C382" s="2" t="s">
        <v>506</v>
      </c>
      <c r="F382" s="66">
        <f t="shared" ref="F382:P382" si="361">F354+F365+F380</f>
        <v>5898608.3999999994</v>
      </c>
      <c r="G382" s="17">
        <f t="shared" si="361"/>
        <v>0</v>
      </c>
      <c r="H382" s="17">
        <f t="shared" si="361"/>
        <v>0</v>
      </c>
      <c r="I382" s="17">
        <f t="shared" si="361"/>
        <v>0</v>
      </c>
      <c r="J382" s="17">
        <f t="shared" si="361"/>
        <v>0</v>
      </c>
      <c r="K382" s="17">
        <f t="shared" si="361"/>
        <v>0</v>
      </c>
      <c r="L382" s="17">
        <f t="shared" si="361"/>
        <v>0</v>
      </c>
      <c r="M382" s="17">
        <f t="shared" si="361"/>
        <v>0</v>
      </c>
      <c r="N382" s="17">
        <f>N354+N365+N380</f>
        <v>0</v>
      </c>
      <c r="O382" s="17"/>
      <c r="P382" s="17">
        <f t="shared" si="361"/>
        <v>0</v>
      </c>
      <c r="Q382" s="17"/>
      <c r="R382" s="17">
        <f>R354+R365+R380</f>
        <v>0</v>
      </c>
      <c r="S382" s="17"/>
      <c r="T382" s="17">
        <f>T354+T365+T380</f>
        <v>3704.2475274172598</v>
      </c>
      <c r="U382" s="17"/>
      <c r="V382" s="17">
        <f>V354+V365+V380</f>
        <v>1857982.1142955772</v>
      </c>
      <c r="W382" s="17">
        <f>W354+W365+W380</f>
        <v>826692.82668268075</v>
      </c>
      <c r="X382" s="17"/>
      <c r="Y382" s="17">
        <f>Y354+Y365+Y380</f>
        <v>206442.4571439531</v>
      </c>
      <c r="Z382" s="17">
        <f>Z354+Z365+Z380</f>
        <v>91854.758520297881</v>
      </c>
      <c r="AA382" s="17"/>
      <c r="AB382" s="17">
        <f>AB354+AB365+AB380</f>
        <v>33710.659818103246</v>
      </c>
      <c r="AC382" s="17">
        <f>AC354+AC365+AC380</f>
        <v>43910.016714485391</v>
      </c>
      <c r="AD382" s="17"/>
      <c r="AE382" s="17">
        <f>AE354+AE365+AE380</f>
        <v>0</v>
      </c>
      <c r="AF382" s="17">
        <f>AF354+AF365+AF380</f>
        <v>54646.603324708718</v>
      </c>
      <c r="AG382" s="17"/>
      <c r="AH382" s="17">
        <f>AH354+AH365+AH380</f>
        <v>774721.42530976178</v>
      </c>
      <c r="AI382" s="17"/>
      <c r="AJ382" s="17">
        <f>AJ354+AJ365+AJ380</f>
        <v>24199.42066301448</v>
      </c>
      <c r="AK382" s="17"/>
      <c r="AL382" s="17">
        <f>AL354+AL365+AL380</f>
        <v>1894075.89</v>
      </c>
      <c r="AM382" s="17"/>
      <c r="AN382" s="17">
        <f>AN354+AN365+AN380</f>
        <v>86667.98</v>
      </c>
      <c r="AO382" s="17">
        <f>SUM(H382:AN382)</f>
        <v>5898608.3999999994</v>
      </c>
      <c r="AP382" s="14" t="str">
        <f>IF(ABS(AO382-F382)&lt;1,"ok","err")</f>
        <v>ok</v>
      </c>
    </row>
    <row r="383" spans="1:42" x14ac:dyDescent="0.25">
      <c r="A383" s="2"/>
      <c r="B383" s="2"/>
      <c r="F383" s="66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P383" s="14"/>
    </row>
    <row r="384" spans="1:42" x14ac:dyDescent="0.25">
      <c r="A384" s="2"/>
      <c r="B384" s="2"/>
      <c r="F384" s="66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P384" s="14"/>
    </row>
    <row r="385" spans="1:42" x14ac:dyDescent="0.25">
      <c r="A385" s="2"/>
      <c r="B385" s="2"/>
      <c r="F385" s="66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P385" s="14"/>
    </row>
    <row r="386" spans="1:42" x14ac:dyDescent="0.25">
      <c r="A386" s="2"/>
      <c r="B386" s="2"/>
      <c r="F386" s="66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P386" s="14"/>
    </row>
    <row r="387" spans="1:42" x14ac:dyDescent="0.25">
      <c r="A387" s="2"/>
      <c r="B387" s="2"/>
      <c r="F387" s="66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P387" s="14"/>
    </row>
    <row r="388" spans="1:42" x14ac:dyDescent="0.25">
      <c r="A388" s="6" t="s">
        <v>463</v>
      </c>
      <c r="B388" s="2"/>
      <c r="F388" s="66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P388" s="14"/>
    </row>
    <row r="389" spans="1:42" x14ac:dyDescent="0.25">
      <c r="A389" s="2"/>
      <c r="B389" s="2"/>
      <c r="F389" s="66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P389" s="14"/>
    </row>
    <row r="390" spans="1:42" x14ac:dyDescent="0.25">
      <c r="A390" s="8" t="s">
        <v>164</v>
      </c>
      <c r="B390" s="2"/>
      <c r="F390" s="66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P390" s="14"/>
    </row>
    <row r="391" spans="1:42" x14ac:dyDescent="0.25">
      <c r="A391" s="2">
        <v>920</v>
      </c>
      <c r="B391" s="2" t="s">
        <v>165</v>
      </c>
      <c r="C391" s="2" t="s">
        <v>507</v>
      </c>
      <c r="D391" s="2" t="s">
        <v>391</v>
      </c>
      <c r="F391" s="195">
        <v>848251.84</v>
      </c>
      <c r="H391" s="17">
        <f>IF(VLOOKUP($D391,$C$5:$AN$495,6,)=0,0,((VLOOKUP($D391,$C$5:$AN$495,6,)/VLOOKUP($D391,$C$5:$AN$495,4,))*$F391))</f>
        <v>0</v>
      </c>
      <c r="I391" s="17">
        <f>IF(VLOOKUP($D391,$C$5:$AN$495,7,)=0,0,((VLOOKUP($D391,$C$5:$AN$495,7,)/VLOOKUP($D391,$C$5:$AN$495,4,))*$F391))</f>
        <v>0</v>
      </c>
      <c r="J391" s="17">
        <f>IF(VLOOKUP($D391,$C$5:$AN$495,8,)=0,0,((VLOOKUP($D391,$C$5:$AN$495,8,)/VLOOKUP($D391,$C$5:$AN$495,4,))*$F391))</f>
        <v>0</v>
      </c>
      <c r="K391" s="17">
        <f>IF(VLOOKUP($D391,$C$5:$AN$495,9,)=0,0,((VLOOKUP($D391,$C$5:$AN$495,9,)/VLOOKUP($D391,$C$5:$AN$495,4,))*$F391))</f>
        <v>0</v>
      </c>
      <c r="L391" s="17">
        <f>IF(VLOOKUP($D391,$C$5:$AN$495,10,)=0,0,((VLOOKUP($D391,$C$5:$AN$495,10,)/VLOOKUP($D391,$C$5:$AN$495,4,))*$F391))</f>
        <v>0</v>
      </c>
      <c r="M391" s="17">
        <f>IF(VLOOKUP($D391,$C$5:$AN$495,11,)=0,0,((VLOOKUP($D391,$C$5:$AN$495,11,)/VLOOKUP($D391,$C$5:$AN$495,4,))*$F391))</f>
        <v>0</v>
      </c>
      <c r="N391" s="17">
        <f>IF(VLOOKUP($D391,$C$5:$AN$495,12,)=0,0,((VLOOKUP($D391,$C$5:$AN$495,12,)/VLOOKUP($D391,$C$5:$AN$495,4,))*$F391))</f>
        <v>0</v>
      </c>
      <c r="O391" s="17"/>
      <c r="P391" s="17">
        <f>IF(VLOOKUP($D391,$C$5:$AN$495,14,)=0,0,((VLOOKUP($D391,$C$5:$AN$495,14,)/VLOOKUP($D391,$C$5:$AN$495,4,))*$F391))</f>
        <v>0</v>
      </c>
      <c r="Q391" s="17"/>
      <c r="R391" s="17">
        <f>IF(VLOOKUP($D391,$C$5:$AN$495,16,)=0,0,((VLOOKUP($D391,$C$5:$AN$495,16,)/VLOOKUP($D391,$C$5:$AN$495,4,))*$F391))</f>
        <v>0</v>
      </c>
      <c r="S391" s="17"/>
      <c r="T391" s="17">
        <f>IF(VLOOKUP($D391,$C$5:$AN$495,18,)=0,0,((VLOOKUP($D391,$C$5:$AN$495,18,)/VLOOKUP($D391,$C$5:$AN$495,4,))*$F391))</f>
        <v>1800.630444781496</v>
      </c>
      <c r="U391" s="17"/>
      <c r="V391" s="17">
        <f>IF(VLOOKUP($D391,$C$5:$AN$495,20,)=0,0,((VLOOKUP($D391,$C$5:$AN$495,20,)/VLOOKUP($D391,$C$5:$AN$495,4,))*$F391))</f>
        <v>310262.06808585435</v>
      </c>
      <c r="W391" s="17">
        <f>IF(VLOOKUP($D391,$C$5:$AN$495,21,)=0,0,((VLOOKUP($D391,$C$5:$AN$495,21,)/VLOOKUP($D391,$C$5:$AN$495,4,))*$F391))</f>
        <v>139317.89579721465</v>
      </c>
      <c r="X391" s="17"/>
      <c r="Y391" s="17">
        <f>IF(VLOOKUP($D391,$C$5:$AN$495,23,)=0,0,((VLOOKUP($D391,$C$5:$AN$495,23,)/VLOOKUP($D391,$C$5:$AN$495,4,))*$F391))</f>
        <v>34473.563120650491</v>
      </c>
      <c r="Z391" s="17">
        <f>IF(VLOOKUP($D391,$C$5:$AN$495,24,)=0,0,((VLOOKUP($D391,$C$5:$AN$495,24,)/VLOOKUP($D391,$C$5:$AN$495,4,))*$F391))</f>
        <v>15479.766199690517</v>
      </c>
      <c r="AA391" s="17"/>
      <c r="AB391" s="17">
        <f>IF(VLOOKUP($D391,$C$5:$AN$495,26,)=0,0,((VLOOKUP($D391,$C$5:$AN$495,26,)/VLOOKUP($D391,$C$5:$AN$495,4,))*$F391))</f>
        <v>5465.1948780919374</v>
      </c>
      <c r="AC391" s="17">
        <f>IF(VLOOKUP($D391,$C$5:$AN$495,27,)=0,0,((VLOOKUP($D391,$C$5:$AN$495,27,)/VLOOKUP($D391,$C$5:$AN$495,4,))*$F391))</f>
        <v>7118.7214886866432</v>
      </c>
      <c r="AD391" s="17"/>
      <c r="AE391" s="17">
        <f>IF(VLOOKUP($D391,$C$5:$AN$495,29,)=0,0,((VLOOKUP($D391,$C$5:$AN$495,29,)/VLOOKUP($D391,$C$5:$AN$495,4,))*$F391))</f>
        <v>0</v>
      </c>
      <c r="AF391" s="17">
        <f>IF(VLOOKUP($D391,$C$5:$AN$495,30,)=0,0,((VLOOKUP($D391,$C$5:$AN$495,30,)/VLOOKUP($D391,$C$5:$AN$495,4,))*$F391))</f>
        <v>5442.4031286849458</v>
      </c>
      <c r="AG391" s="17"/>
      <c r="AH391" s="17">
        <f>IF(VLOOKUP($D391,$C$5:$AN$495,32,)=0,0,((VLOOKUP($D391,$C$5:$AN$495,32,)/VLOOKUP($D391,$C$5:$AN$495,4,))*$F391))</f>
        <v>79510.861520394843</v>
      </c>
      <c r="AI391" s="17"/>
      <c r="AJ391" s="17">
        <f>IF(VLOOKUP($D391,$C$5:$AN$495,34,)=0,0,((VLOOKUP($D391,$C$5:$AN$495,34,)/VLOOKUP($D391,$C$5:$AN$495,4,))*$F391))</f>
        <v>22958.210911496382</v>
      </c>
      <c r="AK391" s="17"/>
      <c r="AL391" s="17">
        <f>IF(VLOOKUP($D391,$C$5:$AN$495,36,)=0,0,((VLOOKUP($D391,$C$5:$AN$495,36,)/VLOOKUP($D391,$C$5:$AN$495,4,))*$F391))</f>
        <v>217322.41893602049</v>
      </c>
      <c r="AM391" s="17"/>
      <c r="AN391" s="17">
        <f>IF(VLOOKUP($D391,$C$5:$AN$495,38,)=0,0,((VLOOKUP($D391,$C$5:$AN$495,38,)/VLOOKUP($D391,$C$5:$AN$495,4,))*$F391))</f>
        <v>9100.1054884331388</v>
      </c>
      <c r="AO391" s="17">
        <f t="shared" ref="AO391:AO403" si="362">SUM(H391:AN391)</f>
        <v>848251.83999999985</v>
      </c>
      <c r="AP391" s="14" t="str">
        <f t="shared" ref="AP391:AP403" si="363">IF(ABS(AO391-F391)&lt;1,"ok","err")</f>
        <v>ok</v>
      </c>
    </row>
    <row r="392" spans="1:42" x14ac:dyDescent="0.25">
      <c r="A392" s="2">
        <v>921</v>
      </c>
      <c r="B392" s="2" t="s">
        <v>167</v>
      </c>
      <c r="C392" s="2" t="s">
        <v>508</v>
      </c>
      <c r="D392" s="2" t="s">
        <v>506</v>
      </c>
      <c r="F392" s="148">
        <v>207.36</v>
      </c>
      <c r="H392" s="17">
        <f>IF(VLOOKUP($D392,$C$5:$AN$495,6,)=0,0,((VLOOKUP($D392,$C$5:$AN$495,6,)/VLOOKUP($D392,$C$5:$AN$495,4,))*$F392))</f>
        <v>0</v>
      </c>
      <c r="I392" s="17">
        <f>IF(VLOOKUP($D392,$C$5:$AN$495,7,)=0,0,((VLOOKUP($D392,$C$5:$AN$495,7,)/VLOOKUP($D392,$C$5:$AN$495,4,))*$F392))</f>
        <v>0</v>
      </c>
      <c r="J392" s="17">
        <f>IF(VLOOKUP($D392,$C$5:$AN$495,8,)=0,0,((VLOOKUP($D392,$C$5:$AN$495,8,)/VLOOKUP($D392,$C$5:$AN$495,4,))*$F392))</f>
        <v>0</v>
      </c>
      <c r="K392" s="17">
        <f>IF(VLOOKUP($D392,$C$5:$AN$495,9,)=0,0,((VLOOKUP($D392,$C$5:$AN$495,9,)/VLOOKUP($D392,$C$5:$AN$495,4,))*$F392))</f>
        <v>0</v>
      </c>
      <c r="L392" s="17">
        <f>IF(VLOOKUP($D392,$C$5:$AN$495,10,)=0,0,((VLOOKUP($D392,$C$5:$AN$495,10,)/VLOOKUP($D392,$C$5:$AN$495,4,))*$F392))</f>
        <v>0</v>
      </c>
      <c r="M392" s="17">
        <f>IF(VLOOKUP($D392,$C$5:$AN$495,11,)=0,0,((VLOOKUP($D392,$C$5:$AN$495,11,)/VLOOKUP($D392,$C$5:$AN$495,4,))*$F392))</f>
        <v>0</v>
      </c>
      <c r="N392" s="17">
        <f>IF(VLOOKUP($D392,$C$5:$AN$495,12,)=0,0,((VLOOKUP($D392,$C$5:$AN$495,12,)/VLOOKUP($D392,$C$5:$AN$495,4,))*$F392))</f>
        <v>0</v>
      </c>
      <c r="O392" s="17"/>
      <c r="P392" s="17">
        <f>IF(VLOOKUP($D392,$C$5:$AN$495,14,)=0,0,((VLOOKUP($D392,$C$5:$AN$495,14,)/VLOOKUP($D392,$C$5:$AN$495,4,))*$F392))</f>
        <v>0</v>
      </c>
      <c r="Q392" s="17"/>
      <c r="R392" s="17">
        <f>IF(VLOOKUP($D392,$C$5:$AN$495,16,)=0,0,((VLOOKUP($D392,$C$5:$AN$495,16,)/VLOOKUP($D392,$C$5:$AN$495,4,))*$F392))</f>
        <v>0</v>
      </c>
      <c r="S392" s="17"/>
      <c r="T392" s="17">
        <f>IF(VLOOKUP($D392,$C$5:$AN$495,18,)=0,0,((VLOOKUP($D392,$C$5:$AN$495,18,)/VLOOKUP($D392,$C$5:$AN$495,4,))*$F392))</f>
        <v>0.13021931872698025</v>
      </c>
      <c r="U392" s="17"/>
      <c r="V392" s="17">
        <f>IF(VLOOKUP($D392,$C$5:$AN$495,20,)=0,0,((VLOOKUP($D392,$C$5:$AN$495,20,)/VLOOKUP($D392,$C$5:$AN$495,4,))*$F392))</f>
        <v>65.315604138143996</v>
      </c>
      <c r="W392" s="17">
        <f>IF(VLOOKUP($D392,$C$5:$AN$495,21,)=0,0,((VLOOKUP($D392,$C$5:$AN$495,21,)/VLOOKUP($D392,$C$5:$AN$495,4,))*$F392))</f>
        <v>29.061604520300197</v>
      </c>
      <c r="X392" s="17"/>
      <c r="Y392" s="17">
        <f>IF(VLOOKUP($D392,$C$5:$AN$495,23,)=0,0,((VLOOKUP($D392,$C$5:$AN$495,23,)/VLOOKUP($D392,$C$5:$AN$495,4,))*$F392))</f>
        <v>7.2572893486826686</v>
      </c>
      <c r="Z392" s="17">
        <f>IF(VLOOKUP($D392,$C$5:$AN$495,24,)=0,0,((VLOOKUP($D392,$C$5:$AN$495,24,)/VLOOKUP($D392,$C$5:$AN$495,4,))*$F392))</f>
        <v>3.2290671689222448</v>
      </c>
      <c r="AA392" s="17"/>
      <c r="AB392" s="17">
        <f>IF(VLOOKUP($D392,$C$5:$AN$495,26,)=0,0,((VLOOKUP($D392,$C$5:$AN$495,26,)/VLOOKUP($D392,$C$5:$AN$495,4,))*$F392))</f>
        <v>1.1850663658028036</v>
      </c>
      <c r="AC392" s="17">
        <f>IF(VLOOKUP($D392,$C$5:$AN$495,27,)=0,0,((VLOOKUP($D392,$C$5:$AN$495,27,)/VLOOKUP($D392,$C$5:$AN$495,4,))*$F392))</f>
        <v>1.5436151119839878</v>
      </c>
      <c r="AD392" s="17"/>
      <c r="AE392" s="17">
        <f>IF(VLOOKUP($D392,$C$5:$AN$495,29,)=0,0,((VLOOKUP($D392,$C$5:$AN$495,29,)/VLOOKUP($D392,$C$5:$AN$495,4,))*$F392))</f>
        <v>0</v>
      </c>
      <c r="AF392" s="17">
        <f>IF(VLOOKUP($D392,$C$5:$AN$495,30,)=0,0,((VLOOKUP($D392,$C$5:$AN$495,30,)/VLOOKUP($D392,$C$5:$AN$495,4,))*$F392))</f>
        <v>1.9210496606982084</v>
      </c>
      <c r="AG392" s="17"/>
      <c r="AH392" s="17">
        <f>IF(VLOOKUP($D392,$C$5:$AN$495,32,)=0,0,((VLOOKUP($D392,$C$5:$AN$495,32,)/VLOOKUP($D392,$C$5:$AN$495,4,))*$F392))</f>
        <v>27.2345990542841</v>
      </c>
      <c r="AI392" s="17"/>
      <c r="AJ392" s="17">
        <f>IF(VLOOKUP($D392,$C$5:$AN$495,34,)=0,0,((VLOOKUP($D392,$C$5:$AN$495,34,)/VLOOKUP($D392,$C$5:$AN$495,4,))*$F392))</f>
        <v>0.85070774806523586</v>
      </c>
      <c r="AK392" s="17"/>
      <c r="AL392" s="17">
        <f>IF(VLOOKUP($D392,$C$5:$AN$495,36,)=0,0,((VLOOKUP($D392,$C$5:$AN$495,36,)/VLOOKUP($D392,$C$5:$AN$495,4,))*$F392))</f>
        <v>66.584446689222503</v>
      </c>
      <c r="AM392" s="17"/>
      <c r="AN392" s="17">
        <f>IF(VLOOKUP($D392,$C$5:$AN$495,38,)=0,0,((VLOOKUP($D392,$C$5:$AN$495,38,)/VLOOKUP($D392,$C$5:$AN$495,4,))*$F392))</f>
        <v>3.046730875167099</v>
      </c>
      <c r="AO392" s="17">
        <f t="shared" si="362"/>
        <v>207.36</v>
      </c>
      <c r="AP392" s="14" t="str">
        <f t="shared" si="363"/>
        <v>ok</v>
      </c>
    </row>
    <row r="393" spans="1:42" customFormat="1" x14ac:dyDescent="0.25">
      <c r="A393" s="2">
        <v>922</v>
      </c>
      <c r="B393" s="2" t="s">
        <v>964</v>
      </c>
      <c r="C393" t="s">
        <v>966</v>
      </c>
      <c r="D393" t="s">
        <v>31</v>
      </c>
      <c r="F393" s="148">
        <v>0</v>
      </c>
      <c r="H393" s="17">
        <f>IF(VLOOKUP($D393,$C$5:$AN$495,6,)=0,0,((VLOOKUP($D393,$C$5:$AN$495,6,)/VLOOKUP($D393,$C$5:$AN$495,4,))*$F393))</f>
        <v>0</v>
      </c>
      <c r="I393" s="17">
        <f>IF(VLOOKUP($D393,$C$5:$AN$495,7,)=0,0,((VLOOKUP($D393,$C$5:$AN$495,7,)/VLOOKUP($D393,$C$5:$AN$495,4,))*$F393))</f>
        <v>0</v>
      </c>
      <c r="J393" s="17">
        <f>IF(VLOOKUP($D393,$C$5:$AN$495,8,)=0,0,((VLOOKUP($D393,$C$5:$AN$495,8,)/VLOOKUP($D393,$C$5:$AN$495,4,))*$F393))</f>
        <v>0</v>
      </c>
      <c r="K393" s="17">
        <f>IF(VLOOKUP($D393,$C$5:$AN$495,9,)=0,0,((VLOOKUP($D393,$C$5:$AN$495,9,)/VLOOKUP($D393,$C$5:$AN$495,4,))*$F393))</f>
        <v>0</v>
      </c>
      <c r="L393" s="17">
        <f>IF(VLOOKUP($D393,$C$5:$AN$495,10,)=0,0,((VLOOKUP($D393,$C$5:$AN$495,10,)/VLOOKUP($D393,$C$5:$AN$495,4,))*$F393))</f>
        <v>0</v>
      </c>
      <c r="M393" s="17">
        <f>IF(VLOOKUP($D393,$C$5:$AN$495,11,)=0,0,((VLOOKUP($D393,$C$5:$AN$495,11,)/VLOOKUP($D393,$C$5:$AN$495,4,))*$F393))</f>
        <v>0</v>
      </c>
      <c r="N393" s="17">
        <f>IF(VLOOKUP($D393,$C$5:$AN$495,12,)=0,0,((VLOOKUP($D393,$C$5:$AN$495,12,)/VLOOKUP($D393,$C$5:$AN$495,4,))*$F393))</f>
        <v>0</v>
      </c>
      <c r="O393" s="17"/>
      <c r="P393" s="17">
        <f>IF(VLOOKUP($D393,$C$5:$AN$495,14,)=0,0,((VLOOKUP($D393,$C$5:$AN$495,14,)/VLOOKUP($D393,$C$5:$AN$495,4,))*$F393))</f>
        <v>0</v>
      </c>
      <c r="Q393" s="17"/>
      <c r="R393" s="17">
        <f>IF(VLOOKUP($D393,$C$5:$AN$495,16,)=0,0,((VLOOKUP($D393,$C$5:$AN$495,16,)/VLOOKUP($D393,$C$5:$AN$495,4,))*$F393))</f>
        <v>0</v>
      </c>
      <c r="S393" s="17"/>
      <c r="T393" s="17">
        <f>IF(VLOOKUP($D393,$C$5:$AN$495,18,)=0,0,((VLOOKUP($D393,$C$5:$AN$495,18,)/VLOOKUP($D393,$C$5:$AN$495,4,))*$F393))</f>
        <v>0</v>
      </c>
      <c r="U393" s="17"/>
      <c r="V393" s="17">
        <f>IF(VLOOKUP($D393,$C$5:$AN$495,20,)=0,0,((VLOOKUP($D393,$C$5:$AN$495,20,)/VLOOKUP($D393,$C$5:$AN$495,4,))*$F393))</f>
        <v>0</v>
      </c>
      <c r="W393" s="17">
        <f>IF(VLOOKUP($D393,$C$5:$AN$495,21,)=0,0,((VLOOKUP($D393,$C$5:$AN$495,21,)/VLOOKUP($D393,$C$5:$AN$495,4,))*$F393))</f>
        <v>0</v>
      </c>
      <c r="X393" s="17"/>
      <c r="Y393" s="17">
        <f>IF(VLOOKUP($D393,$C$5:$AN$495,23,)=0,0,((VLOOKUP($D393,$C$5:$AN$495,23,)/VLOOKUP($D393,$C$5:$AN$495,4,))*$F393))</f>
        <v>0</v>
      </c>
      <c r="Z393" s="17">
        <f>IF(VLOOKUP($D393,$C$5:$AN$495,24,)=0,0,((VLOOKUP($D393,$C$5:$AN$495,24,)/VLOOKUP($D393,$C$5:$AN$495,4,))*$F393))</f>
        <v>0</v>
      </c>
      <c r="AA393" s="17"/>
      <c r="AB393" s="17">
        <f>IF(VLOOKUP($D393,$C$5:$AN$495,26,)=0,0,((VLOOKUP($D393,$C$5:$AN$495,26,)/VLOOKUP($D393,$C$5:$AN$495,4,))*$F393))</f>
        <v>0</v>
      </c>
      <c r="AC393" s="17">
        <f>IF(VLOOKUP($D393,$C$5:$AN$495,27,)=0,0,((VLOOKUP($D393,$C$5:$AN$495,27,)/VLOOKUP($D393,$C$5:$AN$495,4,))*$F393))</f>
        <v>0</v>
      </c>
      <c r="AD393" s="17"/>
      <c r="AE393" s="17">
        <f>IF(VLOOKUP($D393,$C$5:$AN$495,29,)=0,0,((VLOOKUP($D393,$C$5:$AN$495,29,)/VLOOKUP($D393,$C$5:$AN$495,4,))*$F393))</f>
        <v>0</v>
      </c>
      <c r="AF393" s="17">
        <f>IF(VLOOKUP($D393,$C$5:$AN$495,30,)=0,0,((VLOOKUP($D393,$C$5:$AN$495,30,)/VLOOKUP($D393,$C$5:$AN$495,4,))*$F393))</f>
        <v>0</v>
      </c>
      <c r="AG393" s="17"/>
      <c r="AH393" s="17">
        <f>IF(VLOOKUP($D393,$C$5:$AN$495,32,)=0,0,((VLOOKUP($D393,$C$5:$AN$495,32,)/VLOOKUP($D393,$C$5:$AN$495,4,))*$F393))</f>
        <v>0</v>
      </c>
      <c r="AI393" s="17"/>
      <c r="AJ393" s="17">
        <f>IF(VLOOKUP($D393,$C$5:$AN$495,34,)=0,0,((VLOOKUP($D393,$C$5:$AN$495,34,)/VLOOKUP($D393,$C$5:$AN$495,4,))*$F393))</f>
        <v>0</v>
      </c>
      <c r="AK393" s="17"/>
      <c r="AL393" s="17">
        <f>IF(VLOOKUP($D393,$C$5:$AN$495,36,)=0,0,((VLOOKUP($D393,$C$5:$AN$495,36,)/VLOOKUP($D393,$C$5:$AN$495,4,))*$F393))</f>
        <v>0</v>
      </c>
      <c r="AM393" s="17"/>
      <c r="AN393" s="17">
        <f>IF(VLOOKUP($D393,$C$5:$AN$495,38,)=0,0,((VLOOKUP($D393,$C$5:$AN$495,38,)/VLOOKUP($D393,$C$5:$AN$495,4,))*$F393))</f>
        <v>0</v>
      </c>
      <c r="AO393" s="17">
        <f t="shared" ref="AO393" si="364">SUM(H393:AN393)</f>
        <v>0</v>
      </c>
      <c r="AP393" s="14" t="str">
        <f t="shared" ref="AP393" si="365">IF(ABS(AO393-F393)&lt;1,"ok","err")</f>
        <v>ok</v>
      </c>
    </row>
    <row r="394" spans="1:42" x14ac:dyDescent="0.25">
      <c r="A394" s="2">
        <v>923</v>
      </c>
      <c r="B394" s="2" t="s">
        <v>169</v>
      </c>
      <c r="C394" s="2" t="s">
        <v>509</v>
      </c>
      <c r="D394" s="2" t="s">
        <v>391</v>
      </c>
      <c r="F394" s="148">
        <v>0</v>
      </c>
      <c r="H394" s="17">
        <f t="shared" ref="H394:H403" si="366">IF(VLOOKUP($D394,$C$5:$AN$495,6,)=0,0,((VLOOKUP($D394,$C$5:$AN$495,6,)/VLOOKUP($D394,$C$5:$AN$495,4,))*$F394))</f>
        <v>0</v>
      </c>
      <c r="I394" s="17">
        <f t="shared" ref="I394:I403" si="367">IF(VLOOKUP($D394,$C$5:$AN$495,7,)=0,0,((VLOOKUP($D394,$C$5:$AN$495,7,)/VLOOKUP($D394,$C$5:$AN$495,4,))*$F394))</f>
        <v>0</v>
      </c>
      <c r="J394" s="17">
        <f t="shared" ref="J394:J403" si="368">IF(VLOOKUP($D394,$C$5:$AN$495,8,)=0,0,((VLOOKUP($D394,$C$5:$AN$495,8,)/VLOOKUP($D394,$C$5:$AN$495,4,))*$F394))</f>
        <v>0</v>
      </c>
      <c r="K394" s="17">
        <f t="shared" ref="K394:K403" si="369">IF(VLOOKUP($D394,$C$5:$AN$495,9,)=0,0,((VLOOKUP($D394,$C$5:$AN$495,9,)/VLOOKUP($D394,$C$5:$AN$495,4,))*$F394))</f>
        <v>0</v>
      </c>
      <c r="L394" s="17">
        <f t="shared" ref="L394:L403" si="370">IF(VLOOKUP($D394,$C$5:$AN$495,10,)=0,0,((VLOOKUP($D394,$C$5:$AN$495,10,)/VLOOKUP($D394,$C$5:$AN$495,4,))*$F394))</f>
        <v>0</v>
      </c>
      <c r="M394" s="17">
        <f t="shared" ref="M394:M403" si="371">IF(VLOOKUP($D394,$C$5:$AN$495,11,)=0,0,((VLOOKUP($D394,$C$5:$AN$495,11,)/VLOOKUP($D394,$C$5:$AN$495,4,))*$F394))</f>
        <v>0</v>
      </c>
      <c r="N394" s="17">
        <f t="shared" ref="N394:N403" si="372">IF(VLOOKUP($D394,$C$5:$AN$495,12,)=0,0,((VLOOKUP($D394,$C$5:$AN$495,12,)/VLOOKUP($D394,$C$5:$AN$495,4,))*$F394))</f>
        <v>0</v>
      </c>
      <c r="O394" s="17"/>
      <c r="P394" s="17">
        <f t="shared" ref="P394:P403" si="373">IF(VLOOKUP($D394,$C$5:$AN$495,14,)=0,0,((VLOOKUP($D394,$C$5:$AN$495,14,)/VLOOKUP($D394,$C$5:$AN$495,4,))*$F394))</f>
        <v>0</v>
      </c>
      <c r="Q394" s="17"/>
      <c r="R394" s="17">
        <f t="shared" ref="R394:R403" si="374">IF(VLOOKUP($D394,$C$5:$AN$495,16,)=0,0,((VLOOKUP($D394,$C$5:$AN$495,16,)/VLOOKUP($D394,$C$5:$AN$495,4,))*$F394))</f>
        <v>0</v>
      </c>
      <c r="S394" s="17"/>
      <c r="T394" s="17">
        <f t="shared" ref="T394:T403" si="375">IF(VLOOKUP($D394,$C$5:$AN$495,18,)=0,0,((VLOOKUP($D394,$C$5:$AN$495,18,)/VLOOKUP($D394,$C$5:$AN$495,4,))*$F394))</f>
        <v>0</v>
      </c>
      <c r="U394" s="17"/>
      <c r="V394" s="17">
        <f t="shared" ref="V394:V403" si="376">IF(VLOOKUP($D394,$C$5:$AN$495,20,)=0,0,((VLOOKUP($D394,$C$5:$AN$495,20,)/VLOOKUP($D394,$C$5:$AN$495,4,))*$F394))</f>
        <v>0</v>
      </c>
      <c r="W394" s="17">
        <f t="shared" ref="W394:W403" si="377">IF(VLOOKUP($D394,$C$5:$AN$495,21,)=0,0,((VLOOKUP($D394,$C$5:$AN$495,21,)/VLOOKUP($D394,$C$5:$AN$495,4,))*$F394))</f>
        <v>0</v>
      </c>
      <c r="X394" s="17"/>
      <c r="Y394" s="17">
        <f t="shared" ref="Y394:Y403" si="378">IF(VLOOKUP($D394,$C$5:$AN$495,23,)=0,0,((VLOOKUP($D394,$C$5:$AN$495,23,)/VLOOKUP($D394,$C$5:$AN$495,4,))*$F394))</f>
        <v>0</v>
      </c>
      <c r="Z394" s="17">
        <f t="shared" ref="Z394:Z403" si="379">IF(VLOOKUP($D394,$C$5:$AN$495,24,)=0,0,((VLOOKUP($D394,$C$5:$AN$495,24,)/VLOOKUP($D394,$C$5:$AN$495,4,))*$F394))</f>
        <v>0</v>
      </c>
      <c r="AA394" s="17"/>
      <c r="AB394" s="17">
        <f t="shared" ref="AB394:AB403" si="380">IF(VLOOKUP($D394,$C$5:$AN$495,26,)=0,0,((VLOOKUP($D394,$C$5:$AN$495,26,)/VLOOKUP($D394,$C$5:$AN$495,4,))*$F394))</f>
        <v>0</v>
      </c>
      <c r="AC394" s="17">
        <f t="shared" ref="AC394:AC403" si="381">IF(VLOOKUP($D394,$C$5:$AN$495,27,)=0,0,((VLOOKUP($D394,$C$5:$AN$495,27,)/VLOOKUP($D394,$C$5:$AN$495,4,))*$F394))</f>
        <v>0</v>
      </c>
      <c r="AD394" s="17"/>
      <c r="AE394" s="17">
        <f t="shared" ref="AE394:AE403" si="382">IF(VLOOKUP($D394,$C$5:$AN$495,29,)=0,0,((VLOOKUP($D394,$C$5:$AN$495,29,)/VLOOKUP($D394,$C$5:$AN$495,4,))*$F394))</f>
        <v>0</v>
      </c>
      <c r="AF394" s="17">
        <f t="shared" ref="AF394:AF403" si="383">IF(VLOOKUP($D394,$C$5:$AN$495,30,)=0,0,((VLOOKUP($D394,$C$5:$AN$495,30,)/VLOOKUP($D394,$C$5:$AN$495,4,))*$F394))</f>
        <v>0</v>
      </c>
      <c r="AG394" s="17"/>
      <c r="AH394" s="17">
        <f t="shared" ref="AH394:AH403" si="384">IF(VLOOKUP($D394,$C$5:$AN$495,32,)=0,0,((VLOOKUP($D394,$C$5:$AN$495,32,)/VLOOKUP($D394,$C$5:$AN$495,4,))*$F394))</f>
        <v>0</v>
      </c>
      <c r="AI394" s="17"/>
      <c r="AJ394" s="17">
        <f t="shared" ref="AJ394:AJ403" si="385">IF(VLOOKUP($D394,$C$5:$AN$495,34,)=0,0,((VLOOKUP($D394,$C$5:$AN$495,34,)/VLOOKUP($D394,$C$5:$AN$495,4,))*$F394))</f>
        <v>0</v>
      </c>
      <c r="AK394" s="17"/>
      <c r="AL394" s="17">
        <f t="shared" ref="AL394:AL403" si="386">IF(VLOOKUP($D394,$C$5:$AN$495,36,)=0,0,((VLOOKUP($D394,$C$5:$AN$495,36,)/VLOOKUP($D394,$C$5:$AN$495,4,))*$F394))</f>
        <v>0</v>
      </c>
      <c r="AM394" s="17"/>
      <c r="AN394" s="17">
        <f t="shared" ref="AN394:AN403" si="387">IF(VLOOKUP($D394,$C$5:$AN$495,38,)=0,0,((VLOOKUP($D394,$C$5:$AN$495,38,)/VLOOKUP($D394,$C$5:$AN$495,4,))*$F394))</f>
        <v>0</v>
      </c>
      <c r="AO394" s="17">
        <f t="shared" si="362"/>
        <v>0</v>
      </c>
      <c r="AP394" s="14" t="str">
        <f t="shared" si="363"/>
        <v>ok</v>
      </c>
    </row>
    <row r="395" spans="1:42" x14ac:dyDescent="0.25">
      <c r="A395" s="2">
        <v>924</v>
      </c>
      <c r="B395" s="2" t="s">
        <v>171</v>
      </c>
      <c r="C395" s="2" t="s">
        <v>510</v>
      </c>
      <c r="D395" s="2" t="s">
        <v>89</v>
      </c>
      <c r="F395" s="148">
        <v>0</v>
      </c>
      <c r="H395" s="17">
        <f t="shared" si="366"/>
        <v>0</v>
      </c>
      <c r="I395" s="17">
        <f t="shared" si="367"/>
        <v>0</v>
      </c>
      <c r="J395" s="17">
        <f t="shared" si="368"/>
        <v>0</v>
      </c>
      <c r="K395" s="17">
        <f t="shared" si="369"/>
        <v>0</v>
      </c>
      <c r="L395" s="17">
        <f t="shared" si="370"/>
        <v>0</v>
      </c>
      <c r="M395" s="17">
        <f t="shared" si="371"/>
        <v>0</v>
      </c>
      <c r="N395" s="17">
        <f t="shared" si="372"/>
        <v>0</v>
      </c>
      <c r="O395" s="17"/>
      <c r="P395" s="17">
        <f t="shared" si="373"/>
        <v>0</v>
      </c>
      <c r="Q395" s="17"/>
      <c r="R395" s="17">
        <f t="shared" si="374"/>
        <v>0</v>
      </c>
      <c r="S395" s="17"/>
      <c r="T395" s="17">
        <f t="shared" si="375"/>
        <v>0</v>
      </c>
      <c r="U395" s="17"/>
      <c r="V395" s="17">
        <f t="shared" si="376"/>
        <v>0</v>
      </c>
      <c r="W395" s="17">
        <f t="shared" si="377"/>
        <v>0</v>
      </c>
      <c r="X395" s="17"/>
      <c r="Y395" s="17">
        <f t="shared" si="378"/>
        <v>0</v>
      </c>
      <c r="Z395" s="17">
        <f t="shared" si="379"/>
        <v>0</v>
      </c>
      <c r="AA395" s="17"/>
      <c r="AB395" s="17">
        <f t="shared" si="380"/>
        <v>0</v>
      </c>
      <c r="AC395" s="17">
        <f t="shared" si="381"/>
        <v>0</v>
      </c>
      <c r="AD395" s="17"/>
      <c r="AE395" s="17">
        <f t="shared" si="382"/>
        <v>0</v>
      </c>
      <c r="AF395" s="17">
        <f t="shared" si="383"/>
        <v>0</v>
      </c>
      <c r="AG395" s="17"/>
      <c r="AH395" s="17">
        <f t="shared" si="384"/>
        <v>0</v>
      </c>
      <c r="AI395" s="17"/>
      <c r="AJ395" s="17">
        <f t="shared" si="385"/>
        <v>0</v>
      </c>
      <c r="AK395" s="17"/>
      <c r="AL395" s="17">
        <f t="shared" si="386"/>
        <v>0</v>
      </c>
      <c r="AM395" s="17"/>
      <c r="AN395" s="17">
        <f t="shared" si="387"/>
        <v>0</v>
      </c>
      <c r="AO395" s="17">
        <f t="shared" si="362"/>
        <v>0</v>
      </c>
      <c r="AP395" s="14" t="str">
        <f t="shared" si="363"/>
        <v>ok</v>
      </c>
    </row>
    <row r="396" spans="1:42" x14ac:dyDescent="0.25">
      <c r="A396" s="2">
        <v>925</v>
      </c>
      <c r="B396" s="2" t="s">
        <v>173</v>
      </c>
      <c r="C396" s="2" t="s">
        <v>511</v>
      </c>
      <c r="D396" s="2" t="s">
        <v>506</v>
      </c>
      <c r="F396" s="148">
        <f>128693.18+9747.12</f>
        <v>138440.29999999999</v>
      </c>
      <c r="H396" s="17">
        <f t="shared" si="366"/>
        <v>0</v>
      </c>
      <c r="I396" s="17">
        <f t="shared" si="367"/>
        <v>0</v>
      </c>
      <c r="J396" s="17">
        <f t="shared" si="368"/>
        <v>0</v>
      </c>
      <c r="K396" s="17">
        <f t="shared" si="369"/>
        <v>0</v>
      </c>
      <c r="L396" s="17">
        <f t="shared" si="370"/>
        <v>0</v>
      </c>
      <c r="M396" s="17">
        <f t="shared" si="371"/>
        <v>0</v>
      </c>
      <c r="N396" s="17">
        <f t="shared" si="372"/>
        <v>0</v>
      </c>
      <c r="O396" s="17"/>
      <c r="P396" s="17">
        <f t="shared" si="373"/>
        <v>0</v>
      </c>
      <c r="Q396" s="17"/>
      <c r="R396" s="17">
        <f t="shared" si="374"/>
        <v>0</v>
      </c>
      <c r="S396" s="17"/>
      <c r="T396" s="17">
        <f t="shared" si="375"/>
        <v>86.938664884060387</v>
      </c>
      <c r="U396" s="17"/>
      <c r="V396" s="17">
        <f t="shared" si="376"/>
        <v>43606.827891425033</v>
      </c>
      <c r="W396" s="17">
        <f t="shared" si="377"/>
        <v>19402.475155631342</v>
      </c>
      <c r="X396" s="17"/>
      <c r="Y396" s="17">
        <f t="shared" si="378"/>
        <v>4845.2030990472276</v>
      </c>
      <c r="Z396" s="17">
        <f t="shared" si="379"/>
        <v>2155.8305728479272</v>
      </c>
      <c r="AA396" s="17"/>
      <c r="AB396" s="17">
        <f t="shared" si="380"/>
        <v>791.18896219931446</v>
      </c>
      <c r="AC396" s="17">
        <f t="shared" si="381"/>
        <v>1030.5678008661114</v>
      </c>
      <c r="AD396" s="17"/>
      <c r="AE396" s="17">
        <f t="shared" si="382"/>
        <v>0</v>
      </c>
      <c r="AF396" s="17">
        <f t="shared" si="383"/>
        <v>1282.5554173512642</v>
      </c>
      <c r="AG396" s="17"/>
      <c r="AH396" s="17">
        <f t="shared" si="384"/>
        <v>18182.70671033375</v>
      </c>
      <c r="AI396" s="17"/>
      <c r="AJ396" s="17">
        <f t="shared" si="385"/>
        <v>567.9602423537599</v>
      </c>
      <c r="AK396" s="17"/>
      <c r="AL396" s="17">
        <f t="shared" si="386"/>
        <v>44453.948567659951</v>
      </c>
      <c r="AM396" s="17"/>
      <c r="AN396" s="17">
        <f t="shared" si="387"/>
        <v>2034.0969154002491</v>
      </c>
      <c r="AO396" s="17">
        <f t="shared" si="362"/>
        <v>138440.29999999999</v>
      </c>
      <c r="AP396" s="14" t="str">
        <f t="shared" si="363"/>
        <v>ok</v>
      </c>
    </row>
    <row r="397" spans="1:42" x14ac:dyDescent="0.25">
      <c r="A397" s="2">
        <v>926</v>
      </c>
      <c r="B397" s="2" t="s">
        <v>175</v>
      </c>
      <c r="C397" s="2" t="s">
        <v>512</v>
      </c>
      <c r="D397" s="2" t="s">
        <v>506</v>
      </c>
      <c r="F397" s="148">
        <v>44857.23</v>
      </c>
      <c r="H397" s="17">
        <f t="shared" si="366"/>
        <v>0</v>
      </c>
      <c r="I397" s="17">
        <f t="shared" si="367"/>
        <v>0</v>
      </c>
      <c r="J397" s="17">
        <f t="shared" si="368"/>
        <v>0</v>
      </c>
      <c r="K397" s="17">
        <f t="shared" si="369"/>
        <v>0</v>
      </c>
      <c r="L397" s="17">
        <f t="shared" si="370"/>
        <v>0</v>
      </c>
      <c r="M397" s="17">
        <f t="shared" si="371"/>
        <v>0</v>
      </c>
      <c r="N397" s="17">
        <f t="shared" si="372"/>
        <v>0</v>
      </c>
      <c r="O397" s="17"/>
      <c r="P397" s="17">
        <f t="shared" si="373"/>
        <v>0</v>
      </c>
      <c r="Q397" s="17"/>
      <c r="R397" s="17">
        <f t="shared" si="374"/>
        <v>0</v>
      </c>
      <c r="S397" s="17"/>
      <c r="T397" s="17">
        <f t="shared" si="375"/>
        <v>28.169743106575332</v>
      </c>
      <c r="U397" s="17"/>
      <c r="V397" s="17">
        <f t="shared" si="376"/>
        <v>14129.422634132316</v>
      </c>
      <c r="W397" s="17">
        <f t="shared" si="377"/>
        <v>6286.7625295917514</v>
      </c>
      <c r="X397" s="17"/>
      <c r="Y397" s="17">
        <f t="shared" si="378"/>
        <v>1569.9358482369246</v>
      </c>
      <c r="Z397" s="17">
        <f t="shared" si="379"/>
        <v>698.5291699546392</v>
      </c>
      <c r="AA397" s="17"/>
      <c r="AB397" s="17">
        <f t="shared" si="380"/>
        <v>256.35992735378329</v>
      </c>
      <c r="AC397" s="17">
        <f t="shared" si="381"/>
        <v>333.92311974219473</v>
      </c>
      <c r="AD397" s="17"/>
      <c r="AE397" s="17">
        <f t="shared" si="382"/>
        <v>0</v>
      </c>
      <c r="AF397" s="17">
        <f t="shared" si="383"/>
        <v>415.57179046759978</v>
      </c>
      <c r="AG397" s="17"/>
      <c r="AH397" s="17">
        <f t="shared" si="384"/>
        <v>5891.5348849141792</v>
      </c>
      <c r="AI397" s="17"/>
      <c r="AJ397" s="17">
        <f t="shared" si="385"/>
        <v>184.02967360023311</v>
      </c>
      <c r="AK397" s="17"/>
      <c r="AL397" s="17">
        <f t="shared" si="386"/>
        <v>14403.905476278896</v>
      </c>
      <c r="AM397" s="17"/>
      <c r="AN397" s="17">
        <f t="shared" si="387"/>
        <v>659.08520262090974</v>
      </c>
      <c r="AO397" s="17">
        <f t="shared" si="362"/>
        <v>44857.23</v>
      </c>
      <c r="AP397" s="14" t="str">
        <f t="shared" si="363"/>
        <v>ok</v>
      </c>
    </row>
    <row r="398" spans="1:42" x14ac:dyDescent="0.25">
      <c r="A398" s="2">
        <v>928</v>
      </c>
      <c r="B398" s="2" t="s">
        <v>177</v>
      </c>
      <c r="C398" s="2" t="s">
        <v>513</v>
      </c>
      <c r="D398" s="2" t="s">
        <v>391</v>
      </c>
      <c r="F398" s="148">
        <v>0</v>
      </c>
      <c r="H398" s="17">
        <f t="shared" si="366"/>
        <v>0</v>
      </c>
      <c r="I398" s="17">
        <f t="shared" si="367"/>
        <v>0</v>
      </c>
      <c r="J398" s="17">
        <f t="shared" si="368"/>
        <v>0</v>
      </c>
      <c r="K398" s="17">
        <f t="shared" si="369"/>
        <v>0</v>
      </c>
      <c r="L398" s="17">
        <f t="shared" si="370"/>
        <v>0</v>
      </c>
      <c r="M398" s="17">
        <f t="shared" si="371"/>
        <v>0</v>
      </c>
      <c r="N398" s="17">
        <f t="shared" si="372"/>
        <v>0</v>
      </c>
      <c r="O398" s="17"/>
      <c r="P398" s="17">
        <f t="shared" si="373"/>
        <v>0</v>
      </c>
      <c r="Q398" s="17"/>
      <c r="R398" s="17">
        <f t="shared" si="374"/>
        <v>0</v>
      </c>
      <c r="S398" s="17"/>
      <c r="T398" s="17">
        <f t="shared" si="375"/>
        <v>0</v>
      </c>
      <c r="U398" s="17"/>
      <c r="V398" s="17">
        <f t="shared" si="376"/>
        <v>0</v>
      </c>
      <c r="W398" s="17">
        <f t="shared" si="377"/>
        <v>0</v>
      </c>
      <c r="X398" s="17"/>
      <c r="Y398" s="17">
        <f t="shared" si="378"/>
        <v>0</v>
      </c>
      <c r="Z398" s="17">
        <f t="shared" si="379"/>
        <v>0</v>
      </c>
      <c r="AA398" s="17"/>
      <c r="AB398" s="17">
        <f t="shared" si="380"/>
        <v>0</v>
      </c>
      <c r="AC398" s="17">
        <f t="shared" si="381"/>
        <v>0</v>
      </c>
      <c r="AD398" s="17"/>
      <c r="AE398" s="17">
        <f t="shared" si="382"/>
        <v>0</v>
      </c>
      <c r="AF398" s="17">
        <f t="shared" si="383"/>
        <v>0</v>
      </c>
      <c r="AG398" s="17"/>
      <c r="AH398" s="17">
        <f t="shared" si="384"/>
        <v>0</v>
      </c>
      <c r="AI398" s="17"/>
      <c r="AJ398" s="17">
        <f t="shared" si="385"/>
        <v>0</v>
      </c>
      <c r="AK398" s="17"/>
      <c r="AL398" s="17">
        <f t="shared" si="386"/>
        <v>0</v>
      </c>
      <c r="AM398" s="17"/>
      <c r="AN398" s="17">
        <f t="shared" si="387"/>
        <v>0</v>
      </c>
      <c r="AO398" s="17">
        <f t="shared" si="362"/>
        <v>0</v>
      </c>
      <c r="AP398" s="14" t="str">
        <f t="shared" si="363"/>
        <v>ok</v>
      </c>
    </row>
    <row r="399" spans="1:42" x14ac:dyDescent="0.25">
      <c r="A399" s="2">
        <v>929</v>
      </c>
      <c r="B399" s="2" t="s">
        <v>363</v>
      </c>
      <c r="C399" s="2" t="s">
        <v>514</v>
      </c>
      <c r="D399" s="2" t="s">
        <v>391</v>
      </c>
      <c r="F399" s="148">
        <v>0</v>
      </c>
      <c r="H399" s="17">
        <f t="shared" si="366"/>
        <v>0</v>
      </c>
      <c r="I399" s="17">
        <f t="shared" si="367"/>
        <v>0</v>
      </c>
      <c r="J399" s="17">
        <f t="shared" si="368"/>
        <v>0</v>
      </c>
      <c r="K399" s="17">
        <f t="shared" si="369"/>
        <v>0</v>
      </c>
      <c r="L399" s="17">
        <f t="shared" si="370"/>
        <v>0</v>
      </c>
      <c r="M399" s="17">
        <f t="shared" si="371"/>
        <v>0</v>
      </c>
      <c r="N399" s="17">
        <f t="shared" si="372"/>
        <v>0</v>
      </c>
      <c r="O399" s="17"/>
      <c r="P399" s="17">
        <f t="shared" si="373"/>
        <v>0</v>
      </c>
      <c r="Q399" s="17"/>
      <c r="R399" s="17">
        <f t="shared" si="374"/>
        <v>0</v>
      </c>
      <c r="S399" s="17"/>
      <c r="T399" s="17">
        <f t="shared" si="375"/>
        <v>0</v>
      </c>
      <c r="U399" s="17"/>
      <c r="V399" s="17">
        <f t="shared" si="376"/>
        <v>0</v>
      </c>
      <c r="W399" s="17">
        <f t="shared" si="377"/>
        <v>0</v>
      </c>
      <c r="X399" s="17"/>
      <c r="Y399" s="17">
        <f t="shared" si="378"/>
        <v>0</v>
      </c>
      <c r="Z399" s="17">
        <f t="shared" si="379"/>
        <v>0</v>
      </c>
      <c r="AA399" s="17"/>
      <c r="AB399" s="17">
        <f t="shared" si="380"/>
        <v>0</v>
      </c>
      <c r="AC399" s="17">
        <f t="shared" si="381"/>
        <v>0</v>
      </c>
      <c r="AD399" s="17"/>
      <c r="AE399" s="17">
        <f t="shared" si="382"/>
        <v>0</v>
      </c>
      <c r="AF399" s="17">
        <f t="shared" si="383"/>
        <v>0</v>
      </c>
      <c r="AG399" s="17"/>
      <c r="AH399" s="17">
        <f t="shared" si="384"/>
        <v>0</v>
      </c>
      <c r="AI399" s="17"/>
      <c r="AJ399" s="17">
        <f t="shared" si="385"/>
        <v>0</v>
      </c>
      <c r="AK399" s="17"/>
      <c r="AL399" s="17">
        <f t="shared" si="386"/>
        <v>0</v>
      </c>
      <c r="AM399" s="17"/>
      <c r="AN399" s="17">
        <f t="shared" si="387"/>
        <v>0</v>
      </c>
      <c r="AO399" s="17">
        <f t="shared" si="362"/>
        <v>0</v>
      </c>
      <c r="AP399" s="14" t="str">
        <f t="shared" si="363"/>
        <v>ok</v>
      </c>
    </row>
    <row r="400" spans="1:42" x14ac:dyDescent="0.25">
      <c r="A400" s="2">
        <v>930</v>
      </c>
      <c r="B400" s="2" t="s">
        <v>179</v>
      </c>
      <c r="C400" s="2" t="s">
        <v>515</v>
      </c>
      <c r="D400" s="2" t="s">
        <v>391</v>
      </c>
      <c r="F400" s="148">
        <f>7531.33+1039.06+56596.06</f>
        <v>65166.45</v>
      </c>
      <c r="H400" s="17">
        <f t="shared" si="366"/>
        <v>0</v>
      </c>
      <c r="I400" s="17">
        <f t="shared" si="367"/>
        <v>0</v>
      </c>
      <c r="J400" s="17">
        <f t="shared" si="368"/>
        <v>0</v>
      </c>
      <c r="K400" s="17">
        <f t="shared" si="369"/>
        <v>0</v>
      </c>
      <c r="L400" s="17">
        <f t="shared" si="370"/>
        <v>0</v>
      </c>
      <c r="M400" s="17">
        <f t="shared" si="371"/>
        <v>0</v>
      </c>
      <c r="N400" s="17">
        <f t="shared" si="372"/>
        <v>0</v>
      </c>
      <c r="O400" s="17"/>
      <c r="P400" s="17">
        <f t="shared" si="373"/>
        <v>0</v>
      </c>
      <c r="Q400" s="17"/>
      <c r="R400" s="17">
        <f t="shared" si="374"/>
        <v>0</v>
      </c>
      <c r="S400" s="17"/>
      <c r="T400" s="17">
        <f t="shared" si="375"/>
        <v>138.33237762069706</v>
      </c>
      <c r="U400" s="17"/>
      <c r="V400" s="17">
        <f t="shared" si="376"/>
        <v>23835.701372381845</v>
      </c>
      <c r="W400" s="17">
        <f t="shared" si="377"/>
        <v>10703.015616888493</v>
      </c>
      <c r="X400" s="17"/>
      <c r="Y400" s="17">
        <f t="shared" si="378"/>
        <v>2648.4112635979827</v>
      </c>
      <c r="Z400" s="17">
        <f t="shared" si="379"/>
        <v>1189.2239574320547</v>
      </c>
      <c r="AA400" s="17"/>
      <c r="AB400" s="17">
        <f t="shared" si="380"/>
        <v>419.86039047487873</v>
      </c>
      <c r="AC400" s="17">
        <f t="shared" si="381"/>
        <v>546.89160232935501</v>
      </c>
      <c r="AD400" s="17"/>
      <c r="AE400" s="17">
        <f t="shared" si="382"/>
        <v>0</v>
      </c>
      <c r="AF400" s="17">
        <f t="shared" si="383"/>
        <v>418.10942769695743</v>
      </c>
      <c r="AG400" s="17"/>
      <c r="AH400" s="17">
        <f t="shared" si="384"/>
        <v>6108.3752930329447</v>
      </c>
      <c r="AI400" s="17"/>
      <c r="AJ400" s="17">
        <f t="shared" si="385"/>
        <v>1763.7510853539479</v>
      </c>
      <c r="AK400" s="17"/>
      <c r="AL400" s="17">
        <f t="shared" si="386"/>
        <v>16695.667347415638</v>
      </c>
      <c r="AM400" s="17"/>
      <c r="AN400" s="17">
        <f t="shared" si="387"/>
        <v>699.11026577520158</v>
      </c>
      <c r="AO400" s="17">
        <f t="shared" si="362"/>
        <v>65166.450000000004</v>
      </c>
      <c r="AP400" s="14" t="str">
        <f t="shared" si="363"/>
        <v>ok</v>
      </c>
    </row>
    <row r="401" spans="1:42" x14ac:dyDescent="0.25">
      <c r="A401" s="2">
        <v>931</v>
      </c>
      <c r="B401" s="2" t="s">
        <v>181</v>
      </c>
      <c r="C401" s="2" t="s">
        <v>516</v>
      </c>
      <c r="D401" s="2" t="s">
        <v>89</v>
      </c>
      <c r="F401" s="148">
        <v>0</v>
      </c>
      <c r="H401" s="17">
        <f t="shared" si="366"/>
        <v>0</v>
      </c>
      <c r="I401" s="17">
        <f t="shared" si="367"/>
        <v>0</v>
      </c>
      <c r="J401" s="17">
        <f t="shared" si="368"/>
        <v>0</v>
      </c>
      <c r="K401" s="17">
        <f t="shared" si="369"/>
        <v>0</v>
      </c>
      <c r="L401" s="17">
        <f t="shared" si="370"/>
        <v>0</v>
      </c>
      <c r="M401" s="17">
        <f t="shared" si="371"/>
        <v>0</v>
      </c>
      <c r="N401" s="17">
        <f t="shared" si="372"/>
        <v>0</v>
      </c>
      <c r="O401" s="17"/>
      <c r="P401" s="17">
        <f t="shared" si="373"/>
        <v>0</v>
      </c>
      <c r="Q401" s="17"/>
      <c r="R401" s="17">
        <f t="shared" si="374"/>
        <v>0</v>
      </c>
      <c r="S401" s="17"/>
      <c r="T401" s="17">
        <f t="shared" si="375"/>
        <v>0</v>
      </c>
      <c r="U401" s="17"/>
      <c r="V401" s="17">
        <f t="shared" si="376"/>
        <v>0</v>
      </c>
      <c r="W401" s="17">
        <f t="shared" si="377"/>
        <v>0</v>
      </c>
      <c r="X401" s="17"/>
      <c r="Y401" s="17">
        <f t="shared" si="378"/>
        <v>0</v>
      </c>
      <c r="Z401" s="17">
        <f t="shared" si="379"/>
        <v>0</v>
      </c>
      <c r="AA401" s="17"/>
      <c r="AB401" s="17">
        <f t="shared" si="380"/>
        <v>0</v>
      </c>
      <c r="AC401" s="17">
        <f t="shared" si="381"/>
        <v>0</v>
      </c>
      <c r="AD401" s="17"/>
      <c r="AE401" s="17">
        <f t="shared" si="382"/>
        <v>0</v>
      </c>
      <c r="AF401" s="17">
        <f t="shared" si="383"/>
        <v>0</v>
      </c>
      <c r="AG401" s="17"/>
      <c r="AH401" s="17">
        <f t="shared" si="384"/>
        <v>0</v>
      </c>
      <c r="AI401" s="17"/>
      <c r="AJ401" s="17">
        <f t="shared" si="385"/>
        <v>0</v>
      </c>
      <c r="AK401" s="17"/>
      <c r="AL401" s="17">
        <f t="shared" si="386"/>
        <v>0</v>
      </c>
      <c r="AM401" s="17"/>
      <c r="AN401" s="17">
        <f t="shared" si="387"/>
        <v>0</v>
      </c>
      <c r="AO401" s="17">
        <f t="shared" si="362"/>
        <v>0</v>
      </c>
      <c r="AP401" s="14" t="str">
        <f t="shared" si="363"/>
        <v>ok</v>
      </c>
    </row>
    <row r="402" spans="1:42" x14ac:dyDescent="0.25">
      <c r="A402" s="2">
        <v>935</v>
      </c>
      <c r="B402" s="2" t="s">
        <v>183</v>
      </c>
      <c r="C402" s="9" t="s">
        <v>975</v>
      </c>
      <c r="D402" s="2" t="s">
        <v>72</v>
      </c>
      <c r="F402" s="148">
        <v>224316.64</v>
      </c>
      <c r="H402" s="17">
        <f t="shared" si="366"/>
        <v>0</v>
      </c>
      <c r="I402" s="17">
        <f t="shared" si="367"/>
        <v>0</v>
      </c>
      <c r="J402" s="17">
        <f t="shared" si="368"/>
        <v>0</v>
      </c>
      <c r="K402" s="17">
        <f t="shared" si="369"/>
        <v>0</v>
      </c>
      <c r="L402" s="17">
        <f t="shared" si="370"/>
        <v>0</v>
      </c>
      <c r="M402" s="17">
        <f t="shared" si="371"/>
        <v>0</v>
      </c>
      <c r="N402" s="17">
        <f t="shared" si="372"/>
        <v>0</v>
      </c>
      <c r="O402" s="17"/>
      <c r="P402" s="17">
        <f t="shared" si="373"/>
        <v>0</v>
      </c>
      <c r="Q402" s="17"/>
      <c r="R402" s="17">
        <f t="shared" si="374"/>
        <v>0</v>
      </c>
      <c r="S402" s="17"/>
      <c r="T402" s="17">
        <f t="shared" si="375"/>
        <v>825.9168105479398</v>
      </c>
      <c r="U402" s="17"/>
      <c r="V402" s="17">
        <f t="shared" si="376"/>
        <v>79991.372466598157</v>
      </c>
      <c r="W402" s="17">
        <f t="shared" si="377"/>
        <v>39383.830967415342</v>
      </c>
      <c r="X402" s="17"/>
      <c r="Y402" s="17">
        <f t="shared" si="378"/>
        <v>8887.9302740664607</v>
      </c>
      <c r="Z402" s="17">
        <f t="shared" si="379"/>
        <v>4375.9812186017034</v>
      </c>
      <c r="AA402" s="17"/>
      <c r="AB402" s="17">
        <f t="shared" si="380"/>
        <v>17401.679422263569</v>
      </c>
      <c r="AC402" s="17">
        <f t="shared" si="381"/>
        <v>22666.659104707578</v>
      </c>
      <c r="AD402" s="17"/>
      <c r="AE402" s="17">
        <f t="shared" si="382"/>
        <v>0</v>
      </c>
      <c r="AF402" s="17">
        <f t="shared" si="383"/>
        <v>28261.32472788875</v>
      </c>
      <c r="AG402" s="17"/>
      <c r="AH402" s="17">
        <f t="shared" si="384"/>
        <v>10820.977261174503</v>
      </c>
      <c r="AI402" s="17"/>
      <c r="AJ402" s="17">
        <f t="shared" si="385"/>
        <v>11700.967746736054</v>
      </c>
      <c r="AK402" s="17"/>
      <c r="AL402" s="17">
        <f t="shared" si="386"/>
        <v>0</v>
      </c>
      <c r="AM402" s="17"/>
      <c r="AN402" s="17">
        <f t="shared" si="387"/>
        <v>0</v>
      </c>
      <c r="AO402" s="17">
        <f t="shared" si="362"/>
        <v>224316.64</v>
      </c>
      <c r="AP402" s="14" t="str">
        <f t="shared" si="363"/>
        <v>ok</v>
      </c>
    </row>
    <row r="403" spans="1:42" x14ac:dyDescent="0.25">
      <c r="A403" s="2">
        <v>950</v>
      </c>
      <c r="B403" s="2" t="s">
        <v>592</v>
      </c>
      <c r="C403" s="2" t="s">
        <v>967</v>
      </c>
      <c r="D403" s="2" t="s">
        <v>72</v>
      </c>
      <c r="F403" s="148">
        <v>0</v>
      </c>
      <c r="H403" s="17">
        <f t="shared" si="366"/>
        <v>0</v>
      </c>
      <c r="I403" s="17">
        <f t="shared" si="367"/>
        <v>0</v>
      </c>
      <c r="J403" s="17">
        <f t="shared" si="368"/>
        <v>0</v>
      </c>
      <c r="K403" s="17">
        <f t="shared" si="369"/>
        <v>0</v>
      </c>
      <c r="L403" s="17">
        <f t="shared" si="370"/>
        <v>0</v>
      </c>
      <c r="M403" s="17">
        <f t="shared" si="371"/>
        <v>0</v>
      </c>
      <c r="N403" s="17">
        <f t="shared" si="372"/>
        <v>0</v>
      </c>
      <c r="O403" s="17"/>
      <c r="P403" s="17">
        <f t="shared" si="373"/>
        <v>0</v>
      </c>
      <c r="Q403" s="17"/>
      <c r="R403" s="17">
        <f t="shared" si="374"/>
        <v>0</v>
      </c>
      <c r="S403" s="17"/>
      <c r="T403" s="17">
        <f t="shared" si="375"/>
        <v>0</v>
      </c>
      <c r="U403" s="17"/>
      <c r="V403" s="17">
        <f t="shared" si="376"/>
        <v>0</v>
      </c>
      <c r="W403" s="17">
        <f t="shared" si="377"/>
        <v>0</v>
      </c>
      <c r="X403" s="17"/>
      <c r="Y403" s="17">
        <f t="shared" si="378"/>
        <v>0</v>
      </c>
      <c r="Z403" s="17">
        <f t="shared" si="379"/>
        <v>0</v>
      </c>
      <c r="AA403" s="17"/>
      <c r="AB403" s="17">
        <f t="shared" si="380"/>
        <v>0</v>
      </c>
      <c r="AC403" s="17">
        <f t="shared" si="381"/>
        <v>0</v>
      </c>
      <c r="AD403" s="17"/>
      <c r="AE403" s="17">
        <f t="shared" si="382"/>
        <v>0</v>
      </c>
      <c r="AF403" s="17">
        <f t="shared" si="383"/>
        <v>0</v>
      </c>
      <c r="AG403" s="17"/>
      <c r="AH403" s="17">
        <f t="shared" si="384"/>
        <v>0</v>
      </c>
      <c r="AI403" s="17"/>
      <c r="AJ403" s="17">
        <f t="shared" si="385"/>
        <v>0</v>
      </c>
      <c r="AK403" s="17"/>
      <c r="AL403" s="17">
        <f t="shared" si="386"/>
        <v>0</v>
      </c>
      <c r="AM403" s="17"/>
      <c r="AN403" s="17">
        <f t="shared" si="387"/>
        <v>0</v>
      </c>
      <c r="AO403" s="17">
        <f t="shared" si="362"/>
        <v>0</v>
      </c>
      <c r="AP403" s="14" t="str">
        <f t="shared" si="363"/>
        <v>ok</v>
      </c>
    </row>
    <row r="404" spans="1:42" x14ac:dyDescent="0.25">
      <c r="A404" s="2"/>
      <c r="B404" s="2"/>
      <c r="F404" s="66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4"/>
    </row>
    <row r="405" spans="1:42" x14ac:dyDescent="0.25">
      <c r="A405" s="9" t="s">
        <v>184</v>
      </c>
      <c r="B405" s="2"/>
      <c r="C405" s="2" t="s">
        <v>517</v>
      </c>
      <c r="F405" s="110">
        <f t="shared" ref="F405:P405" si="388">SUM(F391:F404)</f>
        <v>1321239.8199999998</v>
      </c>
      <c r="G405" s="13">
        <f t="shared" si="388"/>
        <v>0</v>
      </c>
      <c r="H405" s="13">
        <f t="shared" si="388"/>
        <v>0</v>
      </c>
      <c r="I405" s="13">
        <f t="shared" si="388"/>
        <v>0</v>
      </c>
      <c r="J405" s="13">
        <f t="shared" si="388"/>
        <v>0</v>
      </c>
      <c r="K405" s="13">
        <f t="shared" si="388"/>
        <v>0</v>
      </c>
      <c r="L405" s="13">
        <f t="shared" si="388"/>
        <v>0</v>
      </c>
      <c r="M405" s="13">
        <f t="shared" si="388"/>
        <v>0</v>
      </c>
      <c r="N405" s="13">
        <f t="shared" si="388"/>
        <v>0</v>
      </c>
      <c r="O405" s="13"/>
      <c r="P405" s="13">
        <f t="shared" si="388"/>
        <v>0</v>
      </c>
      <c r="Q405" s="13"/>
      <c r="R405" s="13">
        <f>SUM(R391:R404)</f>
        <v>0</v>
      </c>
      <c r="S405" s="13"/>
      <c r="T405" s="13">
        <f>SUM(T391:T404)</f>
        <v>2880.1182602594959</v>
      </c>
      <c r="U405" s="13"/>
      <c r="V405" s="13">
        <f>SUM(V391:V404)</f>
        <v>471890.70805452985</v>
      </c>
      <c r="W405" s="13">
        <f>SUM(W391:W404)</f>
        <v>215123.04167126189</v>
      </c>
      <c r="X405" s="13"/>
      <c r="Y405" s="13">
        <f>SUM(Y391:Y404)</f>
        <v>52432.300894947766</v>
      </c>
      <c r="Z405" s="13">
        <f>SUM(Z391:Z404)</f>
        <v>23902.560185695766</v>
      </c>
      <c r="AA405" s="13"/>
      <c r="AB405" s="13">
        <f>SUM(AB391:AB404)</f>
        <v>24335.468646749287</v>
      </c>
      <c r="AC405" s="13">
        <f>SUM(AC391:AC404)</f>
        <v>31698.306731443867</v>
      </c>
      <c r="AD405" s="13"/>
      <c r="AE405" s="13">
        <f>SUM(AE391:AE404)</f>
        <v>0</v>
      </c>
      <c r="AF405" s="13">
        <f>SUM(AF391:AF404)</f>
        <v>35821.885541750213</v>
      </c>
      <c r="AG405" s="13"/>
      <c r="AH405" s="13">
        <f>SUM(AH391:AH404)</f>
        <v>120541.69026890449</v>
      </c>
      <c r="AI405" s="13"/>
      <c r="AJ405" s="13">
        <f>SUM(AJ391:AJ404)</f>
        <v>37175.770367288445</v>
      </c>
      <c r="AK405" s="13"/>
      <c r="AL405" s="13">
        <f>SUM(AL391:AL404)</f>
        <v>292942.52477406419</v>
      </c>
      <c r="AM405" s="13"/>
      <c r="AN405" s="13">
        <f>SUM(AN391:AN404)</f>
        <v>12495.444603104666</v>
      </c>
      <c r="AO405" s="17">
        <f>SUM(H405:AN405)</f>
        <v>1321239.8199999998</v>
      </c>
      <c r="AP405" s="14" t="str">
        <f>IF(ABS(AO405-F405)&lt;1,"ok","err")</f>
        <v>ok</v>
      </c>
    </row>
    <row r="406" spans="1:42" x14ac:dyDescent="0.25">
      <c r="A406" s="2"/>
      <c r="B406" s="2"/>
      <c r="F406" s="66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4"/>
    </row>
    <row r="407" spans="1:42" x14ac:dyDescent="0.25">
      <c r="A407" s="9" t="s">
        <v>186</v>
      </c>
      <c r="B407" s="2"/>
      <c r="C407" s="2" t="s">
        <v>518</v>
      </c>
      <c r="F407" s="110">
        <f>F356+F365+F380+F405</f>
        <v>7219848.2199999988</v>
      </c>
      <c r="G407" s="13"/>
      <c r="H407" s="13">
        <f t="shared" ref="H407:P407" si="389">H356+H365+H380+H405</f>
        <v>0</v>
      </c>
      <c r="I407" s="13">
        <f t="shared" si="389"/>
        <v>0</v>
      </c>
      <c r="J407" s="13">
        <f t="shared" si="389"/>
        <v>0</v>
      </c>
      <c r="K407" s="13">
        <f t="shared" si="389"/>
        <v>0</v>
      </c>
      <c r="L407" s="13">
        <f t="shared" si="389"/>
        <v>0</v>
      </c>
      <c r="M407" s="13">
        <f t="shared" si="389"/>
        <v>0</v>
      </c>
      <c r="N407" s="13">
        <f t="shared" si="389"/>
        <v>0</v>
      </c>
      <c r="O407" s="13"/>
      <c r="P407" s="13">
        <f t="shared" si="389"/>
        <v>0</v>
      </c>
      <c r="Q407" s="13"/>
      <c r="R407" s="13">
        <f>R356+R365+R380+R405</f>
        <v>0</v>
      </c>
      <c r="S407" s="13"/>
      <c r="T407" s="13">
        <f>T356+T365+T380+T405</f>
        <v>6584.3657876767556</v>
      </c>
      <c r="U407" s="13"/>
      <c r="V407" s="13">
        <f>V356+V365+V380+V405</f>
        <v>2329872.8223501071</v>
      </c>
      <c r="W407" s="13">
        <f>W356+W365+W380+W405</f>
        <v>1041815.8683539426</v>
      </c>
      <c r="X407" s="13"/>
      <c r="Y407" s="13">
        <f>Y356+Y365+Y380+Y405</f>
        <v>258874.75803890085</v>
      </c>
      <c r="Z407" s="13">
        <f>Z356+Z365+Z380+Z405</f>
        <v>115757.31870599365</v>
      </c>
      <c r="AA407" s="13"/>
      <c r="AB407" s="13">
        <f>AB356+AB365+AB380+AB405</f>
        <v>58046.128464852532</v>
      </c>
      <c r="AC407" s="13">
        <f>AC356+AC365+AC380+AC405</f>
        <v>75608.323445929258</v>
      </c>
      <c r="AD407" s="13"/>
      <c r="AE407" s="13">
        <f>AE356+AE365+AE380+AE405</f>
        <v>0</v>
      </c>
      <c r="AF407" s="13">
        <f>AF356+AF365+AF380+AF405</f>
        <v>90468.488866458938</v>
      </c>
      <c r="AG407" s="13"/>
      <c r="AH407" s="13">
        <f>AH356+AH365+AH380+AH405</f>
        <v>895263.11557866633</v>
      </c>
      <c r="AI407" s="13"/>
      <c r="AJ407" s="13">
        <f>AJ356+AJ365+AJ380+AJ405</f>
        <v>61375.191030302929</v>
      </c>
      <c r="AK407" s="13"/>
      <c r="AL407" s="13">
        <f>AL356+AL365+AL380+AL405</f>
        <v>2187018.414774064</v>
      </c>
      <c r="AM407" s="13"/>
      <c r="AN407" s="13">
        <f>AN356+AN365+AN380+AN405</f>
        <v>99163.424603104664</v>
      </c>
      <c r="AO407" s="17">
        <f>SUM(H407:AN407)</f>
        <v>7219848.2199999988</v>
      </c>
      <c r="AP407" s="14" t="str">
        <f>IF(ABS(AO407-F407)&lt;1,"ok","err")</f>
        <v>ok</v>
      </c>
    </row>
    <row r="408" spans="1:42" x14ac:dyDescent="0.25">
      <c r="A408" s="2"/>
      <c r="B408" s="2"/>
      <c r="F408" s="66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4"/>
    </row>
    <row r="409" spans="1:42" x14ac:dyDescent="0.25">
      <c r="A409" s="2" t="s">
        <v>392</v>
      </c>
      <c r="B409" s="2"/>
      <c r="C409" s="2" t="s">
        <v>519</v>
      </c>
      <c r="F409" s="16">
        <f t="shared" ref="F409:P409" si="390">F407-F302</f>
        <v>7219848.2199999988</v>
      </c>
      <c r="G409" s="16">
        <f t="shared" si="390"/>
        <v>0</v>
      </c>
      <c r="H409" s="16">
        <f t="shared" si="390"/>
        <v>0</v>
      </c>
      <c r="I409" s="16">
        <f t="shared" si="390"/>
        <v>0</v>
      </c>
      <c r="J409" s="16">
        <f t="shared" si="390"/>
        <v>0</v>
      </c>
      <c r="K409" s="16">
        <f t="shared" si="390"/>
        <v>0</v>
      </c>
      <c r="L409" s="16">
        <f t="shared" si="390"/>
        <v>0</v>
      </c>
      <c r="M409" s="16">
        <f t="shared" si="390"/>
        <v>0</v>
      </c>
      <c r="N409" s="16">
        <f t="shared" si="390"/>
        <v>0</v>
      </c>
      <c r="O409" s="16"/>
      <c r="P409" s="16">
        <f t="shared" si="390"/>
        <v>0</v>
      </c>
      <c r="Q409" s="16"/>
      <c r="R409" s="16">
        <f>R407-R302</f>
        <v>0</v>
      </c>
      <c r="S409" s="16"/>
      <c r="T409" s="16">
        <f>T407-T302</f>
        <v>6584.3657876767556</v>
      </c>
      <c r="U409" s="16"/>
      <c r="V409" s="16">
        <f>V407-V302</f>
        <v>2329872.8223501071</v>
      </c>
      <c r="W409" s="16">
        <f>W407-W302</f>
        <v>1041815.8683539426</v>
      </c>
      <c r="X409" s="16"/>
      <c r="Y409" s="16">
        <f>Y407-Y302</f>
        <v>258874.75803890085</v>
      </c>
      <c r="Z409" s="16">
        <f>Z407-Z302</f>
        <v>115757.31870599365</v>
      </c>
      <c r="AA409" s="16"/>
      <c r="AB409" s="16">
        <f>AB407-AB302</f>
        <v>58046.128464852532</v>
      </c>
      <c r="AC409" s="16">
        <f>AC407-AC302</f>
        <v>75608.323445929258</v>
      </c>
      <c r="AD409" s="16"/>
      <c r="AE409" s="16">
        <f>AE407-AE302</f>
        <v>0</v>
      </c>
      <c r="AF409" s="16">
        <f>AF407-AF302</f>
        <v>90468.488866458938</v>
      </c>
      <c r="AG409" s="16"/>
      <c r="AH409" s="16">
        <f>AH407-AH302</f>
        <v>895263.11557866633</v>
      </c>
      <c r="AI409" s="16"/>
      <c r="AJ409" s="16">
        <f>AJ407-AJ302</f>
        <v>61375.191030302929</v>
      </c>
      <c r="AK409" s="16"/>
      <c r="AL409" s="16">
        <f>AL407-AL302</f>
        <v>2187018.414774064</v>
      </c>
      <c r="AM409" s="16"/>
      <c r="AN409" s="16">
        <f>AN407-AN302</f>
        <v>99163.424603104664</v>
      </c>
      <c r="AO409" s="17">
        <f>SUM(H409:AN409)</f>
        <v>7219848.2199999988</v>
      </c>
      <c r="AP409" s="14" t="str">
        <f>IF(ABS(AO409-F409)&lt;1,"ok","err")</f>
        <v>ok</v>
      </c>
    </row>
    <row r="410" spans="1:42" x14ac:dyDescent="0.25">
      <c r="A410" s="2"/>
      <c r="B410" s="2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7"/>
      <c r="AP410" s="14"/>
    </row>
    <row r="411" spans="1:42" x14ac:dyDescent="0.25">
      <c r="A411" s="2"/>
      <c r="B411" s="2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7"/>
      <c r="AP411" s="14"/>
    </row>
    <row r="412" spans="1:42" x14ac:dyDescent="0.25">
      <c r="A412" s="2"/>
      <c r="B412" s="2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7"/>
      <c r="AP412" s="14"/>
    </row>
    <row r="413" spans="1:42" x14ac:dyDescent="0.25">
      <c r="A413" s="2"/>
      <c r="B413" s="2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7"/>
      <c r="AP413" s="14"/>
    </row>
    <row r="414" spans="1:42" x14ac:dyDescent="0.25">
      <c r="A414" s="2"/>
      <c r="B414" s="2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7"/>
      <c r="AP414" s="14"/>
    </row>
    <row r="415" spans="1:42" x14ac:dyDescent="0.25">
      <c r="A415" s="2"/>
      <c r="B415" s="2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7"/>
      <c r="AP415" s="14"/>
    </row>
    <row r="416" spans="1:42" x14ac:dyDescent="0.25">
      <c r="A416" s="2"/>
      <c r="B416" s="2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7"/>
      <c r="AP416" s="14"/>
    </row>
    <row r="417" spans="1:42" x14ac:dyDescent="0.25">
      <c r="A417" s="2"/>
      <c r="B417" s="2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7"/>
      <c r="AP417" s="14"/>
    </row>
    <row r="418" spans="1:42" x14ac:dyDescent="0.25">
      <c r="A418" s="2"/>
      <c r="B418" s="2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7"/>
      <c r="AP418" s="14"/>
    </row>
    <row r="419" spans="1:42" x14ac:dyDescent="0.25">
      <c r="A419" s="6" t="s">
        <v>189</v>
      </c>
      <c r="B419" s="2"/>
      <c r="AP419" s="14"/>
    </row>
    <row r="420" spans="1:42" x14ac:dyDescent="0.25">
      <c r="A420" s="2"/>
      <c r="B420" s="2"/>
      <c r="AP420" s="14"/>
    </row>
    <row r="421" spans="1:42" x14ac:dyDescent="0.25">
      <c r="A421" s="8" t="s">
        <v>190</v>
      </c>
      <c r="B421" s="2"/>
      <c r="AP421" s="14"/>
    </row>
    <row r="422" spans="1:42" x14ac:dyDescent="0.25">
      <c r="A422" s="2" t="s">
        <v>788</v>
      </c>
      <c r="B422" s="2"/>
      <c r="C422" s="2" t="s">
        <v>394</v>
      </c>
      <c r="D422" s="2" t="s">
        <v>789</v>
      </c>
      <c r="F422" s="195">
        <v>0</v>
      </c>
      <c r="H422" s="17">
        <f t="shared" ref="H422:H438" si="391">IF(VLOOKUP($D422,$C$5:$AN$495,6,)=0,0,((VLOOKUP($D422,$C$5:$AN$495,6,)/VLOOKUP($D422,$C$5:$AN$495,4,))*$F422))</f>
        <v>0</v>
      </c>
      <c r="I422" s="17">
        <f t="shared" ref="I422:I438" si="392">IF(VLOOKUP($D422,$C$5:$AN$495,7,)=0,0,((VLOOKUP($D422,$C$5:$AN$495,7,)/VLOOKUP($D422,$C$5:$AN$495,4,))*$F422))</f>
        <v>0</v>
      </c>
      <c r="J422" s="17">
        <f t="shared" ref="J422:J438" si="393">IF(VLOOKUP($D422,$C$5:$AN$495,8,)=0,0,((VLOOKUP($D422,$C$5:$AN$495,8,)/VLOOKUP($D422,$C$5:$AN$495,4,))*$F422))</f>
        <v>0</v>
      </c>
      <c r="K422" s="17">
        <f t="shared" ref="K422:K438" si="394">IF(VLOOKUP($D422,$C$5:$AN$495,9,)=0,0,((VLOOKUP($D422,$C$5:$AN$495,9,)/VLOOKUP($D422,$C$5:$AN$495,4,))*$F422))</f>
        <v>0</v>
      </c>
      <c r="L422" s="17">
        <f t="shared" ref="L422:L438" si="395">IF(VLOOKUP($D422,$C$5:$AN$495,10,)=0,0,((VLOOKUP($D422,$C$5:$AN$495,10,)/VLOOKUP($D422,$C$5:$AN$495,4,))*$F422))</f>
        <v>0</v>
      </c>
      <c r="M422" s="17">
        <f t="shared" ref="M422:M438" si="396">IF(VLOOKUP($D422,$C$5:$AN$495,11,)=0,0,((VLOOKUP($D422,$C$5:$AN$495,11,)/VLOOKUP($D422,$C$5:$AN$495,4,))*$F422))</f>
        <v>0</v>
      </c>
      <c r="N422" s="17">
        <f t="shared" ref="N422:N438" si="397">IF(VLOOKUP($D422,$C$5:$AN$495,12,)=0,0,((VLOOKUP($D422,$C$5:$AN$495,12,)/VLOOKUP($D422,$C$5:$AN$495,4,))*$F422))</f>
        <v>0</v>
      </c>
      <c r="O422" s="17"/>
      <c r="P422" s="17">
        <f t="shared" ref="P422:P438" si="398">IF(VLOOKUP($D422,$C$5:$AN$495,14,)=0,0,((VLOOKUP($D422,$C$5:$AN$495,14,)/VLOOKUP($D422,$C$5:$AN$495,4,))*$F422))</f>
        <v>0</v>
      </c>
      <c r="Q422" s="17"/>
      <c r="R422" s="17">
        <f t="shared" ref="R422:R438" si="399">IF(VLOOKUP($D422,$C$5:$AN$495,16,)=0,0,((VLOOKUP($D422,$C$5:$AN$495,16,)/VLOOKUP($D422,$C$5:$AN$495,4,))*$F422))</f>
        <v>0</v>
      </c>
      <c r="S422" s="17"/>
      <c r="T422" s="17">
        <f t="shared" ref="T422:T438" si="400">IF(VLOOKUP($D422,$C$5:$AN$495,18,)=0,0,((VLOOKUP($D422,$C$5:$AN$495,18,)/VLOOKUP($D422,$C$5:$AN$495,4,))*$F422))</f>
        <v>0</v>
      </c>
      <c r="U422" s="17"/>
      <c r="V422" s="17">
        <f t="shared" ref="V422:V438" si="401">IF(VLOOKUP($D422,$C$5:$AN$495,20,)=0,0,((VLOOKUP($D422,$C$5:$AN$495,20,)/VLOOKUP($D422,$C$5:$AN$495,4,))*$F422))</f>
        <v>0</v>
      </c>
      <c r="W422" s="17">
        <f t="shared" ref="W422:W438" si="402">IF(VLOOKUP($D422,$C$5:$AN$495,21,)=0,0,((VLOOKUP($D422,$C$5:$AN$495,21,)/VLOOKUP($D422,$C$5:$AN$495,4,))*$F422))</f>
        <v>0</v>
      </c>
      <c r="X422" s="17"/>
      <c r="Y422" s="17">
        <f t="shared" ref="Y422:Y438" si="403">IF(VLOOKUP($D422,$C$5:$AN$495,23,)=0,0,((VLOOKUP($D422,$C$5:$AN$495,23,)/VLOOKUP($D422,$C$5:$AN$495,4,))*$F422))</f>
        <v>0</v>
      </c>
      <c r="Z422" s="17">
        <f t="shared" ref="Z422:Z438" si="404">IF(VLOOKUP($D422,$C$5:$AN$495,24,)=0,0,((VLOOKUP($D422,$C$5:$AN$495,24,)/VLOOKUP($D422,$C$5:$AN$495,4,))*$F422))</f>
        <v>0</v>
      </c>
      <c r="AA422" s="17"/>
      <c r="AB422" s="17">
        <f t="shared" ref="AB422:AB438" si="405">IF(VLOOKUP($D422,$C$5:$AN$495,26,)=0,0,((VLOOKUP($D422,$C$5:$AN$495,26,)/VLOOKUP($D422,$C$5:$AN$495,4,))*$F422))</f>
        <v>0</v>
      </c>
      <c r="AC422" s="17">
        <f t="shared" ref="AC422:AC438" si="406">IF(VLOOKUP($D422,$C$5:$AN$495,27,)=0,0,((VLOOKUP($D422,$C$5:$AN$495,27,)/VLOOKUP($D422,$C$5:$AN$495,4,))*$F422))</f>
        <v>0</v>
      </c>
      <c r="AD422" s="17"/>
      <c r="AE422" s="17">
        <f t="shared" ref="AE422:AE438" si="407">IF(VLOOKUP($D422,$C$5:$AN$495,29,)=0,0,((VLOOKUP($D422,$C$5:$AN$495,29,)/VLOOKUP($D422,$C$5:$AN$495,4,))*$F422))</f>
        <v>0</v>
      </c>
      <c r="AF422" s="17">
        <f t="shared" ref="AF422:AF438" si="408">IF(VLOOKUP($D422,$C$5:$AN$495,30,)=0,0,((VLOOKUP($D422,$C$5:$AN$495,30,)/VLOOKUP($D422,$C$5:$AN$495,4,))*$F422))</f>
        <v>0</v>
      </c>
      <c r="AG422" s="17"/>
      <c r="AH422" s="17">
        <f t="shared" ref="AH422:AH438" si="409">IF(VLOOKUP($D422,$C$5:$AN$495,32,)=0,0,((VLOOKUP($D422,$C$5:$AN$495,32,)/VLOOKUP($D422,$C$5:$AN$495,4,))*$F422))</f>
        <v>0</v>
      </c>
      <c r="AI422" s="17"/>
      <c r="AJ422" s="17">
        <f t="shared" ref="AJ422:AJ438" si="410">IF(VLOOKUP($D422,$C$5:$AN$495,34,)=0,0,((VLOOKUP($D422,$C$5:$AN$495,34,)/VLOOKUP($D422,$C$5:$AN$495,4,))*$F422))</f>
        <v>0</v>
      </c>
      <c r="AK422" s="17"/>
      <c r="AL422" s="17">
        <f t="shared" ref="AL422:AL438" si="411">IF(VLOOKUP($D422,$C$5:$AN$495,36,)=0,0,((VLOOKUP($D422,$C$5:$AN$495,36,)/VLOOKUP($D422,$C$5:$AN$495,4,))*$F422))</f>
        <v>0</v>
      </c>
      <c r="AM422" s="17"/>
      <c r="AN422" s="17">
        <f t="shared" ref="AN422:AN438" si="412">IF(VLOOKUP($D422,$C$5:$AN$495,38,)=0,0,((VLOOKUP($D422,$C$5:$AN$495,38,)/VLOOKUP($D422,$C$5:$AN$495,4,))*$F422))</f>
        <v>0</v>
      </c>
      <c r="AO422" s="17">
        <f t="shared" ref="AO422:AO438" si="413">SUM(H422:AN422)</f>
        <v>0</v>
      </c>
      <c r="AP422" s="14" t="str">
        <f t="shared" ref="AP422:AP438" si="414">IF(ABS(AO422-F422)&lt;1,"ok","err")</f>
        <v>ok</v>
      </c>
    </row>
    <row r="423" spans="1:42" x14ac:dyDescent="0.25">
      <c r="A423" s="178" t="s">
        <v>407</v>
      </c>
      <c r="B423" s="2"/>
      <c r="C423" s="2" t="s">
        <v>441</v>
      </c>
      <c r="D423" s="2" t="s">
        <v>404</v>
      </c>
      <c r="F423" s="148">
        <v>0</v>
      </c>
      <c r="H423" s="17">
        <f t="shared" si="391"/>
        <v>0</v>
      </c>
      <c r="I423" s="17">
        <f t="shared" si="392"/>
        <v>0</v>
      </c>
      <c r="J423" s="17">
        <f t="shared" si="393"/>
        <v>0</v>
      </c>
      <c r="K423" s="17">
        <f t="shared" si="394"/>
        <v>0</v>
      </c>
      <c r="L423" s="17">
        <f t="shared" si="395"/>
        <v>0</v>
      </c>
      <c r="M423" s="17">
        <f t="shared" si="396"/>
        <v>0</v>
      </c>
      <c r="N423" s="17">
        <f t="shared" si="397"/>
        <v>0</v>
      </c>
      <c r="O423" s="17"/>
      <c r="P423" s="17">
        <f t="shared" si="398"/>
        <v>0</v>
      </c>
      <c r="Q423" s="17"/>
      <c r="R423" s="17">
        <f t="shared" si="399"/>
        <v>0</v>
      </c>
      <c r="S423" s="17"/>
      <c r="T423" s="17">
        <f t="shared" si="400"/>
        <v>0</v>
      </c>
      <c r="U423" s="17"/>
      <c r="V423" s="17">
        <f t="shared" si="401"/>
        <v>0</v>
      </c>
      <c r="W423" s="17">
        <f t="shared" si="402"/>
        <v>0</v>
      </c>
      <c r="X423" s="17"/>
      <c r="Y423" s="17">
        <f t="shared" si="403"/>
        <v>0</v>
      </c>
      <c r="Z423" s="17">
        <f t="shared" si="404"/>
        <v>0</v>
      </c>
      <c r="AA423" s="17"/>
      <c r="AB423" s="17">
        <f t="shared" si="405"/>
        <v>0</v>
      </c>
      <c r="AC423" s="17">
        <f t="shared" si="406"/>
        <v>0</v>
      </c>
      <c r="AD423" s="17"/>
      <c r="AE423" s="17">
        <f t="shared" si="407"/>
        <v>0</v>
      </c>
      <c r="AF423" s="17">
        <f t="shared" si="408"/>
        <v>0</v>
      </c>
      <c r="AG423" s="17"/>
      <c r="AH423" s="17">
        <f t="shared" si="409"/>
        <v>0</v>
      </c>
      <c r="AI423" s="17"/>
      <c r="AJ423" s="17">
        <f t="shared" si="410"/>
        <v>0</v>
      </c>
      <c r="AK423" s="17"/>
      <c r="AL423" s="17">
        <f t="shared" si="411"/>
        <v>0</v>
      </c>
      <c r="AM423" s="17"/>
      <c r="AN423" s="17">
        <f t="shared" si="412"/>
        <v>0</v>
      </c>
      <c r="AO423" s="17">
        <f t="shared" si="413"/>
        <v>0</v>
      </c>
      <c r="AP423" s="14" t="str">
        <f t="shared" si="414"/>
        <v>ok</v>
      </c>
    </row>
    <row r="424" spans="1:42" x14ac:dyDescent="0.25">
      <c r="A424" s="178" t="s">
        <v>408</v>
      </c>
      <c r="B424" s="2"/>
      <c r="C424" s="2" t="s">
        <v>442</v>
      </c>
      <c r="D424" s="2" t="s">
        <v>25</v>
      </c>
      <c r="F424" s="148">
        <v>0</v>
      </c>
      <c r="H424" s="17">
        <f t="shared" si="391"/>
        <v>0</v>
      </c>
      <c r="I424" s="17">
        <f t="shared" si="392"/>
        <v>0</v>
      </c>
      <c r="J424" s="17">
        <f t="shared" si="393"/>
        <v>0</v>
      </c>
      <c r="K424" s="17">
        <f t="shared" si="394"/>
        <v>0</v>
      </c>
      <c r="L424" s="17">
        <f t="shared" si="395"/>
        <v>0</v>
      </c>
      <c r="M424" s="17">
        <f t="shared" si="396"/>
        <v>0</v>
      </c>
      <c r="N424" s="17">
        <f t="shared" si="397"/>
        <v>0</v>
      </c>
      <c r="O424" s="17"/>
      <c r="P424" s="17">
        <f t="shared" si="398"/>
        <v>0</v>
      </c>
      <c r="Q424" s="17"/>
      <c r="R424" s="17">
        <f t="shared" si="399"/>
        <v>0</v>
      </c>
      <c r="S424" s="17"/>
      <c r="T424" s="17">
        <f t="shared" si="400"/>
        <v>0</v>
      </c>
      <c r="U424" s="17"/>
      <c r="V424" s="17">
        <f t="shared" si="401"/>
        <v>0</v>
      </c>
      <c r="W424" s="17">
        <f t="shared" si="402"/>
        <v>0</v>
      </c>
      <c r="X424" s="17"/>
      <c r="Y424" s="17">
        <f t="shared" si="403"/>
        <v>0</v>
      </c>
      <c r="Z424" s="17">
        <f t="shared" si="404"/>
        <v>0</v>
      </c>
      <c r="AA424" s="17"/>
      <c r="AB424" s="17">
        <f t="shared" si="405"/>
        <v>0</v>
      </c>
      <c r="AC424" s="17">
        <f t="shared" si="406"/>
        <v>0</v>
      </c>
      <c r="AD424" s="17"/>
      <c r="AE424" s="17">
        <f t="shared" si="407"/>
        <v>0</v>
      </c>
      <c r="AF424" s="17">
        <f t="shared" si="408"/>
        <v>0</v>
      </c>
      <c r="AG424" s="17"/>
      <c r="AH424" s="17">
        <f t="shared" si="409"/>
        <v>0</v>
      </c>
      <c r="AI424" s="17"/>
      <c r="AJ424" s="17">
        <f t="shared" si="410"/>
        <v>0</v>
      </c>
      <c r="AK424" s="17"/>
      <c r="AL424" s="17">
        <f t="shared" si="411"/>
        <v>0</v>
      </c>
      <c r="AM424" s="17"/>
      <c r="AN424" s="17">
        <f t="shared" si="412"/>
        <v>0</v>
      </c>
      <c r="AO424" s="17">
        <f t="shared" si="413"/>
        <v>0</v>
      </c>
      <c r="AP424" s="14" t="str">
        <f t="shared" si="414"/>
        <v>ok</v>
      </c>
    </row>
    <row r="425" spans="1:42" x14ac:dyDescent="0.25">
      <c r="A425" s="178" t="s">
        <v>409</v>
      </c>
      <c r="B425" s="2"/>
      <c r="C425" s="2" t="s">
        <v>443</v>
      </c>
      <c r="D425" s="2" t="s">
        <v>28</v>
      </c>
      <c r="F425" s="148">
        <v>0</v>
      </c>
      <c r="H425" s="17">
        <f t="shared" si="391"/>
        <v>0</v>
      </c>
      <c r="I425" s="17">
        <f t="shared" si="392"/>
        <v>0</v>
      </c>
      <c r="J425" s="17">
        <f t="shared" si="393"/>
        <v>0</v>
      </c>
      <c r="K425" s="17">
        <f t="shared" si="394"/>
        <v>0</v>
      </c>
      <c r="L425" s="17">
        <f t="shared" si="395"/>
        <v>0</v>
      </c>
      <c r="M425" s="17">
        <f t="shared" si="396"/>
        <v>0</v>
      </c>
      <c r="N425" s="17">
        <f t="shared" si="397"/>
        <v>0</v>
      </c>
      <c r="O425" s="17"/>
      <c r="P425" s="17">
        <f t="shared" si="398"/>
        <v>0</v>
      </c>
      <c r="Q425" s="17"/>
      <c r="R425" s="17">
        <f t="shared" si="399"/>
        <v>0</v>
      </c>
      <c r="S425" s="17"/>
      <c r="T425" s="17">
        <f t="shared" si="400"/>
        <v>0</v>
      </c>
      <c r="U425" s="17"/>
      <c r="V425" s="17">
        <f t="shared" si="401"/>
        <v>0</v>
      </c>
      <c r="W425" s="17">
        <f t="shared" si="402"/>
        <v>0</v>
      </c>
      <c r="X425" s="17"/>
      <c r="Y425" s="17">
        <f t="shared" si="403"/>
        <v>0</v>
      </c>
      <c r="Z425" s="17">
        <f t="shared" si="404"/>
        <v>0</v>
      </c>
      <c r="AA425" s="17"/>
      <c r="AB425" s="17">
        <f t="shared" si="405"/>
        <v>0</v>
      </c>
      <c r="AC425" s="17">
        <f t="shared" si="406"/>
        <v>0</v>
      </c>
      <c r="AD425" s="17"/>
      <c r="AE425" s="17">
        <f t="shared" si="407"/>
        <v>0</v>
      </c>
      <c r="AF425" s="17">
        <f t="shared" si="408"/>
        <v>0</v>
      </c>
      <c r="AG425" s="17"/>
      <c r="AH425" s="17">
        <f t="shared" si="409"/>
        <v>0</v>
      </c>
      <c r="AI425" s="17"/>
      <c r="AJ425" s="17">
        <f t="shared" si="410"/>
        <v>0</v>
      </c>
      <c r="AK425" s="17"/>
      <c r="AL425" s="17">
        <f t="shared" si="411"/>
        <v>0</v>
      </c>
      <c r="AM425" s="17"/>
      <c r="AN425" s="17">
        <f t="shared" si="412"/>
        <v>0</v>
      </c>
      <c r="AO425" s="17">
        <f t="shared" si="413"/>
        <v>0</v>
      </c>
      <c r="AP425" s="14" t="str">
        <f t="shared" si="414"/>
        <v>ok</v>
      </c>
    </row>
    <row r="426" spans="1:42" x14ac:dyDescent="0.25">
      <c r="A426" s="178" t="s">
        <v>410</v>
      </c>
      <c r="B426" s="2"/>
      <c r="C426" s="2" t="s">
        <v>444</v>
      </c>
      <c r="D426" s="2" t="s">
        <v>31</v>
      </c>
      <c r="F426" s="148">
        <v>0</v>
      </c>
      <c r="H426" s="17">
        <f t="shared" si="391"/>
        <v>0</v>
      </c>
      <c r="I426" s="17">
        <f t="shared" si="392"/>
        <v>0</v>
      </c>
      <c r="J426" s="17">
        <f t="shared" si="393"/>
        <v>0</v>
      </c>
      <c r="K426" s="17">
        <f t="shared" si="394"/>
        <v>0</v>
      </c>
      <c r="L426" s="17">
        <f t="shared" si="395"/>
        <v>0</v>
      </c>
      <c r="M426" s="17">
        <f t="shared" si="396"/>
        <v>0</v>
      </c>
      <c r="N426" s="17">
        <f t="shared" si="397"/>
        <v>0</v>
      </c>
      <c r="O426" s="17"/>
      <c r="P426" s="17">
        <f t="shared" si="398"/>
        <v>0</v>
      </c>
      <c r="Q426" s="17"/>
      <c r="R426" s="17">
        <f t="shared" si="399"/>
        <v>0</v>
      </c>
      <c r="S426" s="17"/>
      <c r="T426" s="17">
        <f t="shared" si="400"/>
        <v>0</v>
      </c>
      <c r="U426" s="17"/>
      <c r="V426" s="17">
        <f t="shared" si="401"/>
        <v>0</v>
      </c>
      <c r="W426" s="17">
        <f t="shared" si="402"/>
        <v>0</v>
      </c>
      <c r="X426" s="17"/>
      <c r="Y426" s="17">
        <f t="shared" si="403"/>
        <v>0</v>
      </c>
      <c r="Z426" s="17">
        <f t="shared" si="404"/>
        <v>0</v>
      </c>
      <c r="AA426" s="17"/>
      <c r="AB426" s="17">
        <f t="shared" si="405"/>
        <v>0</v>
      </c>
      <c r="AC426" s="17">
        <f t="shared" si="406"/>
        <v>0</v>
      </c>
      <c r="AD426" s="17"/>
      <c r="AE426" s="17">
        <f t="shared" si="407"/>
        <v>0</v>
      </c>
      <c r="AF426" s="17">
        <f t="shared" si="408"/>
        <v>0</v>
      </c>
      <c r="AG426" s="17"/>
      <c r="AH426" s="17">
        <f t="shared" si="409"/>
        <v>0</v>
      </c>
      <c r="AI426" s="17"/>
      <c r="AJ426" s="17">
        <f t="shared" si="410"/>
        <v>0</v>
      </c>
      <c r="AK426" s="17"/>
      <c r="AL426" s="17">
        <f t="shared" si="411"/>
        <v>0</v>
      </c>
      <c r="AM426" s="17"/>
      <c r="AN426" s="17">
        <f t="shared" si="412"/>
        <v>0</v>
      </c>
      <c r="AO426" s="17">
        <f t="shared" si="413"/>
        <v>0</v>
      </c>
      <c r="AP426" s="14" t="str">
        <f t="shared" si="414"/>
        <v>ok</v>
      </c>
    </row>
    <row r="427" spans="1:42" x14ac:dyDescent="0.25">
      <c r="A427" s="178" t="s">
        <v>428</v>
      </c>
      <c r="B427" s="2"/>
      <c r="C427" s="2" t="s">
        <v>445</v>
      </c>
      <c r="D427" s="2" t="s">
        <v>34</v>
      </c>
      <c r="F427" s="148">
        <v>0</v>
      </c>
      <c r="H427" s="17">
        <f t="shared" si="391"/>
        <v>0</v>
      </c>
      <c r="I427" s="17">
        <f t="shared" si="392"/>
        <v>0</v>
      </c>
      <c r="J427" s="17">
        <f t="shared" si="393"/>
        <v>0</v>
      </c>
      <c r="K427" s="17">
        <f t="shared" si="394"/>
        <v>0</v>
      </c>
      <c r="L427" s="17">
        <f t="shared" si="395"/>
        <v>0</v>
      </c>
      <c r="M427" s="17">
        <f t="shared" si="396"/>
        <v>0</v>
      </c>
      <c r="N427" s="17">
        <f t="shared" si="397"/>
        <v>0</v>
      </c>
      <c r="O427" s="17"/>
      <c r="P427" s="17">
        <f t="shared" si="398"/>
        <v>0</v>
      </c>
      <c r="Q427" s="17"/>
      <c r="R427" s="17">
        <f t="shared" si="399"/>
        <v>0</v>
      </c>
      <c r="S427" s="17"/>
      <c r="T427" s="17">
        <f t="shared" si="400"/>
        <v>0</v>
      </c>
      <c r="U427" s="17"/>
      <c r="V427" s="17">
        <f t="shared" si="401"/>
        <v>0</v>
      </c>
      <c r="W427" s="17">
        <f t="shared" si="402"/>
        <v>0</v>
      </c>
      <c r="X427" s="17"/>
      <c r="Y427" s="17">
        <f t="shared" si="403"/>
        <v>0</v>
      </c>
      <c r="Z427" s="17">
        <f t="shared" si="404"/>
        <v>0</v>
      </c>
      <c r="AA427" s="17"/>
      <c r="AB427" s="17">
        <f t="shared" si="405"/>
        <v>0</v>
      </c>
      <c r="AC427" s="17">
        <f t="shared" si="406"/>
        <v>0</v>
      </c>
      <c r="AD427" s="17"/>
      <c r="AE427" s="17">
        <f t="shared" si="407"/>
        <v>0</v>
      </c>
      <c r="AF427" s="17">
        <f t="shared" si="408"/>
        <v>0</v>
      </c>
      <c r="AG427" s="17"/>
      <c r="AH427" s="17">
        <f t="shared" si="409"/>
        <v>0</v>
      </c>
      <c r="AI427" s="17"/>
      <c r="AJ427" s="17">
        <f t="shared" si="410"/>
        <v>0</v>
      </c>
      <c r="AK427" s="17"/>
      <c r="AL427" s="17">
        <f t="shared" si="411"/>
        <v>0</v>
      </c>
      <c r="AM427" s="17"/>
      <c r="AN427" s="17">
        <f t="shared" si="412"/>
        <v>0</v>
      </c>
      <c r="AO427" s="17">
        <f t="shared" si="413"/>
        <v>0</v>
      </c>
      <c r="AP427" s="14" t="str">
        <f t="shared" si="414"/>
        <v>ok</v>
      </c>
    </row>
    <row r="428" spans="1:42" x14ac:dyDescent="0.25">
      <c r="A428" s="178" t="s">
        <v>411</v>
      </c>
      <c r="B428" s="2"/>
      <c r="C428" s="2" t="s">
        <v>446</v>
      </c>
      <c r="D428" s="2" t="s">
        <v>37</v>
      </c>
      <c r="F428" s="148">
        <v>0</v>
      </c>
      <c r="H428" s="17">
        <f t="shared" si="391"/>
        <v>0</v>
      </c>
      <c r="I428" s="17">
        <f t="shared" si="392"/>
        <v>0</v>
      </c>
      <c r="J428" s="17">
        <f t="shared" si="393"/>
        <v>0</v>
      </c>
      <c r="K428" s="17">
        <f t="shared" si="394"/>
        <v>0</v>
      </c>
      <c r="L428" s="17">
        <f t="shared" si="395"/>
        <v>0</v>
      </c>
      <c r="M428" s="17">
        <f t="shared" si="396"/>
        <v>0</v>
      </c>
      <c r="N428" s="17">
        <f t="shared" si="397"/>
        <v>0</v>
      </c>
      <c r="O428" s="17"/>
      <c r="P428" s="17">
        <f t="shared" si="398"/>
        <v>0</v>
      </c>
      <c r="Q428" s="17"/>
      <c r="R428" s="17">
        <f t="shared" si="399"/>
        <v>0</v>
      </c>
      <c r="S428" s="17"/>
      <c r="T428" s="17">
        <f t="shared" si="400"/>
        <v>0</v>
      </c>
      <c r="U428" s="17"/>
      <c r="V428" s="17">
        <f t="shared" si="401"/>
        <v>0</v>
      </c>
      <c r="W428" s="17">
        <f t="shared" si="402"/>
        <v>0</v>
      </c>
      <c r="X428" s="17"/>
      <c r="Y428" s="17">
        <f t="shared" si="403"/>
        <v>0</v>
      </c>
      <c r="Z428" s="17">
        <f t="shared" si="404"/>
        <v>0</v>
      </c>
      <c r="AA428" s="17"/>
      <c r="AB428" s="17">
        <f t="shared" si="405"/>
        <v>0</v>
      </c>
      <c r="AC428" s="17">
        <f t="shared" si="406"/>
        <v>0</v>
      </c>
      <c r="AD428" s="17"/>
      <c r="AE428" s="17">
        <f t="shared" si="407"/>
        <v>0</v>
      </c>
      <c r="AF428" s="17">
        <f t="shared" si="408"/>
        <v>0</v>
      </c>
      <c r="AG428" s="17"/>
      <c r="AH428" s="17">
        <f t="shared" si="409"/>
        <v>0</v>
      </c>
      <c r="AI428" s="17"/>
      <c r="AJ428" s="17">
        <f t="shared" si="410"/>
        <v>0</v>
      </c>
      <c r="AK428" s="17"/>
      <c r="AL428" s="17">
        <f t="shared" si="411"/>
        <v>0</v>
      </c>
      <c r="AM428" s="17"/>
      <c r="AN428" s="17">
        <f t="shared" si="412"/>
        <v>0</v>
      </c>
      <c r="AO428" s="17">
        <f t="shared" si="413"/>
        <v>0</v>
      </c>
      <c r="AP428" s="14" t="str">
        <f t="shared" si="414"/>
        <v>ok</v>
      </c>
    </row>
    <row r="429" spans="1:42" x14ac:dyDescent="0.25">
      <c r="A429" s="178" t="s">
        <v>412</v>
      </c>
      <c r="B429" s="2"/>
      <c r="C429" s="2" t="s">
        <v>447</v>
      </c>
      <c r="D429" s="2" t="s">
        <v>39</v>
      </c>
      <c r="F429" s="148">
        <v>0</v>
      </c>
      <c r="H429" s="17">
        <f t="shared" si="391"/>
        <v>0</v>
      </c>
      <c r="I429" s="17">
        <f t="shared" si="392"/>
        <v>0</v>
      </c>
      <c r="J429" s="17">
        <f t="shared" si="393"/>
        <v>0</v>
      </c>
      <c r="K429" s="17">
        <f t="shared" si="394"/>
        <v>0</v>
      </c>
      <c r="L429" s="17">
        <f t="shared" si="395"/>
        <v>0</v>
      </c>
      <c r="M429" s="17">
        <f t="shared" si="396"/>
        <v>0</v>
      </c>
      <c r="N429" s="17">
        <f t="shared" si="397"/>
        <v>0</v>
      </c>
      <c r="O429" s="17"/>
      <c r="P429" s="17">
        <f t="shared" si="398"/>
        <v>0</v>
      </c>
      <c r="Q429" s="17"/>
      <c r="R429" s="17">
        <f t="shared" si="399"/>
        <v>0</v>
      </c>
      <c r="S429" s="17"/>
      <c r="T429" s="17">
        <f t="shared" si="400"/>
        <v>0</v>
      </c>
      <c r="U429" s="17"/>
      <c r="V429" s="17">
        <f t="shared" si="401"/>
        <v>0</v>
      </c>
      <c r="W429" s="17">
        <f t="shared" si="402"/>
        <v>0</v>
      </c>
      <c r="X429" s="17"/>
      <c r="Y429" s="17">
        <f t="shared" si="403"/>
        <v>0</v>
      </c>
      <c r="Z429" s="17">
        <f t="shared" si="404"/>
        <v>0</v>
      </c>
      <c r="AA429" s="17"/>
      <c r="AB429" s="17">
        <f t="shared" si="405"/>
        <v>0</v>
      </c>
      <c r="AC429" s="17">
        <f t="shared" si="406"/>
        <v>0</v>
      </c>
      <c r="AD429" s="17"/>
      <c r="AE429" s="17">
        <f t="shared" si="407"/>
        <v>0</v>
      </c>
      <c r="AF429" s="17">
        <f t="shared" si="408"/>
        <v>0</v>
      </c>
      <c r="AG429" s="17"/>
      <c r="AH429" s="17">
        <f t="shared" si="409"/>
        <v>0</v>
      </c>
      <c r="AI429" s="17"/>
      <c r="AJ429" s="17">
        <f t="shared" si="410"/>
        <v>0</v>
      </c>
      <c r="AK429" s="17"/>
      <c r="AL429" s="17">
        <f t="shared" si="411"/>
        <v>0</v>
      </c>
      <c r="AM429" s="17"/>
      <c r="AN429" s="17">
        <f t="shared" si="412"/>
        <v>0</v>
      </c>
      <c r="AO429" s="17">
        <f t="shared" si="413"/>
        <v>0</v>
      </c>
      <c r="AP429" s="14" t="str">
        <f t="shared" si="414"/>
        <v>ok</v>
      </c>
    </row>
    <row r="430" spans="1:42" x14ac:dyDescent="0.25">
      <c r="A430" s="178" t="s">
        <v>413</v>
      </c>
      <c r="B430" s="2"/>
      <c r="C430" s="2" t="s">
        <v>448</v>
      </c>
      <c r="D430" s="2" t="s">
        <v>42</v>
      </c>
      <c r="F430" s="148">
        <v>0</v>
      </c>
      <c r="H430" s="17">
        <f t="shared" si="391"/>
        <v>0</v>
      </c>
      <c r="I430" s="17">
        <f t="shared" si="392"/>
        <v>0</v>
      </c>
      <c r="J430" s="17">
        <f t="shared" si="393"/>
        <v>0</v>
      </c>
      <c r="K430" s="17">
        <f t="shared" si="394"/>
        <v>0</v>
      </c>
      <c r="L430" s="17">
        <f t="shared" si="395"/>
        <v>0</v>
      </c>
      <c r="M430" s="17">
        <f t="shared" si="396"/>
        <v>0</v>
      </c>
      <c r="N430" s="17">
        <f t="shared" si="397"/>
        <v>0</v>
      </c>
      <c r="O430" s="17"/>
      <c r="P430" s="17">
        <f t="shared" si="398"/>
        <v>0</v>
      </c>
      <c r="Q430" s="17"/>
      <c r="R430" s="17">
        <f t="shared" si="399"/>
        <v>0</v>
      </c>
      <c r="S430" s="17"/>
      <c r="T430" s="17">
        <f t="shared" si="400"/>
        <v>0</v>
      </c>
      <c r="U430" s="17"/>
      <c r="V430" s="17">
        <f t="shared" si="401"/>
        <v>0</v>
      </c>
      <c r="W430" s="17">
        <f t="shared" si="402"/>
        <v>0</v>
      </c>
      <c r="X430" s="17"/>
      <c r="Y430" s="17">
        <f t="shared" si="403"/>
        <v>0</v>
      </c>
      <c r="Z430" s="17">
        <f t="shared" si="404"/>
        <v>0</v>
      </c>
      <c r="AA430" s="17"/>
      <c r="AB430" s="17">
        <f t="shared" si="405"/>
        <v>0</v>
      </c>
      <c r="AC430" s="17">
        <f t="shared" si="406"/>
        <v>0</v>
      </c>
      <c r="AD430" s="17"/>
      <c r="AE430" s="17">
        <f t="shared" si="407"/>
        <v>0</v>
      </c>
      <c r="AF430" s="17">
        <f t="shared" si="408"/>
        <v>0</v>
      </c>
      <c r="AG430" s="17"/>
      <c r="AH430" s="17">
        <f t="shared" si="409"/>
        <v>0</v>
      </c>
      <c r="AI430" s="17"/>
      <c r="AJ430" s="17">
        <f t="shared" si="410"/>
        <v>0</v>
      </c>
      <c r="AK430" s="17"/>
      <c r="AL430" s="17">
        <f t="shared" si="411"/>
        <v>0</v>
      </c>
      <c r="AM430" s="17"/>
      <c r="AN430" s="17">
        <f t="shared" si="412"/>
        <v>0</v>
      </c>
      <c r="AO430" s="17">
        <f t="shared" si="413"/>
        <v>0</v>
      </c>
      <c r="AP430" s="14" t="str">
        <f t="shared" si="414"/>
        <v>ok</v>
      </c>
    </row>
    <row r="431" spans="1:42" x14ac:dyDescent="0.25">
      <c r="A431" s="178" t="s">
        <v>414</v>
      </c>
      <c r="B431" s="2"/>
      <c r="C431" s="2" t="s">
        <v>449</v>
      </c>
      <c r="D431" s="2" t="s">
        <v>45</v>
      </c>
      <c r="F431" s="148">
        <v>0</v>
      </c>
      <c r="H431" s="17">
        <f t="shared" si="391"/>
        <v>0</v>
      </c>
      <c r="I431" s="17">
        <f t="shared" si="392"/>
        <v>0</v>
      </c>
      <c r="J431" s="17">
        <f t="shared" si="393"/>
        <v>0</v>
      </c>
      <c r="K431" s="17">
        <f t="shared" si="394"/>
        <v>0</v>
      </c>
      <c r="L431" s="17">
        <f t="shared" si="395"/>
        <v>0</v>
      </c>
      <c r="M431" s="17">
        <f t="shared" si="396"/>
        <v>0</v>
      </c>
      <c r="N431" s="17">
        <f t="shared" si="397"/>
        <v>0</v>
      </c>
      <c r="O431" s="17"/>
      <c r="P431" s="17">
        <f t="shared" si="398"/>
        <v>0</v>
      </c>
      <c r="Q431" s="17"/>
      <c r="R431" s="17">
        <f t="shared" si="399"/>
        <v>0</v>
      </c>
      <c r="S431" s="17"/>
      <c r="T431" s="17">
        <f t="shared" si="400"/>
        <v>0</v>
      </c>
      <c r="U431" s="17"/>
      <c r="V431" s="17">
        <f t="shared" si="401"/>
        <v>0</v>
      </c>
      <c r="W431" s="17">
        <f t="shared" si="402"/>
        <v>0</v>
      </c>
      <c r="X431" s="17"/>
      <c r="Y431" s="17">
        <f t="shared" si="403"/>
        <v>0</v>
      </c>
      <c r="Z431" s="17">
        <f t="shared" si="404"/>
        <v>0</v>
      </c>
      <c r="AA431" s="17"/>
      <c r="AB431" s="17">
        <f t="shared" si="405"/>
        <v>0</v>
      </c>
      <c r="AC431" s="17">
        <f t="shared" si="406"/>
        <v>0</v>
      </c>
      <c r="AD431" s="17"/>
      <c r="AE431" s="17">
        <f t="shared" si="407"/>
        <v>0</v>
      </c>
      <c r="AF431" s="17">
        <f t="shared" si="408"/>
        <v>0</v>
      </c>
      <c r="AG431" s="17"/>
      <c r="AH431" s="17">
        <f t="shared" si="409"/>
        <v>0</v>
      </c>
      <c r="AI431" s="17"/>
      <c r="AJ431" s="17">
        <f t="shared" si="410"/>
        <v>0</v>
      </c>
      <c r="AK431" s="17"/>
      <c r="AL431" s="17">
        <f t="shared" si="411"/>
        <v>0</v>
      </c>
      <c r="AM431" s="17"/>
      <c r="AN431" s="17">
        <f t="shared" si="412"/>
        <v>0</v>
      </c>
      <c r="AO431" s="17">
        <f t="shared" si="413"/>
        <v>0</v>
      </c>
      <c r="AP431" s="14" t="str">
        <f t="shared" si="414"/>
        <v>ok</v>
      </c>
    </row>
    <row r="432" spans="1:42" x14ac:dyDescent="0.25">
      <c r="A432" s="178" t="s">
        <v>415</v>
      </c>
      <c r="B432" s="2"/>
      <c r="C432" s="2" t="s">
        <v>450</v>
      </c>
      <c r="D432" s="2" t="s">
        <v>48</v>
      </c>
      <c r="F432" s="148">
        <v>0</v>
      </c>
      <c r="H432" s="17">
        <f t="shared" si="391"/>
        <v>0</v>
      </c>
      <c r="I432" s="17">
        <f t="shared" si="392"/>
        <v>0</v>
      </c>
      <c r="J432" s="17">
        <f t="shared" si="393"/>
        <v>0</v>
      </c>
      <c r="K432" s="17">
        <f t="shared" si="394"/>
        <v>0</v>
      </c>
      <c r="L432" s="17">
        <f t="shared" si="395"/>
        <v>0</v>
      </c>
      <c r="M432" s="17">
        <f t="shared" si="396"/>
        <v>0</v>
      </c>
      <c r="N432" s="17">
        <f t="shared" si="397"/>
        <v>0</v>
      </c>
      <c r="O432" s="17"/>
      <c r="P432" s="17">
        <f t="shared" si="398"/>
        <v>0</v>
      </c>
      <c r="Q432" s="17"/>
      <c r="R432" s="17">
        <f t="shared" si="399"/>
        <v>0</v>
      </c>
      <c r="S432" s="17"/>
      <c r="T432" s="17">
        <f t="shared" si="400"/>
        <v>0</v>
      </c>
      <c r="U432" s="17"/>
      <c r="V432" s="17">
        <f t="shared" si="401"/>
        <v>0</v>
      </c>
      <c r="W432" s="17">
        <f t="shared" si="402"/>
        <v>0</v>
      </c>
      <c r="X432" s="17"/>
      <c r="Y432" s="17">
        <f t="shared" si="403"/>
        <v>0</v>
      </c>
      <c r="Z432" s="17">
        <f t="shared" si="404"/>
        <v>0</v>
      </c>
      <c r="AA432" s="17"/>
      <c r="AB432" s="17">
        <f t="shared" si="405"/>
        <v>0</v>
      </c>
      <c r="AC432" s="17">
        <f t="shared" si="406"/>
        <v>0</v>
      </c>
      <c r="AD432" s="17"/>
      <c r="AE432" s="17">
        <f t="shared" si="407"/>
        <v>0</v>
      </c>
      <c r="AF432" s="17">
        <f t="shared" si="408"/>
        <v>0</v>
      </c>
      <c r="AG432" s="17"/>
      <c r="AH432" s="17">
        <f t="shared" si="409"/>
        <v>0</v>
      </c>
      <c r="AI432" s="17"/>
      <c r="AJ432" s="17">
        <f t="shared" si="410"/>
        <v>0</v>
      </c>
      <c r="AK432" s="17"/>
      <c r="AL432" s="17">
        <f t="shared" si="411"/>
        <v>0</v>
      </c>
      <c r="AM432" s="17"/>
      <c r="AN432" s="17">
        <f t="shared" si="412"/>
        <v>0</v>
      </c>
      <c r="AO432" s="17">
        <f t="shared" si="413"/>
        <v>0</v>
      </c>
      <c r="AP432" s="14" t="str">
        <f t="shared" si="414"/>
        <v>ok</v>
      </c>
    </row>
    <row r="433" spans="1:42" x14ac:dyDescent="0.25">
      <c r="A433" s="178" t="s">
        <v>416</v>
      </c>
      <c r="B433" s="2"/>
      <c r="C433" s="2" t="s">
        <v>451</v>
      </c>
      <c r="D433" s="2" t="s">
        <v>50</v>
      </c>
      <c r="F433" s="148">
        <v>0</v>
      </c>
      <c r="H433" s="17">
        <f t="shared" si="391"/>
        <v>0</v>
      </c>
      <c r="I433" s="17">
        <f t="shared" si="392"/>
        <v>0</v>
      </c>
      <c r="J433" s="17">
        <f t="shared" si="393"/>
        <v>0</v>
      </c>
      <c r="K433" s="17">
        <f t="shared" si="394"/>
        <v>0</v>
      </c>
      <c r="L433" s="17">
        <f t="shared" si="395"/>
        <v>0</v>
      </c>
      <c r="M433" s="17">
        <f t="shared" si="396"/>
        <v>0</v>
      </c>
      <c r="N433" s="17">
        <f t="shared" si="397"/>
        <v>0</v>
      </c>
      <c r="O433" s="17"/>
      <c r="P433" s="17">
        <f t="shared" si="398"/>
        <v>0</v>
      </c>
      <c r="Q433" s="17"/>
      <c r="R433" s="17">
        <f t="shared" si="399"/>
        <v>0</v>
      </c>
      <c r="S433" s="17"/>
      <c r="T433" s="17">
        <f t="shared" si="400"/>
        <v>0</v>
      </c>
      <c r="U433" s="17"/>
      <c r="V433" s="17">
        <f t="shared" si="401"/>
        <v>0</v>
      </c>
      <c r="W433" s="17">
        <f t="shared" si="402"/>
        <v>0</v>
      </c>
      <c r="X433" s="17"/>
      <c r="Y433" s="17">
        <f t="shared" si="403"/>
        <v>0</v>
      </c>
      <c r="Z433" s="17">
        <f t="shared" si="404"/>
        <v>0</v>
      </c>
      <c r="AA433" s="17"/>
      <c r="AB433" s="17">
        <f t="shared" si="405"/>
        <v>0</v>
      </c>
      <c r="AC433" s="17">
        <f t="shared" si="406"/>
        <v>0</v>
      </c>
      <c r="AD433" s="17"/>
      <c r="AE433" s="17">
        <f t="shared" si="407"/>
        <v>0</v>
      </c>
      <c r="AF433" s="17">
        <f t="shared" si="408"/>
        <v>0</v>
      </c>
      <c r="AG433" s="17"/>
      <c r="AH433" s="17">
        <f t="shared" si="409"/>
        <v>0</v>
      </c>
      <c r="AI433" s="17"/>
      <c r="AJ433" s="17">
        <f t="shared" si="410"/>
        <v>0</v>
      </c>
      <c r="AK433" s="17"/>
      <c r="AL433" s="17">
        <f t="shared" si="411"/>
        <v>0</v>
      </c>
      <c r="AM433" s="17"/>
      <c r="AN433" s="17">
        <f t="shared" si="412"/>
        <v>0</v>
      </c>
      <c r="AO433" s="17">
        <f t="shared" si="413"/>
        <v>0</v>
      </c>
      <c r="AP433" s="14" t="str">
        <f t="shared" si="414"/>
        <v>ok</v>
      </c>
    </row>
    <row r="434" spans="1:42" x14ac:dyDescent="0.25">
      <c r="A434" s="178" t="s">
        <v>576</v>
      </c>
      <c r="B434" s="2"/>
      <c r="C434" s="2" t="s">
        <v>452</v>
      </c>
      <c r="D434" s="2" t="s">
        <v>18</v>
      </c>
      <c r="F434" s="195">
        <v>7942300.9100000001</v>
      </c>
      <c r="H434" s="17">
        <f t="shared" si="391"/>
        <v>0</v>
      </c>
      <c r="I434" s="17">
        <f t="shared" si="392"/>
        <v>0</v>
      </c>
      <c r="J434" s="17">
        <f t="shared" si="393"/>
        <v>0</v>
      </c>
      <c r="K434" s="17">
        <f t="shared" si="394"/>
        <v>0</v>
      </c>
      <c r="L434" s="17">
        <f t="shared" si="395"/>
        <v>0</v>
      </c>
      <c r="M434" s="17">
        <f t="shared" si="396"/>
        <v>0</v>
      </c>
      <c r="N434" s="17">
        <f t="shared" si="397"/>
        <v>0</v>
      </c>
      <c r="O434" s="17"/>
      <c r="P434" s="17">
        <f t="shared" si="398"/>
        <v>0</v>
      </c>
      <c r="Q434" s="17"/>
      <c r="R434" s="17">
        <f t="shared" si="399"/>
        <v>0</v>
      </c>
      <c r="S434" s="17"/>
      <c r="T434" s="17">
        <f t="shared" si="400"/>
        <v>29242.947986378545</v>
      </c>
      <c r="U434" s="17"/>
      <c r="V434" s="17">
        <f t="shared" si="401"/>
        <v>2832226.5808439865</v>
      </c>
      <c r="W434" s="17">
        <f t="shared" si="402"/>
        <v>1394449.5447675616</v>
      </c>
      <c r="X434" s="17"/>
      <c r="Y434" s="17">
        <f t="shared" si="403"/>
        <v>314691.84231599851</v>
      </c>
      <c r="Z434" s="17">
        <f t="shared" si="404"/>
        <v>154938.83830750681</v>
      </c>
      <c r="AA434" s="17"/>
      <c r="AB434" s="17">
        <f t="shared" si="405"/>
        <v>616135.18422428332</v>
      </c>
      <c r="AC434" s="17">
        <f t="shared" si="406"/>
        <v>802550.48057950044</v>
      </c>
      <c r="AD434" s="17"/>
      <c r="AE434" s="17">
        <f t="shared" si="407"/>
        <v>0</v>
      </c>
      <c r="AF434" s="17">
        <f t="shared" si="408"/>
        <v>1000638.8518663454</v>
      </c>
      <c r="AG434" s="17"/>
      <c r="AH434" s="17">
        <f t="shared" si="409"/>
        <v>383134.56170044077</v>
      </c>
      <c r="AI434" s="17"/>
      <c r="AJ434" s="17">
        <f t="shared" si="410"/>
        <v>414292.07740799978</v>
      </c>
      <c r="AK434" s="17"/>
      <c r="AL434" s="17">
        <f t="shared" si="411"/>
        <v>0</v>
      </c>
      <c r="AM434" s="17"/>
      <c r="AN434" s="17">
        <f t="shared" si="412"/>
        <v>0</v>
      </c>
      <c r="AO434" s="17">
        <f t="shared" si="413"/>
        <v>7942300.9100000011</v>
      </c>
      <c r="AP434" s="14" t="str">
        <f t="shared" si="414"/>
        <v>ok</v>
      </c>
    </row>
    <row r="435" spans="1:42" x14ac:dyDescent="0.25">
      <c r="A435" s="178" t="s">
        <v>84</v>
      </c>
      <c r="B435" s="2"/>
      <c r="C435" s="2" t="s">
        <v>395</v>
      </c>
      <c r="D435" s="2" t="s">
        <v>72</v>
      </c>
      <c r="F435" s="148">
        <v>948684.55999999994</v>
      </c>
      <c r="H435" s="17">
        <f t="shared" si="391"/>
        <v>0</v>
      </c>
      <c r="I435" s="17">
        <f t="shared" si="392"/>
        <v>0</v>
      </c>
      <c r="J435" s="17">
        <f t="shared" si="393"/>
        <v>0</v>
      </c>
      <c r="K435" s="17">
        <f t="shared" si="394"/>
        <v>0</v>
      </c>
      <c r="L435" s="17">
        <f t="shared" si="395"/>
        <v>0</v>
      </c>
      <c r="M435" s="17">
        <f t="shared" si="396"/>
        <v>0</v>
      </c>
      <c r="N435" s="17">
        <f t="shared" si="397"/>
        <v>0</v>
      </c>
      <c r="O435" s="17"/>
      <c r="P435" s="17">
        <f t="shared" si="398"/>
        <v>0</v>
      </c>
      <c r="Q435" s="17"/>
      <c r="R435" s="17">
        <f t="shared" si="399"/>
        <v>0</v>
      </c>
      <c r="S435" s="17"/>
      <c r="T435" s="17">
        <f t="shared" si="400"/>
        <v>3492.9844081619426</v>
      </c>
      <c r="U435" s="17"/>
      <c r="V435" s="17">
        <f t="shared" si="401"/>
        <v>338301.16210848547</v>
      </c>
      <c r="W435" s="17">
        <f t="shared" si="402"/>
        <v>166562.91014539445</v>
      </c>
      <c r="X435" s="17"/>
      <c r="Y435" s="17">
        <f t="shared" si="403"/>
        <v>37589.018012053937</v>
      </c>
      <c r="Z435" s="17">
        <f t="shared" si="404"/>
        <v>18506.990016154934</v>
      </c>
      <c r="AA435" s="17"/>
      <c r="AB435" s="17">
        <f t="shared" si="405"/>
        <v>73595.541489793919</v>
      </c>
      <c r="AC435" s="17">
        <f t="shared" si="406"/>
        <v>95862.302143164678</v>
      </c>
      <c r="AD435" s="17"/>
      <c r="AE435" s="17">
        <f t="shared" si="407"/>
        <v>0</v>
      </c>
      <c r="AF435" s="17">
        <f t="shared" si="408"/>
        <v>119523.3773762582</v>
      </c>
      <c r="AG435" s="17"/>
      <c r="AH435" s="17">
        <f t="shared" si="409"/>
        <v>45764.300195417236</v>
      </c>
      <c r="AI435" s="17"/>
      <c r="AJ435" s="17">
        <f t="shared" si="410"/>
        <v>49485.974105115361</v>
      </c>
      <c r="AK435" s="17"/>
      <c r="AL435" s="17">
        <f t="shared" si="411"/>
        <v>0</v>
      </c>
      <c r="AM435" s="17"/>
      <c r="AN435" s="17">
        <f t="shared" si="412"/>
        <v>0</v>
      </c>
      <c r="AO435" s="17">
        <f t="shared" si="413"/>
        <v>948684.56000000029</v>
      </c>
      <c r="AP435" s="14" t="str">
        <f t="shared" si="414"/>
        <v>ok</v>
      </c>
    </row>
    <row r="436" spans="1:42" x14ac:dyDescent="0.25">
      <c r="A436" s="2" t="s">
        <v>365</v>
      </c>
      <c r="B436" s="2"/>
      <c r="C436" s="2" t="s">
        <v>395</v>
      </c>
      <c r="D436" s="2" t="s">
        <v>72</v>
      </c>
      <c r="F436" s="148">
        <v>0</v>
      </c>
      <c r="H436" s="17">
        <f t="shared" si="391"/>
        <v>0</v>
      </c>
      <c r="I436" s="17">
        <f t="shared" si="392"/>
        <v>0</v>
      </c>
      <c r="J436" s="17">
        <f t="shared" si="393"/>
        <v>0</v>
      </c>
      <c r="K436" s="17">
        <f t="shared" si="394"/>
        <v>0</v>
      </c>
      <c r="L436" s="17">
        <f t="shared" si="395"/>
        <v>0</v>
      </c>
      <c r="M436" s="17">
        <f t="shared" si="396"/>
        <v>0</v>
      </c>
      <c r="N436" s="17">
        <f t="shared" si="397"/>
        <v>0</v>
      </c>
      <c r="O436" s="17"/>
      <c r="P436" s="17">
        <f t="shared" si="398"/>
        <v>0</v>
      </c>
      <c r="Q436" s="17"/>
      <c r="R436" s="17">
        <f t="shared" si="399"/>
        <v>0</v>
      </c>
      <c r="S436" s="17"/>
      <c r="T436" s="17">
        <f t="shared" si="400"/>
        <v>0</v>
      </c>
      <c r="U436" s="17"/>
      <c r="V436" s="17">
        <f t="shared" si="401"/>
        <v>0</v>
      </c>
      <c r="W436" s="17">
        <f t="shared" si="402"/>
        <v>0</v>
      </c>
      <c r="X436" s="17"/>
      <c r="Y436" s="17">
        <f t="shared" si="403"/>
        <v>0</v>
      </c>
      <c r="Z436" s="17">
        <f t="shared" si="404"/>
        <v>0</v>
      </c>
      <c r="AA436" s="17"/>
      <c r="AB436" s="17">
        <f t="shared" si="405"/>
        <v>0</v>
      </c>
      <c r="AC436" s="17">
        <f t="shared" si="406"/>
        <v>0</v>
      </c>
      <c r="AD436" s="17"/>
      <c r="AE436" s="17">
        <f t="shared" si="407"/>
        <v>0</v>
      </c>
      <c r="AF436" s="17">
        <f t="shared" si="408"/>
        <v>0</v>
      </c>
      <c r="AG436" s="17"/>
      <c r="AH436" s="17">
        <f t="shared" si="409"/>
        <v>0</v>
      </c>
      <c r="AI436" s="17"/>
      <c r="AJ436" s="17">
        <f t="shared" si="410"/>
        <v>0</v>
      </c>
      <c r="AK436" s="17"/>
      <c r="AL436" s="17">
        <f t="shared" si="411"/>
        <v>0</v>
      </c>
      <c r="AM436" s="17"/>
      <c r="AN436" s="17">
        <f t="shared" si="412"/>
        <v>0</v>
      </c>
      <c r="AO436" s="17">
        <f t="shared" si="413"/>
        <v>0</v>
      </c>
      <c r="AP436" s="14" t="str">
        <f t="shared" si="414"/>
        <v>ok</v>
      </c>
    </row>
    <row r="437" spans="1:42" x14ac:dyDescent="0.25">
      <c r="A437" s="2" t="s">
        <v>976</v>
      </c>
      <c r="B437" s="2"/>
      <c r="C437" s="2" t="s">
        <v>396</v>
      </c>
      <c r="D437" s="2" t="s">
        <v>45</v>
      </c>
      <c r="F437" s="148">
        <v>187228.92</v>
      </c>
      <c r="H437" s="17">
        <f t="shared" si="391"/>
        <v>0</v>
      </c>
      <c r="I437" s="17">
        <f t="shared" si="392"/>
        <v>0</v>
      </c>
      <c r="J437" s="17">
        <f t="shared" si="393"/>
        <v>0</v>
      </c>
      <c r="K437" s="17">
        <f t="shared" si="394"/>
        <v>0</v>
      </c>
      <c r="L437" s="17">
        <f t="shared" si="395"/>
        <v>0</v>
      </c>
      <c r="M437" s="17">
        <f t="shared" si="396"/>
        <v>0</v>
      </c>
      <c r="N437" s="17">
        <f t="shared" si="397"/>
        <v>0</v>
      </c>
      <c r="O437" s="17"/>
      <c r="P437" s="17">
        <f t="shared" si="398"/>
        <v>0</v>
      </c>
      <c r="Q437" s="17"/>
      <c r="R437" s="17">
        <f t="shared" si="399"/>
        <v>0</v>
      </c>
      <c r="S437" s="17"/>
      <c r="T437" s="17">
        <f t="shared" si="400"/>
        <v>0</v>
      </c>
      <c r="U437" s="17"/>
      <c r="V437" s="17">
        <f t="shared" si="401"/>
        <v>0</v>
      </c>
      <c r="W437" s="17">
        <f t="shared" si="402"/>
        <v>0</v>
      </c>
      <c r="X437" s="17"/>
      <c r="Y437" s="17">
        <f t="shared" si="403"/>
        <v>0</v>
      </c>
      <c r="Z437" s="17">
        <f t="shared" si="404"/>
        <v>0</v>
      </c>
      <c r="AA437" s="17"/>
      <c r="AB437" s="17">
        <f t="shared" si="405"/>
        <v>0</v>
      </c>
      <c r="AC437" s="17">
        <f t="shared" si="406"/>
        <v>0</v>
      </c>
      <c r="AD437" s="17"/>
      <c r="AE437" s="17">
        <f t="shared" si="407"/>
        <v>0</v>
      </c>
      <c r="AF437" s="17">
        <f t="shared" si="408"/>
        <v>0</v>
      </c>
      <c r="AG437" s="17"/>
      <c r="AH437" s="17">
        <f t="shared" si="409"/>
        <v>187228.92</v>
      </c>
      <c r="AI437" s="17"/>
      <c r="AJ437" s="17">
        <f t="shared" si="410"/>
        <v>0</v>
      </c>
      <c r="AK437" s="17"/>
      <c r="AL437" s="17">
        <f t="shared" si="411"/>
        <v>0</v>
      </c>
      <c r="AM437" s="17"/>
      <c r="AN437" s="17">
        <f t="shared" si="412"/>
        <v>0</v>
      </c>
      <c r="AO437" s="17">
        <f t="shared" si="413"/>
        <v>187228.92</v>
      </c>
      <c r="AP437" s="14" t="str">
        <f t="shared" si="414"/>
        <v>ok</v>
      </c>
    </row>
    <row r="438" spans="1:42" x14ac:dyDescent="0.25">
      <c r="A438" s="2" t="s">
        <v>366</v>
      </c>
      <c r="B438" s="2"/>
      <c r="C438" s="2" t="s">
        <v>397</v>
      </c>
      <c r="D438" s="2" t="s">
        <v>18</v>
      </c>
      <c r="F438" s="148">
        <v>0</v>
      </c>
      <c r="H438" s="17">
        <f t="shared" si="391"/>
        <v>0</v>
      </c>
      <c r="I438" s="17">
        <f t="shared" si="392"/>
        <v>0</v>
      </c>
      <c r="J438" s="17">
        <f t="shared" si="393"/>
        <v>0</v>
      </c>
      <c r="K438" s="17">
        <f t="shared" si="394"/>
        <v>0</v>
      </c>
      <c r="L438" s="17">
        <f t="shared" si="395"/>
        <v>0</v>
      </c>
      <c r="M438" s="17">
        <f t="shared" si="396"/>
        <v>0</v>
      </c>
      <c r="N438" s="17">
        <f t="shared" si="397"/>
        <v>0</v>
      </c>
      <c r="O438" s="17"/>
      <c r="P438" s="17">
        <f t="shared" si="398"/>
        <v>0</v>
      </c>
      <c r="Q438" s="17"/>
      <c r="R438" s="17">
        <f t="shared" si="399"/>
        <v>0</v>
      </c>
      <c r="S438" s="17"/>
      <c r="T438" s="17">
        <f t="shared" si="400"/>
        <v>0</v>
      </c>
      <c r="U438" s="17"/>
      <c r="V438" s="17">
        <f t="shared" si="401"/>
        <v>0</v>
      </c>
      <c r="W438" s="17">
        <f t="shared" si="402"/>
        <v>0</v>
      </c>
      <c r="X438" s="17"/>
      <c r="Y438" s="17">
        <f t="shared" si="403"/>
        <v>0</v>
      </c>
      <c r="Z438" s="17">
        <f t="shared" si="404"/>
        <v>0</v>
      </c>
      <c r="AA438" s="17"/>
      <c r="AB438" s="17">
        <f t="shared" si="405"/>
        <v>0</v>
      </c>
      <c r="AC438" s="17">
        <f t="shared" si="406"/>
        <v>0</v>
      </c>
      <c r="AD438" s="17"/>
      <c r="AE438" s="17">
        <f t="shared" si="407"/>
        <v>0</v>
      </c>
      <c r="AF438" s="17">
        <f t="shared" si="408"/>
        <v>0</v>
      </c>
      <c r="AG438" s="17"/>
      <c r="AH438" s="17">
        <f t="shared" si="409"/>
        <v>0</v>
      </c>
      <c r="AI438" s="17"/>
      <c r="AJ438" s="17">
        <f t="shared" si="410"/>
        <v>0</v>
      </c>
      <c r="AK438" s="17"/>
      <c r="AL438" s="17">
        <f t="shared" si="411"/>
        <v>0</v>
      </c>
      <c r="AM438" s="17"/>
      <c r="AN438" s="17">
        <f t="shared" si="412"/>
        <v>0</v>
      </c>
      <c r="AO438" s="17">
        <f t="shared" si="413"/>
        <v>0</v>
      </c>
      <c r="AP438" s="14" t="str">
        <f t="shared" si="414"/>
        <v>ok</v>
      </c>
    </row>
    <row r="439" spans="1:42" x14ac:dyDescent="0.25">
      <c r="A439" s="2"/>
      <c r="B439" s="2"/>
      <c r="F439" s="66"/>
      <c r="AP439" s="14"/>
    </row>
    <row r="440" spans="1:42" x14ac:dyDescent="0.25">
      <c r="A440" s="2" t="s">
        <v>191</v>
      </c>
      <c r="B440" s="2"/>
      <c r="C440" s="2" t="s">
        <v>192</v>
      </c>
      <c r="F440" s="110">
        <f>SUM(F422:F439)</f>
        <v>9078214.3900000006</v>
      </c>
      <c r="H440" s="17">
        <f t="shared" ref="H440:P440" si="415">SUM(H422:H439)</f>
        <v>0</v>
      </c>
      <c r="I440" s="17">
        <f t="shared" si="415"/>
        <v>0</v>
      </c>
      <c r="J440" s="17">
        <f t="shared" si="415"/>
        <v>0</v>
      </c>
      <c r="K440" s="17">
        <f t="shared" si="415"/>
        <v>0</v>
      </c>
      <c r="L440" s="17">
        <f t="shared" si="415"/>
        <v>0</v>
      </c>
      <c r="M440" s="17">
        <f t="shared" si="415"/>
        <v>0</v>
      </c>
      <c r="N440" s="17">
        <f t="shared" si="415"/>
        <v>0</v>
      </c>
      <c r="O440" s="17"/>
      <c r="P440" s="17">
        <f t="shared" si="415"/>
        <v>0</v>
      </c>
      <c r="Q440" s="17"/>
      <c r="R440" s="17">
        <f>SUM(R422:R439)</f>
        <v>0</v>
      </c>
      <c r="T440" s="17">
        <f>SUM(T422:T439)</f>
        <v>32735.932394540487</v>
      </c>
      <c r="V440" s="17">
        <f>SUM(V422:V439)</f>
        <v>3170527.7429524721</v>
      </c>
      <c r="W440" s="17">
        <f>SUM(W422:W439)</f>
        <v>1561012.4549129561</v>
      </c>
      <c r="X440" s="17"/>
      <c r="Y440" s="17">
        <f>SUM(Y422:Y439)</f>
        <v>352280.86032805243</v>
      </c>
      <c r="Z440" s="17">
        <f>SUM(Z422:Z439)</f>
        <v>173445.82832366176</v>
      </c>
      <c r="AA440" s="17"/>
      <c r="AB440" s="17">
        <f>SUM(AB422:AB439)</f>
        <v>689730.72571407724</v>
      </c>
      <c r="AC440" s="17">
        <f>SUM(AC422:AC439)</f>
        <v>898412.78272266511</v>
      </c>
      <c r="AE440" s="17">
        <f>SUM(AE422:AE439)</f>
        <v>0</v>
      </c>
      <c r="AF440" s="17">
        <f>SUM(AF422:AF439)</f>
        <v>1120162.2292426035</v>
      </c>
      <c r="AH440" s="17">
        <f>SUM(AH422:AH439)</f>
        <v>616127.781895858</v>
      </c>
      <c r="AJ440" s="17">
        <f>SUM(AJ422:AJ439)</f>
        <v>463778.05151311512</v>
      </c>
      <c r="AL440" s="17">
        <f>SUM(AL422:AL439)</f>
        <v>0</v>
      </c>
      <c r="AN440" s="17">
        <f>SUM(AN422:AN439)</f>
        <v>0</v>
      </c>
      <c r="AO440" s="17">
        <f>SUM(H440:AN440)</f>
        <v>9078214.3900000006</v>
      </c>
      <c r="AP440" s="14" t="str">
        <f>IF(ABS(AO440-F440)&lt;1,"ok","err")</f>
        <v>ok</v>
      </c>
    </row>
    <row r="441" spans="1:42" x14ac:dyDescent="0.25">
      <c r="A441" s="2"/>
      <c r="B441" s="2"/>
      <c r="F441" s="66"/>
      <c r="AP441" s="14"/>
    </row>
    <row r="442" spans="1:42" x14ac:dyDescent="0.25">
      <c r="A442" s="9" t="s">
        <v>193</v>
      </c>
      <c r="B442" s="2"/>
      <c r="C442" s="2" t="s">
        <v>194</v>
      </c>
      <c r="D442" s="2" t="s">
        <v>89</v>
      </c>
      <c r="F442" s="195">
        <v>167723.58000000002</v>
      </c>
      <c r="H442" s="17">
        <f>IF(VLOOKUP($D442,$C$5:$AN$495,6,)=0,0,((VLOOKUP($D442,$C$5:$AN$495,6,)/VLOOKUP($D442,$C$5:$AN$495,4,))*$F442))</f>
        <v>0</v>
      </c>
      <c r="I442" s="17">
        <f>IF(VLOOKUP($D442,$C$5:$AN$495,7,)=0,0,((VLOOKUP($D442,$C$5:$AN$495,7,)/VLOOKUP($D442,$C$5:$AN$495,4,))*$F442))</f>
        <v>0</v>
      </c>
      <c r="J442" s="17">
        <f>IF(VLOOKUP($D442,$C$5:$AN$495,8,)=0,0,((VLOOKUP($D442,$C$5:$AN$495,8,)/VLOOKUP($D442,$C$5:$AN$495,4,))*$F442))</f>
        <v>0</v>
      </c>
      <c r="K442" s="17">
        <f>IF(VLOOKUP($D442,$C$5:$AN$495,9,)=0,0,((VLOOKUP($D442,$C$5:$AN$495,9,)/VLOOKUP($D442,$C$5:$AN$495,4,))*$F442))</f>
        <v>0</v>
      </c>
      <c r="L442" s="17">
        <f>IF(VLOOKUP($D442,$C$5:$AN$495,10,)=0,0,((VLOOKUP($D442,$C$5:$AN$495,10,)/VLOOKUP($D442,$C$5:$AN$495,4,))*$F442))</f>
        <v>0</v>
      </c>
      <c r="M442" s="17">
        <f>IF(VLOOKUP($D442,$C$5:$AN$495,11,)=0,0,((VLOOKUP($D442,$C$5:$AN$495,11,)/VLOOKUP($D442,$C$5:$AN$495,4,))*$F442))</f>
        <v>0</v>
      </c>
      <c r="N442" s="17">
        <f>IF(VLOOKUP($D442,$C$5:$AN$495,12,)=0,0,((VLOOKUP($D442,$C$5:$AN$495,12,)/VLOOKUP($D442,$C$5:$AN$495,4,))*$F442))</f>
        <v>0</v>
      </c>
      <c r="O442" s="17"/>
      <c r="P442" s="17">
        <f>IF(VLOOKUP($D442,$C$5:$AN$495,14,)=0,0,((VLOOKUP($D442,$C$5:$AN$495,14,)/VLOOKUP($D442,$C$5:$AN$495,4,))*$F442))</f>
        <v>0</v>
      </c>
      <c r="Q442" s="17"/>
      <c r="R442" s="17">
        <f>IF(VLOOKUP($D442,$C$5:$AN$495,16,)=0,0,((VLOOKUP($D442,$C$5:$AN$495,16,)/VLOOKUP($D442,$C$5:$AN$495,4,))*$F442))</f>
        <v>0</v>
      </c>
      <c r="S442" s="17"/>
      <c r="T442" s="17">
        <f>IF(VLOOKUP($D442,$C$5:$AN$495,18,)=0,0,((VLOOKUP($D442,$C$5:$AN$495,18,)/VLOOKUP($D442,$C$5:$AN$495,4,))*$F442))</f>
        <v>617.54546718996096</v>
      </c>
      <c r="U442" s="17"/>
      <c r="V442" s="17">
        <f>IF(VLOOKUP($D442,$C$5:$AN$495,20,)=0,0,((VLOOKUP($D442,$C$5:$AN$495,20,)/VLOOKUP($D442,$C$5:$AN$495,4,))*$F442))</f>
        <v>59810.272475600897</v>
      </c>
      <c r="W442" s="17">
        <f>IF(VLOOKUP($D442,$C$5:$AN$495,21,)=0,0,((VLOOKUP($D442,$C$5:$AN$495,21,)/VLOOKUP($D442,$C$5:$AN$495,4,))*$F442))</f>
        <v>29447.646523101288</v>
      </c>
      <c r="X442" s="17"/>
      <c r="Y442" s="17">
        <f>IF(VLOOKUP($D442,$C$5:$AN$495,23,)=0,0,((VLOOKUP($D442,$C$5:$AN$495,23,)/VLOOKUP($D442,$C$5:$AN$495,4,))*$F442))</f>
        <v>6645.5858306223199</v>
      </c>
      <c r="Z442" s="17">
        <f>IF(VLOOKUP($D442,$C$5:$AN$495,24,)=0,0,((VLOOKUP($D442,$C$5:$AN$495,24,)/VLOOKUP($D442,$C$5:$AN$495,4,))*$F442))</f>
        <v>3271.9607247890317</v>
      </c>
      <c r="AA442" s="17"/>
      <c r="AB442" s="17">
        <f>IF(VLOOKUP($D442,$C$5:$AN$495,26,)=0,0,((VLOOKUP($D442,$C$5:$AN$495,26,)/VLOOKUP($D442,$C$5:$AN$495,4,))*$F442))</f>
        <v>13011.39305008482</v>
      </c>
      <c r="AC442" s="17">
        <f>IF(VLOOKUP($D442,$C$5:$AN$495,27,)=0,0,((VLOOKUP($D442,$C$5:$AN$495,27,)/VLOOKUP($D442,$C$5:$AN$495,4,))*$F442))</f>
        <v>16948.06596461658</v>
      </c>
      <c r="AD442" s="17"/>
      <c r="AE442" s="17">
        <f>IF(VLOOKUP($D442,$C$5:$AN$495,29,)=0,0,((VLOOKUP($D442,$C$5:$AN$495,29,)/VLOOKUP($D442,$C$5:$AN$495,4,))*$F442))</f>
        <v>0</v>
      </c>
      <c r="AF442" s="17">
        <f>IF(VLOOKUP($D442,$C$5:$AN$495,30,)=0,0,((VLOOKUP($D442,$C$5:$AN$495,30,)/VLOOKUP($D442,$C$5:$AN$495,4,))*$F442))</f>
        <v>21131.248038059181</v>
      </c>
      <c r="AG442" s="17"/>
      <c r="AH442" s="17">
        <f>IF(VLOOKUP($D442,$C$5:$AN$495,32,)=0,0,((VLOOKUP($D442,$C$5:$AN$495,32,)/VLOOKUP($D442,$C$5:$AN$495,4,))*$F442))</f>
        <v>8090.9425415019723</v>
      </c>
      <c r="AI442" s="17"/>
      <c r="AJ442" s="17">
        <f>IF(VLOOKUP($D442,$C$5:$AN$495,34,)=0,0,((VLOOKUP($D442,$C$5:$AN$495,34,)/VLOOKUP($D442,$C$5:$AN$495,4,))*$F442))</f>
        <v>8748.9193844340061</v>
      </c>
      <c r="AK442" s="17"/>
      <c r="AL442" s="17">
        <f>IF(VLOOKUP($D442,$C$5:$AN$495,36,)=0,0,((VLOOKUP($D442,$C$5:$AN$495,36,)/VLOOKUP($D442,$C$5:$AN$495,4,))*$F442))</f>
        <v>0</v>
      </c>
      <c r="AM442" s="17"/>
      <c r="AN442" s="17">
        <f>IF(VLOOKUP($D442,$C$5:$AN$495,38,)=0,0,((VLOOKUP($D442,$C$5:$AN$495,38,)/VLOOKUP($D442,$C$5:$AN$495,4,))*$F442))</f>
        <v>0</v>
      </c>
      <c r="AO442" s="17">
        <f>SUM(H442:AN442)</f>
        <v>167723.58000000007</v>
      </c>
      <c r="AP442" s="14" t="str">
        <f>IF(ABS(AO442-F442)&lt;1,"ok","err")</f>
        <v>ok</v>
      </c>
    </row>
    <row r="443" spans="1:42" x14ac:dyDescent="0.25">
      <c r="A443" s="2"/>
      <c r="B443" s="2"/>
      <c r="F443"/>
      <c r="AP443" s="14"/>
    </row>
    <row r="444" spans="1:42" x14ac:dyDescent="0.25">
      <c r="A444" s="9" t="s">
        <v>291</v>
      </c>
      <c r="B444" s="2"/>
      <c r="C444" s="2" t="s">
        <v>195</v>
      </c>
      <c r="D444" s="2" t="s">
        <v>89</v>
      </c>
      <c r="F444" s="195">
        <v>181483.87</v>
      </c>
      <c r="H444" s="17">
        <f>IF(VLOOKUP($D444,$C$5:$AN$495,6,)=0,0,((VLOOKUP($D444,$C$5:$AN$495,6,)/VLOOKUP($D444,$C$5:$AN$495,4,))*$F444))</f>
        <v>0</v>
      </c>
      <c r="I444" s="17">
        <f>IF(VLOOKUP($D444,$C$5:$AN$495,7,)=0,0,((VLOOKUP($D444,$C$5:$AN$495,7,)/VLOOKUP($D444,$C$5:$AN$495,4,))*$F444))</f>
        <v>0</v>
      </c>
      <c r="J444" s="17">
        <f>IF(VLOOKUP($D444,$C$5:$AN$495,8,)=0,0,((VLOOKUP($D444,$C$5:$AN$495,8,)/VLOOKUP($D444,$C$5:$AN$495,4,))*$F444))</f>
        <v>0</v>
      </c>
      <c r="K444" s="17">
        <f>IF(VLOOKUP($D444,$C$5:$AN$495,9,)=0,0,((VLOOKUP($D444,$C$5:$AN$495,9,)/VLOOKUP($D444,$C$5:$AN$495,4,))*$F444))</f>
        <v>0</v>
      </c>
      <c r="L444" s="17">
        <f>IF(VLOOKUP($D444,$C$5:$AN$495,10,)=0,0,((VLOOKUP($D444,$C$5:$AN$495,10,)/VLOOKUP($D444,$C$5:$AN$495,4,))*$F444))</f>
        <v>0</v>
      </c>
      <c r="M444" s="17">
        <f>IF(VLOOKUP($D444,$C$5:$AN$495,11,)=0,0,((VLOOKUP($D444,$C$5:$AN$495,11,)/VLOOKUP($D444,$C$5:$AN$495,4,))*$F444))</f>
        <v>0</v>
      </c>
      <c r="N444" s="17">
        <f>IF(VLOOKUP($D444,$C$5:$AN$495,12,)=0,0,((VLOOKUP($D444,$C$5:$AN$495,12,)/VLOOKUP($D444,$C$5:$AN$495,4,))*$F444))</f>
        <v>0</v>
      </c>
      <c r="O444" s="17"/>
      <c r="P444" s="17">
        <f>IF(VLOOKUP($D444,$C$5:$AN$495,14,)=0,0,((VLOOKUP($D444,$C$5:$AN$495,14,)/VLOOKUP($D444,$C$5:$AN$495,4,))*$F444))</f>
        <v>0</v>
      </c>
      <c r="Q444" s="17"/>
      <c r="R444" s="17">
        <f>IF(VLOOKUP($D444,$C$5:$AN$495,16,)=0,0,((VLOOKUP($D444,$C$5:$AN$495,16,)/VLOOKUP($D444,$C$5:$AN$495,4,))*$F444))</f>
        <v>0</v>
      </c>
      <c r="S444" s="17"/>
      <c r="T444" s="17">
        <f>IF(VLOOKUP($D444,$C$5:$AN$495,18,)=0,0,((VLOOKUP($D444,$C$5:$AN$495,18,)/VLOOKUP($D444,$C$5:$AN$495,4,))*$F444))</f>
        <v>668.20980858262226</v>
      </c>
      <c r="U444" s="17"/>
      <c r="V444" s="17">
        <f>IF(VLOOKUP($D444,$C$5:$AN$495,20,)=0,0,((VLOOKUP($D444,$C$5:$AN$495,20,)/VLOOKUP($D444,$C$5:$AN$495,4,))*$F444))</f>
        <v>64717.19548692277</v>
      </c>
      <c r="W444" s="17">
        <f>IF(VLOOKUP($D444,$C$5:$AN$495,21,)=0,0,((VLOOKUP($D444,$C$5:$AN$495,21,)/VLOOKUP($D444,$C$5:$AN$495,4,))*$F444))</f>
        <v>31863.574897485883</v>
      </c>
      <c r="X444" s="17"/>
      <c r="Y444" s="17">
        <f>IF(VLOOKUP($D444,$C$5:$AN$495,23,)=0,0,((VLOOKUP($D444,$C$5:$AN$495,23,)/VLOOKUP($D444,$C$5:$AN$495,4,))*$F444))</f>
        <v>7190.7994985469722</v>
      </c>
      <c r="Z444" s="17">
        <f>IF(VLOOKUP($D444,$C$5:$AN$495,24,)=0,0,((VLOOKUP($D444,$C$5:$AN$495,24,)/VLOOKUP($D444,$C$5:$AN$495,4,))*$F444))</f>
        <v>3540.3972108317648</v>
      </c>
      <c r="AA444" s="17"/>
      <c r="AB444" s="17">
        <f>IF(VLOOKUP($D444,$C$5:$AN$495,26,)=0,0,((VLOOKUP($D444,$C$5:$AN$495,26,)/VLOOKUP($D444,$C$5:$AN$495,4,))*$F444))</f>
        <v>14078.866935826774</v>
      </c>
      <c r="AC444" s="17">
        <f>IF(VLOOKUP($D444,$C$5:$AN$495,27,)=0,0,((VLOOKUP($D444,$C$5:$AN$495,27,)/VLOOKUP($D444,$C$5:$AN$495,4,))*$F444))</f>
        <v>18338.510305312466</v>
      </c>
      <c r="AD444" s="17"/>
      <c r="AE444" s="17">
        <f>IF(VLOOKUP($D444,$C$5:$AN$495,29,)=0,0,((VLOOKUP($D444,$C$5:$AN$495,29,)/VLOOKUP($D444,$C$5:$AN$495,4,))*$F444))</f>
        <v>0</v>
      </c>
      <c r="AF444" s="17">
        <f>IF(VLOOKUP($D444,$C$5:$AN$495,30,)=0,0,((VLOOKUP($D444,$C$5:$AN$495,30,)/VLOOKUP($D444,$C$5:$AN$495,4,))*$F444))</f>
        <v>22864.886808860665</v>
      </c>
      <c r="AG444" s="17"/>
      <c r="AH444" s="17">
        <f>IF(VLOOKUP($D444,$C$5:$AN$495,32,)=0,0,((VLOOKUP($D444,$C$5:$AN$495,32,)/VLOOKUP($D444,$C$5:$AN$495,4,))*$F444))</f>
        <v>8754.7354067890356</v>
      </c>
      <c r="AI444" s="17"/>
      <c r="AJ444" s="17">
        <f>IF(VLOOKUP($D444,$C$5:$AN$495,34,)=0,0,((VLOOKUP($D444,$C$5:$AN$495,34,)/VLOOKUP($D444,$C$5:$AN$495,4,))*$F444))</f>
        <v>9466.6936408410857</v>
      </c>
      <c r="AK444" s="17"/>
      <c r="AL444" s="17">
        <f>IF(VLOOKUP($D444,$C$5:$AN$495,36,)=0,0,((VLOOKUP($D444,$C$5:$AN$495,36,)/VLOOKUP($D444,$C$5:$AN$495,4,))*$F444))</f>
        <v>0</v>
      </c>
      <c r="AM444" s="17"/>
      <c r="AN444" s="17">
        <f>IF(VLOOKUP($D444,$C$5:$AN$495,38,)=0,0,((VLOOKUP($D444,$C$5:$AN$495,38,)/VLOOKUP($D444,$C$5:$AN$495,4,))*$F444))</f>
        <v>0</v>
      </c>
      <c r="AO444" s="17">
        <f>SUM(H444:AN444)</f>
        <v>181483.87000000005</v>
      </c>
      <c r="AP444" s="14" t="str">
        <f>IF(ABS(AO444-F444)&lt;1,"ok","err")</f>
        <v>ok</v>
      </c>
    </row>
    <row r="445" spans="1:42" x14ac:dyDescent="0.25">
      <c r="A445" s="2"/>
      <c r="B445" s="2"/>
      <c r="F445"/>
      <c r="AD445" s="2"/>
    </row>
    <row r="446" spans="1:42" x14ac:dyDescent="0.25">
      <c r="A446" s="2" t="s">
        <v>196</v>
      </c>
      <c r="B446" s="2"/>
      <c r="C446" s="2" t="s">
        <v>197</v>
      </c>
      <c r="D446" s="2" t="s">
        <v>89</v>
      </c>
      <c r="F446" s="195">
        <v>5529181.1900000004</v>
      </c>
      <c r="H446" s="17">
        <f>IF(VLOOKUP($D446,$C$5:$AN$495,6,)=0,0,((VLOOKUP($D446,$C$5:$AN$495,6,)/VLOOKUP($D446,$C$5:$AN$495,4,))*$F446))</f>
        <v>0</v>
      </c>
      <c r="I446" s="17">
        <f>IF(VLOOKUP($D446,$C$5:$AN$495,7,)=0,0,((VLOOKUP($D446,$C$5:$AN$495,7,)/VLOOKUP($D446,$C$5:$AN$495,4,))*$F446))</f>
        <v>0</v>
      </c>
      <c r="J446" s="17">
        <f>IF(VLOOKUP($D446,$C$5:$AN$495,8,)=0,0,((VLOOKUP($D446,$C$5:$AN$495,8,)/VLOOKUP($D446,$C$5:$AN$495,4,))*$F446))</f>
        <v>0</v>
      </c>
      <c r="K446" s="17">
        <f>IF(VLOOKUP($D446,$C$5:$AN$495,9,)=0,0,((VLOOKUP($D446,$C$5:$AN$495,9,)/VLOOKUP($D446,$C$5:$AN$495,4,))*$F446))</f>
        <v>0</v>
      </c>
      <c r="L446" s="17">
        <f>IF(VLOOKUP($D446,$C$5:$AN$495,10,)=0,0,((VLOOKUP($D446,$C$5:$AN$495,10,)/VLOOKUP($D446,$C$5:$AN$495,4,))*$F446))</f>
        <v>0</v>
      </c>
      <c r="M446" s="17">
        <f>IF(VLOOKUP($D446,$C$5:$AN$495,11,)=0,0,((VLOOKUP($D446,$C$5:$AN$495,11,)/VLOOKUP($D446,$C$5:$AN$495,4,))*$F446))</f>
        <v>0</v>
      </c>
      <c r="N446" s="17">
        <f>IF(VLOOKUP($D446,$C$5:$AN$495,12,)=0,0,((VLOOKUP($D446,$C$5:$AN$495,12,)/VLOOKUP($D446,$C$5:$AN$495,4,))*$F446))</f>
        <v>0</v>
      </c>
      <c r="O446" s="17"/>
      <c r="P446" s="17">
        <f>IF(VLOOKUP($D446,$C$5:$AN$495,14,)=0,0,((VLOOKUP($D446,$C$5:$AN$495,14,)/VLOOKUP($D446,$C$5:$AN$495,4,))*$F446))</f>
        <v>0</v>
      </c>
      <c r="Q446" s="17"/>
      <c r="R446" s="17">
        <f>IF(VLOOKUP($D446,$C$5:$AN$495,16,)=0,0,((VLOOKUP($D446,$C$5:$AN$495,16,)/VLOOKUP($D446,$C$5:$AN$495,4,))*$F446))</f>
        <v>0</v>
      </c>
      <c r="S446" s="17"/>
      <c r="T446" s="17">
        <f>IF(VLOOKUP($D446,$C$5:$AN$495,18,)=0,0,((VLOOKUP($D446,$C$5:$AN$495,18,)/VLOOKUP($D446,$C$5:$AN$495,4,))*$F446))</f>
        <v>20358.024680587514</v>
      </c>
      <c r="U446" s="17"/>
      <c r="V446" s="17">
        <f>IF(VLOOKUP($D446,$C$5:$AN$495,20,)=0,0,((VLOOKUP($D446,$C$5:$AN$495,20,)/VLOOKUP($D446,$C$5:$AN$495,4,))*$F446))</f>
        <v>1971707.4578354887</v>
      </c>
      <c r="W446" s="17">
        <f>IF(VLOOKUP($D446,$C$5:$AN$495,21,)=0,0,((VLOOKUP($D446,$C$5:$AN$495,21,)/VLOOKUP($D446,$C$5:$AN$495,4,))*$F446))</f>
        <v>970772.10756710859</v>
      </c>
      <c r="X446" s="17"/>
      <c r="Y446" s="17">
        <f>IF(VLOOKUP($D446,$C$5:$AN$495,23,)=0,0,((VLOOKUP($D446,$C$5:$AN$495,23,)/VLOOKUP($D446,$C$5:$AN$495,4,))*$F446))</f>
        <v>219078.60642616532</v>
      </c>
      <c r="Z446" s="17">
        <f>IF(VLOOKUP($D446,$C$5:$AN$495,24,)=0,0,((VLOOKUP($D446,$C$5:$AN$495,24,)/VLOOKUP($D446,$C$5:$AN$495,4,))*$F446))</f>
        <v>107863.56750745651</v>
      </c>
      <c r="AA446" s="17"/>
      <c r="AB446" s="17">
        <f>IF(VLOOKUP($D446,$C$5:$AN$495,26,)=0,0,((VLOOKUP($D446,$C$5:$AN$495,26,)/VLOOKUP($D446,$C$5:$AN$495,4,))*$F446))</f>
        <v>428934.02172923874</v>
      </c>
      <c r="AC446" s="17">
        <f>IF(VLOOKUP($D446,$C$5:$AN$495,27,)=0,0,((VLOOKUP($D446,$C$5:$AN$495,27,)/VLOOKUP($D446,$C$5:$AN$495,4,))*$F446))</f>
        <v>558710.51368231711</v>
      </c>
      <c r="AD446" s="17"/>
      <c r="AE446" s="17">
        <f>IF(VLOOKUP($D446,$C$5:$AN$495,29,)=0,0,((VLOOKUP($D446,$C$5:$AN$495,29,)/VLOOKUP($D446,$C$5:$AN$495,4,))*$F446))</f>
        <v>0</v>
      </c>
      <c r="AF446" s="17">
        <f>IF(VLOOKUP($D446,$C$5:$AN$495,30,)=0,0,((VLOOKUP($D446,$C$5:$AN$495,30,)/VLOOKUP($D446,$C$5:$AN$495,4,))*$F446))</f>
        <v>696613.43487457884</v>
      </c>
      <c r="AG446" s="17"/>
      <c r="AH446" s="17">
        <f>IF(VLOOKUP($D446,$C$5:$AN$495,32,)=0,0,((VLOOKUP($D446,$C$5:$AN$495,32,)/VLOOKUP($D446,$C$5:$AN$495,4,))*$F446))</f>
        <v>266726.28446067928</v>
      </c>
      <c r="AI446" s="17"/>
      <c r="AJ446" s="17">
        <f>IF(VLOOKUP($D446,$C$5:$AN$495,34,)=0,0,((VLOOKUP($D446,$C$5:$AN$495,34,)/VLOOKUP($D446,$C$5:$AN$495,4,))*$F446))</f>
        <v>288417.17123638123</v>
      </c>
      <c r="AK446" s="17"/>
      <c r="AL446" s="17">
        <f>IF(VLOOKUP($D446,$C$5:$AN$495,36,)=0,0,((VLOOKUP($D446,$C$5:$AN$495,36,)/VLOOKUP($D446,$C$5:$AN$495,4,))*$F446))</f>
        <v>0</v>
      </c>
      <c r="AM446" s="17"/>
      <c r="AN446" s="17">
        <f>IF(VLOOKUP($D446,$C$5:$AN$495,38,)=0,0,((VLOOKUP($D446,$C$5:$AN$495,38,)/VLOOKUP($D446,$C$5:$AN$495,4,))*$F446))</f>
        <v>0</v>
      </c>
      <c r="AO446" s="17">
        <f>SUM(H446:AN446)</f>
        <v>5529181.1900000023</v>
      </c>
      <c r="AP446" s="14" t="str">
        <f>IF(ABS(AO446-F446)&lt;1,"ok","err")</f>
        <v>ok</v>
      </c>
    </row>
    <row r="447" spans="1:42" x14ac:dyDescent="0.25">
      <c r="A447" s="2"/>
      <c r="B447" s="2"/>
      <c r="F447"/>
      <c r="AP447" s="14"/>
    </row>
    <row r="448" spans="1:42" x14ac:dyDescent="0.25">
      <c r="A448" s="2" t="s">
        <v>198</v>
      </c>
      <c r="B448" s="2"/>
      <c r="C448" s="2" t="s">
        <v>199</v>
      </c>
      <c r="D448" s="2" t="s">
        <v>89</v>
      </c>
      <c r="F448" s="195">
        <v>45452.92</v>
      </c>
      <c r="H448" s="17">
        <f>IF(VLOOKUP($D448,$C$5:$AN$495,6,)=0,0,((VLOOKUP($D448,$C$5:$AN$495,6,)/VLOOKUP($D448,$C$5:$AN$495,4,))*$F448))</f>
        <v>0</v>
      </c>
      <c r="I448" s="17">
        <f>IF(VLOOKUP($D448,$C$5:$AN$495,7,)=0,0,((VLOOKUP($D448,$C$5:$AN$495,7,)/VLOOKUP($D448,$C$5:$AN$495,4,))*$F448))</f>
        <v>0</v>
      </c>
      <c r="J448" s="17">
        <f>IF(VLOOKUP($D448,$C$5:$AN$495,8,)=0,0,((VLOOKUP($D448,$C$5:$AN$495,8,)/VLOOKUP($D448,$C$5:$AN$495,4,))*$F448))</f>
        <v>0</v>
      </c>
      <c r="K448" s="17">
        <f>IF(VLOOKUP($D448,$C$5:$AN$495,9,)=0,0,((VLOOKUP($D448,$C$5:$AN$495,9,)/VLOOKUP($D448,$C$5:$AN$495,4,))*$F448))</f>
        <v>0</v>
      </c>
      <c r="L448" s="17">
        <f>IF(VLOOKUP($D448,$C$5:$AN$495,10,)=0,0,((VLOOKUP($D448,$C$5:$AN$495,10,)/VLOOKUP($D448,$C$5:$AN$495,4,))*$F448))</f>
        <v>0</v>
      </c>
      <c r="M448" s="17">
        <f>IF(VLOOKUP($D448,$C$5:$AN$495,11,)=0,0,((VLOOKUP($D448,$C$5:$AN$495,11,)/VLOOKUP($D448,$C$5:$AN$495,4,))*$F448))</f>
        <v>0</v>
      </c>
      <c r="N448" s="17">
        <f>IF(VLOOKUP($D448,$C$5:$AN$495,12,)=0,0,((VLOOKUP($D448,$C$5:$AN$495,12,)/VLOOKUP($D448,$C$5:$AN$495,4,))*$F448))</f>
        <v>0</v>
      </c>
      <c r="O448" s="17"/>
      <c r="P448" s="17">
        <f>IF(VLOOKUP($D448,$C$5:$AN$495,14,)=0,0,((VLOOKUP($D448,$C$5:$AN$495,14,)/VLOOKUP($D448,$C$5:$AN$495,4,))*$F448))</f>
        <v>0</v>
      </c>
      <c r="Q448" s="17"/>
      <c r="R448" s="17">
        <f>IF(VLOOKUP($D448,$C$5:$AN$495,16,)=0,0,((VLOOKUP($D448,$C$5:$AN$495,16,)/VLOOKUP($D448,$C$5:$AN$495,4,))*$F448))</f>
        <v>0</v>
      </c>
      <c r="S448" s="17"/>
      <c r="T448" s="17">
        <f>IF(VLOOKUP($D448,$C$5:$AN$495,18,)=0,0,((VLOOKUP($D448,$C$5:$AN$495,18,)/VLOOKUP($D448,$C$5:$AN$495,4,))*$F448))</f>
        <v>167.35419501866056</v>
      </c>
      <c r="U448" s="17"/>
      <c r="V448" s="17">
        <f>IF(VLOOKUP($D448,$C$5:$AN$495,20,)=0,0,((VLOOKUP($D448,$C$5:$AN$495,20,)/VLOOKUP($D448,$C$5:$AN$495,4,))*$F448))</f>
        <v>16208.523154655351</v>
      </c>
      <c r="W448" s="17">
        <f>IF(VLOOKUP($D448,$C$5:$AN$495,21,)=0,0,((VLOOKUP($D448,$C$5:$AN$495,21,)/VLOOKUP($D448,$C$5:$AN$495,4,))*$F448))</f>
        <v>7980.2823288341497</v>
      </c>
      <c r="X448" s="17"/>
      <c r="Y448" s="17">
        <f>IF(VLOOKUP($D448,$C$5:$AN$495,23,)=0,0,((VLOOKUP($D448,$C$5:$AN$495,23,)/VLOOKUP($D448,$C$5:$AN$495,4,))*$F448))</f>
        <v>1800.9470171839273</v>
      </c>
      <c r="Z448" s="17">
        <f>IF(VLOOKUP($D448,$C$5:$AN$495,24,)=0,0,((VLOOKUP($D448,$C$5:$AN$495,24,)/VLOOKUP($D448,$C$5:$AN$495,4,))*$F448))</f>
        <v>886.69803653712768</v>
      </c>
      <c r="AA448" s="17"/>
      <c r="AB448" s="17">
        <f>IF(VLOOKUP($D448,$C$5:$AN$495,26,)=0,0,((VLOOKUP($D448,$C$5:$AN$495,26,)/VLOOKUP($D448,$C$5:$AN$495,4,))*$F448))</f>
        <v>3526.0743146196933</v>
      </c>
      <c r="AC448" s="17">
        <f>IF(VLOOKUP($D448,$C$5:$AN$495,27,)=0,0,((VLOOKUP($D448,$C$5:$AN$495,27,)/VLOOKUP($D448,$C$5:$AN$495,4,))*$F448))</f>
        <v>4592.9086801297717</v>
      </c>
      <c r="AD448" s="17"/>
      <c r="AE448" s="17">
        <f>IF(VLOOKUP($D448,$C$5:$AN$495,29,)=0,0,((VLOOKUP($D448,$C$5:$AN$495,29,)/VLOOKUP($D448,$C$5:$AN$495,4,))*$F448))</f>
        <v>0</v>
      </c>
      <c r="AF448" s="17">
        <f>IF(VLOOKUP($D448,$C$5:$AN$495,30,)=0,0,((VLOOKUP($D448,$C$5:$AN$495,30,)/VLOOKUP($D448,$C$5:$AN$495,4,))*$F448))</f>
        <v>5726.546777585243</v>
      </c>
      <c r="AG448" s="17"/>
      <c r="AH448" s="17">
        <f>IF(VLOOKUP($D448,$C$5:$AN$495,32,)=0,0,((VLOOKUP($D448,$C$5:$AN$495,32,)/VLOOKUP($D448,$C$5:$AN$495,4,))*$F448))</f>
        <v>2192.6372193074212</v>
      </c>
      <c r="AI448" s="17"/>
      <c r="AJ448" s="17">
        <f>IF(VLOOKUP($D448,$C$5:$AN$495,34,)=0,0,((VLOOKUP($D448,$C$5:$AN$495,34,)/VLOOKUP($D448,$C$5:$AN$495,4,))*$F448))</f>
        <v>2370.9482761286645</v>
      </c>
      <c r="AK448" s="17"/>
      <c r="AL448" s="17">
        <f>IF(VLOOKUP($D448,$C$5:$AN$495,36,)=0,0,((VLOOKUP($D448,$C$5:$AN$495,36,)/VLOOKUP($D448,$C$5:$AN$495,4,))*$F448))</f>
        <v>0</v>
      </c>
      <c r="AM448" s="17"/>
      <c r="AN448" s="17">
        <f>IF(VLOOKUP($D448,$C$5:$AN$495,38,)=0,0,((VLOOKUP($D448,$C$5:$AN$495,38,)/VLOOKUP($D448,$C$5:$AN$495,4,))*$F448))</f>
        <v>0</v>
      </c>
      <c r="AO448" s="17">
        <f>SUM(H448:AN448)</f>
        <v>45452.920000000013</v>
      </c>
      <c r="AP448" s="14" t="str">
        <f>IF(ABS(AO448-F448)&lt;1,"ok","err")</f>
        <v>ok</v>
      </c>
    </row>
    <row r="449" spans="1:42" x14ac:dyDescent="0.25">
      <c r="A449" s="2"/>
      <c r="B449" s="2"/>
      <c r="F449"/>
      <c r="AP449" s="14"/>
    </row>
    <row r="450" spans="1:42" x14ac:dyDescent="0.25">
      <c r="A450" s="2" t="s">
        <v>200</v>
      </c>
      <c r="B450" s="2"/>
      <c r="C450" s="2" t="s">
        <v>201</v>
      </c>
      <c r="D450" s="2" t="s">
        <v>89</v>
      </c>
      <c r="F450" s="195">
        <v>31996.45</v>
      </c>
      <c r="H450" s="17">
        <f>IF(VLOOKUP($D450,$C$5:$AN$495,6,)=0,0,((VLOOKUP($D450,$C$5:$AN$495,6,)/VLOOKUP($D450,$C$5:$AN$495,4,))*$F450))</f>
        <v>0</v>
      </c>
      <c r="I450" s="17">
        <f>IF(VLOOKUP($D450,$C$5:$AN$495,7,)=0,0,((VLOOKUP($D450,$C$5:$AN$495,7,)/VLOOKUP($D450,$C$5:$AN$495,4,))*$F450))</f>
        <v>0</v>
      </c>
      <c r="J450" s="17">
        <f>IF(VLOOKUP($D450,$C$5:$AN$495,8,)=0,0,((VLOOKUP($D450,$C$5:$AN$495,8,)/VLOOKUP($D450,$C$5:$AN$495,4,))*$F450))</f>
        <v>0</v>
      </c>
      <c r="K450" s="17">
        <f>IF(VLOOKUP($D450,$C$5:$AN$495,9,)=0,0,((VLOOKUP($D450,$C$5:$AN$495,9,)/VLOOKUP($D450,$C$5:$AN$495,4,))*$F450))</f>
        <v>0</v>
      </c>
      <c r="L450" s="17">
        <f>IF(VLOOKUP($D450,$C$5:$AN$495,10,)=0,0,((VLOOKUP($D450,$C$5:$AN$495,10,)/VLOOKUP($D450,$C$5:$AN$495,4,))*$F450))</f>
        <v>0</v>
      </c>
      <c r="M450" s="17">
        <f>IF(VLOOKUP($D450,$C$5:$AN$495,11,)=0,0,((VLOOKUP($D450,$C$5:$AN$495,11,)/VLOOKUP($D450,$C$5:$AN$495,4,))*$F450))</f>
        <v>0</v>
      </c>
      <c r="N450" s="17">
        <f>IF(VLOOKUP($D450,$C$5:$AN$495,12,)=0,0,((VLOOKUP($D450,$C$5:$AN$495,12,)/VLOOKUP($D450,$C$5:$AN$495,4,))*$F450))</f>
        <v>0</v>
      </c>
      <c r="O450" s="17"/>
      <c r="P450" s="17">
        <f>IF(VLOOKUP($D450,$C$5:$AN$495,14,)=0,0,((VLOOKUP($D450,$C$5:$AN$495,14,)/VLOOKUP($D450,$C$5:$AN$495,4,))*$F450))</f>
        <v>0</v>
      </c>
      <c r="Q450" s="17"/>
      <c r="R450" s="17">
        <f>IF(VLOOKUP($D450,$C$5:$AN$495,16,)=0,0,((VLOOKUP($D450,$C$5:$AN$495,16,)/VLOOKUP($D450,$C$5:$AN$495,4,))*$F450))</f>
        <v>0</v>
      </c>
      <c r="S450" s="17"/>
      <c r="T450" s="17">
        <f>IF(VLOOKUP($D450,$C$5:$AN$495,18,)=0,0,((VLOOKUP($D450,$C$5:$AN$495,18,)/VLOOKUP($D450,$C$5:$AN$495,4,))*$F450))</f>
        <v>117.80849576231455</v>
      </c>
      <c r="U450" s="17"/>
      <c r="V450" s="17">
        <f>IF(VLOOKUP($D450,$C$5:$AN$495,20,)=0,0,((VLOOKUP($D450,$C$5:$AN$495,20,)/VLOOKUP($D450,$C$5:$AN$495,4,))*$F450))</f>
        <v>11409.942434760456</v>
      </c>
      <c r="W450" s="17">
        <f>IF(VLOOKUP($D450,$C$5:$AN$495,21,)=0,0,((VLOOKUP($D450,$C$5:$AN$495,21,)/VLOOKUP($D450,$C$5:$AN$495,4,))*$F450))</f>
        <v>5617.6963882722048</v>
      </c>
      <c r="X450" s="17"/>
      <c r="Y450" s="17">
        <f>IF(VLOOKUP($D450,$C$5:$AN$495,23,)=0,0,((VLOOKUP($D450,$C$5:$AN$495,23,)/VLOOKUP($D450,$C$5:$AN$495,4,))*$F450))</f>
        <v>1267.7713816400503</v>
      </c>
      <c r="Z450" s="17">
        <f>IF(VLOOKUP($D450,$C$5:$AN$495,24,)=0,0,((VLOOKUP($D450,$C$5:$AN$495,24,)/VLOOKUP($D450,$C$5:$AN$495,4,))*$F450))</f>
        <v>624.18848758580043</v>
      </c>
      <c r="AA450" s="17"/>
      <c r="AB450" s="17">
        <f>IF(VLOOKUP($D450,$C$5:$AN$495,26,)=0,0,((VLOOKUP($D450,$C$5:$AN$495,26,)/VLOOKUP($D450,$C$5:$AN$495,4,))*$F450))</f>
        <v>2482.1696934765309</v>
      </c>
      <c r="AC450" s="17">
        <f>IF(VLOOKUP($D450,$C$5:$AN$495,27,)=0,0,((VLOOKUP($D450,$C$5:$AN$495,27,)/VLOOKUP($D450,$C$5:$AN$495,4,))*$F450))</f>
        <v>3233.1646226103462</v>
      </c>
      <c r="AD450" s="17"/>
      <c r="AE450" s="17">
        <f>IF(VLOOKUP($D450,$C$5:$AN$495,29,)=0,0,((VLOOKUP($D450,$C$5:$AN$495,29,)/VLOOKUP($D450,$C$5:$AN$495,4,))*$F450))</f>
        <v>0</v>
      </c>
      <c r="AF450" s="17">
        <f>IF(VLOOKUP($D450,$C$5:$AN$495,30,)=0,0,((VLOOKUP($D450,$C$5:$AN$495,30,)/VLOOKUP($D450,$C$5:$AN$495,4,))*$F450))</f>
        <v>4031.1858433224393</v>
      </c>
      <c r="AG450" s="17"/>
      <c r="AH450" s="17">
        <f>IF(VLOOKUP($D450,$C$5:$AN$495,32,)=0,0,((VLOOKUP($D450,$C$5:$AN$495,32,)/VLOOKUP($D450,$C$5:$AN$495,4,))*$F450))</f>
        <v>1543.5005530053722</v>
      </c>
      <c r="AI450" s="17"/>
      <c r="AJ450" s="17">
        <f>IF(VLOOKUP($D450,$C$5:$AN$495,34,)=0,0,((VLOOKUP($D450,$C$5:$AN$495,34,)/VLOOKUP($D450,$C$5:$AN$495,4,))*$F450))</f>
        <v>1669.0220995644945</v>
      </c>
      <c r="AK450" s="17"/>
      <c r="AL450" s="17">
        <f>IF(VLOOKUP($D450,$C$5:$AN$495,36,)=0,0,((VLOOKUP($D450,$C$5:$AN$495,36,)/VLOOKUP($D450,$C$5:$AN$495,4,))*$F450))</f>
        <v>0</v>
      </c>
      <c r="AM450" s="17"/>
      <c r="AN450" s="17">
        <f>IF(VLOOKUP($D450,$C$5:$AN$495,38,)=0,0,((VLOOKUP($D450,$C$5:$AN$495,38,)/VLOOKUP($D450,$C$5:$AN$495,4,))*$F450))</f>
        <v>0</v>
      </c>
      <c r="AO450" s="17">
        <f>SUM(H450:AN450)</f>
        <v>31996.450000000015</v>
      </c>
      <c r="AP450" s="14" t="str">
        <f>IF(ABS(AO450-F450)&lt;1,"ok","err")</f>
        <v>ok</v>
      </c>
    </row>
    <row r="451" spans="1:42" x14ac:dyDescent="0.25">
      <c r="A451" s="2"/>
      <c r="B451" s="2"/>
      <c r="AO451" s="17"/>
      <c r="AP451" s="14"/>
    </row>
    <row r="452" spans="1:42" x14ac:dyDescent="0.25">
      <c r="A452" s="8" t="s">
        <v>202</v>
      </c>
      <c r="B452" s="2"/>
      <c r="C452" s="2" t="s">
        <v>203</v>
      </c>
      <c r="F452" s="16">
        <f>F440+F442+F444+F446+F448+F450</f>
        <v>15034052.4</v>
      </c>
      <c r="G452" s="16">
        <f t="shared" ref="G452:AN452" si="416">G440+G442+G444+G446+G448+G450</f>
        <v>0</v>
      </c>
      <c r="H452" s="16">
        <f t="shared" si="416"/>
        <v>0</v>
      </c>
      <c r="I452" s="16">
        <f t="shared" si="416"/>
        <v>0</v>
      </c>
      <c r="J452" s="16">
        <f t="shared" si="416"/>
        <v>0</v>
      </c>
      <c r="K452" s="16">
        <f t="shared" si="416"/>
        <v>0</v>
      </c>
      <c r="L452" s="16">
        <f t="shared" si="416"/>
        <v>0</v>
      </c>
      <c r="M452" s="16">
        <f t="shared" si="416"/>
        <v>0</v>
      </c>
      <c r="N452" s="16">
        <f>N440+N442+N444+N446+N448+N450</f>
        <v>0</v>
      </c>
      <c r="O452" s="16"/>
      <c r="P452" s="16">
        <f t="shared" si="416"/>
        <v>0</v>
      </c>
      <c r="Q452" s="16"/>
      <c r="R452" s="16">
        <f t="shared" si="416"/>
        <v>0</v>
      </c>
      <c r="S452" s="16"/>
      <c r="T452" s="16">
        <f t="shared" si="416"/>
        <v>54664.87504168156</v>
      </c>
      <c r="U452" s="16"/>
      <c r="V452" s="16">
        <f t="shared" si="416"/>
        <v>5294381.1343399007</v>
      </c>
      <c r="W452" s="16">
        <f t="shared" si="416"/>
        <v>2606693.762617758</v>
      </c>
      <c r="X452" s="16"/>
      <c r="Y452" s="16">
        <f>Y440+Y442+Y444+Y446+Y448+Y450</f>
        <v>588264.57048221107</v>
      </c>
      <c r="Z452" s="16">
        <f>Z440+Z442+Z444+Z446+Z448+Z450</f>
        <v>289632.64029086201</v>
      </c>
      <c r="AA452" s="16"/>
      <c r="AB452" s="16">
        <f>AB440+AB442+AB444+AB446+AB448+AB450</f>
        <v>1151763.2514373236</v>
      </c>
      <c r="AC452" s="16">
        <f>AC440+AC442+AC444+AC446+AC448+AC450</f>
        <v>1500235.9459776515</v>
      </c>
      <c r="AD452" s="16">
        <f t="shared" si="416"/>
        <v>0</v>
      </c>
      <c r="AE452" s="16">
        <f t="shared" si="416"/>
        <v>0</v>
      </c>
      <c r="AF452" s="16">
        <f t="shared" si="416"/>
        <v>1870529.5315850098</v>
      </c>
      <c r="AG452" s="16">
        <f t="shared" si="416"/>
        <v>0</v>
      </c>
      <c r="AH452" s="16">
        <f t="shared" si="416"/>
        <v>903435.88207714108</v>
      </c>
      <c r="AI452" s="16">
        <f t="shared" si="416"/>
        <v>0</v>
      </c>
      <c r="AJ452" s="16">
        <f t="shared" si="416"/>
        <v>774450.80615046457</v>
      </c>
      <c r="AK452" s="16">
        <f t="shared" si="416"/>
        <v>0</v>
      </c>
      <c r="AL452" s="16">
        <f t="shared" si="416"/>
        <v>0</v>
      </c>
      <c r="AM452" s="16">
        <f t="shared" si="416"/>
        <v>0</v>
      </c>
      <c r="AN452" s="16">
        <f t="shared" si="416"/>
        <v>0</v>
      </c>
      <c r="AO452" s="17">
        <f>SUM(H452:AN452)</f>
        <v>15034052.400000004</v>
      </c>
      <c r="AP452" s="14" t="str">
        <f>IF(ABS(AO452-F452)&lt;1,"ok","err")</f>
        <v>ok</v>
      </c>
    </row>
    <row r="453" spans="1:42" x14ac:dyDescent="0.25">
      <c r="A453" s="2"/>
      <c r="B453" s="2"/>
      <c r="AP453" s="14"/>
    </row>
    <row r="454" spans="1:42" x14ac:dyDescent="0.25">
      <c r="A454" s="7" t="s">
        <v>367</v>
      </c>
      <c r="B454" s="2"/>
      <c r="F454" s="16">
        <f t="shared" ref="F454:P454" si="417">F264+F452</f>
        <v>110647451.77000001</v>
      </c>
      <c r="G454" s="16">
        <f t="shared" si="417"/>
        <v>0</v>
      </c>
      <c r="H454" s="16">
        <f t="shared" si="417"/>
        <v>19679910.880000003</v>
      </c>
      <c r="I454" s="16">
        <f t="shared" si="417"/>
        <v>1704216</v>
      </c>
      <c r="J454" s="16">
        <f t="shared" si="417"/>
        <v>-130049</v>
      </c>
      <c r="K454" s="16">
        <f t="shared" si="417"/>
        <v>-6340583</v>
      </c>
      <c r="L454" s="16">
        <f t="shared" si="417"/>
        <v>29509797.417011004</v>
      </c>
      <c r="M454" s="16">
        <f t="shared" si="417"/>
        <v>29823651.702989001</v>
      </c>
      <c r="N454" s="16">
        <f t="shared" si="417"/>
        <v>0</v>
      </c>
      <c r="O454" s="16"/>
      <c r="P454" s="16">
        <f t="shared" si="417"/>
        <v>0</v>
      </c>
      <c r="Q454" s="16"/>
      <c r="R454" s="16">
        <f>R264+R452</f>
        <v>0</v>
      </c>
      <c r="S454" s="16"/>
      <c r="T454" s="16">
        <f>T264+T452</f>
        <v>99969.1803106101</v>
      </c>
      <c r="U454" s="16"/>
      <c r="V454" s="16">
        <f>V264+V452</f>
        <v>13056329.424682753</v>
      </c>
      <c r="W454" s="16">
        <f>W264+W452</f>
        <v>6103694.957050968</v>
      </c>
      <c r="X454" s="16"/>
      <c r="Y454" s="16">
        <f t="shared" ref="Y454:AN454" si="418">Y264+Y452</f>
        <v>1450703.2694091946</v>
      </c>
      <c r="Z454" s="16">
        <f t="shared" si="418"/>
        <v>678188.32856121869</v>
      </c>
      <c r="AA454" s="16"/>
      <c r="AB454" s="16">
        <f>AB264+AB452</f>
        <v>1347658.6354622219</v>
      </c>
      <c r="AC454" s="16">
        <f>AC264+AC452</f>
        <v>1755400.6218765348</v>
      </c>
      <c r="AD454" s="16">
        <f t="shared" si="418"/>
        <v>0</v>
      </c>
      <c r="AE454" s="16">
        <f t="shared" si="418"/>
        <v>0</v>
      </c>
      <c r="AF454" s="16">
        <f t="shared" si="418"/>
        <v>2109161.6768614668</v>
      </c>
      <c r="AG454" s="16">
        <f t="shared" si="418"/>
        <v>0</v>
      </c>
      <c r="AH454" s="16">
        <f t="shared" si="418"/>
        <v>2902323.1095307451</v>
      </c>
      <c r="AI454" s="16">
        <f t="shared" si="418"/>
        <v>0</v>
      </c>
      <c r="AJ454" s="16">
        <f t="shared" si="418"/>
        <v>1352898.8232975109</v>
      </c>
      <c r="AK454" s="16">
        <f t="shared" si="418"/>
        <v>0</v>
      </c>
      <c r="AL454" s="16">
        <f t="shared" si="418"/>
        <v>5320279.8959024306</v>
      </c>
      <c r="AM454" s="16">
        <f t="shared" si="418"/>
        <v>0</v>
      </c>
      <c r="AN454" s="16">
        <f t="shared" si="418"/>
        <v>223899.84705435007</v>
      </c>
      <c r="AO454" s="17">
        <f>SUM(H454:AN454)</f>
        <v>110647451.77</v>
      </c>
      <c r="AP454" s="14" t="str">
        <f>IF(ABS(AO454-F454)&lt;1,"ok","err")</f>
        <v>ok</v>
      </c>
    </row>
    <row r="455" spans="1:42" x14ac:dyDescent="0.25">
      <c r="A455" s="2"/>
      <c r="B455" s="2"/>
      <c r="AP455" s="14"/>
    </row>
    <row r="456" spans="1:42" x14ac:dyDescent="0.25">
      <c r="A456" s="2"/>
      <c r="B456" s="2"/>
      <c r="AP456" s="14"/>
    </row>
    <row r="457" spans="1:42" x14ac:dyDescent="0.25">
      <c r="A457" s="7"/>
      <c r="B457" s="2"/>
      <c r="AP457" s="14"/>
    </row>
    <row r="458" spans="1:42" x14ac:dyDescent="0.25">
      <c r="A458" s="2"/>
      <c r="B458" s="2"/>
      <c r="F458" s="17"/>
      <c r="AP458" s="14"/>
    </row>
    <row r="459" spans="1:42" x14ac:dyDescent="0.25">
      <c r="A459" s="2"/>
      <c r="B459" s="2"/>
      <c r="F459" s="17"/>
      <c r="AP459" s="14"/>
    </row>
    <row r="460" spans="1:42" x14ac:dyDescent="0.25">
      <c r="A460" s="2"/>
      <c r="B460" s="2"/>
      <c r="F460" s="17"/>
      <c r="AP460" s="14"/>
    </row>
    <row r="461" spans="1:42" x14ac:dyDescent="0.25">
      <c r="A461" s="2"/>
      <c r="B461" s="2"/>
      <c r="F461" s="17"/>
      <c r="AP461" s="14"/>
    </row>
    <row r="462" spans="1:42" x14ac:dyDescent="0.25">
      <c r="A462" s="2"/>
      <c r="B462" s="2"/>
      <c r="F462" s="17"/>
      <c r="AP462" s="14"/>
    </row>
    <row r="463" spans="1:42" x14ac:dyDescent="0.25">
      <c r="A463" s="2"/>
      <c r="B463" s="2"/>
      <c r="F463" s="17"/>
      <c r="AP463" s="14"/>
    </row>
    <row r="464" spans="1:42" x14ac:dyDescent="0.25">
      <c r="A464" s="2"/>
      <c r="B464" s="2"/>
      <c r="F464" s="17"/>
      <c r="AP464" s="14"/>
    </row>
    <row r="465" spans="1:42" x14ac:dyDescent="0.25">
      <c r="A465" s="2"/>
      <c r="B465" s="2"/>
      <c r="F465" s="17"/>
      <c r="AP465" s="14"/>
    </row>
    <row r="466" spans="1:42" x14ac:dyDescent="0.25">
      <c r="A466" s="2"/>
      <c r="B466" s="2"/>
      <c r="F466" s="17"/>
      <c r="AP466" s="14"/>
    </row>
    <row r="467" spans="1:42" x14ac:dyDescent="0.25">
      <c r="A467" s="2"/>
      <c r="B467" s="2"/>
      <c r="F467" s="17"/>
      <c r="AP467" s="14"/>
    </row>
    <row r="468" spans="1:42" x14ac:dyDescent="0.25">
      <c r="A468" s="6" t="s">
        <v>204</v>
      </c>
      <c r="B468" s="2"/>
      <c r="AP468" s="14"/>
    </row>
    <row r="469" spans="1:42" x14ac:dyDescent="0.25">
      <c r="A469" s="2"/>
      <c r="B469" s="2"/>
      <c r="AP469" s="14"/>
    </row>
    <row r="470" spans="1:42" x14ac:dyDescent="0.25">
      <c r="A470" s="2" t="s">
        <v>3</v>
      </c>
      <c r="B470" s="2"/>
      <c r="C470" s="2" t="s">
        <v>26</v>
      </c>
      <c r="F470" s="79">
        <v>1</v>
      </c>
      <c r="G470" s="79"/>
      <c r="H470" s="100">
        <v>0</v>
      </c>
      <c r="I470" s="100">
        <v>0</v>
      </c>
      <c r="J470" s="100">
        <v>0</v>
      </c>
      <c r="K470" s="100">
        <v>0</v>
      </c>
      <c r="L470" s="100"/>
      <c r="M470" s="100">
        <v>0</v>
      </c>
      <c r="N470" s="100">
        <v>0</v>
      </c>
      <c r="O470" s="100"/>
      <c r="P470" s="100">
        <v>0</v>
      </c>
      <c r="Q470" s="100"/>
      <c r="R470" s="100">
        <v>0</v>
      </c>
      <c r="S470" s="79"/>
      <c r="T470" s="100">
        <v>1</v>
      </c>
      <c r="U470" s="79"/>
      <c r="V470" s="100">
        <v>0</v>
      </c>
      <c r="W470" s="100">
        <v>0</v>
      </c>
      <c r="X470" s="100"/>
      <c r="Y470" s="100">
        <v>0</v>
      </c>
      <c r="Z470" s="100">
        <v>0</v>
      </c>
      <c r="AA470" s="100"/>
      <c r="AB470" s="100">
        <v>0</v>
      </c>
      <c r="AC470" s="100">
        <v>0</v>
      </c>
      <c r="AD470" s="101"/>
      <c r="AE470" s="79">
        <v>0</v>
      </c>
      <c r="AF470" s="79">
        <v>0</v>
      </c>
      <c r="AG470" s="79"/>
      <c r="AH470" s="79">
        <v>0</v>
      </c>
      <c r="AI470" s="79"/>
      <c r="AJ470" s="79">
        <v>0</v>
      </c>
      <c r="AK470" s="79"/>
      <c r="AL470" s="79">
        <v>0</v>
      </c>
      <c r="AM470" s="79"/>
      <c r="AN470" s="79">
        <v>0</v>
      </c>
      <c r="AO470" s="100">
        <f>SUM(H470:AN470)</f>
        <v>1</v>
      </c>
      <c r="AP470" s="14" t="str">
        <f t="shared" ref="AP470:AP481" si="419">IF(ABS(AO470-F470)&lt;0.0000001,"ok","err")</f>
        <v>ok</v>
      </c>
    </row>
    <row r="471" spans="1:42" x14ac:dyDescent="0.25">
      <c r="A471" s="2" t="s">
        <v>205</v>
      </c>
      <c r="B471" s="2"/>
      <c r="C471" s="2" t="s">
        <v>29</v>
      </c>
      <c r="F471" s="79">
        <v>1</v>
      </c>
      <c r="G471" s="79"/>
      <c r="H471" s="100">
        <v>0</v>
      </c>
      <c r="I471" s="100">
        <v>0</v>
      </c>
      <c r="J471" s="100">
        <v>0</v>
      </c>
      <c r="K471" s="100">
        <v>0</v>
      </c>
      <c r="L471" s="100"/>
      <c r="M471" s="100">
        <v>0</v>
      </c>
      <c r="N471" s="100">
        <v>0</v>
      </c>
      <c r="O471" s="100"/>
      <c r="P471" s="100">
        <v>0</v>
      </c>
      <c r="Q471" s="100"/>
      <c r="R471" s="100">
        <v>0</v>
      </c>
      <c r="S471" s="79"/>
      <c r="T471" s="100">
        <v>0</v>
      </c>
      <c r="U471" s="79"/>
      <c r="V471" s="120">
        <f>0.6952*0.9</f>
        <v>0.62568000000000001</v>
      </c>
      <c r="W471" s="120">
        <f>0.3048*0.9</f>
        <v>0.27432000000000001</v>
      </c>
      <c r="X471" s="120"/>
      <c r="Y471" s="120">
        <f>0.6952*0.1</f>
        <v>6.9520000000000012E-2</v>
      </c>
      <c r="Z471" s="120">
        <f>0.3048*0.1</f>
        <v>3.0480000000000004E-2</v>
      </c>
      <c r="AA471" s="120"/>
      <c r="AB471" s="120">
        <v>0</v>
      </c>
      <c r="AC471" s="120">
        <v>0</v>
      </c>
      <c r="AD471" s="101"/>
      <c r="AE471" s="79">
        <v>0</v>
      </c>
      <c r="AF471" s="79">
        <v>0</v>
      </c>
      <c r="AG471" s="79"/>
      <c r="AH471" s="79">
        <v>0</v>
      </c>
      <c r="AI471" s="79"/>
      <c r="AJ471" s="79">
        <v>0</v>
      </c>
      <c r="AK471" s="79"/>
      <c r="AL471" s="79">
        <v>0</v>
      </c>
      <c r="AM471" s="79"/>
      <c r="AN471" s="79">
        <v>0</v>
      </c>
      <c r="AO471" s="100">
        <f t="shared" ref="AO471:AO479" si="420">SUM(H471:AN471)</f>
        <v>1</v>
      </c>
      <c r="AP471" s="14" t="str">
        <f t="shared" si="419"/>
        <v>ok</v>
      </c>
    </row>
    <row r="472" spans="1:42" x14ac:dyDescent="0.25">
      <c r="A472" s="2" t="s">
        <v>206</v>
      </c>
      <c r="B472" s="2"/>
      <c r="C472" s="2" t="s">
        <v>32</v>
      </c>
      <c r="F472" s="79">
        <v>1</v>
      </c>
      <c r="G472" s="79"/>
      <c r="H472" s="100">
        <v>0</v>
      </c>
      <c r="I472" s="100">
        <v>0</v>
      </c>
      <c r="J472" s="100">
        <v>0</v>
      </c>
      <c r="K472" s="100">
        <v>0</v>
      </c>
      <c r="L472" s="100"/>
      <c r="M472" s="100">
        <v>0</v>
      </c>
      <c r="N472" s="100">
        <v>0</v>
      </c>
      <c r="O472" s="100"/>
      <c r="P472" s="100">
        <v>0</v>
      </c>
      <c r="Q472" s="100"/>
      <c r="R472" s="100">
        <v>0</v>
      </c>
      <c r="S472" s="79"/>
      <c r="T472" s="100">
        <v>0</v>
      </c>
      <c r="U472" s="79"/>
      <c r="V472" s="120">
        <f>0.6952*0.9</f>
        <v>0.62568000000000001</v>
      </c>
      <c r="W472" s="120">
        <f>0.3048*0.9</f>
        <v>0.27432000000000001</v>
      </c>
      <c r="X472" s="120"/>
      <c r="Y472" s="120">
        <f>0.6952*0.1</f>
        <v>6.9520000000000012E-2</v>
      </c>
      <c r="Z472" s="120">
        <f>0.3048*0.1</f>
        <v>3.0480000000000004E-2</v>
      </c>
      <c r="AA472" s="120"/>
      <c r="AB472" s="120">
        <v>0</v>
      </c>
      <c r="AC472" s="120">
        <v>0</v>
      </c>
      <c r="AD472" s="101"/>
      <c r="AE472" s="79">
        <v>0</v>
      </c>
      <c r="AF472" s="79">
        <v>0</v>
      </c>
      <c r="AG472" s="79"/>
      <c r="AH472" s="79">
        <v>0</v>
      </c>
      <c r="AI472" s="79"/>
      <c r="AJ472" s="79">
        <v>0</v>
      </c>
      <c r="AK472" s="79"/>
      <c r="AL472" s="79">
        <v>0</v>
      </c>
      <c r="AM472" s="79"/>
      <c r="AN472" s="79">
        <v>0</v>
      </c>
      <c r="AO472" s="100">
        <f t="shared" si="420"/>
        <v>1</v>
      </c>
      <c r="AP472" s="14" t="str">
        <f t="shared" si="419"/>
        <v>ok</v>
      </c>
    </row>
    <row r="473" spans="1:42" x14ac:dyDescent="0.25">
      <c r="A473" s="2" t="s">
        <v>207</v>
      </c>
      <c r="B473" s="2"/>
      <c r="C473" s="2" t="s">
        <v>35</v>
      </c>
      <c r="F473" s="79">
        <v>1</v>
      </c>
      <c r="G473" s="79"/>
      <c r="H473" s="100">
        <v>0</v>
      </c>
      <c r="I473" s="100">
        <v>0</v>
      </c>
      <c r="J473" s="100">
        <v>0</v>
      </c>
      <c r="K473" s="100">
        <v>0</v>
      </c>
      <c r="L473" s="100"/>
      <c r="M473" s="100">
        <v>0</v>
      </c>
      <c r="N473" s="100">
        <v>0</v>
      </c>
      <c r="O473" s="100"/>
      <c r="P473" s="100">
        <v>0</v>
      </c>
      <c r="Q473" s="100"/>
      <c r="R473" s="100">
        <v>0</v>
      </c>
      <c r="S473" s="79"/>
      <c r="T473" s="100">
        <v>0</v>
      </c>
      <c r="U473" s="79"/>
      <c r="V473" s="120">
        <f>0.3212*0.9</f>
        <v>0.28908</v>
      </c>
      <c r="W473" s="120">
        <f>0.6788*0.9</f>
        <v>0.61092000000000002</v>
      </c>
      <c r="X473" s="120"/>
      <c r="Y473" s="120">
        <f>0.3212*0.1</f>
        <v>3.2120000000000003E-2</v>
      </c>
      <c r="Z473" s="120">
        <f>0.6788*0.1</f>
        <v>6.7879999999999996E-2</v>
      </c>
      <c r="AA473" s="120"/>
      <c r="AB473" s="120">
        <v>0</v>
      </c>
      <c r="AC473" s="120">
        <v>0</v>
      </c>
      <c r="AD473" s="101"/>
      <c r="AE473" s="79">
        <v>0</v>
      </c>
      <c r="AF473" s="79">
        <v>0</v>
      </c>
      <c r="AG473" s="79"/>
      <c r="AH473" s="79">
        <v>0</v>
      </c>
      <c r="AI473" s="79"/>
      <c r="AJ473" s="79">
        <v>0</v>
      </c>
      <c r="AK473" s="79"/>
      <c r="AL473" s="79">
        <v>0</v>
      </c>
      <c r="AM473" s="79"/>
      <c r="AN473" s="79">
        <v>0</v>
      </c>
      <c r="AO473" s="100">
        <f t="shared" si="420"/>
        <v>1</v>
      </c>
      <c r="AP473" s="14" t="str">
        <f t="shared" si="419"/>
        <v>ok</v>
      </c>
    </row>
    <row r="474" spans="1:42" x14ac:dyDescent="0.25">
      <c r="A474" s="2" t="s">
        <v>208</v>
      </c>
      <c r="B474" s="2"/>
      <c r="C474" s="2" t="s">
        <v>40</v>
      </c>
      <c r="F474" s="79">
        <v>1</v>
      </c>
      <c r="G474" s="79"/>
      <c r="H474" s="100">
        <v>0</v>
      </c>
      <c r="I474" s="100">
        <v>0</v>
      </c>
      <c r="J474" s="100">
        <v>0</v>
      </c>
      <c r="K474" s="100">
        <v>0</v>
      </c>
      <c r="L474" s="100"/>
      <c r="M474" s="100">
        <v>0</v>
      </c>
      <c r="N474" s="100">
        <v>0</v>
      </c>
      <c r="O474" s="100"/>
      <c r="P474" s="100">
        <v>0</v>
      </c>
      <c r="Q474" s="100"/>
      <c r="R474" s="100">
        <v>0</v>
      </c>
      <c r="S474" s="79"/>
      <c r="T474" s="100">
        <v>0</v>
      </c>
      <c r="U474" s="79"/>
      <c r="V474" s="120">
        <v>0</v>
      </c>
      <c r="W474" s="120">
        <v>0</v>
      </c>
      <c r="X474" s="120"/>
      <c r="Y474" s="120">
        <v>0</v>
      </c>
      <c r="Z474" s="120">
        <v>0</v>
      </c>
      <c r="AA474" s="120"/>
      <c r="AB474" s="120">
        <v>0.43430000000000002</v>
      </c>
      <c r="AC474" s="120">
        <v>0.56569999999999998</v>
      </c>
      <c r="AD474" s="101"/>
      <c r="AE474" s="79">
        <v>0</v>
      </c>
      <c r="AF474" s="79">
        <v>0</v>
      </c>
      <c r="AG474" s="79"/>
      <c r="AH474" s="79">
        <v>0</v>
      </c>
      <c r="AI474" s="79"/>
      <c r="AJ474" s="79">
        <v>0</v>
      </c>
      <c r="AK474" s="79"/>
      <c r="AL474" s="79">
        <v>0</v>
      </c>
      <c r="AM474" s="79"/>
      <c r="AN474" s="79">
        <v>0</v>
      </c>
      <c r="AO474" s="100">
        <f t="shared" si="420"/>
        <v>1</v>
      </c>
      <c r="AP474" s="14" t="str">
        <f t="shared" si="419"/>
        <v>ok</v>
      </c>
    </row>
    <row r="475" spans="1:42" x14ac:dyDescent="0.25">
      <c r="A475" s="2" t="s">
        <v>209</v>
      </c>
      <c r="B475" s="2"/>
      <c r="C475" s="2" t="s">
        <v>43</v>
      </c>
      <c r="F475" s="79">
        <v>1</v>
      </c>
      <c r="G475" s="79"/>
      <c r="H475" s="100">
        <v>0</v>
      </c>
      <c r="I475" s="100">
        <v>0</v>
      </c>
      <c r="J475" s="100">
        <v>0</v>
      </c>
      <c r="K475" s="100">
        <v>0</v>
      </c>
      <c r="L475" s="100"/>
      <c r="M475" s="100">
        <v>0</v>
      </c>
      <c r="N475" s="100">
        <v>0</v>
      </c>
      <c r="O475" s="100"/>
      <c r="P475" s="100">
        <v>0</v>
      </c>
      <c r="Q475" s="100"/>
      <c r="R475" s="100">
        <v>0</v>
      </c>
      <c r="S475" s="79"/>
      <c r="T475" s="100">
        <v>0</v>
      </c>
      <c r="U475" s="79"/>
      <c r="V475" s="100">
        <v>0</v>
      </c>
      <c r="W475" s="100">
        <v>0</v>
      </c>
      <c r="X475" s="100"/>
      <c r="Y475" s="100">
        <v>0</v>
      </c>
      <c r="Z475" s="100">
        <v>0</v>
      </c>
      <c r="AA475" s="100"/>
      <c r="AB475" s="100">
        <v>0</v>
      </c>
      <c r="AC475" s="100">
        <v>0</v>
      </c>
      <c r="AD475" s="101"/>
      <c r="AE475" s="79">
        <v>0</v>
      </c>
      <c r="AF475" s="79">
        <v>1</v>
      </c>
      <c r="AG475" s="79"/>
      <c r="AH475" s="79">
        <v>0</v>
      </c>
      <c r="AI475" s="79"/>
      <c r="AJ475" s="79">
        <v>0</v>
      </c>
      <c r="AK475" s="79"/>
      <c r="AL475" s="79">
        <v>0</v>
      </c>
      <c r="AM475" s="79"/>
      <c r="AN475" s="79">
        <v>0</v>
      </c>
      <c r="AO475" s="100">
        <f t="shared" si="420"/>
        <v>1</v>
      </c>
      <c r="AP475" s="14" t="str">
        <f t="shared" si="419"/>
        <v>ok</v>
      </c>
    </row>
    <row r="476" spans="1:42" x14ac:dyDescent="0.25">
      <c r="A476" s="2" t="s">
        <v>6</v>
      </c>
      <c r="B476" s="2"/>
      <c r="C476" s="2" t="s">
        <v>46</v>
      </c>
      <c r="F476" s="79">
        <v>1</v>
      </c>
      <c r="G476" s="79"/>
      <c r="H476" s="100">
        <v>0</v>
      </c>
      <c r="I476" s="100">
        <v>0</v>
      </c>
      <c r="J476" s="100">
        <v>0</v>
      </c>
      <c r="K476" s="100">
        <v>0</v>
      </c>
      <c r="L476" s="100"/>
      <c r="M476" s="100">
        <v>0</v>
      </c>
      <c r="N476" s="100">
        <v>0</v>
      </c>
      <c r="O476" s="100"/>
      <c r="P476" s="100">
        <v>0</v>
      </c>
      <c r="Q476" s="100"/>
      <c r="R476" s="100">
        <v>0</v>
      </c>
      <c r="S476" s="79"/>
      <c r="T476" s="100">
        <v>0</v>
      </c>
      <c r="U476" s="79"/>
      <c r="V476" s="100">
        <v>0</v>
      </c>
      <c r="W476" s="100">
        <v>0</v>
      </c>
      <c r="X476" s="100"/>
      <c r="Y476" s="100">
        <v>0</v>
      </c>
      <c r="Z476" s="100">
        <v>0</v>
      </c>
      <c r="AA476" s="100"/>
      <c r="AB476" s="100">
        <v>0</v>
      </c>
      <c r="AC476" s="100">
        <v>0</v>
      </c>
      <c r="AD476" s="101"/>
      <c r="AE476" s="79">
        <v>0</v>
      </c>
      <c r="AF476" s="79">
        <v>0</v>
      </c>
      <c r="AG476" s="79"/>
      <c r="AH476" s="79">
        <v>1</v>
      </c>
      <c r="AI476" s="79"/>
      <c r="AJ476" s="79">
        <v>0</v>
      </c>
      <c r="AK476" s="79"/>
      <c r="AL476" s="79">
        <v>0</v>
      </c>
      <c r="AM476" s="79"/>
      <c r="AN476" s="79">
        <v>0</v>
      </c>
      <c r="AO476" s="100">
        <f t="shared" si="420"/>
        <v>1</v>
      </c>
      <c r="AP476" s="14" t="str">
        <f t="shared" si="419"/>
        <v>ok</v>
      </c>
    </row>
    <row r="477" spans="1:42" x14ac:dyDescent="0.25">
      <c r="A477" s="2" t="s">
        <v>210</v>
      </c>
      <c r="B477" s="2"/>
      <c r="C477" s="2" t="s">
        <v>51</v>
      </c>
      <c r="F477" s="79">
        <v>1</v>
      </c>
      <c r="G477" s="79"/>
      <c r="H477" s="100">
        <v>0</v>
      </c>
      <c r="I477" s="100">
        <v>0</v>
      </c>
      <c r="J477" s="100">
        <v>0</v>
      </c>
      <c r="K477" s="100">
        <v>0</v>
      </c>
      <c r="L477" s="100"/>
      <c r="M477" s="100">
        <v>0</v>
      </c>
      <c r="N477" s="100">
        <v>0</v>
      </c>
      <c r="O477" s="100"/>
      <c r="P477" s="100">
        <v>0</v>
      </c>
      <c r="Q477" s="100"/>
      <c r="R477" s="100">
        <v>0</v>
      </c>
      <c r="S477" s="79"/>
      <c r="T477" s="100">
        <v>0</v>
      </c>
      <c r="U477" s="79"/>
      <c r="V477" s="100">
        <v>0</v>
      </c>
      <c r="W477" s="100">
        <v>0</v>
      </c>
      <c r="X477" s="100"/>
      <c r="Y477" s="100">
        <v>0</v>
      </c>
      <c r="Z477" s="100">
        <v>0</v>
      </c>
      <c r="AA477" s="100"/>
      <c r="AB477" s="100">
        <v>0</v>
      </c>
      <c r="AC477" s="100">
        <v>0</v>
      </c>
      <c r="AD477" s="101"/>
      <c r="AE477" s="79">
        <v>0</v>
      </c>
      <c r="AF477" s="79">
        <v>0</v>
      </c>
      <c r="AG477" s="79"/>
      <c r="AH477" s="79">
        <v>0</v>
      </c>
      <c r="AI477" s="79"/>
      <c r="AJ477" s="79">
        <v>1</v>
      </c>
      <c r="AK477" s="79"/>
      <c r="AL477" s="79">
        <v>0</v>
      </c>
      <c r="AM477" s="79"/>
      <c r="AN477" s="79">
        <v>0</v>
      </c>
      <c r="AO477" s="100">
        <f t="shared" si="420"/>
        <v>1</v>
      </c>
      <c r="AP477" s="14" t="str">
        <f t="shared" si="419"/>
        <v>ok</v>
      </c>
    </row>
    <row r="478" spans="1:42" x14ac:dyDescent="0.25">
      <c r="A478" s="2" t="s">
        <v>211</v>
      </c>
      <c r="B478" s="2"/>
      <c r="C478" s="2" t="s">
        <v>145</v>
      </c>
      <c r="F478" s="79">
        <v>1</v>
      </c>
      <c r="G478" s="79"/>
      <c r="H478" s="100">
        <v>0</v>
      </c>
      <c r="I478" s="100">
        <v>0</v>
      </c>
      <c r="J478" s="100">
        <v>0</v>
      </c>
      <c r="K478" s="100">
        <v>0</v>
      </c>
      <c r="L478" s="100"/>
      <c r="M478" s="100">
        <v>0</v>
      </c>
      <c r="N478" s="100">
        <v>0</v>
      </c>
      <c r="O478" s="100"/>
      <c r="P478" s="100">
        <v>0</v>
      </c>
      <c r="Q478" s="100"/>
      <c r="R478" s="100">
        <v>0</v>
      </c>
      <c r="S478" s="79"/>
      <c r="T478" s="100">
        <v>0</v>
      </c>
      <c r="U478" s="79"/>
      <c r="V478" s="100">
        <v>0</v>
      </c>
      <c r="W478" s="100">
        <v>0</v>
      </c>
      <c r="X478" s="100"/>
      <c r="Y478" s="100">
        <v>0</v>
      </c>
      <c r="Z478" s="100">
        <v>0</v>
      </c>
      <c r="AA478" s="100"/>
      <c r="AB478" s="100">
        <v>0</v>
      </c>
      <c r="AC478" s="100">
        <v>0</v>
      </c>
      <c r="AD478" s="101"/>
      <c r="AE478" s="79">
        <v>0</v>
      </c>
      <c r="AF478" s="79">
        <v>0</v>
      </c>
      <c r="AG478" s="79"/>
      <c r="AH478" s="79">
        <v>0</v>
      </c>
      <c r="AI478" s="79"/>
      <c r="AJ478" s="79">
        <v>0</v>
      </c>
      <c r="AK478" s="79"/>
      <c r="AL478" s="79">
        <v>1</v>
      </c>
      <c r="AM478" s="79"/>
      <c r="AN478" s="79">
        <v>0</v>
      </c>
      <c r="AO478" s="100">
        <f t="shared" si="420"/>
        <v>1</v>
      </c>
      <c r="AP478" s="14" t="str">
        <f t="shared" si="419"/>
        <v>ok</v>
      </c>
    </row>
    <row r="479" spans="1:42" x14ac:dyDescent="0.25">
      <c r="A479" s="2" t="s">
        <v>212</v>
      </c>
      <c r="B479" s="2"/>
      <c r="C479" s="2" t="s">
        <v>155</v>
      </c>
      <c r="F479" s="79">
        <v>1</v>
      </c>
      <c r="G479" s="79"/>
      <c r="H479" s="100">
        <v>0</v>
      </c>
      <c r="I479" s="100">
        <v>0</v>
      </c>
      <c r="J479" s="100">
        <v>0</v>
      </c>
      <c r="K479" s="100">
        <v>0</v>
      </c>
      <c r="L479" s="100"/>
      <c r="M479" s="100">
        <v>0</v>
      </c>
      <c r="N479" s="100">
        <v>0</v>
      </c>
      <c r="O479" s="100"/>
      <c r="P479" s="100">
        <v>0</v>
      </c>
      <c r="Q479" s="100"/>
      <c r="R479" s="100">
        <v>0</v>
      </c>
      <c r="S479" s="79"/>
      <c r="T479" s="100">
        <v>0</v>
      </c>
      <c r="U479" s="79"/>
      <c r="V479" s="100">
        <v>0</v>
      </c>
      <c r="W479" s="100">
        <v>0</v>
      </c>
      <c r="X479" s="100"/>
      <c r="Y479" s="100">
        <v>0</v>
      </c>
      <c r="Z479" s="100">
        <v>0</v>
      </c>
      <c r="AA479" s="100"/>
      <c r="AB479" s="100">
        <v>0</v>
      </c>
      <c r="AC479" s="100">
        <v>0</v>
      </c>
      <c r="AD479" s="101"/>
      <c r="AE479" s="79">
        <v>0</v>
      </c>
      <c r="AF479" s="79">
        <v>0</v>
      </c>
      <c r="AG479" s="79"/>
      <c r="AH479" s="79">
        <v>0</v>
      </c>
      <c r="AI479" s="79"/>
      <c r="AJ479" s="79">
        <v>0</v>
      </c>
      <c r="AK479" s="79"/>
      <c r="AL479" s="79">
        <v>1</v>
      </c>
      <c r="AM479" s="79"/>
      <c r="AN479" s="79">
        <v>0</v>
      </c>
      <c r="AO479" s="100">
        <f t="shared" si="420"/>
        <v>1</v>
      </c>
      <c r="AP479" s="14" t="str">
        <f t="shared" si="419"/>
        <v>ok</v>
      </c>
    </row>
    <row r="480" spans="1:42" x14ac:dyDescent="0.25">
      <c r="A480" s="9" t="s">
        <v>334</v>
      </c>
      <c r="B480" s="2"/>
      <c r="C480" s="2" t="s">
        <v>369</v>
      </c>
      <c r="F480" s="79">
        <v>1</v>
      </c>
      <c r="G480" s="79"/>
      <c r="H480" s="100">
        <v>0</v>
      </c>
      <c r="I480" s="100">
        <v>0</v>
      </c>
      <c r="J480" s="100">
        <v>0</v>
      </c>
      <c r="K480" s="100">
        <v>0</v>
      </c>
      <c r="L480" s="100"/>
      <c r="M480" s="100">
        <v>0</v>
      </c>
      <c r="N480" s="100">
        <v>0</v>
      </c>
      <c r="O480" s="100"/>
      <c r="P480" s="100">
        <v>0</v>
      </c>
      <c r="Q480" s="100"/>
      <c r="R480" s="108">
        <v>1</v>
      </c>
      <c r="S480" s="79"/>
      <c r="T480" s="100">
        <v>0</v>
      </c>
      <c r="U480" s="79"/>
      <c r="V480" s="100">
        <v>0</v>
      </c>
      <c r="W480" s="100">
        <v>0</v>
      </c>
      <c r="X480" s="100"/>
      <c r="Y480" s="100">
        <v>0</v>
      </c>
      <c r="Z480" s="100">
        <v>0</v>
      </c>
      <c r="AA480" s="100"/>
      <c r="AB480" s="100">
        <v>0</v>
      </c>
      <c r="AC480" s="100">
        <v>0</v>
      </c>
      <c r="AD480" s="101"/>
      <c r="AE480" s="79">
        <v>0</v>
      </c>
      <c r="AF480" s="79">
        <v>0</v>
      </c>
      <c r="AG480" s="79"/>
      <c r="AH480" s="79">
        <v>0</v>
      </c>
      <c r="AI480" s="79"/>
      <c r="AJ480" s="79">
        <v>0</v>
      </c>
      <c r="AK480" s="79"/>
      <c r="AL480" s="79">
        <v>0</v>
      </c>
      <c r="AM480" s="79"/>
      <c r="AN480" s="79">
        <v>0</v>
      </c>
      <c r="AO480" s="100">
        <f>SUM(H480:AN480)</f>
        <v>1</v>
      </c>
      <c r="AP480" s="14" t="str">
        <f t="shared" si="419"/>
        <v>ok</v>
      </c>
    </row>
    <row r="481" spans="1:42" x14ac:dyDescent="0.25">
      <c r="A481" s="2" t="s">
        <v>453</v>
      </c>
      <c r="B481" s="2"/>
      <c r="C481" s="2" t="s">
        <v>454</v>
      </c>
      <c r="F481" s="79">
        <v>1</v>
      </c>
      <c r="G481" s="79"/>
      <c r="H481" s="100">
        <v>0</v>
      </c>
      <c r="I481" s="100">
        <v>0</v>
      </c>
      <c r="J481" s="100">
        <v>0</v>
      </c>
      <c r="K481" s="100">
        <v>0</v>
      </c>
      <c r="L481" s="100"/>
      <c r="M481" s="100">
        <v>0</v>
      </c>
      <c r="N481" s="100">
        <v>0</v>
      </c>
      <c r="O481" s="100"/>
      <c r="P481" s="100">
        <v>0</v>
      </c>
      <c r="Q481" s="100"/>
      <c r="R481" s="100">
        <v>0</v>
      </c>
      <c r="S481" s="79"/>
      <c r="T481" s="100">
        <v>0</v>
      </c>
      <c r="U481" s="79"/>
      <c r="V481" s="100">
        <v>0</v>
      </c>
      <c r="W481" s="100">
        <v>0</v>
      </c>
      <c r="X481" s="100"/>
      <c r="Y481" s="100">
        <v>0</v>
      </c>
      <c r="Z481" s="100">
        <v>0</v>
      </c>
      <c r="AA481" s="100"/>
      <c r="AB481" s="100">
        <v>0</v>
      </c>
      <c r="AC481" s="100">
        <v>0</v>
      </c>
      <c r="AD481" s="101"/>
      <c r="AE481" s="79">
        <v>0</v>
      </c>
      <c r="AF481" s="79">
        <v>0</v>
      </c>
      <c r="AG481" s="79"/>
      <c r="AH481" s="79">
        <v>0</v>
      </c>
      <c r="AI481" s="79"/>
      <c r="AJ481" s="79">
        <v>0</v>
      </c>
      <c r="AK481" s="79"/>
      <c r="AL481" s="79">
        <v>0</v>
      </c>
      <c r="AM481" s="79"/>
      <c r="AN481" s="79">
        <v>1</v>
      </c>
      <c r="AO481" s="100">
        <f>SUM(H481:AN481)</f>
        <v>1</v>
      </c>
      <c r="AP481" s="14" t="str">
        <f t="shared" si="419"/>
        <v>ok</v>
      </c>
    </row>
    <row r="482" spans="1:42" x14ac:dyDescent="0.25">
      <c r="A482" s="2"/>
      <c r="B482" s="2"/>
      <c r="AP482" s="14"/>
    </row>
    <row r="483" spans="1:42" x14ac:dyDescent="0.25">
      <c r="A483" s="2"/>
      <c r="B483" s="2"/>
      <c r="AP483" s="14"/>
    </row>
    <row r="484" spans="1:42" x14ac:dyDescent="0.25">
      <c r="A484" s="7" t="s">
        <v>382</v>
      </c>
      <c r="B484" s="2"/>
      <c r="C484" s="2" t="s">
        <v>103</v>
      </c>
      <c r="F484" s="16">
        <v>74246944</v>
      </c>
      <c r="G484" s="119"/>
      <c r="H484" s="119">
        <f>'Purchased Power'!BL105</f>
        <v>19679910.879999999</v>
      </c>
      <c r="I484" s="119">
        <f>'Purchased Power'!BL108+'Purchased Power'!BL109</f>
        <v>1704216</v>
      </c>
      <c r="J484" s="119">
        <f>'Purchased Power'!BL115</f>
        <v>-130049</v>
      </c>
      <c r="K484" s="119">
        <f>'Purchased Power'!BL110</f>
        <v>-6340583</v>
      </c>
      <c r="L484" s="119">
        <f>'Purchased Power'!BL12</f>
        <v>29509797.417011</v>
      </c>
      <c r="M484" s="119">
        <f>'Purchased Power'!BL13+'Purchased Power'!BL76+'Purchased Power'!BL77+'Purchased Power'!BL101+'Purchased Power'!BL102+'Purchased Power'!BL117+'Purchased Power'!BL125</f>
        <v>29823651.702989001</v>
      </c>
      <c r="N484" s="119">
        <v>0</v>
      </c>
      <c r="O484" s="17"/>
      <c r="P484" s="17">
        <v>0</v>
      </c>
      <c r="Q484" s="17"/>
      <c r="R484" s="17">
        <v>0</v>
      </c>
      <c r="S484" s="17"/>
      <c r="T484" s="17">
        <v>0</v>
      </c>
      <c r="U484" s="17"/>
      <c r="V484" s="17">
        <v>0</v>
      </c>
      <c r="W484" s="17">
        <v>0</v>
      </c>
      <c r="X484" s="17"/>
      <c r="Y484" s="17">
        <v>0</v>
      </c>
      <c r="Z484" s="17">
        <v>0</v>
      </c>
      <c r="AA484" s="17"/>
      <c r="AB484" s="17">
        <v>0</v>
      </c>
      <c r="AC484" s="17">
        <v>0</v>
      </c>
      <c r="AD484" s="102"/>
      <c r="AE484" s="17">
        <v>0</v>
      </c>
      <c r="AF484" s="17">
        <v>0</v>
      </c>
      <c r="AG484" s="17"/>
      <c r="AH484" s="17">
        <v>0</v>
      </c>
      <c r="AI484" s="17"/>
      <c r="AJ484" s="17">
        <v>0</v>
      </c>
      <c r="AK484" s="17"/>
      <c r="AL484" s="17">
        <v>0</v>
      </c>
      <c r="AM484" s="17"/>
      <c r="AN484" s="17">
        <v>0</v>
      </c>
      <c r="AO484" s="17">
        <f>SUM(H484:AN484)</f>
        <v>74246944</v>
      </c>
      <c r="AP484" s="14" t="str">
        <f>IF(ABS(AO484-F484)&lt;1,"ok","err")</f>
        <v>ok</v>
      </c>
    </row>
    <row r="485" spans="1:42" x14ac:dyDescent="0.25">
      <c r="A485" s="2"/>
      <c r="B485" s="2"/>
      <c r="AP485" s="14"/>
    </row>
    <row r="486" spans="1:42" x14ac:dyDescent="0.25">
      <c r="A486" s="2" t="s">
        <v>537</v>
      </c>
      <c r="B486" s="2"/>
      <c r="C486" s="2" t="s">
        <v>535</v>
      </c>
      <c r="F486" s="78">
        <v>1</v>
      </c>
      <c r="H486" s="17">
        <v>0</v>
      </c>
      <c r="I486" s="17">
        <v>0</v>
      </c>
      <c r="J486" s="17"/>
      <c r="K486" s="17"/>
      <c r="L486" s="17"/>
      <c r="M486" s="17">
        <v>0</v>
      </c>
      <c r="N486" s="17">
        <v>0</v>
      </c>
      <c r="O486" s="17"/>
      <c r="P486" s="17">
        <v>0</v>
      </c>
      <c r="R486" s="17">
        <v>0</v>
      </c>
      <c r="T486" s="17">
        <v>0</v>
      </c>
      <c r="V486" s="17">
        <v>0</v>
      </c>
      <c r="W486" s="17">
        <v>0</v>
      </c>
      <c r="X486" s="17"/>
      <c r="Y486" s="17">
        <v>0</v>
      </c>
      <c r="Z486" s="17">
        <v>0</v>
      </c>
      <c r="AA486" s="17"/>
      <c r="AB486" s="17">
        <v>0</v>
      </c>
      <c r="AC486" s="17">
        <v>0</v>
      </c>
      <c r="AE486" s="17">
        <v>0</v>
      </c>
      <c r="AF486" s="17">
        <v>0</v>
      </c>
      <c r="AH486" s="17">
        <v>0</v>
      </c>
      <c r="AJ486" s="78">
        <v>1</v>
      </c>
      <c r="AL486" s="17">
        <v>0</v>
      </c>
      <c r="AN486" s="17">
        <v>0</v>
      </c>
      <c r="AO486" s="100">
        <f>SUM(H486:AN486)</f>
        <v>1</v>
      </c>
      <c r="AP486" s="14" t="str">
        <f>IF(ABS(AO486-F486)&lt;1,"ok","err")</f>
        <v>ok</v>
      </c>
    </row>
    <row r="487" spans="1:42" x14ac:dyDescent="0.25">
      <c r="A487" s="2" t="s">
        <v>538</v>
      </c>
      <c r="B487" s="2"/>
      <c r="C487" s="2" t="s">
        <v>536</v>
      </c>
      <c r="F487" s="78">
        <v>1</v>
      </c>
      <c r="H487" s="17">
        <v>0</v>
      </c>
      <c r="I487" s="17">
        <v>0</v>
      </c>
      <c r="J487" s="17"/>
      <c r="K487" s="17"/>
      <c r="L487" s="17"/>
      <c r="M487" s="17">
        <v>0</v>
      </c>
      <c r="N487" s="17">
        <v>0</v>
      </c>
      <c r="O487" s="17"/>
      <c r="P487" s="17">
        <v>0</v>
      </c>
      <c r="R487" s="17">
        <v>0</v>
      </c>
      <c r="T487" s="17">
        <v>0</v>
      </c>
      <c r="V487" s="17">
        <v>0</v>
      </c>
      <c r="W487" s="17">
        <v>0</v>
      </c>
      <c r="X487" s="17"/>
      <c r="Y487" s="17">
        <v>0</v>
      </c>
      <c r="Z487" s="17">
        <v>0</v>
      </c>
      <c r="AA487" s="17"/>
      <c r="AB487" s="17">
        <v>0</v>
      </c>
      <c r="AC487" s="17">
        <v>0</v>
      </c>
      <c r="AE487" s="17">
        <v>0</v>
      </c>
      <c r="AF487" s="17">
        <v>0</v>
      </c>
      <c r="AH487" s="17">
        <v>0</v>
      </c>
      <c r="AJ487" s="78">
        <v>1</v>
      </c>
      <c r="AL487" s="17">
        <v>0</v>
      </c>
      <c r="AN487" s="17">
        <v>0</v>
      </c>
      <c r="AO487" s="100">
        <f>SUM(H487:AN487)</f>
        <v>1</v>
      </c>
      <c r="AP487" s="14" t="str">
        <f>IF(ABS(AO487-F487)&lt;1,"ok","err")</f>
        <v>ok</v>
      </c>
    </row>
    <row r="488" spans="1:42" x14ac:dyDescent="0.25">
      <c r="A488" s="9" t="s">
        <v>772</v>
      </c>
      <c r="B488" s="2"/>
      <c r="C488" s="2" t="s">
        <v>540</v>
      </c>
      <c r="F488" s="79">
        <v>1</v>
      </c>
      <c r="G488" s="79"/>
      <c r="H488" s="100">
        <v>0</v>
      </c>
      <c r="I488" s="117">
        <v>0</v>
      </c>
      <c r="J488" s="117"/>
      <c r="K488" s="117"/>
      <c r="L488" s="117"/>
      <c r="M488" s="117">
        <v>0</v>
      </c>
      <c r="N488" s="117">
        <v>0</v>
      </c>
      <c r="O488" s="117"/>
      <c r="P488" s="100">
        <v>1</v>
      </c>
      <c r="Q488" s="100"/>
      <c r="R488" s="100">
        <v>0</v>
      </c>
      <c r="S488" s="79"/>
      <c r="T488" s="100">
        <v>0</v>
      </c>
      <c r="U488" s="79"/>
      <c r="V488" s="100">
        <v>0</v>
      </c>
      <c r="W488" s="100">
        <v>0</v>
      </c>
      <c r="X488" s="100"/>
      <c r="Y488" s="100">
        <v>0</v>
      </c>
      <c r="Z488" s="100">
        <v>0</v>
      </c>
      <c r="AA488" s="100"/>
      <c r="AB488" s="100">
        <v>0</v>
      </c>
      <c r="AC488" s="100">
        <v>0</v>
      </c>
      <c r="AD488" s="101"/>
      <c r="AE488" s="79">
        <v>0</v>
      </c>
      <c r="AF488" s="79">
        <v>0</v>
      </c>
      <c r="AG488" s="79"/>
      <c r="AH488" s="79">
        <v>0</v>
      </c>
      <c r="AI488" s="79"/>
      <c r="AJ488" s="79">
        <v>0</v>
      </c>
      <c r="AK488" s="79"/>
      <c r="AL488" s="79">
        <v>0</v>
      </c>
      <c r="AM488" s="79"/>
      <c r="AN488" s="79">
        <v>0</v>
      </c>
      <c r="AO488" s="100">
        <f>SUM(H488:AN488)</f>
        <v>1</v>
      </c>
      <c r="AP488" s="14" t="str">
        <f>IF(ABS(AO488-F488)&lt;0.0000001,"ok","err")</f>
        <v>ok</v>
      </c>
    </row>
    <row r="489" spans="1:42" x14ac:dyDescent="0.25">
      <c r="A489" s="2" t="s">
        <v>542</v>
      </c>
      <c r="B489" s="2"/>
      <c r="C489" s="2" t="s">
        <v>541</v>
      </c>
      <c r="F489" s="79">
        <v>1</v>
      </c>
      <c r="G489" s="79"/>
      <c r="H489" s="100">
        <v>0</v>
      </c>
      <c r="I489" s="117">
        <v>0</v>
      </c>
      <c r="J489" s="117"/>
      <c r="K489" s="117"/>
      <c r="L489" s="117"/>
      <c r="M489" s="117">
        <v>0</v>
      </c>
      <c r="N489" s="117">
        <v>0</v>
      </c>
      <c r="O489" s="117"/>
      <c r="P489" s="100">
        <v>1</v>
      </c>
      <c r="Q489" s="100"/>
      <c r="R489" s="100">
        <v>0</v>
      </c>
      <c r="S489" s="79"/>
      <c r="T489" s="100">
        <v>0</v>
      </c>
      <c r="U489" s="79"/>
      <c r="V489" s="100">
        <v>0</v>
      </c>
      <c r="W489" s="100">
        <v>0</v>
      </c>
      <c r="X489" s="100"/>
      <c r="Y489" s="100">
        <v>0</v>
      </c>
      <c r="Z489" s="100">
        <v>0</v>
      </c>
      <c r="AA489" s="100"/>
      <c r="AB489" s="100">
        <v>0</v>
      </c>
      <c r="AC489" s="100">
        <v>0</v>
      </c>
      <c r="AD489" s="101"/>
      <c r="AE489" s="79">
        <v>0</v>
      </c>
      <c r="AF489" s="79">
        <v>0</v>
      </c>
      <c r="AG489" s="79"/>
      <c r="AH489" s="79">
        <v>0</v>
      </c>
      <c r="AI489" s="79"/>
      <c r="AJ489" s="79">
        <v>0</v>
      </c>
      <c r="AK489" s="79"/>
      <c r="AL489" s="79">
        <v>0</v>
      </c>
      <c r="AM489" s="79"/>
      <c r="AN489" s="79">
        <v>0</v>
      </c>
      <c r="AO489" s="100">
        <f>SUM(H489:AN489)</f>
        <v>1</v>
      </c>
      <c r="AP489" s="14" t="str">
        <f>IF(ABS(AO489-F489)&lt;0.0000001,"ok","err")</f>
        <v>ok</v>
      </c>
    </row>
    <row r="490" spans="1:42" x14ac:dyDescent="0.25">
      <c r="A490" s="2"/>
      <c r="B490" s="2"/>
      <c r="AP490" s="14"/>
    </row>
    <row r="491" spans="1:42" x14ac:dyDescent="0.25">
      <c r="A491" s="2" t="s">
        <v>694</v>
      </c>
      <c r="B491" s="2"/>
      <c r="AO491" s="15">
        <f>AO484-F161</f>
        <v>0</v>
      </c>
      <c r="AP491" s="14"/>
    </row>
    <row r="492" spans="1:42" x14ac:dyDescent="0.25">
      <c r="A492" s="2"/>
      <c r="B492" s="2" t="s">
        <v>12</v>
      </c>
      <c r="F492" s="16">
        <f>H72+I72+M72+N72+O72+R72+T72+V72+AE72</f>
        <v>14621958.730361866</v>
      </c>
      <c r="H492" s="24">
        <f>F492/F494</f>
        <v>0.47265887421903702</v>
      </c>
      <c r="AP492" s="14"/>
    </row>
    <row r="493" spans="1:42" x14ac:dyDescent="0.25">
      <c r="A493" s="2"/>
      <c r="B493" s="2" t="s">
        <v>14</v>
      </c>
      <c r="F493" s="103">
        <f>W72+AF72+AH72+AJ72+AL72+AN72</f>
        <v>16313583.852058448</v>
      </c>
      <c r="H493" s="24">
        <f>F493/F494</f>
        <v>0.52734112578096304</v>
      </c>
      <c r="AP493" s="14"/>
    </row>
    <row r="494" spans="1:42" x14ac:dyDescent="0.25">
      <c r="F494" s="16">
        <f>SUM(F492:F493)</f>
        <v>30935542.582420312</v>
      </c>
      <c r="AP494" s="14"/>
    </row>
    <row r="495" spans="1:42" x14ac:dyDescent="0.25">
      <c r="AP495" s="14"/>
    </row>
    <row r="496" spans="1:42" x14ac:dyDescent="0.25">
      <c r="N496" s="20">
        <f>M484+N484</f>
        <v>29823651.702989001</v>
      </c>
    </row>
  </sheetData>
  <mergeCells count="4">
    <mergeCell ref="V2:W2"/>
    <mergeCell ref="Y2:Z2"/>
    <mergeCell ref="H2:N2"/>
    <mergeCell ref="AB2:AC2"/>
  </mergeCells>
  <phoneticPr fontId="0" type="noConversion"/>
  <pageMargins left="0.25" right="0.25" top="1.25" bottom="0.5" header="0.5" footer="0.2"/>
  <pageSetup scale="56" fitToWidth="3" pageOrder="overThenDown" orientation="landscape" horizontalDpi="300" verticalDpi="300" r:id="rId1"/>
  <headerFooter alignWithMargins="0">
    <oddHeader>&amp;C&amp;"Times New Roman,Bold" SOUTH KENTUCKY RECC 
Cost of Service Study
Functional Assignment and Classification
12 Months Ended 
March 31, 2020
&amp;R&amp;"Times New Roman,Bold"&amp;12Exhibit WSS-7
Page &amp;P of &amp;N</oddHeader>
  </headerFooter>
  <rowBreaks count="10" manualBreakCount="10">
    <brk id="55" max="40" man="1"/>
    <brk id="101" max="40" man="1"/>
    <brk id="148" max="40" man="1"/>
    <brk id="193" max="40" man="1"/>
    <brk id="243" max="40" man="1"/>
    <brk id="290" max="40" man="1"/>
    <brk id="336" max="40" man="1"/>
    <brk id="386" max="40" man="1"/>
    <brk id="417" max="40" man="1"/>
    <brk id="466" max="40" man="1"/>
  </rowBreaks>
  <colBreaks count="2" manualBreakCount="2">
    <brk id="15" max="488" man="1"/>
    <brk id="29" max="49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Z951"/>
  <sheetViews>
    <sheetView view="pageBreakPreview" zoomScale="110" zoomScaleNormal="100" zoomScaleSheetLayoutView="110" workbookViewId="0">
      <pane xSplit="2" ySplit="3" topLeftCell="C598" activePane="bottomRight" state="frozen"/>
      <selection pane="topRight" activeCell="C1" sqref="C1"/>
      <selection pane="bottomLeft" activeCell="A4" sqref="A4"/>
      <selection pane="bottomRight" activeCell="F907" sqref="F907"/>
    </sheetView>
  </sheetViews>
  <sheetFormatPr defaultRowHeight="15" x14ac:dyDescent="0.25"/>
  <cols>
    <col min="1" max="1" width="7.7109375" style="2" customWidth="1"/>
    <col min="2" max="2" width="50" style="2" customWidth="1"/>
    <col min="3" max="3" width="14" style="2" customWidth="1"/>
    <col min="4" max="4" width="14.85546875" style="2" bestFit="1" customWidth="1"/>
    <col min="5" max="5" width="16.28515625" style="2" customWidth="1"/>
    <col min="6" max="6" width="21.5703125" style="2" customWidth="1"/>
    <col min="7" max="8" width="17.140625" style="2" customWidth="1"/>
    <col min="9" max="9" width="18.5703125" style="2" customWidth="1"/>
    <col min="10" max="11" width="18.140625" style="2" customWidth="1"/>
    <col min="12" max="13" width="17.140625" style="2" customWidth="1"/>
    <col min="14" max="14" width="17.5703125" style="2" customWidth="1"/>
    <col min="15" max="16" width="18.28515625" style="2" hidden="1" customWidth="1"/>
    <col min="17" max="17" width="17.7109375" style="2" hidden="1" customWidth="1"/>
    <col min="18" max="18" width="18.7109375" style="2" hidden="1" customWidth="1"/>
    <col min="19" max="19" width="18.140625" style="2" hidden="1" customWidth="1"/>
    <col min="20" max="20" width="20.85546875" style="2" hidden="1" customWidth="1"/>
    <col min="21" max="21" width="19.85546875" style="2" hidden="1" customWidth="1"/>
    <col min="22" max="22" width="19.140625" style="2" hidden="1" customWidth="1"/>
    <col min="23" max="23" width="19.42578125" style="2" hidden="1" customWidth="1"/>
    <col min="24" max="24" width="19.85546875" style="2" hidden="1" customWidth="1"/>
    <col min="25" max="25" width="18.85546875" style="2" hidden="1" customWidth="1"/>
    <col min="26" max="32" width="17.7109375" style="2" hidden="1" customWidth="1"/>
    <col min="33" max="33" width="19.5703125" style="2" customWidth="1"/>
    <col min="34" max="34" width="10.7109375" style="2" customWidth="1"/>
    <col min="35" max="35" width="9.140625" style="2"/>
    <col min="36" max="36" width="15.42578125" style="2" bestFit="1" customWidth="1"/>
    <col min="37" max="16384" width="9.140625" style="2"/>
  </cols>
  <sheetData>
    <row r="1" spans="1:52" x14ac:dyDescent="0.25">
      <c r="A1" s="58"/>
      <c r="B1" s="58"/>
      <c r="C1" s="58"/>
      <c r="D1" s="58"/>
      <c r="F1" s="2" t="s">
        <v>731</v>
      </c>
    </row>
    <row r="2" spans="1:52" ht="60" customHeight="1" x14ac:dyDescent="0.25">
      <c r="A2" s="7"/>
      <c r="B2" s="7"/>
      <c r="C2" s="4"/>
      <c r="D2" s="59" t="s">
        <v>213</v>
      </c>
      <c r="E2" s="60" t="s">
        <v>1</v>
      </c>
      <c r="F2" s="173" t="s">
        <v>1010</v>
      </c>
      <c r="G2" s="173" t="s">
        <v>1002</v>
      </c>
      <c r="H2" s="173" t="s">
        <v>1013</v>
      </c>
      <c r="I2" s="173" t="s">
        <v>1005</v>
      </c>
      <c r="J2" s="173" t="s">
        <v>1006</v>
      </c>
      <c r="K2" s="173" t="s">
        <v>1017</v>
      </c>
      <c r="L2" s="173" t="s">
        <v>1019</v>
      </c>
      <c r="M2" s="173" t="s">
        <v>1021</v>
      </c>
      <c r="N2" s="173" t="s">
        <v>865</v>
      </c>
      <c r="O2" s="173"/>
      <c r="P2" s="3"/>
      <c r="Q2" s="3"/>
      <c r="R2" s="3"/>
      <c r="S2" s="3"/>
      <c r="T2" s="3"/>
      <c r="U2" s="3"/>
      <c r="V2" s="3"/>
      <c r="W2" s="166"/>
      <c r="X2" s="4"/>
      <c r="Y2" s="166"/>
      <c r="Z2" s="4"/>
      <c r="AA2" s="4" t="s">
        <v>681</v>
      </c>
      <c r="AB2" s="4" t="s">
        <v>681</v>
      </c>
      <c r="AC2" s="4" t="s">
        <v>681</v>
      </c>
      <c r="AD2" s="4" t="s">
        <v>681</v>
      </c>
      <c r="AE2" s="4" t="s">
        <v>681</v>
      </c>
      <c r="AF2" s="4" t="s">
        <v>681</v>
      </c>
      <c r="AG2" s="46"/>
      <c r="AH2" s="7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5.75" thickBot="1" x14ac:dyDescent="0.3">
      <c r="A3" s="62" t="s">
        <v>8</v>
      </c>
      <c r="B3" s="62"/>
      <c r="C3" s="63" t="s">
        <v>9</v>
      </c>
      <c r="D3" s="63" t="s">
        <v>10</v>
      </c>
      <c r="E3" s="64" t="s">
        <v>11</v>
      </c>
      <c r="F3" s="174" t="s">
        <v>1011</v>
      </c>
      <c r="G3" s="174" t="s">
        <v>1012</v>
      </c>
      <c r="H3" s="174" t="s">
        <v>1014</v>
      </c>
      <c r="I3" s="174" t="s">
        <v>1015</v>
      </c>
      <c r="J3" s="174" t="s">
        <v>1016</v>
      </c>
      <c r="K3" s="174" t="s">
        <v>1018</v>
      </c>
      <c r="L3" s="174" t="s">
        <v>1020</v>
      </c>
      <c r="M3" s="174" t="s">
        <v>1022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 t="s">
        <v>15</v>
      </c>
      <c r="AH3" s="64" t="s">
        <v>16</v>
      </c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5" spans="1:52" x14ac:dyDescent="0.25">
      <c r="A5" s="6" t="s">
        <v>17</v>
      </c>
    </row>
    <row r="7" spans="1:52" x14ac:dyDescent="0.25">
      <c r="A7" s="8" t="s">
        <v>2</v>
      </c>
    </row>
    <row r="8" spans="1:52" x14ac:dyDescent="0.25">
      <c r="A8" s="118" t="s">
        <v>214</v>
      </c>
      <c r="C8" s="2" t="s">
        <v>868</v>
      </c>
      <c r="D8" s="9" t="s">
        <v>1072</v>
      </c>
      <c r="E8" s="65">
        <f>'Functional Assignment'!H79</f>
        <v>0</v>
      </c>
      <c r="F8" s="65">
        <f t="shared" ref="F8:F14" si="0">IF(VLOOKUP($D8,$C$5:$AU$836,3,)=0,0,(VLOOKUP($D8,$C$5:$AU$836,4,)/VLOOKUP($D8,$C$5:$AU$836,3,))*$E8)</f>
        <v>0</v>
      </c>
      <c r="G8" s="65">
        <f t="shared" ref="G8:G14" si="1">IF(VLOOKUP($D8,$C$5:$AU$836,3,)=0,0,(VLOOKUP($D8,$C$5:$AU$836,5,)/VLOOKUP($D8,$C$5:$AU$836,3,))*$E8)</f>
        <v>0</v>
      </c>
      <c r="H8" s="65">
        <f t="shared" ref="H8:H14" si="2">IF(VLOOKUP($D8,$C$5:$AU$836,3,)=0,0,(VLOOKUP($D8,$C$5:$AU$836,6,)/VLOOKUP($D8,$C$5:$AU$836,3,))*$E8)</f>
        <v>0</v>
      </c>
      <c r="I8" s="65">
        <f t="shared" ref="I8:I14" si="3">IF(VLOOKUP($D8,$C$5:$AU$836,3,)=0,0,(VLOOKUP($D8,$C$5:$AU$836,7,)/VLOOKUP($D8,$C$5:$AU$836,3,))*$E8)</f>
        <v>0</v>
      </c>
      <c r="J8" s="65">
        <f t="shared" ref="J8:J14" si="4">IF(VLOOKUP($D8,$C$5:$AU$836,3,)=0,0,(VLOOKUP($D8,$C$5:$AU$836,8,)/VLOOKUP($D8,$C$5:$AU$836,3,))*$E8)</f>
        <v>0</v>
      </c>
      <c r="K8" s="65">
        <f t="shared" ref="K8:K14" si="5">IF(VLOOKUP($D8,$C$5:$AU$836,3,)=0,0,(VLOOKUP($D8,$C$5:$AU$836,9,)/VLOOKUP($D8,$C$5:$AU$836,3,))*$E8)</f>
        <v>0</v>
      </c>
      <c r="L8" s="65">
        <f t="shared" ref="L8:L14" si="6">IF(VLOOKUP($D8,$C$5:$AU$836,3,)=0,0,(VLOOKUP($D8,$C$5:$AU$836,10,)/VLOOKUP($D8,$C$5:$AU$836,3,))*$E8)</f>
        <v>0</v>
      </c>
      <c r="M8" s="65">
        <f t="shared" ref="M8:M14" si="7">IF(VLOOKUP($D8,$C$5:$AU$836,3,)=0,0,(VLOOKUP($D8,$C$5:$AU$836,11,)/VLOOKUP($D8,$C$5:$AU$836,3,))*$E8)</f>
        <v>0</v>
      </c>
      <c r="N8" s="65">
        <f t="shared" ref="N8:N14" si="8">IF(VLOOKUP($D8,$C$5:$AU$836,3,)=0,0,(VLOOKUP($D8,$C$5:$AU$836,12,)/VLOOKUP($D8,$C$5:$AU$836,3,))*$E8)</f>
        <v>0</v>
      </c>
      <c r="O8" s="65">
        <f t="shared" ref="O8:O14" si="9">IF(VLOOKUP($D8,$C$5:$AU$836,3,)=0,0,(VLOOKUP($D8,$C$5:$AU$836,13,)/VLOOKUP($D8,$C$5:$AU$836,3,))*$E8)</f>
        <v>0</v>
      </c>
      <c r="P8" s="65">
        <f t="shared" ref="P8:P14" si="10">IF(VLOOKUP($D8,$C$5:$AU$836,3,)=0,0,(VLOOKUP($D8,$C$5:$AU$836,14,)/VLOOKUP($D8,$C$5:$AU$836,3,))*$E8)</f>
        <v>0</v>
      </c>
      <c r="Q8" s="65">
        <f t="shared" ref="Q8:Q14" si="11">IF(VLOOKUP($D8,$C$5:$AU$836,3,)=0,0,(VLOOKUP($D8,$C$5:$AU$836,15,)/VLOOKUP($D8,$C$5:$AU$836,3,))*$E8)</f>
        <v>0</v>
      </c>
      <c r="R8" s="65">
        <f t="shared" ref="R8:R14" si="12">IF(VLOOKUP($D8,$C$5:$AU$836,3,)=0,0,(VLOOKUP($D8,$C$5:$AU$836,16,)/VLOOKUP($D8,$C$5:$AU$836,3,))*$E8)</f>
        <v>0</v>
      </c>
      <c r="S8" s="65">
        <f t="shared" ref="S8:S14" si="13">IF(VLOOKUP($D8,$C$5:$AU$836,3,)=0,0,(VLOOKUP($D8,$C$5:$AU$836,17,)/VLOOKUP($D8,$C$5:$AU$836,3,))*$E8)</f>
        <v>0</v>
      </c>
      <c r="T8" s="65">
        <f t="shared" ref="T8:T14" si="14">IF(VLOOKUP($D8,$C$5:$AU$836,3,)=0,0,(VLOOKUP($D8,$C$5:$AU$836,18,)/VLOOKUP($D8,$C$5:$AU$836,3,))*$E8)</f>
        <v>0</v>
      </c>
      <c r="U8" s="65">
        <f t="shared" ref="U8:U14" si="15">IF(VLOOKUP($D8,$C$5:$AU$836,3,)=0,0,(VLOOKUP($D8,$C$5:$AU$836,19,)/VLOOKUP($D8,$C$5:$AU$836,3,))*$E8)</f>
        <v>0</v>
      </c>
      <c r="V8" s="65">
        <f t="shared" ref="V8:V14" si="16">IF(VLOOKUP($D8,$C$5:$AU$836,3,)=0,0,(VLOOKUP($D8,$C$5:$AU$836,20,)/VLOOKUP($D8,$C$5:$AU$836,3,))*$E8)</f>
        <v>0</v>
      </c>
      <c r="W8" s="65">
        <f t="shared" ref="W8:W14" si="17">IF(VLOOKUP($D8,$C$5:$AU$836,3,)=0,0,(VLOOKUP($D8,$C$5:$AU$836,21,)/VLOOKUP($D8,$C$5:$AU$836,3,))*$E8)</f>
        <v>0</v>
      </c>
      <c r="X8" s="65">
        <f t="shared" ref="X8:X14" si="18">IF(VLOOKUP($D8,$C$5:$AU$836,3,)=0,0,(VLOOKUP($D8,$C$5:$AU$836,22,)/VLOOKUP($D8,$C$5:$AU$836,3,))*$E8)</f>
        <v>0</v>
      </c>
      <c r="Y8" s="65">
        <f t="shared" ref="Y8:Y14" si="19">IF(VLOOKUP($D8,$C$5:$AU$836,3,)=0,0,(VLOOKUP($D8,$C$5:$AU$836,23,)/VLOOKUP($D8,$C$5:$AU$836,3,))*$E8)</f>
        <v>0</v>
      </c>
      <c r="Z8" s="65">
        <f t="shared" ref="Z8:Z14" si="20">IF(VLOOKUP($D8,$C$5:$AU$836,3,)=0,0,(VLOOKUP($D8,$C$5:$AU$836,24,)/VLOOKUP($D8,$C$5:$AU$836,3,))*$E8)</f>
        <v>0</v>
      </c>
      <c r="AA8" s="65">
        <f t="shared" ref="AA8:AA14" si="21">IF(VLOOKUP($D8,$C$5:$AU$836,3,)=0,0,(VLOOKUP($D8,$C$5:$AU$836,25,)/VLOOKUP($D8,$C$5:$AU$836,3,))*$E8)</f>
        <v>0</v>
      </c>
      <c r="AB8" s="65">
        <f t="shared" ref="AB8:AB14" si="22">IF(VLOOKUP($D8,$C$5:$AU$836,3,)=0,0,(VLOOKUP($D8,$C$5:$AU$836,26,)/VLOOKUP($D8,$C$5:$AU$836,3,))*$E8)</f>
        <v>0</v>
      </c>
      <c r="AC8" s="65">
        <f t="shared" ref="AC8:AC14" si="23">IF(VLOOKUP($D8,$C$5:$AU$836,3,)=0,0,(VLOOKUP($D8,$C$5:$AU$836,27,)/VLOOKUP($D8,$C$5:$AU$836,3,))*$E8)</f>
        <v>0</v>
      </c>
      <c r="AD8" s="65">
        <f t="shared" ref="AD8:AD14" si="24">IF(VLOOKUP($D8,$C$5:$AU$836,3,)=0,0,(VLOOKUP($D8,$C$5:$AU$836,28,)/VLOOKUP($D8,$C$5:$AU$836,3,))*$E8)</f>
        <v>0</v>
      </c>
      <c r="AE8" s="65">
        <f t="shared" ref="AE8:AE14" si="25">IF(VLOOKUP($D8,$C$5:$AU$836,3,)=0,0,(VLOOKUP($D8,$C$5:$AU$836,29,)/VLOOKUP($D8,$C$5:$AU$836,3,))*$E8)</f>
        <v>0</v>
      </c>
      <c r="AF8" s="65">
        <f t="shared" ref="AF8:AF14" si="26">IF(VLOOKUP($D8,$C$5:$AU$836,3,)=0,0,(VLOOKUP($D8,$C$5:$AU$836,30,)/VLOOKUP($D8,$C$5:$AU$836,3,))*$E8)</f>
        <v>0</v>
      </c>
      <c r="AG8" s="16">
        <f t="shared" ref="AG8:AG16" si="27">SUM(F8:AF8)</f>
        <v>0</v>
      </c>
      <c r="AH8" s="14" t="str">
        <f t="shared" ref="AH8:AH14" si="28">IF(ABS(E8-AG8)&lt;0.01,"ok","err")</f>
        <v>ok</v>
      </c>
    </row>
    <row r="9" spans="1:52" x14ac:dyDescent="0.25">
      <c r="A9" s="118" t="s">
        <v>1069</v>
      </c>
      <c r="C9" s="2" t="s">
        <v>706</v>
      </c>
      <c r="D9" s="2" t="s">
        <v>839</v>
      </c>
      <c r="E9" s="65">
        <f>'Functional Assignment'!I79</f>
        <v>0</v>
      </c>
      <c r="F9" s="65">
        <f t="shared" si="0"/>
        <v>0</v>
      </c>
      <c r="G9" s="65">
        <f t="shared" si="1"/>
        <v>0</v>
      </c>
      <c r="H9" s="65">
        <f t="shared" si="2"/>
        <v>0</v>
      </c>
      <c r="I9" s="65">
        <f t="shared" si="3"/>
        <v>0</v>
      </c>
      <c r="J9" s="65">
        <f t="shared" si="4"/>
        <v>0</v>
      </c>
      <c r="K9" s="65">
        <f t="shared" si="5"/>
        <v>0</v>
      </c>
      <c r="L9" s="65">
        <f t="shared" si="6"/>
        <v>0</v>
      </c>
      <c r="M9" s="65">
        <f t="shared" si="7"/>
        <v>0</v>
      </c>
      <c r="N9" s="65">
        <f t="shared" si="8"/>
        <v>0</v>
      </c>
      <c r="O9" s="65">
        <f t="shared" si="9"/>
        <v>0</v>
      </c>
      <c r="P9" s="65">
        <f t="shared" si="10"/>
        <v>0</v>
      </c>
      <c r="Q9" s="65">
        <f t="shared" si="11"/>
        <v>0</v>
      </c>
      <c r="R9" s="65">
        <f t="shared" si="12"/>
        <v>0</v>
      </c>
      <c r="S9" s="65">
        <f t="shared" si="13"/>
        <v>0</v>
      </c>
      <c r="T9" s="65">
        <f t="shared" si="14"/>
        <v>0</v>
      </c>
      <c r="U9" s="65">
        <f t="shared" si="15"/>
        <v>0</v>
      </c>
      <c r="V9" s="65">
        <f t="shared" si="16"/>
        <v>0</v>
      </c>
      <c r="W9" s="65">
        <f t="shared" si="17"/>
        <v>0</v>
      </c>
      <c r="X9" s="65">
        <f t="shared" si="18"/>
        <v>0</v>
      </c>
      <c r="Y9" s="65">
        <f t="shared" si="19"/>
        <v>0</v>
      </c>
      <c r="Z9" s="65">
        <f t="shared" si="20"/>
        <v>0</v>
      </c>
      <c r="AA9" s="65">
        <f t="shared" si="21"/>
        <v>0</v>
      </c>
      <c r="AB9" s="65">
        <f t="shared" si="22"/>
        <v>0</v>
      </c>
      <c r="AC9" s="65">
        <f t="shared" si="23"/>
        <v>0</v>
      </c>
      <c r="AD9" s="65">
        <f t="shared" si="24"/>
        <v>0</v>
      </c>
      <c r="AE9" s="65">
        <f t="shared" si="25"/>
        <v>0</v>
      </c>
      <c r="AF9" s="65">
        <f t="shared" si="26"/>
        <v>0</v>
      </c>
      <c r="AG9" s="16">
        <f t="shared" si="27"/>
        <v>0</v>
      </c>
      <c r="AH9" s="14" t="str">
        <f t="shared" si="28"/>
        <v>ok</v>
      </c>
    </row>
    <row r="10" spans="1:52" ht="15" customHeight="1" x14ac:dyDescent="0.25">
      <c r="A10" s="118" t="s">
        <v>1070</v>
      </c>
      <c r="C10" s="2" t="s">
        <v>869</v>
      </c>
      <c r="D10" s="9" t="s">
        <v>1073</v>
      </c>
      <c r="E10" s="65">
        <f>'Functional Assignment'!J79</f>
        <v>0</v>
      </c>
      <c r="F10" s="65">
        <f t="shared" si="0"/>
        <v>0</v>
      </c>
      <c r="G10" s="65">
        <f t="shared" si="1"/>
        <v>0</v>
      </c>
      <c r="H10" s="65">
        <f t="shared" si="2"/>
        <v>0</v>
      </c>
      <c r="I10" s="65">
        <f t="shared" si="3"/>
        <v>0</v>
      </c>
      <c r="J10" s="65">
        <f t="shared" si="4"/>
        <v>0</v>
      </c>
      <c r="K10" s="65">
        <f t="shared" si="5"/>
        <v>0</v>
      </c>
      <c r="L10" s="65">
        <f t="shared" si="6"/>
        <v>0</v>
      </c>
      <c r="M10" s="65">
        <f t="shared" si="7"/>
        <v>0</v>
      </c>
      <c r="N10" s="65">
        <f t="shared" si="8"/>
        <v>0</v>
      </c>
      <c r="O10" s="65">
        <f t="shared" si="9"/>
        <v>0</v>
      </c>
      <c r="P10" s="65">
        <f t="shared" si="10"/>
        <v>0</v>
      </c>
      <c r="Q10" s="65">
        <f t="shared" si="11"/>
        <v>0</v>
      </c>
      <c r="R10" s="65">
        <f t="shared" si="12"/>
        <v>0</v>
      </c>
      <c r="S10" s="65">
        <f t="shared" si="13"/>
        <v>0</v>
      </c>
      <c r="T10" s="65">
        <f t="shared" si="14"/>
        <v>0</v>
      </c>
      <c r="U10" s="65">
        <f t="shared" si="15"/>
        <v>0</v>
      </c>
      <c r="V10" s="65">
        <f t="shared" si="16"/>
        <v>0</v>
      </c>
      <c r="W10" s="65">
        <f t="shared" si="17"/>
        <v>0</v>
      </c>
      <c r="X10" s="65">
        <f t="shared" si="18"/>
        <v>0</v>
      </c>
      <c r="Y10" s="65">
        <f t="shared" si="19"/>
        <v>0</v>
      </c>
      <c r="Z10" s="65">
        <f t="shared" si="20"/>
        <v>0</v>
      </c>
      <c r="AA10" s="65">
        <f t="shared" si="21"/>
        <v>0</v>
      </c>
      <c r="AB10" s="65">
        <f t="shared" si="22"/>
        <v>0</v>
      </c>
      <c r="AC10" s="65">
        <f t="shared" si="23"/>
        <v>0</v>
      </c>
      <c r="AD10" s="65">
        <f t="shared" si="24"/>
        <v>0</v>
      </c>
      <c r="AE10" s="65">
        <f t="shared" si="25"/>
        <v>0</v>
      </c>
      <c r="AF10" s="65">
        <f t="shared" si="26"/>
        <v>0</v>
      </c>
      <c r="AG10" s="16">
        <f t="shared" si="27"/>
        <v>0</v>
      </c>
      <c r="AH10" s="14" t="str">
        <f t="shared" si="28"/>
        <v>ok</v>
      </c>
    </row>
    <row r="11" spans="1:52" x14ac:dyDescent="0.25">
      <c r="A11" s="118" t="s">
        <v>1071</v>
      </c>
      <c r="C11" s="2" t="s">
        <v>870</v>
      </c>
      <c r="D11" s="9" t="s">
        <v>1074</v>
      </c>
      <c r="E11" s="65">
        <f>'Functional Assignment'!K79</f>
        <v>0</v>
      </c>
      <c r="F11" s="65">
        <f t="shared" si="0"/>
        <v>0</v>
      </c>
      <c r="G11" s="65">
        <f t="shared" si="1"/>
        <v>0</v>
      </c>
      <c r="H11" s="65">
        <f t="shared" si="2"/>
        <v>0</v>
      </c>
      <c r="I11" s="65">
        <f t="shared" si="3"/>
        <v>0</v>
      </c>
      <c r="J11" s="65">
        <f t="shared" si="4"/>
        <v>0</v>
      </c>
      <c r="K11" s="65">
        <f t="shared" si="5"/>
        <v>0</v>
      </c>
      <c r="L11" s="65">
        <f t="shared" si="6"/>
        <v>0</v>
      </c>
      <c r="M11" s="65">
        <f t="shared" si="7"/>
        <v>0</v>
      </c>
      <c r="N11" s="65">
        <f t="shared" si="8"/>
        <v>0</v>
      </c>
      <c r="O11" s="65">
        <f t="shared" si="9"/>
        <v>0</v>
      </c>
      <c r="P11" s="65">
        <f t="shared" si="10"/>
        <v>0</v>
      </c>
      <c r="Q11" s="65">
        <f t="shared" si="11"/>
        <v>0</v>
      </c>
      <c r="R11" s="65">
        <f t="shared" si="12"/>
        <v>0</v>
      </c>
      <c r="S11" s="65">
        <f t="shared" si="13"/>
        <v>0</v>
      </c>
      <c r="T11" s="65">
        <f t="shared" si="14"/>
        <v>0</v>
      </c>
      <c r="U11" s="65">
        <f t="shared" si="15"/>
        <v>0</v>
      </c>
      <c r="V11" s="65">
        <f t="shared" si="16"/>
        <v>0</v>
      </c>
      <c r="W11" s="65">
        <f t="shared" si="17"/>
        <v>0</v>
      </c>
      <c r="X11" s="65">
        <f t="shared" si="18"/>
        <v>0</v>
      </c>
      <c r="Y11" s="65">
        <f t="shared" si="19"/>
        <v>0</v>
      </c>
      <c r="Z11" s="65">
        <f t="shared" si="20"/>
        <v>0</v>
      </c>
      <c r="AA11" s="65">
        <f t="shared" si="21"/>
        <v>0</v>
      </c>
      <c r="AB11" s="65">
        <f t="shared" si="22"/>
        <v>0</v>
      </c>
      <c r="AC11" s="65">
        <f t="shared" si="23"/>
        <v>0</v>
      </c>
      <c r="AD11" s="65">
        <f t="shared" si="24"/>
        <v>0</v>
      </c>
      <c r="AE11" s="65">
        <f t="shared" si="25"/>
        <v>0</v>
      </c>
      <c r="AF11" s="65">
        <f t="shared" si="26"/>
        <v>0</v>
      </c>
      <c r="AG11" s="16">
        <f t="shared" si="27"/>
        <v>0</v>
      </c>
      <c r="AH11" s="14" t="str">
        <f t="shared" si="28"/>
        <v>ok</v>
      </c>
    </row>
    <row r="12" spans="1:52" ht="16.5" customHeight="1" x14ac:dyDescent="0.25">
      <c r="A12" s="118" t="s">
        <v>1063</v>
      </c>
      <c r="C12" s="2" t="s">
        <v>216</v>
      </c>
      <c r="D12" s="2" t="s">
        <v>918</v>
      </c>
      <c r="E12" s="65">
        <f>'Functional Assignment'!L79</f>
        <v>0</v>
      </c>
      <c r="F12" s="65">
        <f t="shared" si="0"/>
        <v>0</v>
      </c>
      <c r="G12" s="65">
        <f t="shared" si="1"/>
        <v>0</v>
      </c>
      <c r="H12" s="65">
        <f t="shared" si="2"/>
        <v>0</v>
      </c>
      <c r="I12" s="65">
        <f t="shared" si="3"/>
        <v>0</v>
      </c>
      <c r="J12" s="65">
        <f t="shared" si="4"/>
        <v>0</v>
      </c>
      <c r="K12" s="65">
        <f t="shared" si="5"/>
        <v>0</v>
      </c>
      <c r="L12" s="65">
        <f t="shared" si="6"/>
        <v>0</v>
      </c>
      <c r="M12" s="65">
        <f t="shared" si="7"/>
        <v>0</v>
      </c>
      <c r="N12" s="65">
        <f t="shared" si="8"/>
        <v>0</v>
      </c>
      <c r="O12" s="65">
        <f t="shared" si="9"/>
        <v>0</v>
      </c>
      <c r="P12" s="65">
        <f t="shared" si="10"/>
        <v>0</v>
      </c>
      <c r="Q12" s="65">
        <f t="shared" si="11"/>
        <v>0</v>
      </c>
      <c r="R12" s="65">
        <f t="shared" si="12"/>
        <v>0</v>
      </c>
      <c r="S12" s="65">
        <f t="shared" si="13"/>
        <v>0</v>
      </c>
      <c r="T12" s="65">
        <f t="shared" si="14"/>
        <v>0</v>
      </c>
      <c r="U12" s="65">
        <f t="shared" si="15"/>
        <v>0</v>
      </c>
      <c r="V12" s="65">
        <f t="shared" si="16"/>
        <v>0</v>
      </c>
      <c r="W12" s="65">
        <f t="shared" si="17"/>
        <v>0</v>
      </c>
      <c r="X12" s="65">
        <f t="shared" si="18"/>
        <v>0</v>
      </c>
      <c r="Y12" s="65">
        <f t="shared" si="19"/>
        <v>0</v>
      </c>
      <c r="Z12" s="65">
        <f t="shared" si="20"/>
        <v>0</v>
      </c>
      <c r="AA12" s="65">
        <f t="shared" si="21"/>
        <v>0</v>
      </c>
      <c r="AB12" s="65">
        <f t="shared" si="22"/>
        <v>0</v>
      </c>
      <c r="AC12" s="65">
        <f t="shared" si="23"/>
        <v>0</v>
      </c>
      <c r="AD12" s="65">
        <f t="shared" si="24"/>
        <v>0</v>
      </c>
      <c r="AE12" s="65">
        <f t="shared" si="25"/>
        <v>0</v>
      </c>
      <c r="AF12" s="65">
        <f t="shared" si="26"/>
        <v>0</v>
      </c>
      <c r="AG12" s="16">
        <f>SUM(F12:AF12)</f>
        <v>0</v>
      </c>
      <c r="AH12" s="14" t="str">
        <f t="shared" si="28"/>
        <v>ok</v>
      </c>
    </row>
    <row r="13" spans="1:52" ht="16.5" customHeight="1" x14ac:dyDescent="0.25">
      <c r="A13" s="118" t="s">
        <v>1064</v>
      </c>
      <c r="C13" s="2" t="s">
        <v>871</v>
      </c>
      <c r="D13" s="2" t="s">
        <v>928</v>
      </c>
      <c r="E13" s="65">
        <f>'Functional Assignment'!M79</f>
        <v>0</v>
      </c>
      <c r="F13" s="65">
        <f t="shared" si="0"/>
        <v>0</v>
      </c>
      <c r="G13" s="65">
        <f t="shared" si="1"/>
        <v>0</v>
      </c>
      <c r="H13" s="65">
        <f t="shared" si="2"/>
        <v>0</v>
      </c>
      <c r="I13" s="65">
        <f t="shared" si="3"/>
        <v>0</v>
      </c>
      <c r="J13" s="65">
        <f t="shared" si="4"/>
        <v>0</v>
      </c>
      <c r="K13" s="65">
        <f t="shared" si="5"/>
        <v>0</v>
      </c>
      <c r="L13" s="65">
        <f t="shared" si="6"/>
        <v>0</v>
      </c>
      <c r="M13" s="65">
        <f t="shared" si="7"/>
        <v>0</v>
      </c>
      <c r="N13" s="65">
        <f t="shared" si="8"/>
        <v>0</v>
      </c>
      <c r="O13" s="65">
        <f t="shared" si="9"/>
        <v>0</v>
      </c>
      <c r="P13" s="65">
        <f t="shared" si="10"/>
        <v>0</v>
      </c>
      <c r="Q13" s="65">
        <f t="shared" si="11"/>
        <v>0</v>
      </c>
      <c r="R13" s="65">
        <f t="shared" si="12"/>
        <v>0</v>
      </c>
      <c r="S13" s="65">
        <f t="shared" si="13"/>
        <v>0</v>
      </c>
      <c r="T13" s="65">
        <f t="shared" si="14"/>
        <v>0</v>
      </c>
      <c r="U13" s="65">
        <f t="shared" si="15"/>
        <v>0</v>
      </c>
      <c r="V13" s="65">
        <f t="shared" si="16"/>
        <v>0</v>
      </c>
      <c r="W13" s="65">
        <f t="shared" si="17"/>
        <v>0</v>
      </c>
      <c r="X13" s="65">
        <f t="shared" si="18"/>
        <v>0</v>
      </c>
      <c r="Y13" s="65">
        <f t="shared" si="19"/>
        <v>0</v>
      </c>
      <c r="Z13" s="65">
        <f t="shared" si="20"/>
        <v>0</v>
      </c>
      <c r="AA13" s="65">
        <f t="shared" si="21"/>
        <v>0</v>
      </c>
      <c r="AB13" s="65">
        <f t="shared" si="22"/>
        <v>0</v>
      </c>
      <c r="AC13" s="65">
        <f t="shared" si="23"/>
        <v>0</v>
      </c>
      <c r="AD13" s="65">
        <f t="shared" si="24"/>
        <v>0</v>
      </c>
      <c r="AE13" s="65">
        <f t="shared" si="25"/>
        <v>0</v>
      </c>
      <c r="AF13" s="65">
        <f t="shared" si="26"/>
        <v>0</v>
      </c>
      <c r="AG13" s="16">
        <f>SUM(F13:AF13)</f>
        <v>0</v>
      </c>
      <c r="AH13" s="14" t="str">
        <f t="shared" si="28"/>
        <v>ok</v>
      </c>
    </row>
    <row r="14" spans="1:52" ht="16.5" customHeight="1" x14ac:dyDescent="0.25">
      <c r="A14" s="118" t="s">
        <v>790</v>
      </c>
      <c r="C14" s="2" t="s">
        <v>872</v>
      </c>
      <c r="D14" s="2" t="s">
        <v>928</v>
      </c>
      <c r="E14" s="65">
        <f>'Functional Assignment'!N79</f>
        <v>0</v>
      </c>
      <c r="F14" s="65">
        <f t="shared" si="0"/>
        <v>0</v>
      </c>
      <c r="G14" s="65">
        <f t="shared" si="1"/>
        <v>0</v>
      </c>
      <c r="H14" s="65">
        <f t="shared" si="2"/>
        <v>0</v>
      </c>
      <c r="I14" s="65">
        <f t="shared" si="3"/>
        <v>0</v>
      </c>
      <c r="J14" s="65">
        <f t="shared" si="4"/>
        <v>0</v>
      </c>
      <c r="K14" s="65">
        <f t="shared" si="5"/>
        <v>0</v>
      </c>
      <c r="L14" s="65">
        <f t="shared" si="6"/>
        <v>0</v>
      </c>
      <c r="M14" s="65">
        <f t="shared" si="7"/>
        <v>0</v>
      </c>
      <c r="N14" s="65">
        <f t="shared" si="8"/>
        <v>0</v>
      </c>
      <c r="O14" s="65">
        <f t="shared" si="9"/>
        <v>0</v>
      </c>
      <c r="P14" s="65">
        <f t="shared" si="10"/>
        <v>0</v>
      </c>
      <c r="Q14" s="65">
        <f t="shared" si="11"/>
        <v>0</v>
      </c>
      <c r="R14" s="65">
        <f t="shared" si="12"/>
        <v>0</v>
      </c>
      <c r="S14" s="65">
        <f t="shared" si="13"/>
        <v>0</v>
      </c>
      <c r="T14" s="65">
        <f t="shared" si="14"/>
        <v>0</v>
      </c>
      <c r="U14" s="65">
        <f t="shared" si="15"/>
        <v>0</v>
      </c>
      <c r="V14" s="65">
        <f t="shared" si="16"/>
        <v>0</v>
      </c>
      <c r="W14" s="65">
        <f t="shared" si="17"/>
        <v>0</v>
      </c>
      <c r="X14" s="65">
        <f t="shared" si="18"/>
        <v>0</v>
      </c>
      <c r="Y14" s="65">
        <f t="shared" si="19"/>
        <v>0</v>
      </c>
      <c r="Z14" s="65">
        <f t="shared" si="20"/>
        <v>0</v>
      </c>
      <c r="AA14" s="65">
        <f t="shared" si="21"/>
        <v>0</v>
      </c>
      <c r="AB14" s="65">
        <f t="shared" si="22"/>
        <v>0</v>
      </c>
      <c r="AC14" s="65">
        <f t="shared" si="23"/>
        <v>0</v>
      </c>
      <c r="AD14" s="65">
        <f t="shared" si="24"/>
        <v>0</v>
      </c>
      <c r="AE14" s="65">
        <f t="shared" si="25"/>
        <v>0</v>
      </c>
      <c r="AF14" s="65">
        <f t="shared" si="26"/>
        <v>0</v>
      </c>
      <c r="AG14" s="16">
        <f>SUM(F14:AF14)</f>
        <v>0</v>
      </c>
      <c r="AH14" s="14" t="str">
        <f t="shared" si="28"/>
        <v>ok</v>
      </c>
    </row>
    <row r="15" spans="1:52" x14ac:dyDescent="0.25">
      <c r="A15" s="12"/>
      <c r="E15" s="31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16"/>
      <c r="AH15" s="14"/>
    </row>
    <row r="16" spans="1:52" x14ac:dyDescent="0.25">
      <c r="A16" s="2" t="s">
        <v>218</v>
      </c>
      <c r="C16" s="2" t="s">
        <v>219</v>
      </c>
      <c r="E16" s="65">
        <f t="shared" ref="E16:N16" si="29">SUM(E8:E15)</f>
        <v>0</v>
      </c>
      <c r="F16" s="65">
        <f t="shared" si="29"/>
        <v>0</v>
      </c>
      <c r="G16" s="65">
        <f t="shared" si="29"/>
        <v>0</v>
      </c>
      <c r="H16" s="65">
        <f t="shared" si="29"/>
        <v>0</v>
      </c>
      <c r="I16" s="65">
        <f t="shared" si="29"/>
        <v>0</v>
      </c>
      <c r="J16" s="65">
        <f t="shared" si="29"/>
        <v>0</v>
      </c>
      <c r="K16" s="65">
        <f t="shared" si="29"/>
        <v>0</v>
      </c>
      <c r="L16" s="65">
        <f t="shared" si="29"/>
        <v>0</v>
      </c>
      <c r="M16" s="65">
        <f t="shared" si="29"/>
        <v>0</v>
      </c>
      <c r="N16" s="65">
        <f t="shared" si="29"/>
        <v>0</v>
      </c>
      <c r="O16" s="65">
        <f>SUM(O8:O15)</f>
        <v>0</v>
      </c>
      <c r="P16" s="65">
        <f>P8+P15</f>
        <v>0</v>
      </c>
      <c r="Q16" s="65">
        <f>Q8+Q15</f>
        <v>0</v>
      </c>
      <c r="R16" s="65">
        <f>R8+R15</f>
        <v>0</v>
      </c>
      <c r="S16" s="65">
        <f>S8+S15</f>
        <v>0</v>
      </c>
      <c r="T16" s="65">
        <f>T8+T15</f>
        <v>0</v>
      </c>
      <c r="U16" s="65">
        <f t="shared" ref="U16:AF16" si="30">U8+U15</f>
        <v>0</v>
      </c>
      <c r="V16" s="65">
        <f t="shared" si="30"/>
        <v>0</v>
      </c>
      <c r="W16" s="65">
        <f t="shared" si="30"/>
        <v>0</v>
      </c>
      <c r="X16" s="65">
        <f t="shared" si="30"/>
        <v>0</v>
      </c>
      <c r="Y16" s="65">
        <f t="shared" si="30"/>
        <v>0</v>
      </c>
      <c r="Z16" s="65">
        <f t="shared" si="30"/>
        <v>0</v>
      </c>
      <c r="AA16" s="65">
        <f t="shared" si="30"/>
        <v>0</v>
      </c>
      <c r="AB16" s="65">
        <f t="shared" si="30"/>
        <v>0</v>
      </c>
      <c r="AC16" s="65">
        <f t="shared" si="30"/>
        <v>0</v>
      </c>
      <c r="AD16" s="65">
        <f t="shared" si="30"/>
        <v>0</v>
      </c>
      <c r="AE16" s="65">
        <f t="shared" si="30"/>
        <v>0</v>
      </c>
      <c r="AF16" s="65">
        <f t="shared" si="30"/>
        <v>0</v>
      </c>
      <c r="AG16" s="16">
        <f t="shared" si="27"/>
        <v>0</v>
      </c>
      <c r="AH16" s="14" t="str">
        <f>IF(ABS(E16-AG16)&lt;0.01,"ok","err")</f>
        <v>ok</v>
      </c>
    </row>
    <row r="17" spans="1:34" x14ac:dyDescent="0.25">
      <c r="E17" s="31"/>
      <c r="F17" s="31"/>
    </row>
    <row r="18" spans="1:34" x14ac:dyDescent="0.25">
      <c r="A18" s="7" t="s">
        <v>772</v>
      </c>
      <c r="E18" s="31"/>
      <c r="F18" s="31"/>
    </row>
    <row r="19" spans="1:34" x14ac:dyDescent="0.25">
      <c r="A19" s="12" t="s">
        <v>214</v>
      </c>
      <c r="C19" s="2" t="s">
        <v>791</v>
      </c>
      <c r="D19" s="2" t="s">
        <v>215</v>
      </c>
      <c r="E19" s="65">
        <f>'Functional Assignment'!P79</f>
        <v>0</v>
      </c>
      <c r="F19" s="65">
        <f>IF(VLOOKUP($D19,$C$5:$AU$836,3,)=0,0,(VLOOKUP($D19,$C$5:$AU$836,4,)/VLOOKUP($D19,$C$5:$AU$836,3,))*$E19)</f>
        <v>0</v>
      </c>
      <c r="G19" s="65">
        <f>IF(VLOOKUP($D19,$C$5:$AU$836,3,)=0,0,(VLOOKUP($D19,$C$5:$AU$836,5,)/VLOOKUP($D19,$C$5:$AU$836,3,))*$E19)</f>
        <v>0</v>
      </c>
      <c r="H19" s="65">
        <f>IF(VLOOKUP($D19,$C$5:$AU$836,3,)=0,0,(VLOOKUP($D19,$C$5:$AU$836,6,)/VLOOKUP($D19,$C$5:$AU$836,3,))*$E19)</f>
        <v>0</v>
      </c>
      <c r="I19" s="65">
        <f>IF(VLOOKUP($D19,$C$5:$AU$836,3,)=0,0,(VLOOKUP($D19,$C$5:$AU$836,7,)/VLOOKUP($D19,$C$5:$AU$836,3,))*$E19)</f>
        <v>0</v>
      </c>
      <c r="J19" s="65">
        <f>IF(VLOOKUP($D19,$C$5:$AU$836,3,)=0,0,(VLOOKUP($D19,$C$5:$AU$836,8,)/VLOOKUP($D19,$C$5:$AU$836,3,))*$E19)</f>
        <v>0</v>
      </c>
      <c r="K19" s="65">
        <f>IF(VLOOKUP($D19,$C$5:$AU$836,3,)=0,0,(VLOOKUP($D19,$C$5:$AU$836,9,)/VLOOKUP($D19,$C$5:$AU$836,3,))*$E19)</f>
        <v>0</v>
      </c>
      <c r="L19" s="65">
        <f>IF(VLOOKUP($D19,$C$5:$AU$836,3,)=0,0,(VLOOKUP($D19,$C$5:$AU$836,10,)/VLOOKUP($D19,$C$5:$AU$836,3,))*$E19)</f>
        <v>0</v>
      </c>
      <c r="M19" s="65">
        <f>IF(VLOOKUP($D19,$C$5:$AU$836,3,)=0,0,(VLOOKUP($D19,$C$5:$AU$836,11,)/VLOOKUP($D19,$C$5:$AU$836,3,))*$E19)</f>
        <v>0</v>
      </c>
      <c r="N19" s="65">
        <f>IF(VLOOKUP($D19,$C$5:$AU$836,3,)=0,0,(VLOOKUP($D19,$C$5:$AU$836,12,)/VLOOKUP($D19,$C$5:$AU$836,3,))*$E19)</f>
        <v>0</v>
      </c>
      <c r="O19" s="65">
        <f>IF(VLOOKUP($D19,$C$5:$AU$836,3,)=0,0,(VLOOKUP($D19,$C$5:$AU$836,13,)/VLOOKUP($D19,$C$5:$AU$836,3,))*$E19)</f>
        <v>0</v>
      </c>
      <c r="P19" s="65">
        <f>IF(VLOOKUP($D19,$C$5:$AU$836,3,)=0,0,(VLOOKUP($D19,$C$5:$AU$836,14,)/VLOOKUP($D19,$C$5:$AU$836,3,))*$E19)</f>
        <v>0</v>
      </c>
      <c r="Q19" s="65">
        <f>IF(VLOOKUP($D19,$C$5:$AU$836,3,)=0,0,(VLOOKUP($D19,$C$5:$AU$836,15,)/VLOOKUP($D19,$C$5:$AU$836,3,))*$E19)</f>
        <v>0</v>
      </c>
      <c r="R19" s="65">
        <f>IF(VLOOKUP($D19,$C$5:$AU$836,3,)=0,0,(VLOOKUP($D19,$C$5:$AU$836,16,)/VLOOKUP($D19,$C$5:$AU$836,3,))*$E19)</f>
        <v>0</v>
      </c>
      <c r="S19" s="65">
        <f>IF(VLOOKUP($D19,$C$5:$AU$836,3,)=0,0,(VLOOKUP($D19,$C$5:$AU$836,17,)/VLOOKUP($D19,$C$5:$AU$836,3,))*$E19)</f>
        <v>0</v>
      </c>
      <c r="T19" s="65">
        <f>IF(VLOOKUP($D19,$C$5:$AU$836,3,)=0,0,(VLOOKUP($D19,$C$5:$AU$836,18,)/VLOOKUP($D19,$C$5:$AU$836,3,))*$E19)</f>
        <v>0</v>
      </c>
      <c r="U19" s="65">
        <f>IF(VLOOKUP($D19,$C$5:$AU$836,3,)=0,0,(VLOOKUP($D19,$C$5:$AU$836,19,)/VLOOKUP($D19,$C$5:$AU$836,3,))*$E19)</f>
        <v>0</v>
      </c>
      <c r="V19" s="65">
        <f>IF(VLOOKUP($D19,$C$5:$AU$836,3,)=0,0,(VLOOKUP($D19,$C$5:$AU$836,20,)/VLOOKUP($D19,$C$5:$AU$836,3,))*$E19)</f>
        <v>0</v>
      </c>
      <c r="W19" s="65">
        <f>IF(VLOOKUP($D19,$C$5:$AU$836,3,)=0,0,(VLOOKUP($D19,$C$5:$AU$836,21,)/VLOOKUP($D19,$C$5:$AU$836,3,))*$E19)</f>
        <v>0</v>
      </c>
      <c r="X19" s="65">
        <f>IF(VLOOKUP($D19,$C$5:$AU$836,3,)=0,0,(VLOOKUP($D19,$C$5:$AU$836,22,)/VLOOKUP($D19,$C$5:$AU$836,3,))*$E19)</f>
        <v>0</v>
      </c>
      <c r="Y19" s="65">
        <f>IF(VLOOKUP($D19,$C$5:$AU$836,3,)=0,0,(VLOOKUP($D19,$C$5:$AU$836,23,)/VLOOKUP($D19,$C$5:$AU$836,3,))*$E19)</f>
        <v>0</v>
      </c>
      <c r="Z19" s="65">
        <f>IF(VLOOKUP($D19,$C$5:$AU$836,3,)=0,0,(VLOOKUP($D19,$C$5:$AU$836,24,)/VLOOKUP($D19,$C$5:$AU$836,3,))*$E19)</f>
        <v>0</v>
      </c>
      <c r="AA19" s="65">
        <f>IF(VLOOKUP($D19,$C$5:$AU$836,3,)=0,0,(VLOOKUP($D19,$C$5:$AU$836,25,)/VLOOKUP($D19,$C$5:$AU$836,3,))*$E19)</f>
        <v>0</v>
      </c>
      <c r="AB19" s="65">
        <f>IF(VLOOKUP($D19,$C$5:$AU$836,3,)=0,0,(VLOOKUP($D19,$C$5:$AU$836,26,)/VLOOKUP($D19,$C$5:$AU$836,3,))*$E19)</f>
        <v>0</v>
      </c>
      <c r="AC19" s="65">
        <f>IF(VLOOKUP($D19,$C$5:$AU$836,3,)=0,0,(VLOOKUP($D19,$C$5:$AU$836,27,)/VLOOKUP($D19,$C$5:$AU$836,3,))*$E19)</f>
        <v>0</v>
      </c>
      <c r="AD19" s="65">
        <f>IF(VLOOKUP($D19,$C$5:$AU$836,3,)=0,0,(VLOOKUP($D19,$C$5:$AU$836,28,)/VLOOKUP($D19,$C$5:$AU$836,3,))*$E19)</f>
        <v>0</v>
      </c>
      <c r="AE19" s="65">
        <f>IF(VLOOKUP($D19,$C$5:$AU$836,3,)=0,0,(VLOOKUP($D19,$C$5:$AU$836,29,)/VLOOKUP($D19,$C$5:$AU$836,3,))*$E19)</f>
        <v>0</v>
      </c>
      <c r="AF19" s="65">
        <f>IF(VLOOKUP($D19,$C$5:$AU$836,3,)=0,0,(VLOOKUP($D19,$C$5:$AU$836,30,)/VLOOKUP($D19,$C$5:$AU$836,3,))*$E19)</f>
        <v>0</v>
      </c>
      <c r="AG19" s="16">
        <f>SUM(F19:AF19)</f>
        <v>0</v>
      </c>
      <c r="AH19" s="14" t="str">
        <f>IF(ABS(E19-AG19)&lt;0.01,"ok","err")</f>
        <v>ok</v>
      </c>
    </row>
    <row r="20" spans="1:34" x14ac:dyDescent="0.25">
      <c r="E20" s="31"/>
      <c r="F20" s="31"/>
    </row>
    <row r="21" spans="1:34" x14ac:dyDescent="0.25">
      <c r="A21" s="7" t="s">
        <v>334</v>
      </c>
      <c r="E21" s="31"/>
      <c r="F21" s="31"/>
    </row>
    <row r="22" spans="1:34" x14ac:dyDescent="0.25">
      <c r="A22" s="12" t="s">
        <v>214</v>
      </c>
      <c r="C22" s="2" t="s">
        <v>455</v>
      </c>
      <c r="D22" s="2" t="s">
        <v>601</v>
      </c>
      <c r="E22" s="65">
        <f>'Functional Assignment'!R79</f>
        <v>0</v>
      </c>
      <c r="F22" s="65">
        <f>IF(VLOOKUP($D22,$C$5:$AU$836,3,)=0,0,(VLOOKUP($D22,$C$5:$AU$836,4,)/VLOOKUP($D22,$C$5:$AU$836,3,))*$E22)</f>
        <v>0</v>
      </c>
      <c r="G22" s="65">
        <f>IF(VLOOKUP($D22,$C$5:$AU$836,3,)=0,0,(VLOOKUP($D22,$C$5:$AU$836,5,)/VLOOKUP($D22,$C$5:$AU$836,3,))*$E22)</f>
        <v>0</v>
      </c>
      <c r="H22" s="65">
        <f>IF(VLOOKUP($D22,$C$5:$AU$836,3,)=0,0,(VLOOKUP($D22,$C$5:$AU$836,6,)/VLOOKUP($D22,$C$5:$AU$836,3,))*$E22)</f>
        <v>0</v>
      </c>
      <c r="I22" s="65">
        <f>IF(VLOOKUP($D22,$C$5:$AU$836,3,)=0,0,(VLOOKUP($D22,$C$5:$AU$836,7,)/VLOOKUP($D22,$C$5:$AU$836,3,))*$E22)</f>
        <v>0</v>
      </c>
      <c r="J22" s="65">
        <f>IF(VLOOKUP($D22,$C$5:$AU$836,3,)=0,0,(VLOOKUP($D22,$C$5:$AU$836,8,)/VLOOKUP($D22,$C$5:$AU$836,3,))*$E22)</f>
        <v>0</v>
      </c>
      <c r="K22" s="65">
        <f>IF(VLOOKUP($D22,$C$5:$AU$836,3,)=0,0,(VLOOKUP($D22,$C$5:$AU$836,9,)/VLOOKUP($D22,$C$5:$AU$836,3,))*$E22)</f>
        <v>0</v>
      </c>
      <c r="L22" s="65">
        <f>IF(VLOOKUP($D22,$C$5:$AU$836,3,)=0,0,(VLOOKUP($D22,$C$5:$AU$836,10,)/VLOOKUP($D22,$C$5:$AU$836,3,))*$E22)</f>
        <v>0</v>
      </c>
      <c r="M22" s="65">
        <f>IF(VLOOKUP($D22,$C$5:$AU$836,3,)=0,0,(VLOOKUP($D22,$C$5:$AU$836,11,)/VLOOKUP($D22,$C$5:$AU$836,3,))*$E22)</f>
        <v>0</v>
      </c>
      <c r="N22" s="65">
        <f>IF(VLOOKUP($D22,$C$5:$AU$836,3,)=0,0,(VLOOKUP($D22,$C$5:$AU$836,12,)/VLOOKUP($D22,$C$5:$AU$836,3,))*$E22)</f>
        <v>0</v>
      </c>
      <c r="O22" s="65">
        <f>IF(VLOOKUP($D22,$C$5:$AU$836,3,)=0,0,(VLOOKUP($D22,$C$5:$AU$836,13,)/VLOOKUP($D22,$C$5:$AU$836,3,))*$E22)</f>
        <v>0</v>
      </c>
      <c r="P22" s="65">
        <f>IF(VLOOKUP($D22,$C$5:$AU$836,3,)=0,0,(VLOOKUP($D22,$C$5:$AU$836,14,)/VLOOKUP($D22,$C$5:$AU$836,3,))*$E22)</f>
        <v>0</v>
      </c>
      <c r="Q22" s="65">
        <f>IF(VLOOKUP($D22,$C$5:$AU$836,3,)=0,0,(VLOOKUP($D22,$C$5:$AU$836,15,)/VLOOKUP($D22,$C$5:$AU$836,3,))*$E22)</f>
        <v>0</v>
      </c>
      <c r="R22" s="65">
        <f>IF(VLOOKUP($D22,$C$5:$AU$836,3,)=0,0,(VLOOKUP($D22,$C$5:$AU$836,16,)/VLOOKUP($D22,$C$5:$AU$836,3,))*$E22)</f>
        <v>0</v>
      </c>
      <c r="S22" s="65">
        <f>IF(VLOOKUP($D22,$C$5:$AU$836,3,)=0,0,(VLOOKUP($D22,$C$5:$AU$836,17,)/VLOOKUP($D22,$C$5:$AU$836,3,))*$E22)</f>
        <v>0</v>
      </c>
      <c r="T22" s="65">
        <f>IF(VLOOKUP($D22,$C$5:$AU$836,3,)=0,0,(VLOOKUP($D22,$C$5:$AU$836,18,)/VLOOKUP($D22,$C$5:$AU$836,3,))*$E22)</f>
        <v>0</v>
      </c>
      <c r="U22" s="65">
        <f>IF(VLOOKUP($D22,$C$5:$AU$836,3,)=0,0,(VLOOKUP($D22,$C$5:$AU$836,19,)/VLOOKUP($D22,$C$5:$AU$836,3,))*$E22)</f>
        <v>0</v>
      </c>
      <c r="V22" s="65">
        <f>IF(VLOOKUP($D22,$C$5:$AU$836,3,)=0,0,(VLOOKUP($D22,$C$5:$AU$836,20,)/VLOOKUP($D22,$C$5:$AU$836,3,))*$E22)</f>
        <v>0</v>
      </c>
      <c r="W22" s="65">
        <f>IF(VLOOKUP($D22,$C$5:$AU$836,3,)=0,0,(VLOOKUP($D22,$C$5:$AU$836,21,)/VLOOKUP($D22,$C$5:$AU$836,3,))*$E22)</f>
        <v>0</v>
      </c>
      <c r="X22" s="65">
        <f>IF(VLOOKUP($D22,$C$5:$AU$836,3,)=0,0,(VLOOKUP($D22,$C$5:$AU$836,22,)/VLOOKUP($D22,$C$5:$AU$836,3,))*$E22)</f>
        <v>0</v>
      </c>
      <c r="Y22" s="65">
        <f>IF(VLOOKUP($D22,$C$5:$AU$836,3,)=0,0,(VLOOKUP($D22,$C$5:$AU$836,23,)/VLOOKUP($D22,$C$5:$AU$836,3,))*$E22)</f>
        <v>0</v>
      </c>
      <c r="Z22" s="65">
        <f>IF(VLOOKUP($D22,$C$5:$AU$836,3,)=0,0,(VLOOKUP($D22,$C$5:$AU$836,24,)/VLOOKUP($D22,$C$5:$AU$836,3,))*$E22)</f>
        <v>0</v>
      </c>
      <c r="AA22" s="65">
        <f>IF(VLOOKUP($D22,$C$5:$AU$836,3,)=0,0,(VLOOKUP($D22,$C$5:$AU$836,25,)/VLOOKUP($D22,$C$5:$AU$836,3,))*$E22)</f>
        <v>0</v>
      </c>
      <c r="AB22" s="65">
        <f>IF(VLOOKUP($D22,$C$5:$AU$836,3,)=0,0,(VLOOKUP($D22,$C$5:$AU$836,26,)/VLOOKUP($D22,$C$5:$AU$836,3,))*$E22)</f>
        <v>0</v>
      </c>
      <c r="AC22" s="65">
        <f>IF(VLOOKUP($D22,$C$5:$AU$836,3,)=0,0,(VLOOKUP($D22,$C$5:$AU$836,27,)/VLOOKUP($D22,$C$5:$AU$836,3,))*$E22)</f>
        <v>0</v>
      </c>
      <c r="AD22" s="65">
        <f>IF(VLOOKUP($D22,$C$5:$AU$836,3,)=0,0,(VLOOKUP($D22,$C$5:$AU$836,28,)/VLOOKUP($D22,$C$5:$AU$836,3,))*$E22)</f>
        <v>0</v>
      </c>
      <c r="AE22" s="65">
        <f>IF(VLOOKUP($D22,$C$5:$AU$836,3,)=0,0,(VLOOKUP($D22,$C$5:$AU$836,29,)/VLOOKUP($D22,$C$5:$AU$836,3,))*$E22)</f>
        <v>0</v>
      </c>
      <c r="AF22" s="65">
        <f>IF(VLOOKUP($D22,$C$5:$AU$836,3,)=0,0,(VLOOKUP($D22,$C$5:$AU$836,30,)/VLOOKUP($D22,$C$5:$AU$836,3,))*$E22)</f>
        <v>0</v>
      </c>
      <c r="AG22" s="16">
        <f>SUM(F22:AF22)</f>
        <v>0</v>
      </c>
      <c r="AH22" s="14" t="str">
        <f>IF(ABS(E22-AG22)&lt;0.01,"ok","err")</f>
        <v>ok</v>
      </c>
    </row>
    <row r="23" spans="1:34" x14ac:dyDescent="0.25">
      <c r="E23" s="31"/>
      <c r="F23" s="31"/>
    </row>
    <row r="24" spans="1:34" x14ac:dyDescent="0.25">
      <c r="A24" s="8" t="s">
        <v>3</v>
      </c>
      <c r="E24" s="31"/>
      <c r="F24" s="31"/>
    </row>
    <row r="25" spans="1:34" x14ac:dyDescent="0.25">
      <c r="A25" s="12" t="s">
        <v>214</v>
      </c>
      <c r="C25" s="2" t="s">
        <v>220</v>
      </c>
      <c r="D25" s="2" t="s">
        <v>608</v>
      </c>
      <c r="E25" s="65">
        <f>'Functional Assignment'!T79</f>
        <v>1024196.005534005</v>
      </c>
      <c r="F25" s="65">
        <f>IF(VLOOKUP($D25,$C$5:$AU$836,3,)=0,0,(VLOOKUP($D25,$C$5:$AU$836,4,)/VLOOKUP($D25,$C$5:$AU$836,3,))*$E25)</f>
        <v>727952.81068926945</v>
      </c>
      <c r="G25" s="65">
        <f>IF(VLOOKUP($D25,$C$5:$AU$836,3,)=0,0,(VLOOKUP($D25,$C$5:$AU$836,5,)/VLOOKUP($D25,$C$5:$AU$836,3,))*$E25)</f>
        <v>47641.490737605382</v>
      </c>
      <c r="H25" s="65">
        <f>IF(VLOOKUP($D25,$C$5:$AU$836,3,)=0,0,(VLOOKUP($D25,$C$5:$AU$836,6,)/VLOOKUP($D25,$C$5:$AU$836,3,))*$E25)</f>
        <v>120965.15812299543</v>
      </c>
      <c r="I25" s="65">
        <f>IF(VLOOKUP($D25,$C$5:$AU$836,3,)=0,0,(VLOOKUP($D25,$C$5:$AU$836,7,)/VLOOKUP($D25,$C$5:$AU$836,3,))*$E25)</f>
        <v>12435.352055095931</v>
      </c>
      <c r="J25" s="65">
        <f>IF(VLOOKUP($D25,$C$5:$AU$836,3,)=0,0,(VLOOKUP($D25,$C$5:$AU$836,8,)/VLOOKUP($D25,$C$5:$AU$836,3,))*$E25)</f>
        <v>12196.86585129957</v>
      </c>
      <c r="K25" s="65">
        <f>IF(VLOOKUP($D25,$C$5:$AU$836,3,)=0,0,(VLOOKUP($D25,$C$5:$AU$836,9,)/VLOOKUP($D25,$C$5:$AU$836,3,))*$E25)</f>
        <v>6725.6826138684719</v>
      </c>
      <c r="L25" s="65">
        <f>IF(VLOOKUP($D25,$C$5:$AU$836,3,)=0,0,(VLOOKUP($D25,$C$5:$AU$836,10,)/VLOOKUP($D25,$C$5:$AU$836,3,))*$E25)</f>
        <v>47347.381498302806</v>
      </c>
      <c r="M25" s="65">
        <f>IF(VLOOKUP($D25,$C$5:$AU$836,3,)=0,0,(VLOOKUP($D25,$C$5:$AU$836,11,)/VLOOKUP($D25,$C$5:$AU$836,3,))*$E25)</f>
        <v>35568.885490153996</v>
      </c>
      <c r="N25" s="65">
        <f>IF(VLOOKUP($D25,$C$5:$AU$836,3,)=0,0,(VLOOKUP($D25,$C$5:$AU$836,12,)/VLOOKUP($D25,$C$5:$AU$836,3,))*$E25)</f>
        <v>13362.378475413578</v>
      </c>
      <c r="O25" s="65">
        <f>IF(VLOOKUP($D25,$C$5:$AU$836,3,)=0,0,(VLOOKUP($D25,$C$5:$AU$836,13,)/VLOOKUP($D25,$C$5:$AU$836,3,))*$E25)</f>
        <v>0</v>
      </c>
      <c r="P25" s="65">
        <f>IF(VLOOKUP($D25,$C$5:$AU$836,3,)=0,0,(VLOOKUP($D25,$C$5:$AU$836,14,)/VLOOKUP($D25,$C$5:$AU$836,3,))*$E25)</f>
        <v>0</v>
      </c>
      <c r="Q25" s="65">
        <f>IF(VLOOKUP($D25,$C$5:$AU$836,3,)=0,0,(VLOOKUP($D25,$C$5:$AU$836,15,)/VLOOKUP($D25,$C$5:$AU$836,3,))*$E25)</f>
        <v>0</v>
      </c>
      <c r="R25" s="65">
        <f>IF(VLOOKUP($D25,$C$5:$AU$836,3,)=0,0,(VLOOKUP($D25,$C$5:$AU$836,16,)/VLOOKUP($D25,$C$5:$AU$836,3,))*$E25)</f>
        <v>0</v>
      </c>
      <c r="S25" s="65">
        <f>IF(VLOOKUP($D25,$C$5:$AU$836,3,)=0,0,(VLOOKUP($D25,$C$5:$AU$836,17,)/VLOOKUP($D25,$C$5:$AU$836,3,))*$E25)</f>
        <v>0</v>
      </c>
      <c r="T25" s="65">
        <f>IF(VLOOKUP($D25,$C$5:$AU$836,3,)=0,0,(VLOOKUP($D25,$C$5:$AU$836,18,)/VLOOKUP($D25,$C$5:$AU$836,3,))*$E25)</f>
        <v>0</v>
      </c>
      <c r="U25" s="65">
        <f>IF(VLOOKUP($D25,$C$5:$AU$836,3,)=0,0,(VLOOKUP($D25,$C$5:$AU$836,19,)/VLOOKUP($D25,$C$5:$AU$836,3,))*$E25)</f>
        <v>0</v>
      </c>
      <c r="V25" s="65">
        <f>IF(VLOOKUP($D25,$C$5:$AU$836,3,)=0,0,(VLOOKUP($D25,$C$5:$AU$836,20,)/VLOOKUP($D25,$C$5:$AU$836,3,))*$E25)</f>
        <v>0</v>
      </c>
      <c r="W25" s="65">
        <f>IF(VLOOKUP($D25,$C$5:$AU$836,3,)=0,0,(VLOOKUP($D25,$C$5:$AU$836,21,)/VLOOKUP($D25,$C$5:$AU$836,3,))*$E25)</f>
        <v>0</v>
      </c>
      <c r="X25" s="65">
        <f>IF(VLOOKUP($D25,$C$5:$AU$836,3,)=0,0,(VLOOKUP($D25,$C$5:$AU$836,22,)/VLOOKUP($D25,$C$5:$AU$836,3,))*$E25)</f>
        <v>0</v>
      </c>
      <c r="Y25" s="65">
        <f>IF(VLOOKUP($D25,$C$5:$AU$836,3,)=0,0,(VLOOKUP($D25,$C$5:$AU$836,23,)/VLOOKUP($D25,$C$5:$AU$836,3,))*$E25)</f>
        <v>0</v>
      </c>
      <c r="Z25" s="65">
        <f>IF(VLOOKUP($D25,$C$5:$AU$836,3,)=0,0,(VLOOKUP($D25,$C$5:$AU$836,24,)/VLOOKUP($D25,$C$5:$AU$836,3,))*$E25)</f>
        <v>0</v>
      </c>
      <c r="AA25" s="65">
        <f>IF(VLOOKUP($D25,$C$5:$AU$836,3,)=0,0,(VLOOKUP($D25,$C$5:$AU$836,25,)/VLOOKUP($D25,$C$5:$AU$836,3,))*$E25)</f>
        <v>0</v>
      </c>
      <c r="AB25" s="65">
        <f>IF(VLOOKUP($D25,$C$5:$AU$836,3,)=0,0,(VLOOKUP($D25,$C$5:$AU$836,26,)/VLOOKUP($D25,$C$5:$AU$836,3,))*$E25)</f>
        <v>0</v>
      </c>
      <c r="AC25" s="65">
        <f>IF(VLOOKUP($D25,$C$5:$AU$836,3,)=0,0,(VLOOKUP($D25,$C$5:$AU$836,27,)/VLOOKUP($D25,$C$5:$AU$836,3,))*$E25)</f>
        <v>0</v>
      </c>
      <c r="AD25" s="65">
        <f>IF(VLOOKUP($D25,$C$5:$AU$836,3,)=0,0,(VLOOKUP($D25,$C$5:$AU$836,28,)/VLOOKUP($D25,$C$5:$AU$836,3,))*$E25)</f>
        <v>0</v>
      </c>
      <c r="AE25" s="65">
        <f>IF(VLOOKUP($D25,$C$5:$AU$836,3,)=0,0,(VLOOKUP($D25,$C$5:$AU$836,29,)/VLOOKUP($D25,$C$5:$AU$836,3,))*$E25)</f>
        <v>0</v>
      </c>
      <c r="AF25" s="65">
        <f>IF(VLOOKUP($D25,$C$5:$AU$836,3,)=0,0,(VLOOKUP($D25,$C$5:$AU$836,30,)/VLOOKUP($D25,$C$5:$AU$836,3,))*$E25)</f>
        <v>0</v>
      </c>
      <c r="AG25" s="16">
        <f>SUM(F25:AF25)</f>
        <v>1024196.0055340047</v>
      </c>
      <c r="AH25" s="14" t="str">
        <f>IF(ABS(E25-AG25)&lt;0.01,"ok","err")</f>
        <v>ok</v>
      </c>
    </row>
    <row r="26" spans="1:34" x14ac:dyDescent="0.25">
      <c r="E26" s="31"/>
    </row>
    <row r="27" spans="1:34" x14ac:dyDescent="0.25">
      <c r="A27" s="7" t="s">
        <v>4</v>
      </c>
      <c r="E27" s="31"/>
    </row>
    <row r="28" spans="1:34" x14ac:dyDescent="0.25">
      <c r="A28" s="12" t="s">
        <v>214</v>
      </c>
      <c r="C28" s="2" t="s">
        <v>799</v>
      </c>
      <c r="D28" s="9" t="s">
        <v>748</v>
      </c>
      <c r="E28" s="65">
        <f>'Functional Assignment'!V79</f>
        <v>99195031.643828273</v>
      </c>
      <c r="F28" s="65">
        <f>IF(VLOOKUP($D28,$C$5:$AU$836,3,)=0,0,(VLOOKUP($D28,$C$5:$AU$836,4,)/VLOOKUP($D28,$C$5:$AU$836,3,))*$E28)</f>
        <v>63824862.386982732</v>
      </c>
      <c r="G28" s="65">
        <f>IF(VLOOKUP($D28,$C$5:$AU$836,3,)=0,0,(VLOOKUP($D28,$C$5:$AU$836,5,)/VLOOKUP($D28,$C$5:$AU$836,3,))*$E28)</f>
        <v>5513735.5611199662</v>
      </c>
      <c r="H28" s="65">
        <f>IF(VLOOKUP($D28,$C$5:$AU$836,3,)=0,0,(VLOOKUP($D28,$C$5:$AU$836,6,)/VLOOKUP($D28,$C$5:$AU$836,3,))*$E28)</f>
        <v>19090594.916883498</v>
      </c>
      <c r="I28" s="65">
        <f>IF(VLOOKUP($D28,$C$5:$AU$836,3,)=0,0,(VLOOKUP($D28,$C$5:$AU$836,7,)/VLOOKUP($D28,$C$5:$AU$836,3,))*$E28)</f>
        <v>1875310.5281449724</v>
      </c>
      <c r="J28" s="65">
        <f>IF(VLOOKUP($D28,$C$5:$AU$836,3,)=0,0,(VLOOKUP($D28,$C$5:$AU$836,8,)/VLOOKUP($D28,$C$5:$AU$836,3,))*$E28)</f>
        <v>1924896.6300360309</v>
      </c>
      <c r="K28" s="65">
        <f>IF(VLOOKUP($D28,$C$5:$AU$836,3,)=0,0,(VLOOKUP($D28,$C$5:$AU$836,9,)/VLOOKUP($D28,$C$5:$AU$836,3,))*$E28)</f>
        <v>8995.7040249718066</v>
      </c>
      <c r="L28" s="65">
        <f>IF(VLOOKUP($D28,$C$5:$AU$836,3,)=0,0,(VLOOKUP($D28,$C$5:$AU$836,10,)/VLOOKUP($D28,$C$5:$AU$836,3,))*$E28)</f>
        <v>171615.66006106316</v>
      </c>
      <c r="M28" s="65">
        <f>IF(VLOOKUP($D28,$C$5:$AU$836,3,)=0,0,(VLOOKUP($D28,$C$5:$AU$836,11,)/VLOOKUP($D28,$C$5:$AU$836,3,))*$E28)</f>
        <v>5613444.3593015186</v>
      </c>
      <c r="N28" s="65">
        <f>IF(VLOOKUP($D28,$C$5:$AU$836,3,)=0,0,(VLOOKUP($D28,$C$5:$AU$836,12,)/VLOOKUP($D28,$C$5:$AU$836,3,))*$E28)</f>
        <v>1171575.8972735063</v>
      </c>
      <c r="O28" s="65">
        <f>IF(VLOOKUP($D28,$C$5:$AU$836,3,)=0,0,(VLOOKUP($D28,$C$5:$AU$836,13,)/VLOOKUP($D28,$C$5:$AU$836,3,))*$E28)</f>
        <v>0</v>
      </c>
      <c r="P28" s="65">
        <f>IF(VLOOKUP($D28,$C$5:$AU$836,3,)=0,0,(VLOOKUP($D28,$C$5:$AU$836,14,)/VLOOKUP($D28,$C$5:$AU$836,3,))*$E28)</f>
        <v>0</v>
      </c>
      <c r="Q28" s="65">
        <f>IF(VLOOKUP($D28,$C$5:$AU$836,3,)=0,0,(VLOOKUP($D28,$C$5:$AU$836,15,)/VLOOKUP($D28,$C$5:$AU$836,3,))*$E28)</f>
        <v>0</v>
      </c>
      <c r="R28" s="65">
        <f>IF(VLOOKUP($D28,$C$5:$AU$836,3,)=0,0,(VLOOKUP($D28,$C$5:$AU$836,16,)/VLOOKUP($D28,$C$5:$AU$836,3,))*$E28)</f>
        <v>0</v>
      </c>
      <c r="S28" s="65">
        <f>IF(VLOOKUP($D28,$C$5:$AU$836,3,)=0,0,(VLOOKUP($D28,$C$5:$AU$836,17,)/VLOOKUP($D28,$C$5:$AU$836,3,))*$E28)</f>
        <v>0</v>
      </c>
      <c r="T28" s="65">
        <f>IF(VLOOKUP($D28,$C$5:$AU$836,3,)=0,0,(VLOOKUP($D28,$C$5:$AU$836,18,)/VLOOKUP($D28,$C$5:$AU$836,3,))*$E28)</f>
        <v>0</v>
      </c>
      <c r="U28" s="65">
        <f>IF(VLOOKUP($D28,$C$5:$AU$836,3,)=0,0,(VLOOKUP($D28,$C$5:$AU$836,19,)/VLOOKUP($D28,$C$5:$AU$836,3,))*$E28)</f>
        <v>0</v>
      </c>
      <c r="V28" s="65">
        <f>IF(VLOOKUP($D28,$C$5:$AU$836,3,)=0,0,(VLOOKUP($D28,$C$5:$AU$836,20,)/VLOOKUP($D28,$C$5:$AU$836,3,))*$E28)</f>
        <v>0</v>
      </c>
      <c r="W28" s="65">
        <f>IF(VLOOKUP($D28,$C$5:$AU$836,3,)=0,0,(VLOOKUP($D28,$C$5:$AU$836,21,)/VLOOKUP($D28,$C$5:$AU$836,3,))*$E28)</f>
        <v>0</v>
      </c>
      <c r="X28" s="65">
        <f>IF(VLOOKUP($D28,$C$5:$AU$836,3,)=0,0,(VLOOKUP($D28,$C$5:$AU$836,22,)/VLOOKUP($D28,$C$5:$AU$836,3,))*$E28)</f>
        <v>0</v>
      </c>
      <c r="Y28" s="65">
        <f>IF(VLOOKUP($D28,$C$5:$AU$836,3,)=0,0,(VLOOKUP($D28,$C$5:$AU$836,23,)/VLOOKUP($D28,$C$5:$AU$836,3,))*$E28)</f>
        <v>0</v>
      </c>
      <c r="Z28" s="65">
        <f>IF(VLOOKUP($D28,$C$5:$AU$836,3,)=0,0,(VLOOKUP($D28,$C$5:$AU$836,24,)/VLOOKUP($D28,$C$5:$AU$836,3,))*$E28)</f>
        <v>0</v>
      </c>
      <c r="AA28" s="65">
        <f>IF(VLOOKUP($D28,$C$5:$AU$836,3,)=0,0,(VLOOKUP($D28,$C$5:$AU$836,25,)/VLOOKUP($D28,$C$5:$AU$836,3,))*$E28)</f>
        <v>0</v>
      </c>
      <c r="AB28" s="65">
        <f>IF(VLOOKUP($D28,$C$5:$AU$836,3,)=0,0,(VLOOKUP($D28,$C$5:$AU$836,26,)/VLOOKUP($D28,$C$5:$AU$836,3,))*$E28)</f>
        <v>0</v>
      </c>
      <c r="AC28" s="65">
        <f>IF(VLOOKUP($D28,$C$5:$AU$836,3,)=0,0,(VLOOKUP($D28,$C$5:$AU$836,27,)/VLOOKUP($D28,$C$5:$AU$836,3,))*$E28)</f>
        <v>0</v>
      </c>
      <c r="AD28" s="65">
        <f>IF(VLOOKUP($D28,$C$5:$AU$836,3,)=0,0,(VLOOKUP($D28,$C$5:$AU$836,28,)/VLOOKUP($D28,$C$5:$AU$836,3,))*$E28)</f>
        <v>0</v>
      </c>
      <c r="AE28" s="65">
        <f>IF(VLOOKUP($D28,$C$5:$AU$836,3,)=0,0,(VLOOKUP($D28,$C$5:$AU$836,29,)/VLOOKUP($D28,$C$5:$AU$836,3,))*$E28)</f>
        <v>0</v>
      </c>
      <c r="AF28" s="65">
        <f>IF(VLOOKUP($D28,$C$5:$AU$836,3,)=0,0,(VLOOKUP($D28,$C$5:$AU$836,30,)/VLOOKUP($D28,$C$5:$AU$836,3,))*$E28)</f>
        <v>0</v>
      </c>
      <c r="AG28" s="16">
        <f>SUM(F28:AF28)</f>
        <v>99195031.643828258</v>
      </c>
      <c r="AH28" s="14" t="str">
        <f>IF(ABS(E28-AG28)&lt;0.01,"ok","err")</f>
        <v>ok</v>
      </c>
    </row>
    <row r="29" spans="1:34" x14ac:dyDescent="0.25">
      <c r="A29" s="12" t="s">
        <v>223</v>
      </c>
      <c r="C29" s="2" t="s">
        <v>800</v>
      </c>
      <c r="D29" s="9" t="s">
        <v>759</v>
      </c>
      <c r="E29" s="65">
        <f>'Functional Assignment'!W79</f>
        <v>48838771.465000838</v>
      </c>
      <c r="F29" s="65">
        <f>IF(VLOOKUP($D29,$C$5:$AU$836,3,)=0,0,(VLOOKUP($D29,$C$5:$AU$836,4,)/VLOOKUP($D29,$C$5:$AU$836,3,))*$E29)</f>
        <v>44776237.099873975</v>
      </c>
      <c r="G29" s="65">
        <f>IF(VLOOKUP($D29,$C$5:$AU$836,3,)=0,0,(VLOOKUP($D29,$C$5:$AU$836,5,)/VLOOKUP($D29,$C$5:$AU$836,3,))*$E29)</f>
        <v>3211812.5426889937</v>
      </c>
      <c r="H29" s="65">
        <f>IF(VLOOKUP($D29,$C$5:$AU$836,3,)=0,0,(VLOOKUP($D29,$C$5:$AU$836,6,)/VLOOKUP($D29,$C$5:$AU$836,3,))*$E29)</f>
        <v>313814.06184632203</v>
      </c>
      <c r="I29" s="65">
        <f>IF(VLOOKUP($D29,$C$5:$AU$836,3,)=0,0,(VLOOKUP($D29,$C$5:$AU$836,7,)/VLOOKUP($D29,$C$5:$AU$836,3,))*$E29)</f>
        <v>118300.10909330877</v>
      </c>
      <c r="J29" s="65">
        <f>IF(VLOOKUP($D29,$C$5:$AU$836,3,)=0,0,(VLOOKUP($D29,$C$5:$AU$836,8,)/VLOOKUP($D29,$C$5:$AU$836,3,))*$E29)</f>
        <v>12042.526075366759</v>
      </c>
      <c r="K29" s="65">
        <f>IF(VLOOKUP($D29,$C$5:$AU$836,3,)=0,0,(VLOOKUP($D29,$C$5:$AU$836,9,)/VLOOKUP($D29,$C$5:$AU$836,3,))*$E29)</f>
        <v>708.38388678627996</v>
      </c>
      <c r="L29" s="65">
        <f>IF(VLOOKUP($D29,$C$5:$AU$836,3,)=0,0,(VLOOKUP($D29,$C$5:$AU$836,10,)/VLOOKUP($D29,$C$5:$AU$836,3,))*$E29)</f>
        <v>1416.7677735725599</v>
      </c>
      <c r="M29" s="65">
        <f>IF(VLOOKUP($D29,$C$5:$AU$836,3,)=0,0,(VLOOKUP($D29,$C$5:$AU$836,11,)/VLOOKUP($D29,$C$5:$AU$836,3,))*$E29)</f>
        <v>5667.0710942902397</v>
      </c>
      <c r="N29" s="65">
        <f>IF(VLOOKUP($D29,$C$5:$AU$836,3,)=0,0,(VLOOKUP($D29,$C$5:$AU$836,12,)/VLOOKUP($D29,$C$5:$AU$836,3,))*$E29)</f>
        <v>398772.90266822319</v>
      </c>
      <c r="O29" s="65">
        <f>IF(VLOOKUP($D29,$C$5:$AU$836,3,)=0,0,(VLOOKUP($D29,$C$5:$AU$836,13,)/VLOOKUP($D29,$C$5:$AU$836,3,))*$E29)</f>
        <v>0</v>
      </c>
      <c r="P29" s="65">
        <f>IF(VLOOKUP($D29,$C$5:$AU$836,3,)=0,0,(VLOOKUP($D29,$C$5:$AU$836,14,)/VLOOKUP($D29,$C$5:$AU$836,3,))*$E29)</f>
        <v>0</v>
      </c>
      <c r="Q29" s="65">
        <f>IF(VLOOKUP($D29,$C$5:$AU$836,3,)=0,0,(VLOOKUP($D29,$C$5:$AU$836,15,)/VLOOKUP($D29,$C$5:$AU$836,3,))*$E29)</f>
        <v>0</v>
      </c>
      <c r="R29" s="65">
        <f>IF(VLOOKUP($D29,$C$5:$AU$836,3,)=0,0,(VLOOKUP($D29,$C$5:$AU$836,16,)/VLOOKUP($D29,$C$5:$AU$836,3,))*$E29)</f>
        <v>0</v>
      </c>
      <c r="S29" s="65">
        <f>IF(VLOOKUP($D29,$C$5:$AU$836,3,)=0,0,(VLOOKUP($D29,$C$5:$AU$836,17,)/VLOOKUP($D29,$C$5:$AU$836,3,))*$E29)</f>
        <v>0</v>
      </c>
      <c r="T29" s="65">
        <f>IF(VLOOKUP($D29,$C$5:$AU$836,3,)=0,0,(VLOOKUP($D29,$C$5:$AU$836,18,)/VLOOKUP($D29,$C$5:$AU$836,3,))*$E29)</f>
        <v>0</v>
      </c>
      <c r="U29" s="65">
        <f>IF(VLOOKUP($D29,$C$5:$AU$836,3,)=0,0,(VLOOKUP($D29,$C$5:$AU$836,19,)/VLOOKUP($D29,$C$5:$AU$836,3,))*$E29)</f>
        <v>0</v>
      </c>
      <c r="V29" s="65">
        <f>IF(VLOOKUP($D29,$C$5:$AU$836,3,)=0,0,(VLOOKUP($D29,$C$5:$AU$836,20,)/VLOOKUP($D29,$C$5:$AU$836,3,))*$E29)</f>
        <v>0</v>
      </c>
      <c r="W29" s="65">
        <f>IF(VLOOKUP($D29,$C$5:$AU$836,3,)=0,0,(VLOOKUP($D29,$C$5:$AU$836,21,)/VLOOKUP($D29,$C$5:$AU$836,3,))*$E29)</f>
        <v>0</v>
      </c>
      <c r="X29" s="65">
        <f>IF(VLOOKUP($D29,$C$5:$AU$836,3,)=0,0,(VLOOKUP($D29,$C$5:$AU$836,22,)/VLOOKUP($D29,$C$5:$AU$836,3,))*$E29)</f>
        <v>0</v>
      </c>
      <c r="Y29" s="65">
        <f>IF(VLOOKUP($D29,$C$5:$AU$836,3,)=0,0,(VLOOKUP($D29,$C$5:$AU$836,23,)/VLOOKUP($D29,$C$5:$AU$836,3,))*$E29)</f>
        <v>0</v>
      </c>
      <c r="Z29" s="65">
        <f>IF(VLOOKUP($D29,$C$5:$AU$836,3,)=0,0,(VLOOKUP($D29,$C$5:$AU$836,24,)/VLOOKUP($D29,$C$5:$AU$836,3,))*$E29)</f>
        <v>0</v>
      </c>
      <c r="AA29" s="65">
        <f>IF(VLOOKUP($D29,$C$5:$AU$836,3,)=0,0,(VLOOKUP($D29,$C$5:$AU$836,25,)/VLOOKUP($D29,$C$5:$AU$836,3,))*$E29)</f>
        <v>0</v>
      </c>
      <c r="AB29" s="65">
        <f>IF(VLOOKUP($D29,$C$5:$AU$836,3,)=0,0,(VLOOKUP($D29,$C$5:$AU$836,26,)/VLOOKUP($D29,$C$5:$AU$836,3,))*$E29)</f>
        <v>0</v>
      </c>
      <c r="AC29" s="65">
        <f>IF(VLOOKUP($D29,$C$5:$AU$836,3,)=0,0,(VLOOKUP($D29,$C$5:$AU$836,27,)/VLOOKUP($D29,$C$5:$AU$836,3,))*$E29)</f>
        <v>0</v>
      </c>
      <c r="AD29" s="65">
        <f>IF(VLOOKUP($D29,$C$5:$AU$836,3,)=0,0,(VLOOKUP($D29,$C$5:$AU$836,28,)/VLOOKUP($D29,$C$5:$AU$836,3,))*$E29)</f>
        <v>0</v>
      </c>
      <c r="AE29" s="65">
        <f>IF(VLOOKUP($D29,$C$5:$AU$836,3,)=0,0,(VLOOKUP($D29,$C$5:$AU$836,29,)/VLOOKUP($D29,$C$5:$AU$836,3,))*$E29)</f>
        <v>0</v>
      </c>
      <c r="AF29" s="65">
        <f>IF(VLOOKUP($D29,$C$5:$AU$836,3,)=0,0,(VLOOKUP($D29,$C$5:$AU$836,30,)/VLOOKUP($D29,$C$5:$AU$836,3,))*$E29)</f>
        <v>0</v>
      </c>
      <c r="AG29" s="16">
        <f>SUM(F29:AF29)</f>
        <v>48838771.465000838</v>
      </c>
      <c r="AH29" s="14" t="str">
        <f>IF(ABS(E29-AG29)&lt;0.01,"ok","err")</f>
        <v>ok</v>
      </c>
    </row>
    <row r="30" spans="1:34" x14ac:dyDescent="0.25">
      <c r="A30" s="2" t="s">
        <v>224</v>
      </c>
      <c r="E30" s="65">
        <f t="shared" ref="E30:N30" si="31">E28+E29</f>
        <v>148033803.10882911</v>
      </c>
      <c r="F30" s="65">
        <f t="shared" si="31"/>
        <v>108601099.4868567</v>
      </c>
      <c r="G30" s="65">
        <f t="shared" si="31"/>
        <v>8725548.1038089599</v>
      </c>
      <c r="H30" s="65">
        <f t="shared" si="31"/>
        <v>19404408.978729822</v>
      </c>
      <c r="I30" s="65">
        <f t="shared" si="31"/>
        <v>1993610.6372382811</v>
      </c>
      <c r="J30" s="65">
        <f t="shared" si="31"/>
        <v>1936939.1561113975</v>
      </c>
      <c r="K30" s="65">
        <f t="shared" si="31"/>
        <v>9704.0879117580862</v>
      </c>
      <c r="L30" s="65">
        <f t="shared" si="31"/>
        <v>173032.42783463572</v>
      </c>
      <c r="M30" s="65">
        <f t="shared" si="31"/>
        <v>5619111.430395809</v>
      </c>
      <c r="N30" s="65">
        <f t="shared" si="31"/>
        <v>1570348.7999417295</v>
      </c>
      <c r="O30" s="65">
        <f t="shared" ref="O30:T30" si="32">O28+O29</f>
        <v>0</v>
      </c>
      <c r="P30" s="65">
        <f t="shared" si="32"/>
        <v>0</v>
      </c>
      <c r="Q30" s="65">
        <f t="shared" si="32"/>
        <v>0</v>
      </c>
      <c r="R30" s="65">
        <f t="shared" si="32"/>
        <v>0</v>
      </c>
      <c r="S30" s="65">
        <f t="shared" si="32"/>
        <v>0</v>
      </c>
      <c r="T30" s="65">
        <f t="shared" si="32"/>
        <v>0</v>
      </c>
      <c r="U30" s="65">
        <f t="shared" ref="U30:AF30" si="33">U28+U29</f>
        <v>0</v>
      </c>
      <c r="V30" s="65">
        <f t="shared" si="33"/>
        <v>0</v>
      </c>
      <c r="W30" s="65">
        <f t="shared" si="33"/>
        <v>0</v>
      </c>
      <c r="X30" s="65">
        <f t="shared" si="33"/>
        <v>0</v>
      </c>
      <c r="Y30" s="65">
        <f t="shared" si="33"/>
        <v>0</v>
      </c>
      <c r="Z30" s="65">
        <f t="shared" si="33"/>
        <v>0</v>
      </c>
      <c r="AA30" s="65">
        <f t="shared" si="33"/>
        <v>0</v>
      </c>
      <c r="AB30" s="65">
        <f t="shared" si="33"/>
        <v>0</v>
      </c>
      <c r="AC30" s="65">
        <f t="shared" si="33"/>
        <v>0</v>
      </c>
      <c r="AD30" s="65">
        <f t="shared" si="33"/>
        <v>0</v>
      </c>
      <c r="AE30" s="65">
        <f t="shared" si="33"/>
        <v>0</v>
      </c>
      <c r="AF30" s="65">
        <f t="shared" si="33"/>
        <v>0</v>
      </c>
      <c r="AG30" s="16">
        <f>SUM(F30:AF30)</f>
        <v>148033803.10882908</v>
      </c>
      <c r="AH30" s="14" t="str">
        <f>IF(ABS(E30-AG30)&lt;0.01,"ok","err")</f>
        <v>ok</v>
      </c>
    </row>
    <row r="31" spans="1:34" x14ac:dyDescent="0.25"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16"/>
      <c r="AH31" s="14"/>
    </row>
    <row r="32" spans="1:34" x14ac:dyDescent="0.25">
      <c r="A32" s="7" t="s">
        <v>734</v>
      </c>
      <c r="E32" s="31"/>
    </row>
    <row r="33" spans="1:34" x14ac:dyDescent="0.25">
      <c r="A33" s="12" t="s">
        <v>214</v>
      </c>
      <c r="C33" s="2" t="s">
        <v>801</v>
      </c>
      <c r="D33" s="9" t="s">
        <v>753</v>
      </c>
      <c r="E33" s="65">
        <f>'Functional Assignment'!Y79</f>
        <v>11021670.182647584</v>
      </c>
      <c r="F33" s="65">
        <f>IF(VLOOKUP($D33,$C$5:$AU$836,3,)=0,0,(VLOOKUP($D33,$C$5:$AU$836,4,)/VLOOKUP($D33,$C$5:$AU$836,3,))*$E33)</f>
        <v>7216292.0989740314</v>
      </c>
      <c r="G33" s="65">
        <f>IF(VLOOKUP($D33,$C$5:$AU$836,3,)=0,0,(VLOOKUP($D33,$C$5:$AU$836,5,)/VLOOKUP($D33,$C$5:$AU$836,3,))*$E33)</f>
        <v>1488110.5053697522</v>
      </c>
      <c r="H33" s="65">
        <f>IF(VLOOKUP($D33,$C$5:$AU$836,3,)=0,0,(VLOOKUP($D33,$C$5:$AU$836,6,)/VLOOKUP($D33,$C$5:$AU$836,3,))*$E33)</f>
        <v>1540442.4407627403</v>
      </c>
      <c r="I33" s="65">
        <f>IF(VLOOKUP($D33,$C$5:$AU$836,3,)=0,0,(VLOOKUP($D33,$C$5:$AU$836,7,)/VLOOKUP($D33,$C$5:$AU$836,3,))*$E33)</f>
        <v>530125.76608769374</v>
      </c>
      <c r="J33" s="65">
        <f>IF(VLOOKUP($D33,$C$5:$AU$836,3,)=0,0,(VLOOKUP($D33,$C$5:$AU$836,8,)/VLOOKUP($D33,$C$5:$AU$836,3,))*$E33)</f>
        <v>195583.64193480855</v>
      </c>
      <c r="K33" s="65">
        <f>IF(VLOOKUP($D33,$C$5:$AU$836,3,)=0,0,(VLOOKUP($D33,$C$5:$AU$836,9,)/VLOOKUP($D33,$C$5:$AU$836,3,))*$E33)</f>
        <v>0</v>
      </c>
      <c r="L33" s="65">
        <f>IF(VLOOKUP($D33,$C$5:$AU$836,3,)=0,0,(VLOOKUP($D33,$C$5:$AU$836,10,)/VLOOKUP($D33,$C$5:$AU$836,3,))*$E33)</f>
        <v>0</v>
      </c>
      <c r="M33" s="65">
        <f>IF(VLOOKUP($D33,$C$5:$AU$836,3,)=0,0,(VLOOKUP($D33,$C$5:$AU$836,11,)/VLOOKUP($D33,$C$5:$AU$836,3,))*$E33)</f>
        <v>0</v>
      </c>
      <c r="N33" s="65">
        <f>IF(VLOOKUP($D33,$C$5:$AU$836,3,)=0,0,(VLOOKUP($D33,$C$5:$AU$836,12,)/VLOOKUP($D33,$C$5:$AU$836,3,))*$E33)</f>
        <v>51115.72951855704</v>
      </c>
      <c r="O33" s="65">
        <f>IF(VLOOKUP($D33,$C$5:$AU$836,3,)=0,0,(VLOOKUP($D33,$C$5:$AU$836,13,)/VLOOKUP($D33,$C$5:$AU$836,3,))*$E33)</f>
        <v>0</v>
      </c>
      <c r="P33" s="65">
        <f>IF(VLOOKUP($D33,$C$5:$AU$836,3,)=0,0,(VLOOKUP($D33,$C$5:$AU$836,14,)/VLOOKUP($D33,$C$5:$AU$836,3,))*$E33)</f>
        <v>0</v>
      </c>
      <c r="Q33" s="65">
        <f>IF(VLOOKUP($D33,$C$5:$AU$836,3,)=0,0,(VLOOKUP($D33,$C$5:$AU$836,15,)/VLOOKUP($D33,$C$5:$AU$836,3,))*$E33)</f>
        <v>0</v>
      </c>
      <c r="R33" s="65">
        <f>IF(VLOOKUP($D33,$C$5:$AU$836,3,)=0,0,(VLOOKUP($D33,$C$5:$AU$836,16,)/VLOOKUP($D33,$C$5:$AU$836,3,))*$E33)</f>
        <v>0</v>
      </c>
      <c r="S33" s="65">
        <f>IF(VLOOKUP($D33,$C$5:$AU$836,3,)=0,0,(VLOOKUP($D33,$C$5:$AU$836,17,)/VLOOKUP($D33,$C$5:$AU$836,3,))*$E33)</f>
        <v>0</v>
      </c>
      <c r="T33" s="65">
        <f>IF(VLOOKUP($D33,$C$5:$AU$836,3,)=0,0,(VLOOKUP($D33,$C$5:$AU$836,18,)/VLOOKUP($D33,$C$5:$AU$836,3,))*$E33)</f>
        <v>0</v>
      </c>
      <c r="U33" s="65">
        <f>IF(VLOOKUP($D33,$C$5:$AU$836,3,)=0,0,(VLOOKUP($D33,$C$5:$AU$836,19,)/VLOOKUP($D33,$C$5:$AU$836,3,))*$E33)</f>
        <v>0</v>
      </c>
      <c r="V33" s="65">
        <f>IF(VLOOKUP($D33,$C$5:$AU$836,3,)=0,0,(VLOOKUP($D33,$C$5:$AU$836,20,)/VLOOKUP($D33,$C$5:$AU$836,3,))*$E33)</f>
        <v>0</v>
      </c>
      <c r="W33" s="65">
        <f>IF(VLOOKUP($D33,$C$5:$AU$836,3,)=0,0,(VLOOKUP($D33,$C$5:$AU$836,21,)/VLOOKUP($D33,$C$5:$AU$836,3,))*$E33)</f>
        <v>0</v>
      </c>
      <c r="X33" s="65">
        <f>IF(VLOOKUP($D33,$C$5:$AU$836,3,)=0,0,(VLOOKUP($D33,$C$5:$AU$836,22,)/VLOOKUP($D33,$C$5:$AU$836,3,))*$E33)</f>
        <v>0</v>
      </c>
      <c r="Y33" s="65">
        <f>IF(VLOOKUP($D33,$C$5:$AU$836,3,)=0,0,(VLOOKUP($D33,$C$5:$AU$836,23,)/VLOOKUP($D33,$C$5:$AU$836,3,))*$E33)</f>
        <v>0</v>
      </c>
      <c r="Z33" s="65">
        <f>IF(VLOOKUP($D33,$C$5:$AU$836,3,)=0,0,(VLOOKUP($D33,$C$5:$AU$836,24,)/VLOOKUP($D33,$C$5:$AU$836,3,))*$E33)</f>
        <v>0</v>
      </c>
      <c r="AA33" s="65">
        <f>IF(VLOOKUP($D33,$C$5:$AU$836,3,)=0,0,(VLOOKUP($D33,$C$5:$AU$836,25,)/VLOOKUP($D33,$C$5:$AU$836,3,))*$E33)</f>
        <v>0</v>
      </c>
      <c r="AB33" s="65">
        <f>IF(VLOOKUP($D33,$C$5:$AU$836,3,)=0,0,(VLOOKUP($D33,$C$5:$AU$836,26,)/VLOOKUP($D33,$C$5:$AU$836,3,))*$E33)</f>
        <v>0</v>
      </c>
      <c r="AC33" s="65">
        <f>IF(VLOOKUP($D33,$C$5:$AU$836,3,)=0,0,(VLOOKUP($D33,$C$5:$AU$836,27,)/VLOOKUP($D33,$C$5:$AU$836,3,))*$E33)</f>
        <v>0</v>
      </c>
      <c r="AD33" s="65">
        <f>IF(VLOOKUP($D33,$C$5:$AU$836,3,)=0,0,(VLOOKUP($D33,$C$5:$AU$836,28,)/VLOOKUP($D33,$C$5:$AU$836,3,))*$E33)</f>
        <v>0</v>
      </c>
      <c r="AE33" s="65">
        <f>IF(VLOOKUP($D33,$C$5:$AU$836,3,)=0,0,(VLOOKUP($D33,$C$5:$AU$836,29,)/VLOOKUP($D33,$C$5:$AU$836,3,))*$E33)</f>
        <v>0</v>
      </c>
      <c r="AF33" s="65">
        <f>IF(VLOOKUP($D33,$C$5:$AU$836,3,)=0,0,(VLOOKUP($D33,$C$5:$AU$836,30,)/VLOOKUP($D33,$C$5:$AU$836,3,))*$E33)</f>
        <v>0</v>
      </c>
      <c r="AG33" s="16">
        <f>SUM(F33:AF33)</f>
        <v>11021670.182647582</v>
      </c>
      <c r="AH33" s="14" t="str">
        <f>IF(ABS(E33-AG33)&lt;0.01,"ok","err")</f>
        <v>ok</v>
      </c>
    </row>
    <row r="34" spans="1:34" x14ac:dyDescent="0.25">
      <c r="A34" s="12" t="s">
        <v>223</v>
      </c>
      <c r="C34" s="2" t="s">
        <v>802</v>
      </c>
      <c r="D34" s="9" t="s">
        <v>760</v>
      </c>
      <c r="E34" s="65">
        <f>'Functional Assignment'!Z79</f>
        <v>5426530.16277787</v>
      </c>
      <c r="F34" s="65">
        <f>IF(VLOOKUP($D34,$C$5:$AU$836,3,)=0,0,(VLOOKUP($D34,$C$5:$AU$836,4,)/VLOOKUP($D34,$C$5:$AU$836,3,))*$E34)</f>
        <v>4975971.8692583917</v>
      </c>
      <c r="G34" s="65">
        <f>IF(VLOOKUP($D34,$C$5:$AU$836,3,)=0,0,(VLOOKUP($D34,$C$5:$AU$836,5,)/VLOOKUP($D34,$C$5:$AU$836,3,))*$E34)</f>
        <v>356927.91303797794</v>
      </c>
      <c r="H34" s="65">
        <f>IF(VLOOKUP($D34,$C$5:$AU$836,3,)=0,0,(VLOOKUP($D34,$C$5:$AU$836,6,)/VLOOKUP($D34,$C$5:$AU$836,3,))*$E34)</f>
        <v>34874.077078920214</v>
      </c>
      <c r="I34" s="65">
        <f>IF(VLOOKUP($D34,$C$5:$AU$836,3,)=0,0,(VLOOKUP($D34,$C$5:$AU$836,7,)/VLOOKUP($D34,$C$5:$AU$836,3,))*$E34)</f>
        <v>13146.661111015068</v>
      </c>
      <c r="J34" s="65">
        <f>IF(VLOOKUP($D34,$C$5:$AU$836,3,)=0,0,(VLOOKUP($D34,$C$5:$AU$836,8,)/VLOOKUP($D34,$C$5:$AU$836,3,))*$E34)</f>
        <v>1338.2828675883602</v>
      </c>
      <c r="K34" s="65">
        <f>IF(VLOOKUP($D34,$C$5:$AU$836,3,)=0,0,(VLOOKUP($D34,$C$5:$AU$836,9,)/VLOOKUP($D34,$C$5:$AU$836,3,))*$E34)</f>
        <v>0</v>
      </c>
      <c r="L34" s="65">
        <f>IF(VLOOKUP($D34,$C$5:$AU$836,3,)=0,0,(VLOOKUP($D34,$C$5:$AU$836,10,)/VLOOKUP($D34,$C$5:$AU$836,3,))*$E34)</f>
        <v>0</v>
      </c>
      <c r="M34" s="65">
        <f>IF(VLOOKUP($D34,$C$5:$AU$836,3,)=0,0,(VLOOKUP($D34,$C$5:$AU$836,11,)/VLOOKUP($D34,$C$5:$AU$836,3,))*$E34)</f>
        <v>0</v>
      </c>
      <c r="N34" s="65">
        <f>IF(VLOOKUP($D34,$C$5:$AU$836,3,)=0,0,(VLOOKUP($D34,$C$5:$AU$836,12,)/VLOOKUP($D34,$C$5:$AU$836,3,))*$E34)</f>
        <v>44271.359423976122</v>
      </c>
      <c r="O34" s="65">
        <f>IF(VLOOKUP($D34,$C$5:$AU$836,3,)=0,0,(VLOOKUP($D34,$C$5:$AU$836,13,)/VLOOKUP($D34,$C$5:$AU$836,3,))*$E34)</f>
        <v>0</v>
      </c>
      <c r="P34" s="65">
        <f>IF(VLOOKUP($D34,$C$5:$AU$836,3,)=0,0,(VLOOKUP($D34,$C$5:$AU$836,14,)/VLOOKUP($D34,$C$5:$AU$836,3,))*$E34)</f>
        <v>0</v>
      </c>
      <c r="Q34" s="65">
        <f>IF(VLOOKUP($D34,$C$5:$AU$836,3,)=0,0,(VLOOKUP($D34,$C$5:$AU$836,15,)/VLOOKUP($D34,$C$5:$AU$836,3,))*$E34)</f>
        <v>0</v>
      </c>
      <c r="R34" s="65">
        <f>IF(VLOOKUP($D34,$C$5:$AU$836,3,)=0,0,(VLOOKUP($D34,$C$5:$AU$836,16,)/VLOOKUP($D34,$C$5:$AU$836,3,))*$E34)</f>
        <v>0</v>
      </c>
      <c r="S34" s="65">
        <f>IF(VLOOKUP($D34,$C$5:$AU$836,3,)=0,0,(VLOOKUP($D34,$C$5:$AU$836,17,)/VLOOKUP($D34,$C$5:$AU$836,3,))*$E34)</f>
        <v>0</v>
      </c>
      <c r="T34" s="65">
        <f>IF(VLOOKUP($D34,$C$5:$AU$836,3,)=0,0,(VLOOKUP($D34,$C$5:$AU$836,18,)/VLOOKUP($D34,$C$5:$AU$836,3,))*$E34)</f>
        <v>0</v>
      </c>
      <c r="U34" s="65">
        <f>IF(VLOOKUP($D34,$C$5:$AU$836,3,)=0,0,(VLOOKUP($D34,$C$5:$AU$836,19,)/VLOOKUP($D34,$C$5:$AU$836,3,))*$E34)</f>
        <v>0</v>
      </c>
      <c r="V34" s="65">
        <f>IF(VLOOKUP($D34,$C$5:$AU$836,3,)=0,0,(VLOOKUP($D34,$C$5:$AU$836,20,)/VLOOKUP($D34,$C$5:$AU$836,3,))*$E34)</f>
        <v>0</v>
      </c>
      <c r="W34" s="65">
        <f>IF(VLOOKUP($D34,$C$5:$AU$836,3,)=0,0,(VLOOKUP($D34,$C$5:$AU$836,21,)/VLOOKUP($D34,$C$5:$AU$836,3,))*$E34)</f>
        <v>0</v>
      </c>
      <c r="X34" s="65">
        <f>IF(VLOOKUP($D34,$C$5:$AU$836,3,)=0,0,(VLOOKUP($D34,$C$5:$AU$836,22,)/VLOOKUP($D34,$C$5:$AU$836,3,))*$E34)</f>
        <v>0</v>
      </c>
      <c r="Y34" s="65">
        <f>IF(VLOOKUP($D34,$C$5:$AU$836,3,)=0,0,(VLOOKUP($D34,$C$5:$AU$836,23,)/VLOOKUP($D34,$C$5:$AU$836,3,))*$E34)</f>
        <v>0</v>
      </c>
      <c r="Z34" s="65">
        <f>IF(VLOOKUP($D34,$C$5:$AU$836,3,)=0,0,(VLOOKUP($D34,$C$5:$AU$836,24,)/VLOOKUP($D34,$C$5:$AU$836,3,))*$E34)</f>
        <v>0</v>
      </c>
      <c r="AA34" s="65">
        <f>IF(VLOOKUP($D34,$C$5:$AU$836,3,)=0,0,(VLOOKUP($D34,$C$5:$AU$836,25,)/VLOOKUP($D34,$C$5:$AU$836,3,))*$E34)</f>
        <v>0</v>
      </c>
      <c r="AB34" s="65">
        <f>IF(VLOOKUP($D34,$C$5:$AU$836,3,)=0,0,(VLOOKUP($D34,$C$5:$AU$836,26,)/VLOOKUP($D34,$C$5:$AU$836,3,))*$E34)</f>
        <v>0</v>
      </c>
      <c r="AC34" s="65">
        <f>IF(VLOOKUP($D34,$C$5:$AU$836,3,)=0,0,(VLOOKUP($D34,$C$5:$AU$836,27,)/VLOOKUP($D34,$C$5:$AU$836,3,))*$E34)</f>
        <v>0</v>
      </c>
      <c r="AD34" s="65">
        <f>IF(VLOOKUP($D34,$C$5:$AU$836,3,)=0,0,(VLOOKUP($D34,$C$5:$AU$836,28,)/VLOOKUP($D34,$C$5:$AU$836,3,))*$E34)</f>
        <v>0</v>
      </c>
      <c r="AE34" s="65">
        <f>IF(VLOOKUP($D34,$C$5:$AU$836,3,)=0,0,(VLOOKUP($D34,$C$5:$AU$836,29,)/VLOOKUP($D34,$C$5:$AU$836,3,))*$E34)</f>
        <v>0</v>
      </c>
      <c r="AF34" s="65">
        <f>IF(VLOOKUP($D34,$C$5:$AU$836,3,)=0,0,(VLOOKUP($D34,$C$5:$AU$836,30,)/VLOOKUP($D34,$C$5:$AU$836,3,))*$E34)</f>
        <v>0</v>
      </c>
      <c r="AG34" s="16">
        <f>SUM(F34:AF34)</f>
        <v>5426530.162777869</v>
      </c>
      <c r="AH34" s="14" t="str">
        <f>IF(ABS(E34-AG34)&lt;0.01,"ok","err")</f>
        <v>ok</v>
      </c>
    </row>
    <row r="35" spans="1:34" x14ac:dyDescent="0.25">
      <c r="A35" s="2" t="s">
        <v>224</v>
      </c>
      <c r="E35" s="65">
        <f t="shared" ref="E35:N35" si="34">E33+E34</f>
        <v>16448200.345425453</v>
      </c>
      <c r="F35" s="65">
        <f t="shared" si="34"/>
        <v>12192263.968232423</v>
      </c>
      <c r="G35" s="65">
        <f t="shared" si="34"/>
        <v>1845038.4184077301</v>
      </c>
      <c r="H35" s="65">
        <f t="shared" si="34"/>
        <v>1575316.5178416607</v>
      </c>
      <c r="I35" s="65">
        <f t="shared" si="34"/>
        <v>543272.42719870876</v>
      </c>
      <c r="J35" s="65">
        <f t="shared" si="34"/>
        <v>196921.92480239691</v>
      </c>
      <c r="K35" s="65">
        <f t="shared" si="34"/>
        <v>0</v>
      </c>
      <c r="L35" s="65">
        <f t="shared" si="34"/>
        <v>0</v>
      </c>
      <c r="M35" s="65">
        <f t="shared" si="34"/>
        <v>0</v>
      </c>
      <c r="N35" s="65">
        <f t="shared" si="34"/>
        <v>95387.088942533155</v>
      </c>
      <c r="O35" s="65">
        <f t="shared" ref="O35:AF35" si="35">O33+O34</f>
        <v>0</v>
      </c>
      <c r="P35" s="65">
        <f t="shared" si="35"/>
        <v>0</v>
      </c>
      <c r="Q35" s="65">
        <f t="shared" si="35"/>
        <v>0</v>
      </c>
      <c r="R35" s="65">
        <f t="shared" si="35"/>
        <v>0</v>
      </c>
      <c r="S35" s="65">
        <f t="shared" si="35"/>
        <v>0</v>
      </c>
      <c r="T35" s="65">
        <f t="shared" si="35"/>
        <v>0</v>
      </c>
      <c r="U35" s="65">
        <f t="shared" si="35"/>
        <v>0</v>
      </c>
      <c r="V35" s="65">
        <f t="shared" si="35"/>
        <v>0</v>
      </c>
      <c r="W35" s="65">
        <f t="shared" si="35"/>
        <v>0</v>
      </c>
      <c r="X35" s="65">
        <f t="shared" si="35"/>
        <v>0</v>
      </c>
      <c r="Y35" s="65">
        <f t="shared" si="35"/>
        <v>0</v>
      </c>
      <c r="Z35" s="65">
        <f t="shared" si="35"/>
        <v>0</v>
      </c>
      <c r="AA35" s="65">
        <f t="shared" si="35"/>
        <v>0</v>
      </c>
      <c r="AB35" s="65">
        <f t="shared" si="35"/>
        <v>0</v>
      </c>
      <c r="AC35" s="65">
        <f t="shared" si="35"/>
        <v>0</v>
      </c>
      <c r="AD35" s="65">
        <f t="shared" si="35"/>
        <v>0</v>
      </c>
      <c r="AE35" s="65">
        <f t="shared" si="35"/>
        <v>0</v>
      </c>
      <c r="AF35" s="65">
        <f t="shared" si="35"/>
        <v>0</v>
      </c>
      <c r="AG35" s="16">
        <f>SUM(F35:AF35)</f>
        <v>16448200.345425453</v>
      </c>
      <c r="AH35" s="14" t="str">
        <f>IF(ABS(E35-AG35)&lt;0.01,"ok","err")</f>
        <v>ok</v>
      </c>
    </row>
    <row r="36" spans="1:34" x14ac:dyDescent="0.25">
      <c r="E36" s="31"/>
    </row>
    <row r="37" spans="1:34" x14ac:dyDescent="0.25">
      <c r="A37" s="7" t="s">
        <v>840</v>
      </c>
      <c r="E37" s="31"/>
    </row>
    <row r="38" spans="1:34" x14ac:dyDescent="0.25">
      <c r="A38" s="12" t="s">
        <v>214</v>
      </c>
      <c r="C38" s="2" t="s">
        <v>801</v>
      </c>
      <c r="D38" s="9" t="s">
        <v>848</v>
      </c>
      <c r="E38" s="65">
        <f>'Functional Assignment'!AB79</f>
        <v>21579328.966607988</v>
      </c>
      <c r="F38" s="65">
        <f>IF(VLOOKUP($D38,$C$5:$AU$836,3,)=0,0,(VLOOKUP($D38,$C$5:$AU$836,4,)/VLOOKUP($D38,$C$5:$AU$836,3,))*$E38)</f>
        <v>13971946.291195925</v>
      </c>
      <c r="G38" s="65">
        <f>IF(VLOOKUP($D38,$C$5:$AU$836,3,)=0,0,(VLOOKUP($D38,$C$5:$AU$836,5,)/VLOOKUP($D38,$C$5:$AU$836,3,))*$E38)</f>
        <v>2881230.3841396128</v>
      </c>
      <c r="H38" s="65">
        <f>IF(VLOOKUP($D38,$C$5:$AU$836,3,)=0,0,(VLOOKUP($D38,$C$5:$AU$836,6,)/VLOOKUP($D38,$C$5:$AU$836,3,))*$E38)</f>
        <v>2982553.7480773232</v>
      </c>
      <c r="I38" s="65">
        <f>IF(VLOOKUP($D38,$C$5:$AU$836,3,)=0,0,(VLOOKUP($D38,$C$5:$AU$836,7,)/VLOOKUP($D38,$C$5:$AU$836,3,))*$E38)</f>
        <v>1026411.9896711799</v>
      </c>
      <c r="J38" s="65">
        <f>IF(VLOOKUP($D38,$C$5:$AU$836,3,)=0,0,(VLOOKUP($D38,$C$5:$AU$836,8,)/VLOOKUP($D38,$C$5:$AU$836,3,))*$E38)</f>
        <v>378682.58422329614</v>
      </c>
      <c r="K38" s="65">
        <f>IF(VLOOKUP($D38,$C$5:$AU$836,3,)=0,0,(VLOOKUP($D38,$C$5:$AU$836,9,)/VLOOKUP($D38,$C$5:$AU$836,3,))*$E38)</f>
        <v>0</v>
      </c>
      <c r="L38" s="65">
        <f>IF(VLOOKUP($D38,$C$5:$AU$836,3,)=0,0,(VLOOKUP($D38,$C$5:$AU$836,10,)/VLOOKUP($D38,$C$5:$AU$836,3,))*$E38)</f>
        <v>142382.72030863041</v>
      </c>
      <c r="M38" s="65">
        <f>IF(VLOOKUP($D38,$C$5:$AU$836,3,)=0,0,(VLOOKUP($D38,$C$5:$AU$836,11,)/VLOOKUP($D38,$C$5:$AU$836,3,))*$E38)</f>
        <v>97152.662677432134</v>
      </c>
      <c r="N38" s="65">
        <f>IF(VLOOKUP($D38,$C$5:$AU$836,3,)=0,0,(VLOOKUP($D38,$C$5:$AU$836,12,)/VLOOKUP($D38,$C$5:$AU$836,3,))*$E38)</f>
        <v>98968.586314586093</v>
      </c>
      <c r="O38" s="65">
        <f>IF(VLOOKUP($D38,$C$5:$AU$836,3,)=0,0,(VLOOKUP($D38,$C$5:$AU$836,13,)/VLOOKUP($D38,$C$5:$AU$836,3,))*$E38)</f>
        <v>0</v>
      </c>
      <c r="P38" s="65">
        <f>IF(VLOOKUP($D38,$C$5:$AU$836,3,)=0,0,(VLOOKUP($D38,$C$5:$AU$836,14,)/VLOOKUP($D38,$C$5:$AU$836,3,))*$E38)</f>
        <v>0</v>
      </c>
      <c r="Q38" s="65">
        <f>IF(VLOOKUP($D38,$C$5:$AU$836,3,)=0,0,(VLOOKUP($D38,$C$5:$AU$836,15,)/VLOOKUP($D38,$C$5:$AU$836,3,))*$E38)</f>
        <v>0</v>
      </c>
      <c r="R38" s="65">
        <f>IF(VLOOKUP($D38,$C$5:$AU$836,3,)=0,0,(VLOOKUP($D38,$C$5:$AU$836,16,)/VLOOKUP($D38,$C$5:$AU$836,3,))*$E38)</f>
        <v>0</v>
      </c>
      <c r="S38" s="65">
        <f>IF(VLOOKUP($D38,$C$5:$AU$836,3,)=0,0,(VLOOKUP($D38,$C$5:$AU$836,17,)/VLOOKUP($D38,$C$5:$AU$836,3,))*$E38)</f>
        <v>0</v>
      </c>
      <c r="T38" s="65">
        <f>IF(VLOOKUP($D38,$C$5:$AU$836,3,)=0,0,(VLOOKUP($D38,$C$5:$AU$836,18,)/VLOOKUP($D38,$C$5:$AU$836,3,))*$E38)</f>
        <v>0</v>
      </c>
      <c r="U38" s="65">
        <f>IF(VLOOKUP($D38,$C$5:$AU$836,3,)=0,0,(VLOOKUP($D38,$C$5:$AU$836,19,)/VLOOKUP($D38,$C$5:$AU$836,3,))*$E38)</f>
        <v>0</v>
      </c>
      <c r="V38" s="65">
        <f>IF(VLOOKUP($D38,$C$5:$AU$836,3,)=0,0,(VLOOKUP($D38,$C$5:$AU$836,20,)/VLOOKUP($D38,$C$5:$AU$836,3,))*$E38)</f>
        <v>0</v>
      </c>
      <c r="W38" s="65">
        <f>IF(VLOOKUP($D38,$C$5:$AU$836,3,)=0,0,(VLOOKUP($D38,$C$5:$AU$836,21,)/VLOOKUP($D38,$C$5:$AU$836,3,))*$E38)</f>
        <v>0</v>
      </c>
      <c r="X38" s="65">
        <f>IF(VLOOKUP($D38,$C$5:$AU$836,3,)=0,0,(VLOOKUP($D38,$C$5:$AU$836,22,)/VLOOKUP($D38,$C$5:$AU$836,3,))*$E38)</f>
        <v>0</v>
      </c>
      <c r="Y38" s="65">
        <f>IF(VLOOKUP($D38,$C$5:$AU$836,3,)=0,0,(VLOOKUP($D38,$C$5:$AU$836,23,)/VLOOKUP($D38,$C$5:$AU$836,3,))*$E38)</f>
        <v>0</v>
      </c>
      <c r="Z38" s="65">
        <f>IF(VLOOKUP($D38,$C$5:$AU$836,3,)=0,0,(VLOOKUP($D38,$C$5:$AU$836,24,)/VLOOKUP($D38,$C$5:$AU$836,3,))*$E38)</f>
        <v>0</v>
      </c>
      <c r="AA38" s="65">
        <f>IF(VLOOKUP($D38,$C$5:$AU$836,3,)=0,0,(VLOOKUP($D38,$C$5:$AU$836,25,)/VLOOKUP($D38,$C$5:$AU$836,3,))*$E38)</f>
        <v>0</v>
      </c>
      <c r="AB38" s="65">
        <f>IF(VLOOKUP($D38,$C$5:$AU$836,3,)=0,0,(VLOOKUP($D38,$C$5:$AU$836,26,)/VLOOKUP($D38,$C$5:$AU$836,3,))*$E38)</f>
        <v>0</v>
      </c>
      <c r="AC38" s="65">
        <f>IF(VLOOKUP($D38,$C$5:$AU$836,3,)=0,0,(VLOOKUP($D38,$C$5:$AU$836,27,)/VLOOKUP($D38,$C$5:$AU$836,3,))*$E38)</f>
        <v>0</v>
      </c>
      <c r="AD38" s="65">
        <f>IF(VLOOKUP($D38,$C$5:$AU$836,3,)=0,0,(VLOOKUP($D38,$C$5:$AU$836,28,)/VLOOKUP($D38,$C$5:$AU$836,3,))*$E38)</f>
        <v>0</v>
      </c>
      <c r="AE38" s="65">
        <f>IF(VLOOKUP($D38,$C$5:$AU$836,3,)=0,0,(VLOOKUP($D38,$C$5:$AU$836,29,)/VLOOKUP($D38,$C$5:$AU$836,3,))*$E38)</f>
        <v>0</v>
      </c>
      <c r="AF38" s="65">
        <f>IF(VLOOKUP($D38,$C$5:$AU$836,3,)=0,0,(VLOOKUP($D38,$C$5:$AU$836,30,)/VLOOKUP($D38,$C$5:$AU$836,3,))*$E38)</f>
        <v>0</v>
      </c>
      <c r="AG38" s="16">
        <f>SUM(F38:AF38)</f>
        <v>21579328.966607984</v>
      </c>
      <c r="AH38" s="14" t="str">
        <f>IF(ABS(E38-AG38)&lt;0.01,"ok","err")</f>
        <v>ok</v>
      </c>
    </row>
    <row r="39" spans="1:34" x14ac:dyDescent="0.25">
      <c r="A39" s="12" t="s">
        <v>223</v>
      </c>
      <c r="C39" s="2" t="s">
        <v>802</v>
      </c>
      <c r="D39" s="9" t="s">
        <v>853</v>
      </c>
      <c r="E39" s="65">
        <f>'Functional Assignment'!AC79</f>
        <v>28108280.903546255</v>
      </c>
      <c r="F39" s="65">
        <f>IF(VLOOKUP($D39,$C$5:$AU$836,3,)=0,0,(VLOOKUP($D39,$C$5:$AU$836,4,)/VLOOKUP($D39,$C$5:$AU$836,3,))*$E39)</f>
        <v>25774484.039292771</v>
      </c>
      <c r="G39" s="65">
        <f>IF(VLOOKUP($D39,$C$5:$AU$836,3,)=0,0,(VLOOKUP($D39,$C$5:$AU$836,5,)/VLOOKUP($D39,$C$5:$AU$836,3,))*$E39)</f>
        <v>1848811.2552667093</v>
      </c>
      <c r="H39" s="65">
        <f>IF(VLOOKUP($D39,$C$5:$AU$836,3,)=0,0,(VLOOKUP($D39,$C$5:$AU$836,6,)/VLOOKUP($D39,$C$5:$AU$836,3,))*$E39)</f>
        <v>180640.35864207151</v>
      </c>
      <c r="I39" s="65">
        <f>IF(VLOOKUP($D39,$C$5:$AU$836,3,)=0,0,(VLOOKUP($D39,$C$5:$AU$836,7,)/VLOOKUP($D39,$C$5:$AU$836,3,))*$E39)</f>
        <v>68096.929781548402</v>
      </c>
      <c r="J39" s="65">
        <f>IF(VLOOKUP($D39,$C$5:$AU$836,3,)=0,0,(VLOOKUP($D39,$C$5:$AU$836,8,)/VLOOKUP($D39,$C$5:$AU$836,3,))*$E39)</f>
        <v>6932.02279213367</v>
      </c>
      <c r="K39" s="65">
        <f>IF(VLOOKUP($D39,$C$5:$AU$836,3,)=0,0,(VLOOKUP($D39,$C$5:$AU$836,9,)/VLOOKUP($D39,$C$5:$AU$836,3,))*$E39)</f>
        <v>0</v>
      </c>
      <c r="L39" s="65">
        <f>IF(VLOOKUP($D39,$C$5:$AU$836,3,)=0,0,(VLOOKUP($D39,$C$5:$AU$836,10,)/VLOOKUP($D39,$C$5:$AU$836,3,))*$E39)</f>
        <v>0</v>
      </c>
      <c r="M39" s="65">
        <f>IF(VLOOKUP($D39,$C$5:$AU$836,3,)=0,0,(VLOOKUP($D39,$C$5:$AU$836,11,)/VLOOKUP($D39,$C$5:$AU$836,3,))*$E39)</f>
        <v>0</v>
      </c>
      <c r="N39" s="65">
        <f>IF(VLOOKUP($D39,$C$5:$AU$836,3,)=0,0,(VLOOKUP($D39,$C$5:$AU$836,12,)/VLOOKUP($D39,$C$5:$AU$836,3,))*$E39)</f>
        <v>229316.29777101797</v>
      </c>
      <c r="O39" s="65">
        <f>IF(VLOOKUP($D39,$C$5:$AU$836,3,)=0,0,(VLOOKUP($D39,$C$5:$AU$836,13,)/VLOOKUP($D39,$C$5:$AU$836,3,))*$E39)</f>
        <v>0</v>
      </c>
      <c r="P39" s="65">
        <f>IF(VLOOKUP($D39,$C$5:$AU$836,3,)=0,0,(VLOOKUP($D39,$C$5:$AU$836,14,)/VLOOKUP($D39,$C$5:$AU$836,3,))*$E39)</f>
        <v>0</v>
      </c>
      <c r="Q39" s="65">
        <f>IF(VLOOKUP($D39,$C$5:$AU$836,3,)=0,0,(VLOOKUP($D39,$C$5:$AU$836,15,)/VLOOKUP($D39,$C$5:$AU$836,3,))*$E39)</f>
        <v>0</v>
      </c>
      <c r="R39" s="65">
        <f>IF(VLOOKUP($D39,$C$5:$AU$836,3,)=0,0,(VLOOKUP($D39,$C$5:$AU$836,16,)/VLOOKUP($D39,$C$5:$AU$836,3,))*$E39)</f>
        <v>0</v>
      </c>
      <c r="S39" s="65">
        <f>IF(VLOOKUP($D39,$C$5:$AU$836,3,)=0,0,(VLOOKUP($D39,$C$5:$AU$836,17,)/VLOOKUP($D39,$C$5:$AU$836,3,))*$E39)</f>
        <v>0</v>
      </c>
      <c r="T39" s="65">
        <f>IF(VLOOKUP($D39,$C$5:$AU$836,3,)=0,0,(VLOOKUP($D39,$C$5:$AU$836,18,)/VLOOKUP($D39,$C$5:$AU$836,3,))*$E39)</f>
        <v>0</v>
      </c>
      <c r="U39" s="65">
        <f>IF(VLOOKUP($D39,$C$5:$AU$836,3,)=0,0,(VLOOKUP($D39,$C$5:$AU$836,19,)/VLOOKUP($D39,$C$5:$AU$836,3,))*$E39)</f>
        <v>0</v>
      </c>
      <c r="V39" s="65">
        <f>IF(VLOOKUP($D39,$C$5:$AU$836,3,)=0,0,(VLOOKUP($D39,$C$5:$AU$836,20,)/VLOOKUP($D39,$C$5:$AU$836,3,))*$E39)</f>
        <v>0</v>
      </c>
      <c r="W39" s="65">
        <f>IF(VLOOKUP($D39,$C$5:$AU$836,3,)=0,0,(VLOOKUP($D39,$C$5:$AU$836,21,)/VLOOKUP($D39,$C$5:$AU$836,3,))*$E39)</f>
        <v>0</v>
      </c>
      <c r="X39" s="65">
        <f>IF(VLOOKUP($D39,$C$5:$AU$836,3,)=0,0,(VLOOKUP($D39,$C$5:$AU$836,22,)/VLOOKUP($D39,$C$5:$AU$836,3,))*$E39)</f>
        <v>0</v>
      </c>
      <c r="Y39" s="65">
        <f>IF(VLOOKUP($D39,$C$5:$AU$836,3,)=0,0,(VLOOKUP($D39,$C$5:$AU$836,23,)/VLOOKUP($D39,$C$5:$AU$836,3,))*$E39)</f>
        <v>0</v>
      </c>
      <c r="Z39" s="65">
        <f>IF(VLOOKUP($D39,$C$5:$AU$836,3,)=0,0,(VLOOKUP($D39,$C$5:$AU$836,24,)/VLOOKUP($D39,$C$5:$AU$836,3,))*$E39)</f>
        <v>0</v>
      </c>
      <c r="AA39" s="65">
        <f>IF(VLOOKUP($D39,$C$5:$AU$836,3,)=0,0,(VLOOKUP($D39,$C$5:$AU$836,25,)/VLOOKUP($D39,$C$5:$AU$836,3,))*$E39)</f>
        <v>0</v>
      </c>
      <c r="AB39" s="65">
        <f>IF(VLOOKUP($D39,$C$5:$AU$836,3,)=0,0,(VLOOKUP($D39,$C$5:$AU$836,26,)/VLOOKUP($D39,$C$5:$AU$836,3,))*$E39)</f>
        <v>0</v>
      </c>
      <c r="AC39" s="65">
        <f>IF(VLOOKUP($D39,$C$5:$AU$836,3,)=0,0,(VLOOKUP($D39,$C$5:$AU$836,27,)/VLOOKUP($D39,$C$5:$AU$836,3,))*$E39)</f>
        <v>0</v>
      </c>
      <c r="AD39" s="65">
        <f>IF(VLOOKUP($D39,$C$5:$AU$836,3,)=0,0,(VLOOKUP($D39,$C$5:$AU$836,28,)/VLOOKUP($D39,$C$5:$AU$836,3,))*$E39)</f>
        <v>0</v>
      </c>
      <c r="AE39" s="65">
        <f>IF(VLOOKUP($D39,$C$5:$AU$836,3,)=0,0,(VLOOKUP($D39,$C$5:$AU$836,29,)/VLOOKUP($D39,$C$5:$AU$836,3,))*$E39)</f>
        <v>0</v>
      </c>
      <c r="AF39" s="65">
        <f>IF(VLOOKUP($D39,$C$5:$AU$836,3,)=0,0,(VLOOKUP($D39,$C$5:$AU$836,30,)/VLOOKUP($D39,$C$5:$AU$836,3,))*$E39)</f>
        <v>0</v>
      </c>
      <c r="AG39" s="16">
        <f>SUM(F39:AF39)</f>
        <v>28108280.903546251</v>
      </c>
      <c r="AH39" s="14" t="str">
        <f>IF(ABS(E39-AG39)&lt;0.01,"ok","err")</f>
        <v>ok</v>
      </c>
    </row>
    <row r="40" spans="1:34" x14ac:dyDescent="0.25">
      <c r="A40" s="9" t="s">
        <v>841</v>
      </c>
      <c r="E40" s="65">
        <f t="shared" ref="E40:AF40" si="36">E38+E39</f>
        <v>49687609.870154247</v>
      </c>
      <c r="F40" s="65">
        <f t="shared" si="36"/>
        <v>39746430.330488697</v>
      </c>
      <c r="G40" s="65">
        <f t="shared" si="36"/>
        <v>4730041.6394063216</v>
      </c>
      <c r="H40" s="65">
        <f t="shared" si="36"/>
        <v>3163194.1067193947</v>
      </c>
      <c r="I40" s="65">
        <f t="shared" si="36"/>
        <v>1094508.9194527282</v>
      </c>
      <c r="J40" s="65">
        <f t="shared" si="36"/>
        <v>385614.60701542982</v>
      </c>
      <c r="K40" s="65">
        <f t="shared" si="36"/>
        <v>0</v>
      </c>
      <c r="L40" s="65">
        <f t="shared" si="36"/>
        <v>142382.72030863041</v>
      </c>
      <c r="M40" s="65">
        <f t="shared" si="36"/>
        <v>97152.662677432134</v>
      </c>
      <c r="N40" s="65">
        <f t="shared" si="36"/>
        <v>328284.88408560405</v>
      </c>
      <c r="O40" s="65">
        <f t="shared" si="36"/>
        <v>0</v>
      </c>
      <c r="P40" s="65">
        <f t="shared" si="36"/>
        <v>0</v>
      </c>
      <c r="Q40" s="65">
        <f t="shared" si="36"/>
        <v>0</v>
      </c>
      <c r="R40" s="65">
        <f t="shared" si="36"/>
        <v>0</v>
      </c>
      <c r="S40" s="65">
        <f t="shared" si="36"/>
        <v>0</v>
      </c>
      <c r="T40" s="65">
        <f t="shared" si="36"/>
        <v>0</v>
      </c>
      <c r="U40" s="65">
        <f t="shared" si="36"/>
        <v>0</v>
      </c>
      <c r="V40" s="65">
        <f t="shared" si="36"/>
        <v>0</v>
      </c>
      <c r="W40" s="65">
        <f t="shared" si="36"/>
        <v>0</v>
      </c>
      <c r="X40" s="65">
        <f t="shared" si="36"/>
        <v>0</v>
      </c>
      <c r="Y40" s="65">
        <f t="shared" si="36"/>
        <v>0</v>
      </c>
      <c r="Z40" s="65">
        <f t="shared" si="36"/>
        <v>0</v>
      </c>
      <c r="AA40" s="65">
        <f t="shared" si="36"/>
        <v>0</v>
      </c>
      <c r="AB40" s="65">
        <f t="shared" si="36"/>
        <v>0</v>
      </c>
      <c r="AC40" s="65">
        <f t="shared" si="36"/>
        <v>0</v>
      </c>
      <c r="AD40" s="65">
        <f t="shared" si="36"/>
        <v>0</v>
      </c>
      <c r="AE40" s="65">
        <f t="shared" si="36"/>
        <v>0</v>
      </c>
      <c r="AF40" s="65">
        <f t="shared" si="36"/>
        <v>0</v>
      </c>
      <c r="AG40" s="16">
        <f>SUM(F40:AF40)</f>
        <v>49687609.870154239</v>
      </c>
      <c r="AH40" s="14" t="str">
        <f>IF(ABS(E40-AG40)&lt;0.01,"ok","err")</f>
        <v>ok</v>
      </c>
    </row>
    <row r="41" spans="1:34" x14ac:dyDescent="0.25">
      <c r="E41" s="31"/>
    </row>
    <row r="42" spans="1:34" x14ac:dyDescent="0.25">
      <c r="A42" s="8" t="s">
        <v>5</v>
      </c>
      <c r="E42" s="31"/>
    </row>
    <row r="43" spans="1:34" x14ac:dyDescent="0.25">
      <c r="A43" s="12" t="s">
        <v>214</v>
      </c>
      <c r="C43" s="2" t="s">
        <v>225</v>
      </c>
      <c r="D43" s="2" t="s">
        <v>611</v>
      </c>
      <c r="E43" s="65">
        <f>'Functional Assignment'!AE79</f>
        <v>0</v>
      </c>
      <c r="F43" s="65">
        <f>IF(VLOOKUP($D43,$C$5:$AU$836,3,)=0,0,(VLOOKUP($D43,$C$5:$AU$836,4,)/VLOOKUP($D43,$C$5:$AU$836,3,))*$E43)</f>
        <v>0</v>
      </c>
      <c r="G43" s="65">
        <f>IF(VLOOKUP($D43,$C$5:$AU$836,3,)=0,0,(VLOOKUP($D43,$C$5:$AU$836,5,)/VLOOKUP($D43,$C$5:$AU$836,3,))*$E43)</f>
        <v>0</v>
      </c>
      <c r="H43" s="65">
        <f>IF(VLOOKUP($D43,$C$5:$AU$836,3,)=0,0,(VLOOKUP($D43,$C$5:$AU$836,6,)/VLOOKUP($D43,$C$5:$AU$836,3,))*$E43)</f>
        <v>0</v>
      </c>
      <c r="I43" s="65">
        <f>IF(VLOOKUP($D43,$C$5:$AU$836,3,)=0,0,(VLOOKUP($D43,$C$5:$AU$836,7,)/VLOOKUP($D43,$C$5:$AU$836,3,))*$E43)</f>
        <v>0</v>
      </c>
      <c r="J43" s="65">
        <f>IF(VLOOKUP($D43,$C$5:$AU$836,3,)=0,0,(VLOOKUP($D43,$C$5:$AU$836,8,)/VLOOKUP($D43,$C$5:$AU$836,3,))*$E43)</f>
        <v>0</v>
      </c>
      <c r="K43" s="65">
        <f>IF(VLOOKUP($D43,$C$5:$AU$836,3,)=0,0,(VLOOKUP($D43,$C$5:$AU$836,9,)/VLOOKUP($D43,$C$5:$AU$836,3,))*$E43)</f>
        <v>0</v>
      </c>
      <c r="L43" s="65">
        <f>IF(VLOOKUP($D43,$C$5:$AU$836,3,)=0,0,(VLOOKUP($D43,$C$5:$AU$836,10,)/VLOOKUP($D43,$C$5:$AU$836,3,))*$E43)</f>
        <v>0</v>
      </c>
      <c r="M43" s="65">
        <f>IF(VLOOKUP($D43,$C$5:$AU$836,3,)=0,0,(VLOOKUP($D43,$C$5:$AU$836,11,)/VLOOKUP($D43,$C$5:$AU$836,3,))*$E43)</f>
        <v>0</v>
      </c>
      <c r="N43" s="65">
        <f>IF(VLOOKUP($D43,$C$5:$AU$836,3,)=0,0,(VLOOKUP($D43,$C$5:$AU$836,12,)/VLOOKUP($D43,$C$5:$AU$836,3,))*$E43)</f>
        <v>0</v>
      </c>
      <c r="O43" s="65">
        <f>IF(VLOOKUP($D43,$C$5:$AU$836,3,)=0,0,(VLOOKUP($D43,$C$5:$AU$836,13,)/VLOOKUP($D43,$C$5:$AU$836,3,))*$E43)</f>
        <v>0</v>
      </c>
      <c r="P43" s="65">
        <f>IF(VLOOKUP($D43,$C$5:$AU$836,3,)=0,0,(VLOOKUP($D43,$C$5:$AU$836,14,)/VLOOKUP($D43,$C$5:$AU$836,3,))*$E43)</f>
        <v>0</v>
      </c>
      <c r="Q43" s="65">
        <f>IF(VLOOKUP($D43,$C$5:$AU$836,3,)=0,0,(VLOOKUP($D43,$C$5:$AU$836,15,)/VLOOKUP($D43,$C$5:$AU$836,3,))*$E43)</f>
        <v>0</v>
      </c>
      <c r="R43" s="65">
        <f>IF(VLOOKUP($D43,$C$5:$AU$836,3,)=0,0,(VLOOKUP($D43,$C$5:$AU$836,16,)/VLOOKUP($D43,$C$5:$AU$836,3,))*$E43)</f>
        <v>0</v>
      </c>
      <c r="S43" s="65">
        <f>IF(VLOOKUP($D43,$C$5:$AU$836,3,)=0,0,(VLOOKUP($D43,$C$5:$AU$836,17,)/VLOOKUP($D43,$C$5:$AU$836,3,))*$E43)</f>
        <v>0</v>
      </c>
      <c r="T43" s="65">
        <f>IF(VLOOKUP($D43,$C$5:$AU$836,3,)=0,0,(VLOOKUP($D43,$C$5:$AU$836,18,)/VLOOKUP($D43,$C$5:$AU$836,3,))*$E43)</f>
        <v>0</v>
      </c>
      <c r="U43" s="65">
        <f>IF(VLOOKUP($D43,$C$5:$AU$836,3,)=0,0,(VLOOKUP($D43,$C$5:$AU$836,19,)/VLOOKUP($D43,$C$5:$AU$836,3,))*$E43)</f>
        <v>0</v>
      </c>
      <c r="V43" s="65">
        <f>IF(VLOOKUP($D43,$C$5:$AU$836,3,)=0,0,(VLOOKUP($D43,$C$5:$AU$836,20,)/VLOOKUP($D43,$C$5:$AU$836,3,))*$E43)</f>
        <v>0</v>
      </c>
      <c r="W43" s="65">
        <f>IF(VLOOKUP($D43,$C$5:$AU$836,3,)=0,0,(VLOOKUP($D43,$C$5:$AU$836,21,)/VLOOKUP($D43,$C$5:$AU$836,3,))*$E43)</f>
        <v>0</v>
      </c>
      <c r="X43" s="65">
        <f>IF(VLOOKUP($D43,$C$5:$AU$836,3,)=0,0,(VLOOKUP($D43,$C$5:$AU$836,22,)/VLOOKUP($D43,$C$5:$AU$836,3,))*$E43)</f>
        <v>0</v>
      </c>
      <c r="Y43" s="65">
        <f>IF(VLOOKUP($D43,$C$5:$AU$836,3,)=0,0,(VLOOKUP($D43,$C$5:$AU$836,23,)/VLOOKUP($D43,$C$5:$AU$836,3,))*$E43)</f>
        <v>0</v>
      </c>
      <c r="Z43" s="65">
        <f>IF(VLOOKUP($D43,$C$5:$AU$836,3,)=0,0,(VLOOKUP($D43,$C$5:$AU$836,24,)/VLOOKUP($D43,$C$5:$AU$836,3,))*$E43)</f>
        <v>0</v>
      </c>
      <c r="AA43" s="65">
        <f>IF(VLOOKUP($D43,$C$5:$AU$836,3,)=0,0,(VLOOKUP($D43,$C$5:$AU$836,25,)/VLOOKUP($D43,$C$5:$AU$836,3,))*$E43)</f>
        <v>0</v>
      </c>
      <c r="AB43" s="65">
        <f>IF(VLOOKUP($D43,$C$5:$AU$836,3,)=0,0,(VLOOKUP($D43,$C$5:$AU$836,26,)/VLOOKUP($D43,$C$5:$AU$836,3,))*$E43)</f>
        <v>0</v>
      </c>
      <c r="AC43" s="65">
        <f>IF(VLOOKUP($D43,$C$5:$AU$836,3,)=0,0,(VLOOKUP($D43,$C$5:$AU$836,27,)/VLOOKUP($D43,$C$5:$AU$836,3,))*$E43)</f>
        <v>0</v>
      </c>
      <c r="AD43" s="65">
        <f>IF(VLOOKUP($D43,$C$5:$AU$836,3,)=0,0,(VLOOKUP($D43,$C$5:$AU$836,28,)/VLOOKUP($D43,$C$5:$AU$836,3,))*$E43)</f>
        <v>0</v>
      </c>
      <c r="AE43" s="65">
        <f>IF(VLOOKUP($D43,$C$5:$AU$836,3,)=0,0,(VLOOKUP($D43,$C$5:$AU$836,29,)/VLOOKUP($D43,$C$5:$AU$836,3,))*$E43)</f>
        <v>0</v>
      </c>
      <c r="AF43" s="65">
        <f>IF(VLOOKUP($D43,$C$5:$AU$836,3,)=0,0,(VLOOKUP($D43,$C$5:$AU$836,30,)/VLOOKUP($D43,$C$5:$AU$836,3,))*$E43)</f>
        <v>0</v>
      </c>
      <c r="AG43" s="16">
        <f>SUM(F43:AF43)</f>
        <v>0</v>
      </c>
      <c r="AH43" s="14" t="str">
        <f>IF(ABS(E43-AG43)&lt;0.01,"ok","err")</f>
        <v>ok</v>
      </c>
    </row>
    <row r="44" spans="1:34" x14ac:dyDescent="0.25">
      <c r="A44" s="12" t="s">
        <v>223</v>
      </c>
      <c r="C44" s="2" t="s">
        <v>227</v>
      </c>
      <c r="D44" s="2" t="s">
        <v>228</v>
      </c>
      <c r="E44" s="65">
        <f>'Functional Assignment'!AF79</f>
        <v>35046067.022415876</v>
      </c>
      <c r="F44" s="65">
        <f>IF(VLOOKUP($D44,$C$5:$AU$836,3,)=0,0,(VLOOKUP($D44,$C$5:$AU$836,4,)/VLOOKUP($D44,$C$5:$AU$836,3,))*$E44)</f>
        <v>27598141.180280365</v>
      </c>
      <c r="G44" s="65">
        <f>IF(VLOOKUP($D44,$C$5:$AU$836,3,)=0,0,(VLOOKUP($D44,$C$5:$AU$836,5,)/VLOOKUP($D44,$C$5:$AU$836,3,))*$E44)</f>
        <v>3141935.6447327933</v>
      </c>
      <c r="H44" s="65">
        <f>IF(VLOOKUP($D44,$C$5:$AU$836,3,)=0,0,(VLOOKUP($D44,$C$5:$AU$836,6,)/VLOOKUP($D44,$C$5:$AU$836,3,))*$E44)</f>
        <v>392928.33791510167</v>
      </c>
      <c r="I44" s="65">
        <f>IF(VLOOKUP($D44,$C$5:$AU$836,3,)=0,0,(VLOOKUP($D44,$C$5:$AU$836,7,)/VLOOKUP($D44,$C$5:$AU$836,3,))*$E44)</f>
        <v>123921.84692529333</v>
      </c>
      <c r="J44" s="65">
        <f>IF(VLOOKUP($D44,$C$5:$AU$836,3,)=0,0,(VLOOKUP($D44,$C$5:$AU$836,8,)/VLOOKUP($D44,$C$5:$AU$836,3,))*$E44)</f>
        <v>12217.646879958496</v>
      </c>
      <c r="K44" s="65">
        <f>IF(VLOOKUP($D44,$C$5:$AU$836,3,)=0,0,(VLOOKUP($D44,$C$5:$AU$836,9,)/VLOOKUP($D44,$C$5:$AU$836,3,))*$E44)</f>
        <v>261.30873831182777</v>
      </c>
      <c r="L44" s="65">
        <f>IF(VLOOKUP($D44,$C$5:$AU$836,3,)=0,0,(VLOOKUP($D44,$C$5:$AU$836,10,)/VLOOKUP($D44,$C$5:$AU$836,3,))*$E44)</f>
        <v>522.61747662365553</v>
      </c>
      <c r="M44" s="65">
        <f>IF(VLOOKUP($D44,$C$5:$AU$836,3,)=0,0,(VLOOKUP($D44,$C$5:$AU$836,11,)/VLOOKUP($D44,$C$5:$AU$836,3,))*$E44)</f>
        <v>2090.4699064946221</v>
      </c>
      <c r="N44" s="65">
        <f>IF(VLOOKUP($D44,$C$5:$AU$836,3,)=0,0,(VLOOKUP($D44,$C$5:$AU$836,12,)/VLOOKUP($D44,$C$5:$AU$836,3,))*$E44)</f>
        <v>3774047.9695609333</v>
      </c>
      <c r="O44" s="65">
        <f>IF(VLOOKUP($D44,$C$5:$AU$836,3,)=0,0,(VLOOKUP($D44,$C$5:$AU$836,13,)/VLOOKUP($D44,$C$5:$AU$836,3,))*$E44)</f>
        <v>0</v>
      </c>
      <c r="P44" s="65">
        <f>IF(VLOOKUP($D44,$C$5:$AU$836,3,)=0,0,(VLOOKUP($D44,$C$5:$AU$836,14,)/VLOOKUP($D44,$C$5:$AU$836,3,))*$E44)</f>
        <v>0</v>
      </c>
      <c r="Q44" s="65">
        <f>IF(VLOOKUP($D44,$C$5:$AU$836,3,)=0,0,(VLOOKUP($D44,$C$5:$AU$836,15,)/VLOOKUP($D44,$C$5:$AU$836,3,))*$E44)</f>
        <v>0</v>
      </c>
      <c r="R44" s="65">
        <f>IF(VLOOKUP($D44,$C$5:$AU$836,3,)=0,0,(VLOOKUP($D44,$C$5:$AU$836,16,)/VLOOKUP($D44,$C$5:$AU$836,3,))*$E44)</f>
        <v>0</v>
      </c>
      <c r="S44" s="65">
        <f>IF(VLOOKUP($D44,$C$5:$AU$836,3,)=0,0,(VLOOKUP($D44,$C$5:$AU$836,17,)/VLOOKUP($D44,$C$5:$AU$836,3,))*$E44)</f>
        <v>0</v>
      </c>
      <c r="T44" s="65">
        <f>IF(VLOOKUP($D44,$C$5:$AU$836,3,)=0,0,(VLOOKUP($D44,$C$5:$AU$836,18,)/VLOOKUP($D44,$C$5:$AU$836,3,))*$E44)</f>
        <v>0</v>
      </c>
      <c r="U44" s="65">
        <f>IF(VLOOKUP($D44,$C$5:$AU$836,3,)=0,0,(VLOOKUP($D44,$C$5:$AU$836,19,)/VLOOKUP($D44,$C$5:$AU$836,3,))*$E44)</f>
        <v>0</v>
      </c>
      <c r="V44" s="65">
        <f>IF(VLOOKUP($D44,$C$5:$AU$836,3,)=0,0,(VLOOKUP($D44,$C$5:$AU$836,20,)/VLOOKUP($D44,$C$5:$AU$836,3,))*$E44)</f>
        <v>0</v>
      </c>
      <c r="W44" s="65">
        <f>IF(VLOOKUP($D44,$C$5:$AU$836,3,)=0,0,(VLOOKUP($D44,$C$5:$AU$836,21,)/VLOOKUP($D44,$C$5:$AU$836,3,))*$E44)</f>
        <v>0</v>
      </c>
      <c r="X44" s="65">
        <f>IF(VLOOKUP($D44,$C$5:$AU$836,3,)=0,0,(VLOOKUP($D44,$C$5:$AU$836,22,)/VLOOKUP($D44,$C$5:$AU$836,3,))*$E44)</f>
        <v>0</v>
      </c>
      <c r="Y44" s="65">
        <f>IF(VLOOKUP($D44,$C$5:$AU$836,3,)=0,0,(VLOOKUP($D44,$C$5:$AU$836,23,)/VLOOKUP($D44,$C$5:$AU$836,3,))*$E44)</f>
        <v>0</v>
      </c>
      <c r="Z44" s="65">
        <f>IF(VLOOKUP($D44,$C$5:$AU$836,3,)=0,0,(VLOOKUP($D44,$C$5:$AU$836,24,)/VLOOKUP($D44,$C$5:$AU$836,3,))*$E44)</f>
        <v>0</v>
      </c>
      <c r="AA44" s="65">
        <f>IF(VLOOKUP($D44,$C$5:$AU$836,3,)=0,0,(VLOOKUP($D44,$C$5:$AU$836,25,)/VLOOKUP($D44,$C$5:$AU$836,3,))*$E44)</f>
        <v>0</v>
      </c>
      <c r="AB44" s="65">
        <f>IF(VLOOKUP($D44,$C$5:$AU$836,3,)=0,0,(VLOOKUP($D44,$C$5:$AU$836,26,)/VLOOKUP($D44,$C$5:$AU$836,3,))*$E44)</f>
        <v>0</v>
      </c>
      <c r="AC44" s="65">
        <f>IF(VLOOKUP($D44,$C$5:$AU$836,3,)=0,0,(VLOOKUP($D44,$C$5:$AU$836,27,)/VLOOKUP($D44,$C$5:$AU$836,3,))*$E44)</f>
        <v>0</v>
      </c>
      <c r="AD44" s="65">
        <f>IF(VLOOKUP($D44,$C$5:$AU$836,3,)=0,0,(VLOOKUP($D44,$C$5:$AU$836,28,)/VLOOKUP($D44,$C$5:$AU$836,3,))*$E44)</f>
        <v>0</v>
      </c>
      <c r="AE44" s="65">
        <f>IF(VLOOKUP($D44,$C$5:$AU$836,3,)=0,0,(VLOOKUP($D44,$C$5:$AU$836,29,)/VLOOKUP($D44,$C$5:$AU$836,3,))*$E44)</f>
        <v>0</v>
      </c>
      <c r="AF44" s="65">
        <f>IF(VLOOKUP($D44,$C$5:$AU$836,3,)=0,0,(VLOOKUP($D44,$C$5:$AU$836,30,)/VLOOKUP($D44,$C$5:$AU$836,3,))*$E44)</f>
        <v>0</v>
      </c>
      <c r="AG44" s="16">
        <f>SUM(F44:AF44)</f>
        <v>35046067.022415876</v>
      </c>
      <c r="AH44" s="14" t="str">
        <f>IF(ABS(E44-AG44)&lt;0.01,"ok","err")</f>
        <v>ok</v>
      </c>
    </row>
    <row r="45" spans="1:34" x14ac:dyDescent="0.25">
      <c r="A45" s="2" t="s">
        <v>229</v>
      </c>
      <c r="E45" s="65">
        <f t="shared" ref="E45:N45" si="37">E43+E44</f>
        <v>35046067.022415876</v>
      </c>
      <c r="F45" s="65">
        <f t="shared" si="37"/>
        <v>27598141.180280365</v>
      </c>
      <c r="G45" s="65">
        <f t="shared" si="37"/>
        <v>3141935.6447327933</v>
      </c>
      <c r="H45" s="65">
        <f t="shared" si="37"/>
        <v>392928.33791510167</v>
      </c>
      <c r="I45" s="65">
        <f t="shared" si="37"/>
        <v>123921.84692529333</v>
      </c>
      <c r="J45" s="65">
        <f t="shared" si="37"/>
        <v>12217.646879958496</v>
      </c>
      <c r="K45" s="65">
        <f t="shared" si="37"/>
        <v>261.30873831182777</v>
      </c>
      <c r="L45" s="65">
        <f t="shared" si="37"/>
        <v>522.61747662365553</v>
      </c>
      <c r="M45" s="65">
        <f t="shared" si="37"/>
        <v>2090.4699064946221</v>
      </c>
      <c r="N45" s="65">
        <f t="shared" si="37"/>
        <v>3774047.9695609333</v>
      </c>
      <c r="O45" s="65">
        <f t="shared" ref="O45:T45" si="38">O43+O44</f>
        <v>0</v>
      </c>
      <c r="P45" s="65">
        <f t="shared" si="38"/>
        <v>0</v>
      </c>
      <c r="Q45" s="65">
        <f t="shared" si="38"/>
        <v>0</v>
      </c>
      <c r="R45" s="65">
        <f t="shared" si="38"/>
        <v>0</v>
      </c>
      <c r="S45" s="65">
        <f t="shared" si="38"/>
        <v>0</v>
      </c>
      <c r="T45" s="65">
        <f t="shared" si="38"/>
        <v>0</v>
      </c>
      <c r="U45" s="65">
        <f t="shared" ref="U45:AF45" si="39">U43+U44</f>
        <v>0</v>
      </c>
      <c r="V45" s="65">
        <f t="shared" si="39"/>
        <v>0</v>
      </c>
      <c r="W45" s="65">
        <f t="shared" si="39"/>
        <v>0</v>
      </c>
      <c r="X45" s="65">
        <f t="shared" si="39"/>
        <v>0</v>
      </c>
      <c r="Y45" s="65">
        <f t="shared" si="39"/>
        <v>0</v>
      </c>
      <c r="Z45" s="65">
        <f t="shared" si="39"/>
        <v>0</v>
      </c>
      <c r="AA45" s="65">
        <f t="shared" si="39"/>
        <v>0</v>
      </c>
      <c r="AB45" s="65">
        <f t="shared" si="39"/>
        <v>0</v>
      </c>
      <c r="AC45" s="65">
        <f t="shared" si="39"/>
        <v>0</v>
      </c>
      <c r="AD45" s="65">
        <f t="shared" si="39"/>
        <v>0</v>
      </c>
      <c r="AE45" s="65">
        <f t="shared" si="39"/>
        <v>0</v>
      </c>
      <c r="AF45" s="65">
        <f t="shared" si="39"/>
        <v>0</v>
      </c>
      <c r="AG45" s="16">
        <f>SUM(F45:AF45)</f>
        <v>35046067.022415876</v>
      </c>
      <c r="AH45" s="14" t="str">
        <f>IF(ABS(E45-AG45)&lt;0.01,"ok","err")</f>
        <v>ok</v>
      </c>
    </row>
    <row r="46" spans="1:34" x14ac:dyDescent="0.25">
      <c r="E46" s="31"/>
    </row>
    <row r="47" spans="1:34" x14ac:dyDescent="0.25">
      <c r="A47" s="8" t="s">
        <v>6</v>
      </c>
      <c r="E47" s="31"/>
    </row>
    <row r="48" spans="1:34" x14ac:dyDescent="0.25">
      <c r="A48" s="12" t="s">
        <v>223</v>
      </c>
      <c r="C48" s="2" t="s">
        <v>230</v>
      </c>
      <c r="D48" s="2" t="s">
        <v>231</v>
      </c>
      <c r="E48" s="65">
        <f>'Functional Assignment'!AH79</f>
        <v>13418786.910895463</v>
      </c>
      <c r="F48" s="65">
        <f>IF(VLOOKUP($D48,$C$5:$AU$836,3,)=0,0,(VLOOKUP($D48,$C$5:$AU$836,4,)/VLOOKUP($D48,$C$5:$AU$836,3,))*$E48)</f>
        <v>8886286.8609934319</v>
      </c>
      <c r="G48" s="65">
        <f>IF(VLOOKUP($D48,$C$5:$AU$836,3,)=0,0,(VLOOKUP($D48,$C$5:$AU$836,5,)/VLOOKUP($D48,$C$5:$AU$836,3,))*$E48)</f>
        <v>3487135.4221833586</v>
      </c>
      <c r="H48" s="65">
        <f>IF(VLOOKUP($D48,$C$5:$AU$836,3,)=0,0,(VLOOKUP($D48,$C$5:$AU$836,6,)/VLOOKUP($D48,$C$5:$AU$836,3,))*$E48)</f>
        <v>831665.79933267541</v>
      </c>
      <c r="I48" s="65">
        <f>IF(VLOOKUP($D48,$C$5:$AU$836,3,)=0,0,(VLOOKUP($D48,$C$5:$AU$836,7,)/VLOOKUP($D48,$C$5:$AU$836,3,))*$E48)</f>
        <v>96622.124168130948</v>
      </c>
      <c r="J48" s="65">
        <f>IF(VLOOKUP($D48,$C$5:$AU$836,3,)=0,0,(VLOOKUP($D48,$C$5:$AU$836,8,)/VLOOKUP($D48,$C$5:$AU$836,3,))*$E48)</f>
        <v>31450.221236581976</v>
      </c>
      <c r="K48" s="65">
        <f>IF(VLOOKUP($D48,$C$5:$AU$836,3,)=0,0,(VLOOKUP($D48,$C$5:$AU$836,9,)/VLOOKUP($D48,$C$5:$AU$836,3,))*$E48)</f>
        <v>8691.3024461805562</v>
      </c>
      <c r="L48" s="65">
        <f>IF(VLOOKUP($D48,$C$5:$AU$836,3,)=0,0,(VLOOKUP($D48,$C$5:$AU$836,10,)/VLOOKUP($D48,$C$5:$AU$836,3,))*$E48)</f>
        <v>17382.604892361112</v>
      </c>
      <c r="M48" s="65">
        <f>IF(VLOOKUP($D48,$C$5:$AU$836,3,)=0,0,(VLOOKUP($D48,$C$5:$AU$836,11,)/VLOOKUP($D48,$C$5:$AU$836,3,))*$E48)</f>
        <v>12379.388023671647</v>
      </c>
      <c r="N48" s="65">
        <f>IF(VLOOKUP($D48,$C$5:$AU$836,3,)=0,0,(VLOOKUP($D48,$C$5:$AU$836,12,)/VLOOKUP($D48,$C$5:$AU$836,3,))*$E48)</f>
        <v>47173.187619072094</v>
      </c>
      <c r="O48" s="65">
        <f>IF(VLOOKUP($D48,$C$5:$AU$836,3,)=0,0,(VLOOKUP($D48,$C$5:$AU$836,13,)/VLOOKUP($D48,$C$5:$AU$836,3,))*$E48)</f>
        <v>0</v>
      </c>
      <c r="P48" s="65">
        <f>IF(VLOOKUP($D48,$C$5:$AU$836,3,)=0,0,(VLOOKUP($D48,$C$5:$AU$836,14,)/VLOOKUP($D48,$C$5:$AU$836,3,))*$E48)</f>
        <v>0</v>
      </c>
      <c r="Q48" s="65">
        <f>IF(VLOOKUP($D48,$C$5:$AU$836,3,)=0,0,(VLOOKUP($D48,$C$5:$AU$836,15,)/VLOOKUP($D48,$C$5:$AU$836,3,))*$E48)</f>
        <v>0</v>
      </c>
      <c r="R48" s="65">
        <f>IF(VLOOKUP($D48,$C$5:$AU$836,3,)=0,0,(VLOOKUP($D48,$C$5:$AU$836,16,)/VLOOKUP($D48,$C$5:$AU$836,3,))*$E48)</f>
        <v>0</v>
      </c>
      <c r="S48" s="65">
        <f>IF(VLOOKUP($D48,$C$5:$AU$836,3,)=0,0,(VLOOKUP($D48,$C$5:$AU$836,17,)/VLOOKUP($D48,$C$5:$AU$836,3,))*$E48)</f>
        <v>0</v>
      </c>
      <c r="T48" s="65">
        <f>IF(VLOOKUP($D48,$C$5:$AU$836,3,)=0,0,(VLOOKUP($D48,$C$5:$AU$836,18,)/VLOOKUP($D48,$C$5:$AU$836,3,))*$E48)</f>
        <v>0</v>
      </c>
      <c r="U48" s="65">
        <f>IF(VLOOKUP($D48,$C$5:$AU$836,3,)=0,0,(VLOOKUP($D48,$C$5:$AU$836,19,)/VLOOKUP($D48,$C$5:$AU$836,3,))*$E48)</f>
        <v>0</v>
      </c>
      <c r="V48" s="65">
        <f>IF(VLOOKUP($D48,$C$5:$AU$836,3,)=0,0,(VLOOKUP($D48,$C$5:$AU$836,20,)/VLOOKUP($D48,$C$5:$AU$836,3,))*$E48)</f>
        <v>0</v>
      </c>
      <c r="W48" s="65">
        <f>IF(VLOOKUP($D48,$C$5:$AU$836,3,)=0,0,(VLOOKUP($D48,$C$5:$AU$836,21,)/VLOOKUP($D48,$C$5:$AU$836,3,))*$E48)</f>
        <v>0</v>
      </c>
      <c r="X48" s="65">
        <f>IF(VLOOKUP($D48,$C$5:$AU$836,3,)=0,0,(VLOOKUP($D48,$C$5:$AU$836,22,)/VLOOKUP($D48,$C$5:$AU$836,3,))*$E48)</f>
        <v>0</v>
      </c>
      <c r="Y48" s="65">
        <f>IF(VLOOKUP($D48,$C$5:$AU$836,3,)=0,0,(VLOOKUP($D48,$C$5:$AU$836,23,)/VLOOKUP($D48,$C$5:$AU$836,3,))*$E48)</f>
        <v>0</v>
      </c>
      <c r="Z48" s="65">
        <f>IF(VLOOKUP($D48,$C$5:$AU$836,3,)=0,0,(VLOOKUP($D48,$C$5:$AU$836,24,)/VLOOKUP($D48,$C$5:$AU$836,3,))*$E48)</f>
        <v>0</v>
      </c>
      <c r="AA48" s="65">
        <f>IF(VLOOKUP($D48,$C$5:$AU$836,3,)=0,0,(VLOOKUP($D48,$C$5:$AU$836,25,)/VLOOKUP($D48,$C$5:$AU$836,3,))*$E48)</f>
        <v>0</v>
      </c>
      <c r="AB48" s="65">
        <f>IF(VLOOKUP($D48,$C$5:$AU$836,3,)=0,0,(VLOOKUP($D48,$C$5:$AU$836,26,)/VLOOKUP($D48,$C$5:$AU$836,3,))*$E48)</f>
        <v>0</v>
      </c>
      <c r="AC48" s="65">
        <f>IF(VLOOKUP($D48,$C$5:$AU$836,3,)=0,0,(VLOOKUP($D48,$C$5:$AU$836,27,)/VLOOKUP($D48,$C$5:$AU$836,3,))*$E48)</f>
        <v>0</v>
      </c>
      <c r="AD48" s="65">
        <f>IF(VLOOKUP($D48,$C$5:$AU$836,3,)=0,0,(VLOOKUP($D48,$C$5:$AU$836,28,)/VLOOKUP($D48,$C$5:$AU$836,3,))*$E48)</f>
        <v>0</v>
      </c>
      <c r="AE48" s="65">
        <f>IF(VLOOKUP($D48,$C$5:$AU$836,3,)=0,0,(VLOOKUP($D48,$C$5:$AU$836,29,)/VLOOKUP($D48,$C$5:$AU$836,3,))*$E48)</f>
        <v>0</v>
      </c>
      <c r="AF48" s="65">
        <f>IF(VLOOKUP($D48,$C$5:$AU$836,3,)=0,0,(VLOOKUP($D48,$C$5:$AU$836,30,)/VLOOKUP($D48,$C$5:$AU$836,3,))*$E48)</f>
        <v>0</v>
      </c>
      <c r="AG48" s="16">
        <f>SUM(F48:AF48)</f>
        <v>13418786.910895465</v>
      </c>
      <c r="AH48" s="14" t="str">
        <f>IF(ABS(E48-AG48)&lt;0.01,"ok","err")</f>
        <v>ok</v>
      </c>
    </row>
    <row r="49" spans="1:34" x14ac:dyDescent="0.25">
      <c r="E49" s="31"/>
    </row>
    <row r="50" spans="1:34" x14ac:dyDescent="0.25">
      <c r="A50" s="8" t="s">
        <v>7</v>
      </c>
      <c r="E50" s="31"/>
    </row>
    <row r="51" spans="1:34" x14ac:dyDescent="0.25">
      <c r="A51" s="12" t="s">
        <v>223</v>
      </c>
      <c r="C51" s="2" t="s">
        <v>232</v>
      </c>
      <c r="D51" s="2" t="s">
        <v>233</v>
      </c>
      <c r="E51" s="65">
        <f>'Functional Assignment'!AJ79</f>
        <v>14510038.146745875</v>
      </c>
      <c r="F51" s="65">
        <f>IF(VLOOKUP($D51,$C$5:$AU$836,3,)=0,0,(VLOOKUP($D51,$C$5:$AU$836,4,)/VLOOKUP($D51,$C$5:$AU$836,3,))*$E51)</f>
        <v>0</v>
      </c>
      <c r="G51" s="65">
        <f>IF(VLOOKUP($D51,$C$5:$AU$836,3,)=0,0,(VLOOKUP($D51,$C$5:$AU$836,5,)/VLOOKUP($D51,$C$5:$AU$836,3,))*$E51)</f>
        <v>0</v>
      </c>
      <c r="H51" s="65">
        <f>IF(VLOOKUP($D51,$C$5:$AU$836,3,)=0,0,(VLOOKUP($D51,$C$5:$AU$836,6,)/VLOOKUP($D51,$C$5:$AU$836,3,))*$E51)</f>
        <v>0</v>
      </c>
      <c r="I51" s="65">
        <f>IF(VLOOKUP($D51,$C$5:$AU$836,3,)=0,0,(VLOOKUP($D51,$C$5:$AU$836,7,)/VLOOKUP($D51,$C$5:$AU$836,3,))*$E51)</f>
        <v>0</v>
      </c>
      <c r="J51" s="65">
        <f>IF(VLOOKUP($D51,$C$5:$AU$836,3,)=0,0,(VLOOKUP($D51,$C$5:$AU$836,8,)/VLOOKUP($D51,$C$5:$AU$836,3,))*$E51)</f>
        <v>0</v>
      </c>
      <c r="K51" s="65">
        <f>IF(VLOOKUP($D51,$C$5:$AU$836,3,)=0,0,(VLOOKUP($D51,$C$5:$AU$836,9,)/VLOOKUP($D51,$C$5:$AU$836,3,))*$E51)</f>
        <v>0</v>
      </c>
      <c r="L51" s="65">
        <f>IF(VLOOKUP($D51,$C$5:$AU$836,3,)=0,0,(VLOOKUP($D51,$C$5:$AU$836,10,)/VLOOKUP($D51,$C$5:$AU$836,3,))*$E51)</f>
        <v>0</v>
      </c>
      <c r="M51" s="65">
        <f>IF(VLOOKUP($D51,$C$5:$AU$836,3,)=0,0,(VLOOKUP($D51,$C$5:$AU$836,11,)/VLOOKUP($D51,$C$5:$AU$836,3,))*$E51)</f>
        <v>0</v>
      </c>
      <c r="N51" s="65">
        <f>IF(VLOOKUP($D51,$C$5:$AU$836,3,)=0,0,(VLOOKUP($D51,$C$5:$AU$836,12,)/VLOOKUP($D51,$C$5:$AU$836,3,))*$E51)</f>
        <v>14510038.146745875</v>
      </c>
      <c r="O51" s="65">
        <f>IF(VLOOKUP($D51,$C$5:$AU$836,3,)=0,0,(VLOOKUP($D51,$C$5:$AU$836,13,)/VLOOKUP($D51,$C$5:$AU$836,3,))*$E51)</f>
        <v>0</v>
      </c>
      <c r="P51" s="65">
        <f>IF(VLOOKUP($D51,$C$5:$AU$836,3,)=0,0,(VLOOKUP($D51,$C$5:$AU$836,14,)/VLOOKUP($D51,$C$5:$AU$836,3,))*$E51)</f>
        <v>0</v>
      </c>
      <c r="Q51" s="65">
        <f>IF(VLOOKUP($D51,$C$5:$AU$836,3,)=0,0,(VLOOKUP($D51,$C$5:$AU$836,15,)/VLOOKUP($D51,$C$5:$AU$836,3,))*$E51)</f>
        <v>0</v>
      </c>
      <c r="R51" s="65">
        <f>IF(VLOOKUP($D51,$C$5:$AU$836,3,)=0,0,(VLOOKUP($D51,$C$5:$AU$836,16,)/VLOOKUP($D51,$C$5:$AU$836,3,))*$E51)</f>
        <v>0</v>
      </c>
      <c r="S51" s="65">
        <f>IF(VLOOKUP($D51,$C$5:$AU$836,3,)=0,0,(VLOOKUP($D51,$C$5:$AU$836,17,)/VLOOKUP($D51,$C$5:$AU$836,3,))*$E51)</f>
        <v>0</v>
      </c>
      <c r="T51" s="65">
        <f>IF(VLOOKUP($D51,$C$5:$AU$836,3,)=0,0,(VLOOKUP($D51,$C$5:$AU$836,18,)/VLOOKUP($D51,$C$5:$AU$836,3,))*$E51)</f>
        <v>0</v>
      </c>
      <c r="U51" s="65">
        <f>IF(VLOOKUP($D51,$C$5:$AU$836,3,)=0,0,(VLOOKUP($D51,$C$5:$AU$836,19,)/VLOOKUP($D51,$C$5:$AU$836,3,))*$E51)</f>
        <v>0</v>
      </c>
      <c r="V51" s="65">
        <f>IF(VLOOKUP($D51,$C$5:$AU$836,3,)=0,0,(VLOOKUP($D51,$C$5:$AU$836,20,)/VLOOKUP($D51,$C$5:$AU$836,3,))*$E51)</f>
        <v>0</v>
      </c>
      <c r="W51" s="65">
        <f>IF(VLOOKUP($D51,$C$5:$AU$836,3,)=0,0,(VLOOKUP($D51,$C$5:$AU$836,21,)/VLOOKUP($D51,$C$5:$AU$836,3,))*$E51)</f>
        <v>0</v>
      </c>
      <c r="X51" s="65">
        <f>IF(VLOOKUP($D51,$C$5:$AU$836,3,)=0,0,(VLOOKUP($D51,$C$5:$AU$836,22,)/VLOOKUP($D51,$C$5:$AU$836,3,))*$E51)</f>
        <v>0</v>
      </c>
      <c r="Y51" s="65">
        <f>IF(VLOOKUP($D51,$C$5:$AU$836,3,)=0,0,(VLOOKUP($D51,$C$5:$AU$836,23,)/VLOOKUP($D51,$C$5:$AU$836,3,))*$E51)</f>
        <v>0</v>
      </c>
      <c r="Z51" s="65">
        <f>IF(VLOOKUP($D51,$C$5:$AU$836,3,)=0,0,(VLOOKUP($D51,$C$5:$AU$836,24,)/VLOOKUP($D51,$C$5:$AU$836,3,))*$E51)</f>
        <v>0</v>
      </c>
      <c r="AA51" s="65">
        <f>IF(VLOOKUP($D51,$C$5:$AU$836,3,)=0,0,(VLOOKUP($D51,$C$5:$AU$836,25,)/VLOOKUP($D51,$C$5:$AU$836,3,))*$E51)</f>
        <v>0</v>
      </c>
      <c r="AB51" s="65">
        <f>IF(VLOOKUP($D51,$C$5:$AU$836,3,)=0,0,(VLOOKUP($D51,$C$5:$AU$836,26,)/VLOOKUP($D51,$C$5:$AU$836,3,))*$E51)</f>
        <v>0</v>
      </c>
      <c r="AC51" s="65">
        <f>IF(VLOOKUP($D51,$C$5:$AU$836,3,)=0,0,(VLOOKUP($D51,$C$5:$AU$836,27,)/VLOOKUP($D51,$C$5:$AU$836,3,))*$E51)</f>
        <v>0</v>
      </c>
      <c r="AD51" s="65">
        <f>IF(VLOOKUP($D51,$C$5:$AU$836,3,)=0,0,(VLOOKUP($D51,$C$5:$AU$836,28,)/VLOOKUP($D51,$C$5:$AU$836,3,))*$E51)</f>
        <v>0</v>
      </c>
      <c r="AE51" s="65">
        <f>IF(VLOOKUP($D51,$C$5:$AU$836,3,)=0,0,(VLOOKUP($D51,$C$5:$AU$836,29,)/VLOOKUP($D51,$C$5:$AU$836,3,))*$E51)</f>
        <v>0</v>
      </c>
      <c r="AF51" s="65">
        <f>IF(VLOOKUP($D51,$C$5:$AU$836,3,)=0,0,(VLOOKUP($D51,$C$5:$AU$836,30,)/VLOOKUP($D51,$C$5:$AU$836,3,))*$E51)</f>
        <v>0</v>
      </c>
      <c r="AG51" s="16">
        <f>SUM(F51:AF51)</f>
        <v>14510038.146745875</v>
      </c>
      <c r="AH51" s="14" t="str">
        <f>IF(ABS(E51-AG51)&lt;0.01,"ok","err")</f>
        <v>ok</v>
      </c>
    </row>
    <row r="52" spans="1:34" x14ac:dyDescent="0.25">
      <c r="E52" s="31"/>
    </row>
    <row r="53" spans="1:34" x14ac:dyDescent="0.25">
      <c r="A53" s="8" t="s">
        <v>534</v>
      </c>
      <c r="E53" s="31"/>
    </row>
    <row r="54" spans="1:34" x14ac:dyDescent="0.25">
      <c r="A54" s="12" t="s">
        <v>223</v>
      </c>
      <c r="C54" s="2" t="s">
        <v>234</v>
      </c>
      <c r="D54" s="2" t="s">
        <v>235</v>
      </c>
      <c r="E54" s="65">
        <f>'Functional Assignment'!AL79</f>
        <v>0</v>
      </c>
      <c r="F54" s="65">
        <f>IF(VLOOKUP($D54,$C$5:$AU$836,3,)=0,0,(VLOOKUP($D54,$C$5:$AU$836,4,)/VLOOKUP($D54,$C$5:$AU$836,3,))*$E54)</f>
        <v>0</v>
      </c>
      <c r="G54" s="65">
        <f>IF(VLOOKUP($D54,$C$5:$AU$836,3,)=0,0,(VLOOKUP($D54,$C$5:$AU$836,5,)/VLOOKUP($D54,$C$5:$AU$836,3,))*$E54)</f>
        <v>0</v>
      </c>
      <c r="H54" s="65">
        <f>IF(VLOOKUP($D54,$C$5:$AU$836,3,)=0,0,(VLOOKUP($D54,$C$5:$AU$836,6,)/VLOOKUP($D54,$C$5:$AU$836,3,))*$E54)</f>
        <v>0</v>
      </c>
      <c r="I54" s="65">
        <f>IF(VLOOKUP($D54,$C$5:$AU$836,3,)=0,0,(VLOOKUP($D54,$C$5:$AU$836,7,)/VLOOKUP($D54,$C$5:$AU$836,3,))*$E54)</f>
        <v>0</v>
      </c>
      <c r="J54" s="65">
        <f>IF(VLOOKUP($D54,$C$5:$AU$836,3,)=0,0,(VLOOKUP($D54,$C$5:$AU$836,8,)/VLOOKUP($D54,$C$5:$AU$836,3,))*$E54)</f>
        <v>0</v>
      </c>
      <c r="K54" s="65">
        <f>IF(VLOOKUP($D54,$C$5:$AU$836,3,)=0,0,(VLOOKUP($D54,$C$5:$AU$836,9,)/VLOOKUP($D54,$C$5:$AU$836,3,))*$E54)</f>
        <v>0</v>
      </c>
      <c r="L54" s="65">
        <f>IF(VLOOKUP($D54,$C$5:$AU$836,3,)=0,0,(VLOOKUP($D54,$C$5:$AU$836,10,)/VLOOKUP($D54,$C$5:$AU$836,3,))*$E54)</f>
        <v>0</v>
      </c>
      <c r="M54" s="65">
        <f>IF(VLOOKUP($D54,$C$5:$AU$836,3,)=0,0,(VLOOKUP($D54,$C$5:$AU$836,11,)/VLOOKUP($D54,$C$5:$AU$836,3,))*$E54)</f>
        <v>0</v>
      </c>
      <c r="N54" s="65">
        <f>IF(VLOOKUP($D54,$C$5:$AU$836,3,)=0,0,(VLOOKUP($D54,$C$5:$AU$836,12,)/VLOOKUP($D54,$C$5:$AU$836,3,))*$E54)</f>
        <v>0</v>
      </c>
      <c r="O54" s="65">
        <f>IF(VLOOKUP($D54,$C$5:$AU$836,3,)=0,0,(VLOOKUP($D54,$C$5:$AU$836,13,)/VLOOKUP($D54,$C$5:$AU$836,3,))*$E54)</f>
        <v>0</v>
      </c>
      <c r="P54" s="65">
        <f>IF(VLOOKUP($D54,$C$5:$AU$836,3,)=0,0,(VLOOKUP($D54,$C$5:$AU$836,14,)/VLOOKUP($D54,$C$5:$AU$836,3,))*$E54)</f>
        <v>0</v>
      </c>
      <c r="Q54" s="65">
        <f>IF(VLOOKUP($D54,$C$5:$AU$836,3,)=0,0,(VLOOKUP($D54,$C$5:$AU$836,15,)/VLOOKUP($D54,$C$5:$AU$836,3,))*$E54)</f>
        <v>0</v>
      </c>
      <c r="R54" s="65">
        <f>IF(VLOOKUP($D54,$C$5:$AU$836,3,)=0,0,(VLOOKUP($D54,$C$5:$AU$836,16,)/VLOOKUP($D54,$C$5:$AU$836,3,))*$E54)</f>
        <v>0</v>
      </c>
      <c r="S54" s="65">
        <f>IF(VLOOKUP($D54,$C$5:$AU$836,3,)=0,0,(VLOOKUP($D54,$C$5:$AU$836,17,)/VLOOKUP($D54,$C$5:$AU$836,3,))*$E54)</f>
        <v>0</v>
      </c>
      <c r="T54" s="65">
        <f>IF(VLOOKUP($D54,$C$5:$AU$836,3,)=0,0,(VLOOKUP($D54,$C$5:$AU$836,18,)/VLOOKUP($D54,$C$5:$AU$836,3,))*$E54)</f>
        <v>0</v>
      </c>
      <c r="U54" s="65">
        <f>IF(VLOOKUP($D54,$C$5:$AU$836,3,)=0,0,(VLOOKUP($D54,$C$5:$AU$836,19,)/VLOOKUP($D54,$C$5:$AU$836,3,))*$E54)</f>
        <v>0</v>
      </c>
      <c r="V54" s="65">
        <f>IF(VLOOKUP($D54,$C$5:$AU$836,3,)=0,0,(VLOOKUP($D54,$C$5:$AU$836,20,)/VLOOKUP($D54,$C$5:$AU$836,3,))*$E54)</f>
        <v>0</v>
      </c>
      <c r="W54" s="65">
        <f>IF(VLOOKUP($D54,$C$5:$AU$836,3,)=0,0,(VLOOKUP($D54,$C$5:$AU$836,21,)/VLOOKUP($D54,$C$5:$AU$836,3,))*$E54)</f>
        <v>0</v>
      </c>
      <c r="X54" s="65">
        <f>IF(VLOOKUP($D54,$C$5:$AU$836,3,)=0,0,(VLOOKUP($D54,$C$5:$AU$836,22,)/VLOOKUP($D54,$C$5:$AU$836,3,))*$E54)</f>
        <v>0</v>
      </c>
      <c r="Y54" s="65">
        <f>IF(VLOOKUP($D54,$C$5:$AU$836,3,)=0,0,(VLOOKUP($D54,$C$5:$AU$836,23,)/VLOOKUP($D54,$C$5:$AU$836,3,))*$E54)</f>
        <v>0</v>
      </c>
      <c r="Z54" s="65">
        <f>IF(VLOOKUP($D54,$C$5:$AU$836,3,)=0,0,(VLOOKUP($D54,$C$5:$AU$836,24,)/VLOOKUP($D54,$C$5:$AU$836,3,))*$E54)</f>
        <v>0</v>
      </c>
      <c r="AA54" s="65">
        <f>IF(VLOOKUP($D54,$C$5:$AU$836,3,)=0,0,(VLOOKUP($D54,$C$5:$AU$836,25,)/VLOOKUP($D54,$C$5:$AU$836,3,))*$E54)</f>
        <v>0</v>
      </c>
      <c r="AB54" s="65">
        <f>IF(VLOOKUP($D54,$C$5:$AU$836,3,)=0,0,(VLOOKUP($D54,$C$5:$AU$836,26,)/VLOOKUP($D54,$C$5:$AU$836,3,))*$E54)</f>
        <v>0</v>
      </c>
      <c r="AC54" s="65">
        <f>IF(VLOOKUP($D54,$C$5:$AU$836,3,)=0,0,(VLOOKUP($D54,$C$5:$AU$836,27,)/VLOOKUP($D54,$C$5:$AU$836,3,))*$E54)</f>
        <v>0</v>
      </c>
      <c r="AD54" s="65">
        <f>IF(VLOOKUP($D54,$C$5:$AU$836,3,)=0,0,(VLOOKUP($D54,$C$5:$AU$836,28,)/VLOOKUP($D54,$C$5:$AU$836,3,))*$E54)</f>
        <v>0</v>
      </c>
      <c r="AE54" s="65">
        <f>IF(VLOOKUP($D54,$C$5:$AU$836,3,)=0,0,(VLOOKUP($D54,$C$5:$AU$836,29,)/VLOOKUP($D54,$C$5:$AU$836,3,))*$E54)</f>
        <v>0</v>
      </c>
      <c r="AF54" s="65">
        <f>IF(VLOOKUP($D54,$C$5:$AU$836,3,)=0,0,(VLOOKUP($D54,$C$5:$AU$836,30,)/VLOOKUP($D54,$C$5:$AU$836,3,))*$E54)</f>
        <v>0</v>
      </c>
      <c r="AG54" s="16">
        <f>SUM(F54:AF54)</f>
        <v>0</v>
      </c>
      <c r="AH54" s="14" t="str">
        <f>IF(ABS(E54-AG54)&lt;0.01,"ok","err")</f>
        <v>ok</v>
      </c>
    </row>
    <row r="55" spans="1:34" x14ac:dyDescent="0.25">
      <c r="E55" s="31"/>
    </row>
    <row r="56" spans="1:34" x14ac:dyDescent="0.25">
      <c r="A56" s="8" t="s">
        <v>662</v>
      </c>
      <c r="E56" s="31"/>
    </row>
    <row r="57" spans="1:34" x14ac:dyDescent="0.25">
      <c r="A57" s="12" t="s">
        <v>223</v>
      </c>
      <c r="C57" s="2" t="s">
        <v>227</v>
      </c>
      <c r="D57" s="2" t="s">
        <v>236</v>
      </c>
      <c r="E57" s="65">
        <f>'Functional Assignment'!AN79</f>
        <v>0</v>
      </c>
      <c r="F57" s="65">
        <f>IF(VLOOKUP($D57,$C$5:$AU$836,3,)=0,0,(VLOOKUP($D57,$C$5:$AU$836,4,)/VLOOKUP($D57,$C$5:$AU$836,3,))*$E57)</f>
        <v>0</v>
      </c>
      <c r="G57" s="65">
        <f>IF(VLOOKUP($D57,$C$5:$AU$836,3,)=0,0,(VLOOKUP($D57,$C$5:$AU$836,5,)/VLOOKUP($D57,$C$5:$AU$836,3,))*$E57)</f>
        <v>0</v>
      </c>
      <c r="H57" s="65">
        <f>IF(VLOOKUP($D57,$C$5:$AU$836,3,)=0,0,(VLOOKUP($D57,$C$5:$AU$836,6,)/VLOOKUP($D57,$C$5:$AU$836,3,))*$E57)</f>
        <v>0</v>
      </c>
      <c r="I57" s="65">
        <f>IF(VLOOKUP($D57,$C$5:$AU$836,3,)=0,0,(VLOOKUP($D57,$C$5:$AU$836,7,)/VLOOKUP($D57,$C$5:$AU$836,3,))*$E57)</f>
        <v>0</v>
      </c>
      <c r="J57" s="65">
        <f>IF(VLOOKUP($D57,$C$5:$AU$836,3,)=0,0,(VLOOKUP($D57,$C$5:$AU$836,8,)/VLOOKUP($D57,$C$5:$AU$836,3,))*$E57)</f>
        <v>0</v>
      </c>
      <c r="K57" s="65">
        <f>IF(VLOOKUP($D57,$C$5:$AU$836,3,)=0,0,(VLOOKUP($D57,$C$5:$AU$836,9,)/VLOOKUP($D57,$C$5:$AU$836,3,))*$E57)</f>
        <v>0</v>
      </c>
      <c r="L57" s="65">
        <f>IF(VLOOKUP($D57,$C$5:$AU$836,3,)=0,0,(VLOOKUP($D57,$C$5:$AU$836,10,)/VLOOKUP($D57,$C$5:$AU$836,3,))*$E57)</f>
        <v>0</v>
      </c>
      <c r="M57" s="65">
        <f>IF(VLOOKUP($D57,$C$5:$AU$836,3,)=0,0,(VLOOKUP($D57,$C$5:$AU$836,11,)/VLOOKUP($D57,$C$5:$AU$836,3,))*$E57)</f>
        <v>0</v>
      </c>
      <c r="N57" s="65">
        <f>IF(VLOOKUP($D57,$C$5:$AU$836,3,)=0,0,(VLOOKUP($D57,$C$5:$AU$836,12,)/VLOOKUP($D57,$C$5:$AU$836,3,))*$E57)</f>
        <v>0</v>
      </c>
      <c r="O57" s="65">
        <f>IF(VLOOKUP($D57,$C$5:$AU$836,3,)=0,0,(VLOOKUP($D57,$C$5:$AU$836,13,)/VLOOKUP($D57,$C$5:$AU$836,3,))*$E57)</f>
        <v>0</v>
      </c>
      <c r="P57" s="65">
        <f>IF(VLOOKUP($D57,$C$5:$AU$836,3,)=0,0,(VLOOKUP($D57,$C$5:$AU$836,14,)/VLOOKUP($D57,$C$5:$AU$836,3,))*$E57)</f>
        <v>0</v>
      </c>
      <c r="Q57" s="65">
        <f>IF(VLOOKUP($D57,$C$5:$AU$836,3,)=0,0,(VLOOKUP($D57,$C$5:$AU$836,15,)/VLOOKUP($D57,$C$5:$AU$836,3,))*$E57)</f>
        <v>0</v>
      </c>
      <c r="R57" s="65">
        <f>IF(VLOOKUP($D57,$C$5:$AU$836,3,)=0,0,(VLOOKUP($D57,$C$5:$AU$836,16,)/VLOOKUP($D57,$C$5:$AU$836,3,))*$E57)</f>
        <v>0</v>
      </c>
      <c r="S57" s="65">
        <f>IF(VLOOKUP($D57,$C$5:$AU$836,3,)=0,0,(VLOOKUP($D57,$C$5:$AU$836,17,)/VLOOKUP($D57,$C$5:$AU$836,3,))*$E57)</f>
        <v>0</v>
      </c>
      <c r="T57" s="65">
        <f>IF(VLOOKUP($D57,$C$5:$AU$836,3,)=0,0,(VLOOKUP($D57,$C$5:$AU$836,18,)/VLOOKUP($D57,$C$5:$AU$836,3,))*$E57)</f>
        <v>0</v>
      </c>
      <c r="U57" s="65">
        <f>IF(VLOOKUP($D57,$C$5:$AU$836,3,)=0,0,(VLOOKUP($D57,$C$5:$AU$836,19,)/VLOOKUP($D57,$C$5:$AU$836,3,))*$E57)</f>
        <v>0</v>
      </c>
      <c r="V57" s="65">
        <f>IF(VLOOKUP($D57,$C$5:$AU$836,3,)=0,0,(VLOOKUP($D57,$C$5:$AU$836,20,)/VLOOKUP($D57,$C$5:$AU$836,3,))*$E57)</f>
        <v>0</v>
      </c>
      <c r="W57" s="65">
        <f>IF(VLOOKUP($D57,$C$5:$AU$836,3,)=0,0,(VLOOKUP($D57,$C$5:$AU$836,21,)/VLOOKUP($D57,$C$5:$AU$836,3,))*$E57)</f>
        <v>0</v>
      </c>
      <c r="X57" s="65">
        <f>IF(VLOOKUP($D57,$C$5:$AU$836,3,)=0,0,(VLOOKUP($D57,$C$5:$AU$836,22,)/VLOOKUP($D57,$C$5:$AU$836,3,))*$E57)</f>
        <v>0</v>
      </c>
      <c r="Y57" s="65">
        <f>IF(VLOOKUP($D57,$C$5:$AU$836,3,)=0,0,(VLOOKUP($D57,$C$5:$AU$836,23,)/VLOOKUP($D57,$C$5:$AU$836,3,))*$E57)</f>
        <v>0</v>
      </c>
      <c r="Z57" s="65">
        <f>IF(VLOOKUP($D57,$C$5:$AU$836,3,)=0,0,(VLOOKUP($D57,$C$5:$AU$836,24,)/VLOOKUP($D57,$C$5:$AU$836,3,))*$E57)</f>
        <v>0</v>
      </c>
      <c r="AA57" s="65">
        <f>IF(VLOOKUP($D57,$C$5:$AU$836,3,)=0,0,(VLOOKUP($D57,$C$5:$AU$836,25,)/VLOOKUP($D57,$C$5:$AU$836,3,))*$E57)</f>
        <v>0</v>
      </c>
      <c r="AB57" s="65">
        <f>IF(VLOOKUP($D57,$C$5:$AU$836,3,)=0,0,(VLOOKUP($D57,$C$5:$AU$836,26,)/VLOOKUP($D57,$C$5:$AU$836,3,))*$E57)</f>
        <v>0</v>
      </c>
      <c r="AC57" s="65">
        <f>IF(VLOOKUP($D57,$C$5:$AU$836,3,)=0,0,(VLOOKUP($D57,$C$5:$AU$836,27,)/VLOOKUP($D57,$C$5:$AU$836,3,))*$E57)</f>
        <v>0</v>
      </c>
      <c r="AD57" s="65">
        <f>IF(VLOOKUP($D57,$C$5:$AU$836,3,)=0,0,(VLOOKUP($D57,$C$5:$AU$836,28,)/VLOOKUP($D57,$C$5:$AU$836,3,))*$E57)</f>
        <v>0</v>
      </c>
      <c r="AE57" s="65">
        <f>IF(VLOOKUP($D57,$C$5:$AU$836,3,)=0,0,(VLOOKUP($D57,$C$5:$AU$836,29,)/VLOOKUP($D57,$C$5:$AU$836,3,))*$E57)</f>
        <v>0</v>
      </c>
      <c r="AF57" s="65">
        <f>IF(VLOOKUP($D57,$C$5:$AU$836,3,)=0,0,(VLOOKUP($D57,$C$5:$AU$836,30,)/VLOOKUP($D57,$C$5:$AU$836,3,))*$E57)</f>
        <v>0</v>
      </c>
      <c r="AG57" s="16">
        <f>SUM(F57:AF57)</f>
        <v>0</v>
      </c>
      <c r="AH57" s="14" t="str">
        <f>IF(ABS(E57-AG57)&lt;0.01,"ok","err")</f>
        <v>ok</v>
      </c>
    </row>
    <row r="58" spans="1:34" x14ac:dyDescent="0.25">
      <c r="E58" s="31"/>
    </row>
    <row r="59" spans="1:34" x14ac:dyDescent="0.25">
      <c r="A59" s="2" t="s">
        <v>1</v>
      </c>
      <c r="C59" s="2" t="s">
        <v>237</v>
      </c>
      <c r="E59" s="65">
        <f>E16+E19+E22+E25+E30+E35+E40+E45+E48+E51+E54+E57</f>
        <v>278168701.41000003</v>
      </c>
      <c r="F59" s="65">
        <f t="shared" ref="F59:AF59" si="40">F16+F19+F22+F25+F30+F35+F40+F45+F48+F51+F54+F57</f>
        <v>197752174.63754091</v>
      </c>
      <c r="G59" s="65">
        <f t="shared" si="40"/>
        <v>21977340.719276767</v>
      </c>
      <c r="H59" s="65">
        <f t="shared" si="40"/>
        <v>25488478.898661643</v>
      </c>
      <c r="I59" s="65">
        <f t="shared" si="40"/>
        <v>3864371.3070382387</v>
      </c>
      <c r="J59" s="65">
        <f t="shared" si="40"/>
        <v>2575340.4218970644</v>
      </c>
      <c r="K59" s="65">
        <f t="shared" si="40"/>
        <v>25382.381710118942</v>
      </c>
      <c r="L59" s="65">
        <f t="shared" si="40"/>
        <v>380667.75201055367</v>
      </c>
      <c r="M59" s="65">
        <f t="shared" si="40"/>
        <v>5766302.836493562</v>
      </c>
      <c r="N59" s="65">
        <f t="shared" si="40"/>
        <v>20338642.45537116</v>
      </c>
      <c r="O59" s="65">
        <f t="shared" si="40"/>
        <v>0</v>
      </c>
      <c r="P59" s="65">
        <f t="shared" si="40"/>
        <v>0</v>
      </c>
      <c r="Q59" s="65">
        <f t="shared" si="40"/>
        <v>0</v>
      </c>
      <c r="R59" s="65">
        <f t="shared" si="40"/>
        <v>0</v>
      </c>
      <c r="S59" s="65">
        <f t="shared" si="40"/>
        <v>0</v>
      </c>
      <c r="T59" s="65">
        <f t="shared" si="40"/>
        <v>0</v>
      </c>
      <c r="U59" s="65">
        <f t="shared" si="40"/>
        <v>0</v>
      </c>
      <c r="V59" s="65">
        <f t="shared" si="40"/>
        <v>0</v>
      </c>
      <c r="W59" s="65">
        <f t="shared" si="40"/>
        <v>0</v>
      </c>
      <c r="X59" s="65">
        <f t="shared" si="40"/>
        <v>0</v>
      </c>
      <c r="Y59" s="65">
        <f t="shared" si="40"/>
        <v>0</v>
      </c>
      <c r="Z59" s="65">
        <f t="shared" si="40"/>
        <v>0</v>
      </c>
      <c r="AA59" s="65">
        <f t="shared" si="40"/>
        <v>0</v>
      </c>
      <c r="AB59" s="65">
        <f t="shared" si="40"/>
        <v>0</v>
      </c>
      <c r="AC59" s="65">
        <f t="shared" si="40"/>
        <v>0</v>
      </c>
      <c r="AD59" s="65">
        <f t="shared" si="40"/>
        <v>0</v>
      </c>
      <c r="AE59" s="65">
        <f t="shared" si="40"/>
        <v>0</v>
      </c>
      <c r="AF59" s="65">
        <f t="shared" si="40"/>
        <v>0</v>
      </c>
      <c r="AG59" s="16">
        <f>SUM(F59:AF59)</f>
        <v>278168701.40999997</v>
      </c>
      <c r="AH59" s="14" t="str">
        <f>IF(ABS(E59-AG59)&lt;0.01,"ok","err")</f>
        <v>ok</v>
      </c>
    </row>
    <row r="63" spans="1:34" x14ac:dyDescent="0.25">
      <c r="A63" s="6" t="s">
        <v>88</v>
      </c>
    </row>
    <row r="65" spans="1:34" x14ac:dyDescent="0.25">
      <c r="A65" s="8" t="s">
        <v>2</v>
      </c>
    </row>
    <row r="66" spans="1:34" x14ac:dyDescent="0.25">
      <c r="A66" s="118" t="s">
        <v>214</v>
      </c>
      <c r="C66" s="2" t="s">
        <v>873</v>
      </c>
      <c r="D66" s="9" t="s">
        <v>1072</v>
      </c>
      <c r="E66" s="65">
        <f>'Functional Assignment'!H131</f>
        <v>0</v>
      </c>
      <c r="F66" s="65">
        <f t="shared" ref="F66:F72" si="41">IF(VLOOKUP($D66,$C$5:$AU$836,3,)=0,0,(VLOOKUP($D66,$C$5:$AU$836,4,)/VLOOKUP($D66,$C$5:$AU$836,3,))*$E66)</f>
        <v>0</v>
      </c>
      <c r="G66" s="65">
        <f t="shared" ref="G66:G72" si="42">IF(VLOOKUP($D66,$C$5:$AU$836,3,)=0,0,(VLOOKUP($D66,$C$5:$AU$836,5,)/VLOOKUP($D66,$C$5:$AU$836,3,))*$E66)</f>
        <v>0</v>
      </c>
      <c r="H66" s="65">
        <f t="shared" ref="H66:H72" si="43">IF(VLOOKUP($D66,$C$5:$AU$836,3,)=0,0,(VLOOKUP($D66,$C$5:$AU$836,6,)/VLOOKUP($D66,$C$5:$AU$836,3,))*$E66)</f>
        <v>0</v>
      </c>
      <c r="I66" s="65">
        <f t="shared" ref="I66:I72" si="44">IF(VLOOKUP($D66,$C$5:$AU$836,3,)=0,0,(VLOOKUP($D66,$C$5:$AU$836,7,)/VLOOKUP($D66,$C$5:$AU$836,3,))*$E66)</f>
        <v>0</v>
      </c>
      <c r="J66" s="65">
        <f t="shared" ref="J66:J72" si="45">IF(VLOOKUP($D66,$C$5:$AU$836,3,)=0,0,(VLOOKUP($D66,$C$5:$AU$836,8,)/VLOOKUP($D66,$C$5:$AU$836,3,))*$E66)</f>
        <v>0</v>
      </c>
      <c r="K66" s="65">
        <f t="shared" ref="K66:K72" si="46">IF(VLOOKUP($D66,$C$5:$AU$836,3,)=0,0,(VLOOKUP($D66,$C$5:$AU$836,9,)/VLOOKUP($D66,$C$5:$AU$836,3,))*$E66)</f>
        <v>0</v>
      </c>
      <c r="L66" s="65">
        <f t="shared" ref="L66:L72" si="47">IF(VLOOKUP($D66,$C$5:$AU$836,3,)=0,0,(VLOOKUP($D66,$C$5:$AU$836,10,)/VLOOKUP($D66,$C$5:$AU$836,3,))*$E66)</f>
        <v>0</v>
      </c>
      <c r="M66" s="65">
        <f t="shared" ref="M66:M72" si="48">IF(VLOOKUP($D66,$C$5:$AU$836,3,)=0,0,(VLOOKUP($D66,$C$5:$AU$836,11,)/VLOOKUP($D66,$C$5:$AU$836,3,))*$E66)</f>
        <v>0</v>
      </c>
      <c r="N66" s="65">
        <f t="shared" ref="N66:N72" si="49">IF(VLOOKUP($D66,$C$5:$AU$836,3,)=0,0,(VLOOKUP($D66,$C$5:$AU$836,12,)/VLOOKUP($D66,$C$5:$AU$836,3,))*$E66)</f>
        <v>0</v>
      </c>
      <c r="O66" s="65">
        <f t="shared" ref="O66:O72" si="50">IF(VLOOKUP($D66,$C$5:$AU$836,3,)=0,0,(VLOOKUP($D66,$C$5:$AU$836,13,)/VLOOKUP($D66,$C$5:$AU$836,3,))*$E66)</f>
        <v>0</v>
      </c>
      <c r="P66" s="65">
        <f t="shared" ref="P66:P72" si="51">IF(VLOOKUP($D66,$C$5:$AU$836,3,)=0,0,(VLOOKUP($D66,$C$5:$AU$836,14,)/VLOOKUP($D66,$C$5:$AU$836,3,))*$E66)</f>
        <v>0</v>
      </c>
      <c r="Q66" s="65">
        <f t="shared" ref="Q66:Q72" si="52">IF(VLOOKUP($D66,$C$5:$AU$836,3,)=0,0,(VLOOKUP($D66,$C$5:$AU$836,15,)/VLOOKUP($D66,$C$5:$AU$836,3,))*$E66)</f>
        <v>0</v>
      </c>
      <c r="R66" s="65">
        <f>IF(VLOOKUP($D66,$C$5:$AU$836,3,)=0,0,(VLOOKUP($D66,$C$5:$AU$836,16,)/VLOOKUP($D66,$C$5:$AU$836,3,))*$E66)</f>
        <v>0</v>
      </c>
      <c r="S66" s="65">
        <f>IF(VLOOKUP($D66,$C$5:$AU$836,3,)=0,0,(VLOOKUP($D66,$C$5:$AU$836,17,)/VLOOKUP($D66,$C$5:$AU$836,3,))*$E66)</f>
        <v>0</v>
      </c>
      <c r="T66" s="65">
        <f>IF(VLOOKUP($D66,$C$5:$AU$836,3,)=0,0,(VLOOKUP($D66,$C$5:$AU$836,18,)/VLOOKUP($D66,$C$5:$AU$836,3,))*$E66)</f>
        <v>0</v>
      </c>
      <c r="U66" s="65">
        <f>IF(VLOOKUP($D66,$C$5:$AU$836,3,)=0,0,(VLOOKUP($D66,$C$5:$AU$836,19,)/VLOOKUP($D66,$C$5:$AU$836,3,))*$E66)</f>
        <v>0</v>
      </c>
      <c r="V66" s="65">
        <f>IF(VLOOKUP($D66,$C$5:$AU$836,3,)=0,0,(VLOOKUP($D66,$C$5:$AU$836,20,)/VLOOKUP($D66,$C$5:$AU$836,3,))*$E66)</f>
        <v>0</v>
      </c>
      <c r="W66" s="65">
        <f>IF(VLOOKUP($D66,$C$5:$AU$836,3,)=0,0,(VLOOKUP($D66,$C$5:$AU$836,21,)/VLOOKUP($D66,$C$5:$AU$836,3,))*$E66)</f>
        <v>0</v>
      </c>
      <c r="X66" s="65">
        <f>IF(VLOOKUP($D66,$C$5:$AU$836,3,)=0,0,(VLOOKUP($D66,$C$5:$AU$836,22,)/VLOOKUP($D66,$C$5:$AU$836,3,))*$E66)</f>
        <v>0</v>
      </c>
      <c r="Y66" s="65">
        <f>IF(VLOOKUP($D66,$C$5:$AU$836,3,)=0,0,(VLOOKUP($D66,$C$5:$AU$836,23,)/VLOOKUP($D66,$C$5:$AU$836,3,))*$E66)</f>
        <v>0</v>
      </c>
      <c r="Z66" s="65">
        <f>IF(VLOOKUP($D66,$C$5:$AU$836,3,)=0,0,(VLOOKUP($D66,$C$5:$AU$836,24,)/VLOOKUP($D66,$C$5:$AU$836,3,))*$E66)</f>
        <v>0</v>
      </c>
      <c r="AA66" s="65">
        <f>IF(VLOOKUP($D66,$C$5:$AU$836,3,)=0,0,(VLOOKUP($D66,$C$5:$AU$836,25,)/VLOOKUP($D66,$C$5:$AU$836,3,))*$E66)</f>
        <v>0</v>
      </c>
      <c r="AB66" s="65">
        <f>IF(VLOOKUP($D66,$C$5:$AU$836,3,)=0,0,(VLOOKUP($D66,$C$5:$AU$836,26,)/VLOOKUP($D66,$C$5:$AU$836,3,))*$E66)</f>
        <v>0</v>
      </c>
      <c r="AC66" s="65">
        <f>IF(VLOOKUP($D66,$C$5:$AU$836,3,)=0,0,(VLOOKUP($D66,$C$5:$AU$836,27,)/VLOOKUP($D66,$C$5:$AU$836,3,))*$E66)</f>
        <v>0</v>
      </c>
      <c r="AD66" s="65">
        <f>IF(VLOOKUP($D66,$C$5:$AU$836,3,)=0,0,(VLOOKUP($D66,$C$5:$AU$836,28,)/VLOOKUP($D66,$C$5:$AU$836,3,))*$E66)</f>
        <v>0</v>
      </c>
      <c r="AE66" s="65">
        <f>IF(VLOOKUP($D66,$C$5:$AU$836,3,)=0,0,(VLOOKUP($D66,$C$5:$AU$836,29,)/VLOOKUP($D66,$C$5:$AU$836,3,))*$E66)</f>
        <v>0</v>
      </c>
      <c r="AF66" s="65">
        <f>IF(VLOOKUP($D66,$C$5:$AU$836,3,)=0,0,(VLOOKUP($D66,$C$5:$AU$836,30,)/VLOOKUP($D66,$C$5:$AU$836,3,))*$E66)</f>
        <v>0</v>
      </c>
      <c r="AG66" s="16">
        <f t="shared" ref="AG66:AG74" si="53">SUM(F66:AF66)</f>
        <v>0</v>
      </c>
      <c r="AH66" s="14" t="str">
        <f t="shared" ref="AH66:AH72" si="54">IF(ABS(E66-AG66)&lt;0.01,"ok","err")</f>
        <v>ok</v>
      </c>
    </row>
    <row r="67" spans="1:34" x14ac:dyDescent="0.25">
      <c r="A67" s="118" t="s">
        <v>1069</v>
      </c>
      <c r="C67" s="2" t="s">
        <v>707</v>
      </c>
      <c r="D67" s="2" t="s">
        <v>839</v>
      </c>
      <c r="E67" s="65">
        <f>'Functional Assignment'!I131</f>
        <v>0</v>
      </c>
      <c r="F67" s="65">
        <f t="shared" si="41"/>
        <v>0</v>
      </c>
      <c r="G67" s="65">
        <f t="shared" si="42"/>
        <v>0</v>
      </c>
      <c r="H67" s="65">
        <f t="shared" si="43"/>
        <v>0</v>
      </c>
      <c r="I67" s="65">
        <f t="shared" si="44"/>
        <v>0</v>
      </c>
      <c r="J67" s="65">
        <f t="shared" si="45"/>
        <v>0</v>
      </c>
      <c r="K67" s="65">
        <f t="shared" si="46"/>
        <v>0</v>
      </c>
      <c r="L67" s="65">
        <f t="shared" si="47"/>
        <v>0</v>
      </c>
      <c r="M67" s="65">
        <f t="shared" si="48"/>
        <v>0</v>
      </c>
      <c r="N67" s="65">
        <f t="shared" si="49"/>
        <v>0</v>
      </c>
      <c r="O67" s="65">
        <f t="shared" si="50"/>
        <v>0</v>
      </c>
      <c r="P67" s="65">
        <f t="shared" si="51"/>
        <v>0</v>
      </c>
      <c r="Q67" s="65">
        <f t="shared" si="52"/>
        <v>0</v>
      </c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16">
        <f t="shared" si="53"/>
        <v>0</v>
      </c>
      <c r="AH67" s="14" t="str">
        <f t="shared" si="54"/>
        <v>ok</v>
      </c>
    </row>
    <row r="68" spans="1:34" ht="13.5" customHeight="1" x14ac:dyDescent="0.25">
      <c r="A68" s="118" t="s">
        <v>1070</v>
      </c>
      <c r="C68" s="2" t="s">
        <v>874</v>
      </c>
      <c r="D68" s="9" t="s">
        <v>1073</v>
      </c>
      <c r="E68" s="65">
        <f>'Functional Assignment'!J131</f>
        <v>0</v>
      </c>
      <c r="F68" s="65">
        <f t="shared" si="41"/>
        <v>0</v>
      </c>
      <c r="G68" s="65">
        <f t="shared" si="42"/>
        <v>0</v>
      </c>
      <c r="H68" s="65">
        <f t="shared" si="43"/>
        <v>0</v>
      </c>
      <c r="I68" s="65">
        <f t="shared" si="44"/>
        <v>0</v>
      </c>
      <c r="J68" s="65">
        <f t="shared" si="45"/>
        <v>0</v>
      </c>
      <c r="K68" s="65">
        <f t="shared" si="46"/>
        <v>0</v>
      </c>
      <c r="L68" s="65">
        <f t="shared" si="47"/>
        <v>0</v>
      </c>
      <c r="M68" s="65">
        <f t="shared" si="48"/>
        <v>0</v>
      </c>
      <c r="N68" s="65">
        <f t="shared" si="49"/>
        <v>0</v>
      </c>
      <c r="O68" s="65">
        <f t="shared" si="50"/>
        <v>0</v>
      </c>
      <c r="P68" s="65">
        <f t="shared" si="51"/>
        <v>0</v>
      </c>
      <c r="Q68" s="65">
        <f t="shared" si="52"/>
        <v>0</v>
      </c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16">
        <f t="shared" si="53"/>
        <v>0</v>
      </c>
      <c r="AH68" s="14" t="str">
        <f t="shared" si="54"/>
        <v>ok</v>
      </c>
    </row>
    <row r="69" spans="1:34" x14ac:dyDescent="0.25">
      <c r="A69" s="118" t="s">
        <v>1071</v>
      </c>
      <c r="C69" s="2" t="s">
        <v>875</v>
      </c>
      <c r="D69" s="9" t="s">
        <v>1074</v>
      </c>
      <c r="E69" s="65">
        <f>'Functional Assignment'!K131</f>
        <v>0</v>
      </c>
      <c r="F69" s="65">
        <f t="shared" si="41"/>
        <v>0</v>
      </c>
      <c r="G69" s="65">
        <f t="shared" si="42"/>
        <v>0</v>
      </c>
      <c r="H69" s="65">
        <f t="shared" si="43"/>
        <v>0</v>
      </c>
      <c r="I69" s="65">
        <f t="shared" si="44"/>
        <v>0</v>
      </c>
      <c r="J69" s="65">
        <f t="shared" si="45"/>
        <v>0</v>
      </c>
      <c r="K69" s="65">
        <f t="shared" si="46"/>
        <v>0</v>
      </c>
      <c r="L69" s="65">
        <f t="shared" si="47"/>
        <v>0</v>
      </c>
      <c r="M69" s="65">
        <f t="shared" si="48"/>
        <v>0</v>
      </c>
      <c r="N69" s="65">
        <f t="shared" si="49"/>
        <v>0</v>
      </c>
      <c r="O69" s="65">
        <f t="shared" si="50"/>
        <v>0</v>
      </c>
      <c r="P69" s="65">
        <f t="shared" si="51"/>
        <v>0</v>
      </c>
      <c r="Q69" s="65">
        <f t="shared" si="52"/>
        <v>0</v>
      </c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16">
        <f t="shared" si="53"/>
        <v>0</v>
      </c>
      <c r="AH69" s="14" t="str">
        <f t="shared" si="54"/>
        <v>ok</v>
      </c>
    </row>
    <row r="70" spans="1:34" ht="17.25" customHeight="1" x14ac:dyDescent="0.25">
      <c r="A70" s="118" t="s">
        <v>1063</v>
      </c>
      <c r="C70" s="2" t="s">
        <v>238</v>
      </c>
      <c r="D70" s="2" t="s">
        <v>918</v>
      </c>
      <c r="E70" s="65">
        <f>'Functional Assignment'!L131</f>
        <v>0</v>
      </c>
      <c r="F70" s="65">
        <f t="shared" si="41"/>
        <v>0</v>
      </c>
      <c r="G70" s="65">
        <f t="shared" si="42"/>
        <v>0</v>
      </c>
      <c r="H70" s="65">
        <f t="shared" si="43"/>
        <v>0</v>
      </c>
      <c r="I70" s="65">
        <f t="shared" si="44"/>
        <v>0</v>
      </c>
      <c r="J70" s="65">
        <f t="shared" si="45"/>
        <v>0</v>
      </c>
      <c r="K70" s="65">
        <f t="shared" si="46"/>
        <v>0</v>
      </c>
      <c r="L70" s="65">
        <f t="shared" si="47"/>
        <v>0</v>
      </c>
      <c r="M70" s="65">
        <f t="shared" si="48"/>
        <v>0</v>
      </c>
      <c r="N70" s="65">
        <f t="shared" si="49"/>
        <v>0</v>
      </c>
      <c r="O70" s="65">
        <f t="shared" si="50"/>
        <v>0</v>
      </c>
      <c r="P70" s="65">
        <f t="shared" si="51"/>
        <v>0</v>
      </c>
      <c r="Q70" s="65">
        <f t="shared" si="52"/>
        <v>0</v>
      </c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16">
        <f>SUM(F70:AF70)</f>
        <v>0</v>
      </c>
      <c r="AH70" s="14" t="str">
        <f t="shared" si="54"/>
        <v>ok</v>
      </c>
    </row>
    <row r="71" spans="1:34" ht="17.25" customHeight="1" x14ac:dyDescent="0.25">
      <c r="A71" s="118" t="s">
        <v>1064</v>
      </c>
      <c r="C71" s="2" t="s">
        <v>876</v>
      </c>
      <c r="D71" s="2" t="s">
        <v>928</v>
      </c>
      <c r="E71" s="65">
        <f>'Functional Assignment'!M131</f>
        <v>0</v>
      </c>
      <c r="F71" s="65">
        <f t="shared" si="41"/>
        <v>0</v>
      </c>
      <c r="G71" s="65">
        <f t="shared" si="42"/>
        <v>0</v>
      </c>
      <c r="H71" s="65">
        <f t="shared" si="43"/>
        <v>0</v>
      </c>
      <c r="I71" s="65">
        <f t="shared" si="44"/>
        <v>0</v>
      </c>
      <c r="J71" s="65">
        <f t="shared" si="45"/>
        <v>0</v>
      </c>
      <c r="K71" s="65">
        <f t="shared" si="46"/>
        <v>0</v>
      </c>
      <c r="L71" s="65">
        <f t="shared" si="47"/>
        <v>0</v>
      </c>
      <c r="M71" s="65">
        <f t="shared" si="48"/>
        <v>0</v>
      </c>
      <c r="N71" s="65">
        <f t="shared" si="49"/>
        <v>0</v>
      </c>
      <c r="O71" s="65">
        <f t="shared" si="50"/>
        <v>0</v>
      </c>
      <c r="P71" s="65">
        <f t="shared" si="51"/>
        <v>0</v>
      </c>
      <c r="Q71" s="65">
        <f t="shared" si="52"/>
        <v>0</v>
      </c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16">
        <f>SUM(F71:AF71)</f>
        <v>0</v>
      </c>
      <c r="AH71" s="14" t="str">
        <f t="shared" si="54"/>
        <v>ok</v>
      </c>
    </row>
    <row r="72" spans="1:34" ht="17.25" customHeight="1" x14ac:dyDescent="0.25">
      <c r="A72" s="118" t="s">
        <v>790</v>
      </c>
      <c r="C72" s="2" t="s">
        <v>877</v>
      </c>
      <c r="D72" s="2" t="s">
        <v>928</v>
      </c>
      <c r="E72" s="65">
        <f>'Functional Assignment'!N131</f>
        <v>0</v>
      </c>
      <c r="F72" s="65">
        <f t="shared" si="41"/>
        <v>0</v>
      </c>
      <c r="G72" s="65">
        <f t="shared" si="42"/>
        <v>0</v>
      </c>
      <c r="H72" s="65">
        <f t="shared" si="43"/>
        <v>0</v>
      </c>
      <c r="I72" s="65">
        <f t="shared" si="44"/>
        <v>0</v>
      </c>
      <c r="J72" s="65">
        <f t="shared" si="45"/>
        <v>0</v>
      </c>
      <c r="K72" s="65">
        <f t="shared" si="46"/>
        <v>0</v>
      </c>
      <c r="L72" s="65">
        <f t="shared" si="47"/>
        <v>0</v>
      </c>
      <c r="M72" s="65">
        <f t="shared" si="48"/>
        <v>0</v>
      </c>
      <c r="N72" s="65">
        <f t="shared" si="49"/>
        <v>0</v>
      </c>
      <c r="O72" s="65">
        <f t="shared" si="50"/>
        <v>0</v>
      </c>
      <c r="P72" s="65">
        <f t="shared" si="51"/>
        <v>0</v>
      </c>
      <c r="Q72" s="65">
        <f t="shared" si="52"/>
        <v>0</v>
      </c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16">
        <f>SUM(F72:AF72)</f>
        <v>0</v>
      </c>
      <c r="AH72" s="14" t="str">
        <f t="shared" si="54"/>
        <v>ok</v>
      </c>
    </row>
    <row r="73" spans="1:34" x14ac:dyDescent="0.25">
      <c r="A73" s="12"/>
      <c r="E73" s="31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16"/>
      <c r="AH73" s="14"/>
    </row>
    <row r="74" spans="1:34" x14ac:dyDescent="0.25">
      <c r="A74" s="2" t="s">
        <v>218</v>
      </c>
      <c r="C74" s="2" t="s">
        <v>239</v>
      </c>
      <c r="E74" s="31">
        <f t="shared" ref="E74:N74" si="55">SUM(E66:E73)</f>
        <v>0</v>
      </c>
      <c r="F74" s="31">
        <f t="shared" si="55"/>
        <v>0</v>
      </c>
      <c r="G74" s="31">
        <f t="shared" si="55"/>
        <v>0</v>
      </c>
      <c r="H74" s="31">
        <f t="shared" si="55"/>
        <v>0</v>
      </c>
      <c r="I74" s="31">
        <f t="shared" si="55"/>
        <v>0</v>
      </c>
      <c r="J74" s="31">
        <f t="shared" si="55"/>
        <v>0</v>
      </c>
      <c r="K74" s="31">
        <f t="shared" si="55"/>
        <v>0</v>
      </c>
      <c r="L74" s="31">
        <f t="shared" si="55"/>
        <v>0</v>
      </c>
      <c r="M74" s="65">
        <f t="shared" si="55"/>
        <v>0</v>
      </c>
      <c r="N74" s="65">
        <f t="shared" si="55"/>
        <v>0</v>
      </c>
      <c r="O74" s="31">
        <f>SUM(O66:O73)</f>
        <v>0</v>
      </c>
      <c r="P74" s="65">
        <f>P66+P73</f>
        <v>0</v>
      </c>
      <c r="Q74" s="65">
        <f>Q66+Q73</f>
        <v>0</v>
      </c>
      <c r="R74" s="65">
        <f>R66+R73</f>
        <v>0</v>
      </c>
      <c r="S74" s="65">
        <f>S66+S73</f>
        <v>0</v>
      </c>
      <c r="T74" s="65">
        <f>T66+T73</f>
        <v>0</v>
      </c>
      <c r="U74" s="65">
        <f t="shared" ref="U74:AF74" si="56">U66+U73</f>
        <v>0</v>
      </c>
      <c r="V74" s="65">
        <f t="shared" si="56"/>
        <v>0</v>
      </c>
      <c r="W74" s="65">
        <f t="shared" si="56"/>
        <v>0</v>
      </c>
      <c r="X74" s="65">
        <f t="shared" si="56"/>
        <v>0</v>
      </c>
      <c r="Y74" s="65">
        <f t="shared" si="56"/>
        <v>0</v>
      </c>
      <c r="Z74" s="65">
        <f t="shared" si="56"/>
        <v>0</v>
      </c>
      <c r="AA74" s="65">
        <f t="shared" si="56"/>
        <v>0</v>
      </c>
      <c r="AB74" s="65">
        <f t="shared" si="56"/>
        <v>0</v>
      </c>
      <c r="AC74" s="65">
        <f t="shared" si="56"/>
        <v>0</v>
      </c>
      <c r="AD74" s="65">
        <f t="shared" si="56"/>
        <v>0</v>
      </c>
      <c r="AE74" s="65">
        <f t="shared" si="56"/>
        <v>0</v>
      </c>
      <c r="AF74" s="65">
        <f t="shared" si="56"/>
        <v>0</v>
      </c>
      <c r="AG74" s="16">
        <f t="shared" si="53"/>
        <v>0</v>
      </c>
      <c r="AH74" s="14" t="str">
        <f>IF(ABS(E74-AG74)&lt;0.01,"ok","err")</f>
        <v>ok</v>
      </c>
    </row>
    <row r="75" spans="1:34" x14ac:dyDescent="0.25">
      <c r="E75" s="31"/>
      <c r="F75" s="31"/>
    </row>
    <row r="76" spans="1:34" x14ac:dyDescent="0.25">
      <c r="A76" s="7" t="s">
        <v>772</v>
      </c>
      <c r="E76" s="31"/>
      <c r="F76" s="31"/>
    </row>
    <row r="77" spans="1:34" x14ac:dyDescent="0.25">
      <c r="A77" s="12" t="s">
        <v>214</v>
      </c>
      <c r="C77" s="2" t="s">
        <v>792</v>
      </c>
      <c r="D77" s="2" t="s">
        <v>215</v>
      </c>
      <c r="E77" s="65">
        <f>'Functional Assignment'!P131</f>
        <v>0</v>
      </c>
      <c r="F77" s="65">
        <f>IF(VLOOKUP($D77,$C$5:$AU$836,3,)=0,0,(VLOOKUP($D77,$C$5:$AU$836,4,)/VLOOKUP($D77,$C$5:$AU$836,3,))*$E77)</f>
        <v>0</v>
      </c>
      <c r="G77" s="65">
        <f>IF(VLOOKUP($D77,$C$5:$AU$836,3,)=0,0,(VLOOKUP($D77,$C$5:$AU$836,5,)/VLOOKUP($D77,$C$5:$AU$836,3,))*$E77)</f>
        <v>0</v>
      </c>
      <c r="H77" s="65">
        <f>IF(VLOOKUP($D77,$C$5:$AU$836,3,)=0,0,(VLOOKUP($D77,$C$5:$AU$836,6,)/VLOOKUP($D77,$C$5:$AU$836,3,))*$E77)</f>
        <v>0</v>
      </c>
      <c r="I77" s="65">
        <f>IF(VLOOKUP($D77,$C$5:$AU$836,3,)=0,0,(VLOOKUP($D77,$C$5:$AU$836,7,)/VLOOKUP($D77,$C$5:$AU$836,3,))*$E77)</f>
        <v>0</v>
      </c>
      <c r="J77" s="65">
        <f>IF(VLOOKUP($D77,$C$5:$AU$836,3,)=0,0,(VLOOKUP($D77,$C$5:$AU$836,8,)/VLOOKUP($D77,$C$5:$AU$836,3,))*$E77)</f>
        <v>0</v>
      </c>
      <c r="K77" s="65">
        <f>IF(VLOOKUP($D77,$C$5:$AU$836,3,)=0,0,(VLOOKUP($D77,$C$5:$AU$836,9,)/VLOOKUP($D77,$C$5:$AU$836,3,))*$E77)</f>
        <v>0</v>
      </c>
      <c r="L77" s="65">
        <f>IF(VLOOKUP($D77,$C$5:$AU$836,3,)=0,0,(VLOOKUP($D77,$C$5:$AU$836,10,)/VLOOKUP($D77,$C$5:$AU$836,3,))*$E77)</f>
        <v>0</v>
      </c>
      <c r="M77" s="65">
        <f>IF(VLOOKUP($D77,$C$5:$AU$836,3,)=0,0,(VLOOKUP($D77,$C$5:$AU$836,11,)/VLOOKUP($D77,$C$5:$AU$836,3,))*$E77)</f>
        <v>0</v>
      </c>
      <c r="N77" s="65">
        <f>IF(VLOOKUP($D77,$C$5:$AU$836,3,)=0,0,(VLOOKUP($D77,$C$5:$AU$836,12,)/VLOOKUP($D77,$C$5:$AU$836,3,))*$E77)</f>
        <v>0</v>
      </c>
      <c r="O77" s="65">
        <f>IF(VLOOKUP($D77,$C$5:$AU$836,3,)=0,0,(VLOOKUP($D77,$C$5:$AU$836,13,)/VLOOKUP($D77,$C$5:$AU$836,3,))*$E77)</f>
        <v>0</v>
      </c>
      <c r="P77" s="65">
        <f>IF(VLOOKUP($D77,$C$5:$AU$836,3,)=0,0,(VLOOKUP($D77,$C$5:$AU$836,14,)/VLOOKUP($D77,$C$5:$AU$836,3,))*$E77)</f>
        <v>0</v>
      </c>
      <c r="Q77" s="65">
        <f>IF(VLOOKUP($D77,$C$5:$AU$836,3,)=0,0,(VLOOKUP($D77,$C$5:$AU$836,15,)/VLOOKUP($D77,$C$5:$AU$836,3,))*$E77)</f>
        <v>0</v>
      </c>
      <c r="R77" s="65">
        <f>IF(VLOOKUP($D77,$C$5:$AU$836,3,)=0,0,(VLOOKUP($D77,$C$5:$AU$836,16,)/VLOOKUP($D77,$C$5:$AU$836,3,))*$E77)</f>
        <v>0</v>
      </c>
      <c r="S77" s="65">
        <f>IF(VLOOKUP($D77,$C$5:$AU$836,3,)=0,0,(VLOOKUP($D77,$C$5:$AU$836,17,)/VLOOKUP($D77,$C$5:$AU$836,3,))*$E77)</f>
        <v>0</v>
      </c>
      <c r="T77" s="65">
        <f>IF(VLOOKUP($D77,$C$5:$AU$836,3,)=0,0,(VLOOKUP($D77,$C$5:$AU$836,18,)/VLOOKUP($D77,$C$5:$AU$836,3,))*$E77)</f>
        <v>0</v>
      </c>
      <c r="U77" s="65">
        <f>IF(VLOOKUP($D77,$C$5:$AU$836,3,)=0,0,(VLOOKUP($D77,$C$5:$AU$836,19,)/VLOOKUP($D77,$C$5:$AU$836,3,))*$E77)</f>
        <v>0</v>
      </c>
      <c r="V77" s="65">
        <f>IF(VLOOKUP($D77,$C$5:$AU$836,3,)=0,0,(VLOOKUP($D77,$C$5:$AU$836,20,)/VLOOKUP($D77,$C$5:$AU$836,3,))*$E77)</f>
        <v>0</v>
      </c>
      <c r="W77" s="65">
        <f>IF(VLOOKUP($D77,$C$5:$AU$836,3,)=0,0,(VLOOKUP($D77,$C$5:$AU$836,21,)/VLOOKUP($D77,$C$5:$AU$836,3,))*$E77)</f>
        <v>0</v>
      </c>
      <c r="X77" s="65">
        <f>IF(VLOOKUP($D77,$C$5:$AU$836,3,)=0,0,(VLOOKUP($D77,$C$5:$AU$836,22,)/VLOOKUP($D77,$C$5:$AU$836,3,))*$E77)</f>
        <v>0</v>
      </c>
      <c r="Y77" s="65">
        <f>IF(VLOOKUP($D77,$C$5:$AU$836,3,)=0,0,(VLOOKUP($D77,$C$5:$AU$836,23,)/VLOOKUP($D77,$C$5:$AU$836,3,))*$E77)</f>
        <v>0</v>
      </c>
      <c r="Z77" s="65">
        <f>IF(VLOOKUP($D77,$C$5:$AU$836,3,)=0,0,(VLOOKUP($D77,$C$5:$AU$836,24,)/VLOOKUP($D77,$C$5:$AU$836,3,))*$E77)</f>
        <v>0</v>
      </c>
      <c r="AA77" s="65">
        <f>IF(VLOOKUP($D77,$C$5:$AU$836,3,)=0,0,(VLOOKUP($D77,$C$5:$AU$836,25,)/VLOOKUP($D77,$C$5:$AU$836,3,))*$E77)</f>
        <v>0</v>
      </c>
      <c r="AB77" s="65">
        <f>IF(VLOOKUP($D77,$C$5:$AU$836,3,)=0,0,(VLOOKUP($D77,$C$5:$AU$836,26,)/VLOOKUP($D77,$C$5:$AU$836,3,))*$E77)</f>
        <v>0</v>
      </c>
      <c r="AC77" s="65">
        <f>IF(VLOOKUP($D77,$C$5:$AU$836,3,)=0,0,(VLOOKUP($D77,$C$5:$AU$836,27,)/VLOOKUP($D77,$C$5:$AU$836,3,))*$E77)</f>
        <v>0</v>
      </c>
      <c r="AD77" s="65">
        <f>IF(VLOOKUP($D77,$C$5:$AU$836,3,)=0,0,(VLOOKUP($D77,$C$5:$AU$836,28,)/VLOOKUP($D77,$C$5:$AU$836,3,))*$E77)</f>
        <v>0</v>
      </c>
      <c r="AE77" s="65">
        <f>IF(VLOOKUP($D77,$C$5:$AU$836,3,)=0,0,(VLOOKUP($D77,$C$5:$AU$836,29,)/VLOOKUP($D77,$C$5:$AU$836,3,))*$E77)</f>
        <v>0</v>
      </c>
      <c r="AF77" s="65">
        <f>IF(VLOOKUP($D77,$C$5:$AU$836,3,)=0,0,(VLOOKUP($D77,$C$5:$AU$836,30,)/VLOOKUP($D77,$C$5:$AU$836,3,))*$E77)</f>
        <v>0</v>
      </c>
      <c r="AG77" s="16">
        <f>SUM(F77:AF77)</f>
        <v>0</v>
      </c>
      <c r="AH77" s="14" t="str">
        <f>IF(ABS(E77-AG77)&lt;0.01,"ok","err")</f>
        <v>ok</v>
      </c>
    </row>
    <row r="78" spans="1:34" x14ac:dyDescent="0.25">
      <c r="E78" s="31"/>
      <c r="F78" s="31"/>
    </row>
    <row r="79" spans="1:34" x14ac:dyDescent="0.25">
      <c r="A79" s="7" t="s">
        <v>334</v>
      </c>
      <c r="E79" s="31"/>
      <c r="F79" s="31"/>
    </row>
    <row r="80" spans="1:34" x14ac:dyDescent="0.25">
      <c r="A80" s="12" t="s">
        <v>214</v>
      </c>
      <c r="C80" s="2" t="s">
        <v>456</v>
      </c>
      <c r="D80" s="2" t="s">
        <v>601</v>
      </c>
      <c r="E80" s="65">
        <f>'Functional Assignment'!R131</f>
        <v>0</v>
      </c>
      <c r="F80" s="65">
        <f>IF(VLOOKUP($D80,$C$5:$AU$836,3,)=0,0,(VLOOKUP($D80,$C$5:$AU$836,4,)/VLOOKUP($D80,$C$5:$AU$836,3,))*$E80)</f>
        <v>0</v>
      </c>
      <c r="G80" s="65">
        <f>IF(VLOOKUP($D80,$C$5:$AU$836,3,)=0,0,(VLOOKUP($D80,$C$5:$AU$836,5,)/VLOOKUP($D80,$C$5:$AU$836,3,))*$E80)</f>
        <v>0</v>
      </c>
      <c r="H80" s="65">
        <f>IF(VLOOKUP($D80,$C$5:$AU$836,3,)=0,0,(VLOOKUP($D80,$C$5:$AU$836,6,)/VLOOKUP($D80,$C$5:$AU$836,3,))*$E80)</f>
        <v>0</v>
      </c>
      <c r="I80" s="65">
        <f>IF(VLOOKUP($D80,$C$5:$AU$836,3,)=0,0,(VLOOKUP($D80,$C$5:$AU$836,7,)/VLOOKUP($D80,$C$5:$AU$836,3,))*$E80)</f>
        <v>0</v>
      </c>
      <c r="J80" s="65">
        <f>IF(VLOOKUP($D80,$C$5:$AU$836,3,)=0,0,(VLOOKUP($D80,$C$5:$AU$836,8,)/VLOOKUP($D80,$C$5:$AU$836,3,))*$E80)</f>
        <v>0</v>
      </c>
      <c r="K80" s="65">
        <f>IF(VLOOKUP($D80,$C$5:$AU$836,3,)=0,0,(VLOOKUP($D80,$C$5:$AU$836,9,)/VLOOKUP($D80,$C$5:$AU$836,3,))*$E80)</f>
        <v>0</v>
      </c>
      <c r="L80" s="65">
        <f>IF(VLOOKUP($D80,$C$5:$AU$836,3,)=0,0,(VLOOKUP($D80,$C$5:$AU$836,10,)/VLOOKUP($D80,$C$5:$AU$836,3,))*$E80)</f>
        <v>0</v>
      </c>
      <c r="M80" s="65">
        <f>IF(VLOOKUP($D80,$C$5:$AU$836,3,)=0,0,(VLOOKUP($D80,$C$5:$AU$836,11,)/VLOOKUP($D80,$C$5:$AU$836,3,))*$E80)</f>
        <v>0</v>
      </c>
      <c r="N80" s="65">
        <f>IF(VLOOKUP($D80,$C$5:$AU$836,3,)=0,0,(VLOOKUP($D80,$C$5:$AU$836,12,)/VLOOKUP($D80,$C$5:$AU$836,3,))*$E80)</f>
        <v>0</v>
      </c>
      <c r="O80" s="65">
        <f>IF(VLOOKUP($D80,$C$5:$AU$836,3,)=0,0,(VLOOKUP($D80,$C$5:$AU$836,13,)/VLOOKUP($D80,$C$5:$AU$836,3,))*$E80)</f>
        <v>0</v>
      </c>
      <c r="P80" s="65">
        <f>IF(VLOOKUP($D80,$C$5:$AU$836,3,)=0,0,(VLOOKUP($D80,$C$5:$AU$836,14,)/VLOOKUP($D80,$C$5:$AU$836,3,))*$E80)</f>
        <v>0</v>
      </c>
      <c r="Q80" s="65">
        <f>IF(VLOOKUP($D80,$C$5:$AU$836,3,)=0,0,(VLOOKUP($D80,$C$5:$AU$836,15,)/VLOOKUP($D80,$C$5:$AU$836,3,))*$E80)</f>
        <v>0</v>
      </c>
      <c r="R80" s="65">
        <f>IF(VLOOKUP($D80,$C$5:$AU$836,3,)=0,0,(VLOOKUP($D80,$C$5:$AU$836,16,)/VLOOKUP($D80,$C$5:$AU$836,3,))*$E80)</f>
        <v>0</v>
      </c>
      <c r="S80" s="65">
        <f>IF(VLOOKUP($D80,$C$5:$AU$836,3,)=0,0,(VLOOKUP($D80,$C$5:$AU$836,17,)/VLOOKUP($D80,$C$5:$AU$836,3,))*$E80)</f>
        <v>0</v>
      </c>
      <c r="T80" s="65">
        <f>IF(VLOOKUP($D80,$C$5:$AU$836,3,)=0,0,(VLOOKUP($D80,$C$5:$AU$836,18,)/VLOOKUP($D80,$C$5:$AU$836,3,))*$E80)</f>
        <v>0</v>
      </c>
      <c r="U80" s="65">
        <f>IF(VLOOKUP($D80,$C$5:$AU$836,3,)=0,0,(VLOOKUP($D80,$C$5:$AU$836,19,)/VLOOKUP($D80,$C$5:$AU$836,3,))*$E80)</f>
        <v>0</v>
      </c>
      <c r="V80" s="65">
        <f>IF(VLOOKUP($D80,$C$5:$AU$836,3,)=0,0,(VLOOKUP($D80,$C$5:$AU$836,20,)/VLOOKUP($D80,$C$5:$AU$836,3,))*$E80)</f>
        <v>0</v>
      </c>
      <c r="W80" s="65">
        <f>IF(VLOOKUP($D80,$C$5:$AU$836,3,)=0,0,(VLOOKUP($D80,$C$5:$AU$836,21,)/VLOOKUP($D80,$C$5:$AU$836,3,))*$E80)</f>
        <v>0</v>
      </c>
      <c r="X80" s="65">
        <f>IF(VLOOKUP($D80,$C$5:$AU$836,3,)=0,0,(VLOOKUP($D80,$C$5:$AU$836,22,)/VLOOKUP($D80,$C$5:$AU$836,3,))*$E80)</f>
        <v>0</v>
      </c>
      <c r="Y80" s="65">
        <f>IF(VLOOKUP($D80,$C$5:$AU$836,3,)=0,0,(VLOOKUP($D80,$C$5:$AU$836,23,)/VLOOKUP($D80,$C$5:$AU$836,3,))*$E80)</f>
        <v>0</v>
      </c>
      <c r="Z80" s="65">
        <f>IF(VLOOKUP($D80,$C$5:$AU$836,3,)=0,0,(VLOOKUP($D80,$C$5:$AU$836,24,)/VLOOKUP($D80,$C$5:$AU$836,3,))*$E80)</f>
        <v>0</v>
      </c>
      <c r="AA80" s="65">
        <f>IF(VLOOKUP($D80,$C$5:$AU$836,3,)=0,0,(VLOOKUP($D80,$C$5:$AU$836,25,)/VLOOKUP($D80,$C$5:$AU$836,3,))*$E80)</f>
        <v>0</v>
      </c>
      <c r="AB80" s="65">
        <f>IF(VLOOKUP($D80,$C$5:$AU$836,3,)=0,0,(VLOOKUP($D80,$C$5:$AU$836,26,)/VLOOKUP($D80,$C$5:$AU$836,3,))*$E80)</f>
        <v>0</v>
      </c>
      <c r="AC80" s="65">
        <f>IF(VLOOKUP($D80,$C$5:$AU$836,3,)=0,0,(VLOOKUP($D80,$C$5:$AU$836,27,)/VLOOKUP($D80,$C$5:$AU$836,3,))*$E80)</f>
        <v>0</v>
      </c>
      <c r="AD80" s="65">
        <f>IF(VLOOKUP($D80,$C$5:$AU$836,3,)=0,0,(VLOOKUP($D80,$C$5:$AU$836,28,)/VLOOKUP($D80,$C$5:$AU$836,3,))*$E80)</f>
        <v>0</v>
      </c>
      <c r="AE80" s="65">
        <f>IF(VLOOKUP($D80,$C$5:$AU$836,3,)=0,0,(VLOOKUP($D80,$C$5:$AU$836,29,)/VLOOKUP($D80,$C$5:$AU$836,3,))*$E80)</f>
        <v>0</v>
      </c>
      <c r="AF80" s="65">
        <f>IF(VLOOKUP($D80,$C$5:$AU$836,3,)=0,0,(VLOOKUP($D80,$C$5:$AU$836,30,)/VLOOKUP($D80,$C$5:$AU$836,3,))*$E80)</f>
        <v>0</v>
      </c>
      <c r="AG80" s="16">
        <f>SUM(F80:AF80)</f>
        <v>0</v>
      </c>
      <c r="AH80" s="14" t="str">
        <f>IF(ABS(E80-AG80)&lt;0.01,"ok","err")</f>
        <v>ok</v>
      </c>
    </row>
    <row r="81" spans="1:34" x14ac:dyDescent="0.25">
      <c r="E81" s="31"/>
      <c r="F81" s="31"/>
    </row>
    <row r="82" spans="1:34" x14ac:dyDescent="0.25">
      <c r="A82" s="8" t="s">
        <v>3</v>
      </c>
      <c r="E82" s="31"/>
      <c r="F82" s="31"/>
    </row>
    <row r="83" spans="1:34" x14ac:dyDescent="0.25">
      <c r="A83" s="12" t="s">
        <v>214</v>
      </c>
      <c r="C83" s="2" t="s">
        <v>240</v>
      </c>
      <c r="D83" s="2" t="s">
        <v>608</v>
      </c>
      <c r="E83" s="65">
        <f>'Functional Assignment'!T131</f>
        <v>726929.8748085238</v>
      </c>
      <c r="F83" s="65">
        <f>IF(VLOOKUP($D83,$C$5:$AU$836,3,)=0,0,(VLOOKUP($D83,$C$5:$AU$836,4,)/VLOOKUP($D83,$C$5:$AU$836,3,))*$E83)</f>
        <v>516669.31200826121</v>
      </c>
      <c r="G83" s="65">
        <f>IF(VLOOKUP($D83,$C$5:$AU$836,3,)=0,0,(VLOOKUP($D83,$C$5:$AU$836,5,)/VLOOKUP($D83,$C$5:$AU$836,3,))*$E83)</f>
        <v>33813.862493558692</v>
      </c>
      <c r="H83" s="65">
        <f>IF(VLOOKUP($D83,$C$5:$AU$836,3,)=0,0,(VLOOKUP($D83,$C$5:$AU$836,6,)/VLOOKUP($D83,$C$5:$AU$836,3,))*$E83)</f>
        <v>85855.819369940742</v>
      </c>
      <c r="I83" s="65">
        <f>IF(VLOOKUP($D83,$C$5:$AU$836,3,)=0,0,(VLOOKUP($D83,$C$5:$AU$836,7,)/VLOOKUP($D83,$C$5:$AU$836,3,))*$E83)</f>
        <v>8826.0731966999192</v>
      </c>
      <c r="J83" s="65">
        <f>IF(VLOOKUP($D83,$C$5:$AU$836,3,)=0,0,(VLOOKUP($D83,$C$5:$AU$836,8,)/VLOOKUP($D83,$C$5:$AU$836,3,))*$E83)</f>
        <v>8656.8060395029333</v>
      </c>
      <c r="K83" s="65">
        <f>IF(VLOOKUP($D83,$C$5:$AU$836,3,)=0,0,(VLOOKUP($D83,$C$5:$AU$836,9,)/VLOOKUP($D83,$C$5:$AU$836,3,))*$E83)</f>
        <v>4773.5976259272247</v>
      </c>
      <c r="L83" s="65">
        <f>IF(VLOOKUP($D83,$C$5:$AU$836,3,)=0,0,(VLOOKUP($D83,$C$5:$AU$836,10,)/VLOOKUP($D83,$C$5:$AU$836,3,))*$E83)</f>
        <v>33605.116519788979</v>
      </c>
      <c r="M83" s="65">
        <f>IF(VLOOKUP($D83,$C$5:$AU$836,3,)=0,0,(VLOOKUP($D83,$C$5:$AU$836,11,)/VLOOKUP($D83,$C$5:$AU$836,3,))*$E83)</f>
        <v>25245.251237779696</v>
      </c>
      <c r="N83" s="65">
        <f>IF(VLOOKUP($D83,$C$5:$AU$836,3,)=0,0,(VLOOKUP($D83,$C$5:$AU$836,12,)/VLOOKUP($D83,$C$5:$AU$836,3,))*$E83)</f>
        <v>9484.0363170641176</v>
      </c>
      <c r="O83" s="65">
        <f>IF(VLOOKUP($D83,$C$5:$AU$836,3,)=0,0,(VLOOKUP($D83,$C$5:$AU$836,13,)/VLOOKUP($D83,$C$5:$AU$836,3,))*$E83)</f>
        <v>0</v>
      </c>
      <c r="P83" s="65">
        <f>IF(VLOOKUP($D83,$C$5:$AU$836,3,)=0,0,(VLOOKUP($D83,$C$5:$AU$836,14,)/VLOOKUP($D83,$C$5:$AU$836,3,))*$E83)</f>
        <v>0</v>
      </c>
      <c r="Q83" s="65">
        <f>IF(VLOOKUP($D83,$C$5:$AU$836,3,)=0,0,(VLOOKUP($D83,$C$5:$AU$836,15,)/VLOOKUP($D83,$C$5:$AU$836,3,))*$E83)</f>
        <v>0</v>
      </c>
      <c r="R83" s="65">
        <f>IF(VLOOKUP($D83,$C$5:$AU$836,3,)=0,0,(VLOOKUP($D83,$C$5:$AU$836,16,)/VLOOKUP($D83,$C$5:$AU$836,3,))*$E83)</f>
        <v>0</v>
      </c>
      <c r="S83" s="65">
        <f>IF(VLOOKUP($D83,$C$5:$AU$836,3,)=0,0,(VLOOKUP($D83,$C$5:$AU$836,17,)/VLOOKUP($D83,$C$5:$AU$836,3,))*$E83)</f>
        <v>0</v>
      </c>
      <c r="T83" s="65">
        <f>IF(VLOOKUP($D83,$C$5:$AU$836,3,)=0,0,(VLOOKUP($D83,$C$5:$AU$836,18,)/VLOOKUP($D83,$C$5:$AU$836,3,))*$E83)</f>
        <v>0</v>
      </c>
      <c r="U83" s="65">
        <f>IF(VLOOKUP($D83,$C$5:$AU$836,3,)=0,0,(VLOOKUP($D83,$C$5:$AU$836,19,)/VLOOKUP($D83,$C$5:$AU$836,3,))*$E83)</f>
        <v>0</v>
      </c>
      <c r="V83" s="65">
        <f>IF(VLOOKUP($D83,$C$5:$AU$836,3,)=0,0,(VLOOKUP($D83,$C$5:$AU$836,20,)/VLOOKUP($D83,$C$5:$AU$836,3,))*$E83)</f>
        <v>0</v>
      </c>
      <c r="W83" s="65">
        <f>IF(VLOOKUP($D83,$C$5:$AU$836,3,)=0,0,(VLOOKUP($D83,$C$5:$AU$836,21,)/VLOOKUP($D83,$C$5:$AU$836,3,))*$E83)</f>
        <v>0</v>
      </c>
      <c r="X83" s="65">
        <f>IF(VLOOKUP($D83,$C$5:$AU$836,3,)=0,0,(VLOOKUP($D83,$C$5:$AU$836,22,)/VLOOKUP($D83,$C$5:$AU$836,3,))*$E83)</f>
        <v>0</v>
      </c>
      <c r="Y83" s="65">
        <f>IF(VLOOKUP($D83,$C$5:$AU$836,3,)=0,0,(VLOOKUP($D83,$C$5:$AU$836,23,)/VLOOKUP($D83,$C$5:$AU$836,3,))*$E83)</f>
        <v>0</v>
      </c>
      <c r="Z83" s="65">
        <f>IF(VLOOKUP($D83,$C$5:$AU$836,3,)=0,0,(VLOOKUP($D83,$C$5:$AU$836,24,)/VLOOKUP($D83,$C$5:$AU$836,3,))*$E83)</f>
        <v>0</v>
      </c>
      <c r="AA83" s="65">
        <f>IF(VLOOKUP($D83,$C$5:$AU$836,3,)=0,0,(VLOOKUP($D83,$C$5:$AU$836,25,)/VLOOKUP($D83,$C$5:$AU$836,3,))*$E83)</f>
        <v>0</v>
      </c>
      <c r="AB83" s="65">
        <f>IF(VLOOKUP($D83,$C$5:$AU$836,3,)=0,0,(VLOOKUP($D83,$C$5:$AU$836,26,)/VLOOKUP($D83,$C$5:$AU$836,3,))*$E83)</f>
        <v>0</v>
      </c>
      <c r="AC83" s="65">
        <f>IF(VLOOKUP($D83,$C$5:$AU$836,3,)=0,0,(VLOOKUP($D83,$C$5:$AU$836,27,)/VLOOKUP($D83,$C$5:$AU$836,3,))*$E83)</f>
        <v>0</v>
      </c>
      <c r="AD83" s="65">
        <f>IF(VLOOKUP($D83,$C$5:$AU$836,3,)=0,0,(VLOOKUP($D83,$C$5:$AU$836,28,)/VLOOKUP($D83,$C$5:$AU$836,3,))*$E83)</f>
        <v>0</v>
      </c>
      <c r="AE83" s="65">
        <f>IF(VLOOKUP($D83,$C$5:$AU$836,3,)=0,0,(VLOOKUP($D83,$C$5:$AU$836,29,)/VLOOKUP($D83,$C$5:$AU$836,3,))*$E83)</f>
        <v>0</v>
      </c>
      <c r="AF83" s="65">
        <f>IF(VLOOKUP($D83,$C$5:$AU$836,3,)=0,0,(VLOOKUP($D83,$C$5:$AU$836,30,)/VLOOKUP($D83,$C$5:$AU$836,3,))*$E83)</f>
        <v>0</v>
      </c>
      <c r="AG83" s="16">
        <f>SUM(F83:AF83)</f>
        <v>726929.87480852357</v>
      </c>
      <c r="AH83" s="14" t="str">
        <f>IF(ABS(E83-AG83)&lt;0.01,"ok","err")</f>
        <v>ok</v>
      </c>
    </row>
    <row r="84" spans="1:34" x14ac:dyDescent="0.25">
      <c r="E84" s="31"/>
    </row>
    <row r="85" spans="1:34" x14ac:dyDescent="0.25">
      <c r="A85" s="8" t="s">
        <v>4</v>
      </c>
      <c r="E85" s="31"/>
    </row>
    <row r="86" spans="1:34" x14ac:dyDescent="0.25">
      <c r="A86" s="12" t="s">
        <v>214</v>
      </c>
      <c r="C86" s="2" t="s">
        <v>797</v>
      </c>
      <c r="D86" s="9" t="s">
        <v>748</v>
      </c>
      <c r="E86" s="65">
        <f>'Functional Assignment'!V131</f>
        <v>70404328.414539531</v>
      </c>
      <c r="F86" s="65">
        <f>IF(VLOOKUP($D86,$C$5:$AU$836,3,)=0,0,(VLOOKUP($D86,$C$5:$AU$836,4,)/VLOOKUP($D86,$C$5:$AU$836,3,))*$E86)</f>
        <v>45300117.334913954</v>
      </c>
      <c r="G86" s="65">
        <f>IF(VLOOKUP($D86,$C$5:$AU$836,3,)=0,0,(VLOOKUP($D86,$C$5:$AU$836,5,)/VLOOKUP($D86,$C$5:$AU$836,3,))*$E86)</f>
        <v>3913410.2061669943</v>
      </c>
      <c r="H86" s="65">
        <f>IF(VLOOKUP($D86,$C$5:$AU$836,3,)=0,0,(VLOOKUP($D86,$C$5:$AU$836,6,)/VLOOKUP($D86,$C$5:$AU$836,3,))*$E86)</f>
        <v>13549675.743672488</v>
      </c>
      <c r="I86" s="65">
        <f>IF(VLOOKUP($D86,$C$5:$AU$836,3,)=0,0,(VLOOKUP($D86,$C$5:$AU$836,7,)/VLOOKUP($D86,$C$5:$AU$836,3,))*$E86)</f>
        <v>1331014.024743011</v>
      </c>
      <c r="J86" s="65">
        <f>IF(VLOOKUP($D86,$C$5:$AU$836,3,)=0,0,(VLOOKUP($D86,$C$5:$AU$836,8,)/VLOOKUP($D86,$C$5:$AU$836,3,))*$E86)</f>
        <v>1366208.0878375222</v>
      </c>
      <c r="K86" s="65">
        <f>IF(VLOOKUP($D86,$C$5:$AU$836,3,)=0,0,(VLOOKUP($D86,$C$5:$AU$836,9,)/VLOOKUP($D86,$C$5:$AU$836,3,))*$E86)</f>
        <v>6384.7603050138769</v>
      </c>
      <c r="L86" s="65">
        <f>IF(VLOOKUP($D86,$C$5:$AU$836,3,)=0,0,(VLOOKUP($D86,$C$5:$AU$836,10,)/VLOOKUP($D86,$C$5:$AU$836,3,))*$E86)</f>
        <v>121805.34742305125</v>
      </c>
      <c r="M86" s="65">
        <f>IF(VLOOKUP($D86,$C$5:$AU$836,3,)=0,0,(VLOOKUP($D86,$C$5:$AU$836,11,)/VLOOKUP($D86,$C$5:$AU$836,3,))*$E86)</f>
        <v>3984179.1837726361</v>
      </c>
      <c r="N86" s="65">
        <f>IF(VLOOKUP($D86,$C$5:$AU$836,3,)=0,0,(VLOOKUP($D86,$C$5:$AU$836,12,)/VLOOKUP($D86,$C$5:$AU$836,3,))*$E86)</f>
        <v>831533.72570484749</v>
      </c>
      <c r="O86" s="65">
        <f>IF(VLOOKUP($D86,$C$5:$AU$836,3,)=0,0,(VLOOKUP($D86,$C$5:$AU$836,13,)/VLOOKUP($D86,$C$5:$AU$836,3,))*$E86)</f>
        <v>0</v>
      </c>
      <c r="P86" s="65">
        <f>IF(VLOOKUP($D86,$C$5:$AU$836,3,)=0,0,(VLOOKUP($D86,$C$5:$AU$836,14,)/VLOOKUP($D86,$C$5:$AU$836,3,))*$E86)</f>
        <v>0</v>
      </c>
      <c r="Q86" s="65">
        <f>IF(VLOOKUP($D86,$C$5:$AU$836,3,)=0,0,(VLOOKUP($D86,$C$5:$AU$836,15,)/VLOOKUP($D86,$C$5:$AU$836,3,))*$E86)</f>
        <v>0</v>
      </c>
      <c r="R86" s="65">
        <f>IF(VLOOKUP($D86,$C$5:$AU$836,3,)=0,0,(VLOOKUP($D86,$C$5:$AU$836,16,)/VLOOKUP($D86,$C$5:$AU$836,3,))*$E86)</f>
        <v>0</v>
      </c>
      <c r="S86" s="65">
        <f>IF(VLOOKUP($D86,$C$5:$AU$836,3,)=0,0,(VLOOKUP($D86,$C$5:$AU$836,17,)/VLOOKUP($D86,$C$5:$AU$836,3,))*$E86)</f>
        <v>0</v>
      </c>
      <c r="T86" s="65">
        <f>IF(VLOOKUP($D86,$C$5:$AU$836,3,)=0,0,(VLOOKUP($D86,$C$5:$AU$836,18,)/VLOOKUP($D86,$C$5:$AU$836,3,))*$E86)</f>
        <v>0</v>
      </c>
      <c r="U86" s="65">
        <f>IF(VLOOKUP($D86,$C$5:$AU$836,3,)=0,0,(VLOOKUP($D86,$C$5:$AU$836,19,)/VLOOKUP($D86,$C$5:$AU$836,3,))*$E86)</f>
        <v>0</v>
      </c>
      <c r="V86" s="65">
        <f>IF(VLOOKUP($D86,$C$5:$AU$836,3,)=0,0,(VLOOKUP($D86,$C$5:$AU$836,20,)/VLOOKUP($D86,$C$5:$AU$836,3,))*$E86)</f>
        <v>0</v>
      </c>
      <c r="W86" s="65">
        <f>IF(VLOOKUP($D86,$C$5:$AU$836,3,)=0,0,(VLOOKUP($D86,$C$5:$AU$836,21,)/VLOOKUP($D86,$C$5:$AU$836,3,))*$E86)</f>
        <v>0</v>
      </c>
      <c r="X86" s="65">
        <f>IF(VLOOKUP($D86,$C$5:$AU$836,3,)=0,0,(VLOOKUP($D86,$C$5:$AU$836,22,)/VLOOKUP($D86,$C$5:$AU$836,3,))*$E86)</f>
        <v>0</v>
      </c>
      <c r="Y86" s="65">
        <f>IF(VLOOKUP($D86,$C$5:$AU$836,3,)=0,0,(VLOOKUP($D86,$C$5:$AU$836,23,)/VLOOKUP($D86,$C$5:$AU$836,3,))*$E86)</f>
        <v>0</v>
      </c>
      <c r="Z86" s="65">
        <f>IF(VLOOKUP($D86,$C$5:$AU$836,3,)=0,0,(VLOOKUP($D86,$C$5:$AU$836,24,)/VLOOKUP($D86,$C$5:$AU$836,3,))*$E86)</f>
        <v>0</v>
      </c>
      <c r="AA86" s="65">
        <f>IF(VLOOKUP($D86,$C$5:$AU$836,3,)=0,0,(VLOOKUP($D86,$C$5:$AU$836,25,)/VLOOKUP($D86,$C$5:$AU$836,3,))*$E86)</f>
        <v>0</v>
      </c>
      <c r="AB86" s="65">
        <f>IF(VLOOKUP($D86,$C$5:$AU$836,3,)=0,0,(VLOOKUP($D86,$C$5:$AU$836,26,)/VLOOKUP($D86,$C$5:$AU$836,3,))*$E86)</f>
        <v>0</v>
      </c>
      <c r="AC86" s="65">
        <f>IF(VLOOKUP($D86,$C$5:$AU$836,3,)=0,0,(VLOOKUP($D86,$C$5:$AU$836,27,)/VLOOKUP($D86,$C$5:$AU$836,3,))*$E86)</f>
        <v>0</v>
      </c>
      <c r="AD86" s="65">
        <f>IF(VLOOKUP($D86,$C$5:$AU$836,3,)=0,0,(VLOOKUP($D86,$C$5:$AU$836,28,)/VLOOKUP($D86,$C$5:$AU$836,3,))*$E86)</f>
        <v>0</v>
      </c>
      <c r="AE86" s="65">
        <f>IF(VLOOKUP($D86,$C$5:$AU$836,3,)=0,0,(VLOOKUP($D86,$C$5:$AU$836,29,)/VLOOKUP($D86,$C$5:$AU$836,3,))*$E86)</f>
        <v>0</v>
      </c>
      <c r="AF86" s="65">
        <f>IF(VLOOKUP($D86,$C$5:$AU$836,3,)=0,0,(VLOOKUP($D86,$C$5:$AU$836,30,)/VLOOKUP($D86,$C$5:$AU$836,3,))*$E86)</f>
        <v>0</v>
      </c>
      <c r="AG86" s="16">
        <f>SUM(F86:AF86)</f>
        <v>70404328.414539531</v>
      </c>
      <c r="AH86" s="14" t="str">
        <f>IF(ABS(E86-AG86)&lt;0.01,"ok","err")</f>
        <v>ok</v>
      </c>
    </row>
    <row r="87" spans="1:34" x14ac:dyDescent="0.25">
      <c r="A87" s="12" t="s">
        <v>223</v>
      </c>
      <c r="C87" s="2" t="s">
        <v>796</v>
      </c>
      <c r="D87" s="9" t="s">
        <v>759</v>
      </c>
      <c r="E87" s="65">
        <f>'Functional Assignment'!W131</f>
        <v>34663640.392099164</v>
      </c>
      <c r="F87" s="65">
        <f>IF(VLOOKUP($D87,$C$5:$AU$836,3,)=0,0,(VLOOKUP($D87,$C$5:$AU$836,4,)/VLOOKUP($D87,$C$5:$AU$836,3,))*$E87)</f>
        <v>31780229.812981311</v>
      </c>
      <c r="G87" s="65">
        <f>IF(VLOOKUP($D87,$C$5:$AU$836,3,)=0,0,(VLOOKUP($D87,$C$5:$AU$836,5,)/VLOOKUP($D87,$C$5:$AU$836,3,))*$E87)</f>
        <v>2279605.1507231137</v>
      </c>
      <c r="H87" s="65">
        <f>IF(VLOOKUP($D87,$C$5:$AU$836,3,)=0,0,(VLOOKUP($D87,$C$5:$AU$836,6,)/VLOOKUP($D87,$C$5:$AU$836,3,))*$E87)</f>
        <v>222731.60162557106</v>
      </c>
      <c r="I87" s="65">
        <f>IF(VLOOKUP($D87,$C$5:$AU$836,3,)=0,0,(VLOOKUP($D87,$C$5:$AU$836,7,)/VLOOKUP($D87,$C$5:$AU$836,3,))*$E87)</f>
        <v>83964.283231310095</v>
      </c>
      <c r="J87" s="65">
        <f>IF(VLOOKUP($D87,$C$5:$AU$836,3,)=0,0,(VLOOKUP($D87,$C$5:$AU$836,8,)/VLOOKUP($D87,$C$5:$AU$836,3,))*$E87)</f>
        <v>8547.2623648639001</v>
      </c>
      <c r="K87" s="65">
        <f>IF(VLOOKUP($D87,$C$5:$AU$836,3,)=0,0,(VLOOKUP($D87,$C$5:$AU$836,9,)/VLOOKUP($D87,$C$5:$AU$836,3,))*$E87)</f>
        <v>502.7801391096412</v>
      </c>
      <c r="L87" s="65">
        <f>IF(VLOOKUP($D87,$C$5:$AU$836,3,)=0,0,(VLOOKUP($D87,$C$5:$AU$836,10,)/VLOOKUP($D87,$C$5:$AU$836,3,))*$E87)</f>
        <v>1005.5602782192824</v>
      </c>
      <c r="M87" s="65">
        <f>IF(VLOOKUP($D87,$C$5:$AU$836,3,)=0,0,(VLOOKUP($D87,$C$5:$AU$836,11,)/VLOOKUP($D87,$C$5:$AU$836,3,))*$E87)</f>
        <v>4022.2411128771296</v>
      </c>
      <c r="N87" s="65">
        <f>IF(VLOOKUP($D87,$C$5:$AU$836,3,)=0,0,(VLOOKUP($D87,$C$5:$AU$836,12,)/VLOOKUP($D87,$C$5:$AU$836,3,))*$E87)</f>
        <v>283031.69964278734</v>
      </c>
      <c r="O87" s="65">
        <f>IF(VLOOKUP($D87,$C$5:$AU$836,3,)=0,0,(VLOOKUP($D87,$C$5:$AU$836,13,)/VLOOKUP($D87,$C$5:$AU$836,3,))*$E87)</f>
        <v>0</v>
      </c>
      <c r="P87" s="65">
        <f>IF(VLOOKUP($D87,$C$5:$AU$836,3,)=0,0,(VLOOKUP($D87,$C$5:$AU$836,14,)/VLOOKUP($D87,$C$5:$AU$836,3,))*$E87)</f>
        <v>0</v>
      </c>
      <c r="Q87" s="65">
        <f>IF(VLOOKUP($D87,$C$5:$AU$836,3,)=0,0,(VLOOKUP($D87,$C$5:$AU$836,15,)/VLOOKUP($D87,$C$5:$AU$836,3,))*$E87)</f>
        <v>0</v>
      </c>
      <c r="R87" s="65">
        <f>IF(VLOOKUP($D87,$C$5:$AU$836,3,)=0,0,(VLOOKUP($D87,$C$5:$AU$836,16,)/VLOOKUP($D87,$C$5:$AU$836,3,))*$E87)</f>
        <v>0</v>
      </c>
      <c r="S87" s="65">
        <f>IF(VLOOKUP($D87,$C$5:$AU$836,3,)=0,0,(VLOOKUP($D87,$C$5:$AU$836,17,)/VLOOKUP($D87,$C$5:$AU$836,3,))*$E87)</f>
        <v>0</v>
      </c>
      <c r="T87" s="65">
        <f>IF(VLOOKUP($D87,$C$5:$AU$836,3,)=0,0,(VLOOKUP($D87,$C$5:$AU$836,18,)/VLOOKUP($D87,$C$5:$AU$836,3,))*$E87)</f>
        <v>0</v>
      </c>
      <c r="U87" s="65">
        <f>IF(VLOOKUP($D87,$C$5:$AU$836,3,)=0,0,(VLOOKUP($D87,$C$5:$AU$836,19,)/VLOOKUP($D87,$C$5:$AU$836,3,))*$E87)</f>
        <v>0</v>
      </c>
      <c r="V87" s="65">
        <f>IF(VLOOKUP($D87,$C$5:$AU$836,3,)=0,0,(VLOOKUP($D87,$C$5:$AU$836,20,)/VLOOKUP($D87,$C$5:$AU$836,3,))*$E87)</f>
        <v>0</v>
      </c>
      <c r="W87" s="65">
        <f>IF(VLOOKUP($D87,$C$5:$AU$836,3,)=0,0,(VLOOKUP($D87,$C$5:$AU$836,21,)/VLOOKUP($D87,$C$5:$AU$836,3,))*$E87)</f>
        <v>0</v>
      </c>
      <c r="X87" s="65">
        <f>IF(VLOOKUP($D87,$C$5:$AU$836,3,)=0,0,(VLOOKUP($D87,$C$5:$AU$836,22,)/VLOOKUP($D87,$C$5:$AU$836,3,))*$E87)</f>
        <v>0</v>
      </c>
      <c r="Y87" s="65">
        <f>IF(VLOOKUP($D87,$C$5:$AU$836,3,)=0,0,(VLOOKUP($D87,$C$5:$AU$836,23,)/VLOOKUP($D87,$C$5:$AU$836,3,))*$E87)</f>
        <v>0</v>
      </c>
      <c r="Z87" s="65">
        <f>IF(VLOOKUP($D87,$C$5:$AU$836,3,)=0,0,(VLOOKUP($D87,$C$5:$AU$836,24,)/VLOOKUP($D87,$C$5:$AU$836,3,))*$E87)</f>
        <v>0</v>
      </c>
      <c r="AA87" s="65">
        <f>IF(VLOOKUP($D87,$C$5:$AU$836,3,)=0,0,(VLOOKUP($D87,$C$5:$AU$836,25,)/VLOOKUP($D87,$C$5:$AU$836,3,))*$E87)</f>
        <v>0</v>
      </c>
      <c r="AB87" s="65">
        <f>IF(VLOOKUP($D87,$C$5:$AU$836,3,)=0,0,(VLOOKUP($D87,$C$5:$AU$836,26,)/VLOOKUP($D87,$C$5:$AU$836,3,))*$E87)</f>
        <v>0</v>
      </c>
      <c r="AC87" s="65">
        <f>IF(VLOOKUP($D87,$C$5:$AU$836,3,)=0,0,(VLOOKUP($D87,$C$5:$AU$836,27,)/VLOOKUP($D87,$C$5:$AU$836,3,))*$E87)</f>
        <v>0</v>
      </c>
      <c r="AD87" s="65">
        <f>IF(VLOOKUP($D87,$C$5:$AU$836,3,)=0,0,(VLOOKUP($D87,$C$5:$AU$836,28,)/VLOOKUP($D87,$C$5:$AU$836,3,))*$E87)</f>
        <v>0</v>
      </c>
      <c r="AE87" s="65">
        <f>IF(VLOOKUP($D87,$C$5:$AU$836,3,)=0,0,(VLOOKUP($D87,$C$5:$AU$836,29,)/VLOOKUP($D87,$C$5:$AU$836,3,))*$E87)</f>
        <v>0</v>
      </c>
      <c r="AF87" s="65">
        <f>IF(VLOOKUP($D87,$C$5:$AU$836,3,)=0,0,(VLOOKUP($D87,$C$5:$AU$836,30,)/VLOOKUP($D87,$C$5:$AU$836,3,))*$E87)</f>
        <v>0</v>
      </c>
      <c r="AG87" s="16">
        <f>SUM(F87:AF87)</f>
        <v>34663640.392099164</v>
      </c>
      <c r="AH87" s="14" t="str">
        <f>IF(ABS(E87-AG87)&lt;0.01,"ok","err")</f>
        <v>ok</v>
      </c>
    </row>
    <row r="88" spans="1:34" x14ac:dyDescent="0.25">
      <c r="A88" s="2" t="s">
        <v>224</v>
      </c>
      <c r="E88" s="65">
        <f t="shared" ref="E88:N88" si="57">E86+E87</f>
        <v>105067968.80663869</v>
      </c>
      <c r="F88" s="65">
        <f t="shared" si="57"/>
        <v>77080347.147895262</v>
      </c>
      <c r="G88" s="65">
        <f t="shared" si="57"/>
        <v>6193015.3568901084</v>
      </c>
      <c r="H88" s="65">
        <f t="shared" si="57"/>
        <v>13772407.345298059</v>
      </c>
      <c r="I88" s="65">
        <f t="shared" si="57"/>
        <v>1414978.3079743211</v>
      </c>
      <c r="J88" s="65">
        <f t="shared" si="57"/>
        <v>1374755.350202386</v>
      </c>
      <c r="K88" s="65">
        <f t="shared" si="57"/>
        <v>6887.5404441235178</v>
      </c>
      <c r="L88" s="65">
        <f t="shared" si="57"/>
        <v>122810.90770127054</v>
      </c>
      <c r="M88" s="65">
        <f t="shared" si="57"/>
        <v>3988201.4248855133</v>
      </c>
      <c r="N88" s="65">
        <f t="shared" si="57"/>
        <v>1114565.4253476348</v>
      </c>
      <c r="O88" s="65">
        <f t="shared" ref="O88:T88" si="58">O86+O87</f>
        <v>0</v>
      </c>
      <c r="P88" s="65">
        <f t="shared" si="58"/>
        <v>0</v>
      </c>
      <c r="Q88" s="65">
        <f t="shared" si="58"/>
        <v>0</v>
      </c>
      <c r="R88" s="65">
        <f t="shared" si="58"/>
        <v>0</v>
      </c>
      <c r="S88" s="65">
        <f t="shared" si="58"/>
        <v>0</v>
      </c>
      <c r="T88" s="65">
        <f t="shared" si="58"/>
        <v>0</v>
      </c>
      <c r="U88" s="65">
        <f t="shared" ref="U88:AF88" si="59">U86+U87</f>
        <v>0</v>
      </c>
      <c r="V88" s="65">
        <f t="shared" si="59"/>
        <v>0</v>
      </c>
      <c r="W88" s="65">
        <f t="shared" si="59"/>
        <v>0</v>
      </c>
      <c r="X88" s="65">
        <f t="shared" si="59"/>
        <v>0</v>
      </c>
      <c r="Y88" s="65">
        <f t="shared" si="59"/>
        <v>0</v>
      </c>
      <c r="Z88" s="65">
        <f t="shared" si="59"/>
        <v>0</v>
      </c>
      <c r="AA88" s="65">
        <f t="shared" si="59"/>
        <v>0</v>
      </c>
      <c r="AB88" s="65">
        <f t="shared" si="59"/>
        <v>0</v>
      </c>
      <c r="AC88" s="65">
        <f t="shared" si="59"/>
        <v>0</v>
      </c>
      <c r="AD88" s="65">
        <f t="shared" si="59"/>
        <v>0</v>
      </c>
      <c r="AE88" s="65">
        <f t="shared" si="59"/>
        <v>0</v>
      </c>
      <c r="AF88" s="65">
        <f t="shared" si="59"/>
        <v>0</v>
      </c>
      <c r="AG88" s="16">
        <f>SUM(F88:AF88)</f>
        <v>105067968.80663869</v>
      </c>
      <c r="AH88" s="14" t="str">
        <f>IF(ABS(E88-AG88)&lt;0.01,"ok","err")</f>
        <v>ok</v>
      </c>
    </row>
    <row r="89" spans="1:34" x14ac:dyDescent="0.25"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16"/>
      <c r="AH89" s="14"/>
    </row>
    <row r="90" spans="1:34" x14ac:dyDescent="0.25">
      <c r="A90" s="7" t="s">
        <v>734</v>
      </c>
      <c r="E90" s="31"/>
    </row>
    <row r="91" spans="1:34" x14ac:dyDescent="0.25">
      <c r="A91" s="12" t="s">
        <v>214</v>
      </c>
      <c r="C91" s="2" t="s">
        <v>795</v>
      </c>
      <c r="D91" s="9" t="s">
        <v>753</v>
      </c>
      <c r="E91" s="65">
        <f>'Functional Assignment'!Y131</f>
        <v>7822703.1571710566</v>
      </c>
      <c r="F91" s="65">
        <f>IF(VLOOKUP($D91,$C$5:$AU$836,3,)=0,0,(VLOOKUP($D91,$C$5:$AU$836,4,)/VLOOKUP($D91,$C$5:$AU$836,3,))*$E91)</f>
        <v>5121810.9460931337</v>
      </c>
      <c r="G91" s="65">
        <f>IF(VLOOKUP($D91,$C$5:$AU$836,3,)=0,0,(VLOOKUP($D91,$C$5:$AU$836,5,)/VLOOKUP($D91,$C$5:$AU$836,3,))*$E91)</f>
        <v>1056196.2529874041</v>
      </c>
      <c r="H91" s="65">
        <f>IF(VLOOKUP($D91,$C$5:$AU$836,3,)=0,0,(VLOOKUP($D91,$C$5:$AU$836,6,)/VLOOKUP($D91,$C$5:$AU$836,3,))*$E91)</f>
        <v>1093339.1895329126</v>
      </c>
      <c r="I91" s="65">
        <f>IF(VLOOKUP($D91,$C$5:$AU$836,3,)=0,0,(VLOOKUP($D91,$C$5:$AU$836,7,)/VLOOKUP($D91,$C$5:$AU$836,3,))*$E91)</f>
        <v>376260.26140765415</v>
      </c>
      <c r="J91" s="65">
        <f>IF(VLOOKUP($D91,$C$5:$AU$836,3,)=0,0,(VLOOKUP($D91,$C$5:$AU$836,8,)/VLOOKUP($D91,$C$5:$AU$836,3,))*$E91)</f>
        <v>138816.7807510015</v>
      </c>
      <c r="K91" s="65">
        <f>IF(VLOOKUP($D91,$C$5:$AU$836,3,)=0,0,(VLOOKUP($D91,$C$5:$AU$836,9,)/VLOOKUP($D91,$C$5:$AU$836,3,))*$E91)</f>
        <v>0</v>
      </c>
      <c r="L91" s="65">
        <f>IF(VLOOKUP($D91,$C$5:$AU$836,3,)=0,0,(VLOOKUP($D91,$C$5:$AU$836,10,)/VLOOKUP($D91,$C$5:$AU$836,3,))*$E91)</f>
        <v>0</v>
      </c>
      <c r="M91" s="65">
        <f>IF(VLOOKUP($D91,$C$5:$AU$836,3,)=0,0,(VLOOKUP($D91,$C$5:$AU$836,11,)/VLOOKUP($D91,$C$5:$AU$836,3,))*$E91)</f>
        <v>0</v>
      </c>
      <c r="N91" s="65">
        <f>IF(VLOOKUP($D91,$C$5:$AU$836,3,)=0,0,(VLOOKUP($D91,$C$5:$AU$836,12,)/VLOOKUP($D91,$C$5:$AU$836,3,))*$E91)</f>
        <v>36279.726398949846</v>
      </c>
      <c r="O91" s="65">
        <f>IF(VLOOKUP($D91,$C$5:$AU$836,3,)=0,0,(VLOOKUP($D91,$C$5:$AU$836,13,)/VLOOKUP($D91,$C$5:$AU$836,3,))*$E91)</f>
        <v>0</v>
      </c>
      <c r="P91" s="65">
        <f>IF(VLOOKUP($D91,$C$5:$AU$836,3,)=0,0,(VLOOKUP($D91,$C$5:$AU$836,14,)/VLOOKUP($D91,$C$5:$AU$836,3,))*$E91)</f>
        <v>0</v>
      </c>
      <c r="Q91" s="65">
        <f>IF(VLOOKUP($D91,$C$5:$AU$836,3,)=0,0,(VLOOKUP($D91,$C$5:$AU$836,15,)/VLOOKUP($D91,$C$5:$AU$836,3,))*$E91)</f>
        <v>0</v>
      </c>
      <c r="R91" s="65">
        <f>IF(VLOOKUP($D91,$C$5:$AU$836,3,)=0,0,(VLOOKUP($D91,$C$5:$AU$836,16,)/VLOOKUP($D91,$C$5:$AU$836,3,))*$E91)</f>
        <v>0</v>
      </c>
      <c r="S91" s="65">
        <f>IF(VLOOKUP($D91,$C$5:$AU$836,3,)=0,0,(VLOOKUP($D91,$C$5:$AU$836,17,)/VLOOKUP($D91,$C$5:$AU$836,3,))*$E91)</f>
        <v>0</v>
      </c>
      <c r="T91" s="65">
        <f>IF(VLOOKUP($D91,$C$5:$AU$836,3,)=0,0,(VLOOKUP($D91,$C$5:$AU$836,18,)/VLOOKUP($D91,$C$5:$AU$836,3,))*$E91)</f>
        <v>0</v>
      </c>
      <c r="U91" s="65">
        <f>IF(VLOOKUP($D91,$C$5:$AU$836,3,)=0,0,(VLOOKUP($D91,$C$5:$AU$836,19,)/VLOOKUP($D91,$C$5:$AU$836,3,))*$E91)</f>
        <v>0</v>
      </c>
      <c r="V91" s="65">
        <f>IF(VLOOKUP($D91,$C$5:$AU$836,3,)=0,0,(VLOOKUP($D91,$C$5:$AU$836,20,)/VLOOKUP($D91,$C$5:$AU$836,3,))*$E91)</f>
        <v>0</v>
      </c>
      <c r="W91" s="65">
        <f>IF(VLOOKUP($D91,$C$5:$AU$836,3,)=0,0,(VLOOKUP($D91,$C$5:$AU$836,21,)/VLOOKUP($D91,$C$5:$AU$836,3,))*$E91)</f>
        <v>0</v>
      </c>
      <c r="X91" s="65">
        <f>IF(VLOOKUP($D91,$C$5:$AU$836,3,)=0,0,(VLOOKUP($D91,$C$5:$AU$836,22,)/VLOOKUP($D91,$C$5:$AU$836,3,))*$E91)</f>
        <v>0</v>
      </c>
      <c r="Y91" s="65">
        <f>IF(VLOOKUP($D91,$C$5:$AU$836,3,)=0,0,(VLOOKUP($D91,$C$5:$AU$836,23,)/VLOOKUP($D91,$C$5:$AU$836,3,))*$E91)</f>
        <v>0</v>
      </c>
      <c r="Z91" s="65">
        <f>IF(VLOOKUP($D91,$C$5:$AU$836,3,)=0,0,(VLOOKUP($D91,$C$5:$AU$836,24,)/VLOOKUP($D91,$C$5:$AU$836,3,))*$E91)</f>
        <v>0</v>
      </c>
      <c r="AA91" s="65">
        <f>IF(VLOOKUP($D91,$C$5:$AU$836,3,)=0,0,(VLOOKUP($D91,$C$5:$AU$836,25,)/VLOOKUP($D91,$C$5:$AU$836,3,))*$E91)</f>
        <v>0</v>
      </c>
      <c r="AB91" s="65">
        <f>IF(VLOOKUP($D91,$C$5:$AU$836,3,)=0,0,(VLOOKUP($D91,$C$5:$AU$836,26,)/VLOOKUP($D91,$C$5:$AU$836,3,))*$E91)</f>
        <v>0</v>
      </c>
      <c r="AC91" s="65">
        <f>IF(VLOOKUP($D91,$C$5:$AU$836,3,)=0,0,(VLOOKUP($D91,$C$5:$AU$836,27,)/VLOOKUP($D91,$C$5:$AU$836,3,))*$E91)</f>
        <v>0</v>
      </c>
      <c r="AD91" s="65">
        <f>IF(VLOOKUP($D91,$C$5:$AU$836,3,)=0,0,(VLOOKUP($D91,$C$5:$AU$836,28,)/VLOOKUP($D91,$C$5:$AU$836,3,))*$E91)</f>
        <v>0</v>
      </c>
      <c r="AE91" s="65">
        <f>IF(VLOOKUP($D91,$C$5:$AU$836,3,)=0,0,(VLOOKUP($D91,$C$5:$AU$836,29,)/VLOOKUP($D91,$C$5:$AU$836,3,))*$E91)</f>
        <v>0</v>
      </c>
      <c r="AF91" s="65">
        <f>IF(VLOOKUP($D91,$C$5:$AU$836,3,)=0,0,(VLOOKUP($D91,$C$5:$AU$836,30,)/VLOOKUP($D91,$C$5:$AU$836,3,))*$E91)</f>
        <v>0</v>
      </c>
      <c r="AG91" s="16">
        <f>SUM(F91:AF91)</f>
        <v>7822703.1571710547</v>
      </c>
      <c r="AH91" s="14" t="str">
        <f>IF(ABS(E91-AG91)&lt;0.01,"ok","err")</f>
        <v>ok</v>
      </c>
    </row>
    <row r="92" spans="1:34" x14ac:dyDescent="0.25">
      <c r="A92" s="12" t="s">
        <v>223</v>
      </c>
      <c r="C92" s="2" t="s">
        <v>798</v>
      </c>
      <c r="D92" s="9" t="s">
        <v>760</v>
      </c>
      <c r="E92" s="65">
        <f>'Functional Assignment'!Z131</f>
        <v>3851515.5991221294</v>
      </c>
      <c r="F92" s="65">
        <f>IF(VLOOKUP($D92,$C$5:$AU$836,3,)=0,0,(VLOOKUP($D92,$C$5:$AU$836,4,)/VLOOKUP($D92,$C$5:$AU$836,3,))*$E92)</f>
        <v>3531728.8765296228</v>
      </c>
      <c r="G92" s="65">
        <f>IF(VLOOKUP($D92,$C$5:$AU$836,3,)=0,0,(VLOOKUP($D92,$C$5:$AU$836,5,)/VLOOKUP($D92,$C$5:$AU$836,3,))*$E92)</f>
        <v>253331.94206814392</v>
      </c>
      <c r="H92" s="65">
        <f>IF(VLOOKUP($D92,$C$5:$AU$836,3,)=0,0,(VLOOKUP($D92,$C$5:$AU$836,6,)/VLOOKUP($D92,$C$5:$AU$836,3,))*$E92)</f>
        <v>24752.106382044058</v>
      </c>
      <c r="I92" s="65">
        <f>IF(VLOOKUP($D92,$C$5:$AU$836,3,)=0,0,(VLOOKUP($D92,$C$5:$AU$836,7,)/VLOOKUP($D92,$C$5:$AU$836,3,))*$E92)</f>
        <v>9330.9294939082574</v>
      </c>
      <c r="J92" s="65">
        <f>IF(VLOOKUP($D92,$C$5:$AU$836,3,)=0,0,(VLOOKUP($D92,$C$5:$AU$836,8,)/VLOOKUP($D92,$C$5:$AU$836,3,))*$E92)</f>
        <v>949.85509818227763</v>
      </c>
      <c r="K92" s="65">
        <f>IF(VLOOKUP($D92,$C$5:$AU$836,3,)=0,0,(VLOOKUP($D92,$C$5:$AU$836,9,)/VLOOKUP($D92,$C$5:$AU$836,3,))*$E92)</f>
        <v>0</v>
      </c>
      <c r="L92" s="65">
        <f>IF(VLOOKUP($D92,$C$5:$AU$836,3,)=0,0,(VLOOKUP($D92,$C$5:$AU$836,10,)/VLOOKUP($D92,$C$5:$AU$836,3,))*$E92)</f>
        <v>0</v>
      </c>
      <c r="M92" s="65">
        <f>IF(VLOOKUP($D92,$C$5:$AU$836,3,)=0,0,(VLOOKUP($D92,$C$5:$AU$836,11,)/VLOOKUP($D92,$C$5:$AU$836,3,))*$E92)</f>
        <v>0</v>
      </c>
      <c r="N92" s="65">
        <f>IF(VLOOKUP($D92,$C$5:$AU$836,3,)=0,0,(VLOOKUP($D92,$C$5:$AU$836,12,)/VLOOKUP($D92,$C$5:$AU$836,3,))*$E92)</f>
        <v>31421.889550227916</v>
      </c>
      <c r="O92" s="65">
        <f>IF(VLOOKUP($D92,$C$5:$AU$836,3,)=0,0,(VLOOKUP($D92,$C$5:$AU$836,13,)/VLOOKUP($D92,$C$5:$AU$836,3,))*$E92)</f>
        <v>0</v>
      </c>
      <c r="P92" s="65">
        <f>IF(VLOOKUP($D92,$C$5:$AU$836,3,)=0,0,(VLOOKUP($D92,$C$5:$AU$836,14,)/VLOOKUP($D92,$C$5:$AU$836,3,))*$E92)</f>
        <v>0</v>
      </c>
      <c r="Q92" s="65">
        <f>IF(VLOOKUP($D92,$C$5:$AU$836,3,)=0,0,(VLOOKUP($D92,$C$5:$AU$836,15,)/VLOOKUP($D92,$C$5:$AU$836,3,))*$E92)</f>
        <v>0</v>
      </c>
      <c r="R92" s="65">
        <f>IF(VLOOKUP($D92,$C$5:$AU$836,3,)=0,0,(VLOOKUP($D92,$C$5:$AU$836,16,)/VLOOKUP($D92,$C$5:$AU$836,3,))*$E92)</f>
        <v>0</v>
      </c>
      <c r="S92" s="65">
        <f>IF(VLOOKUP($D92,$C$5:$AU$836,3,)=0,0,(VLOOKUP($D92,$C$5:$AU$836,17,)/VLOOKUP($D92,$C$5:$AU$836,3,))*$E92)</f>
        <v>0</v>
      </c>
      <c r="T92" s="65">
        <f>IF(VLOOKUP($D92,$C$5:$AU$836,3,)=0,0,(VLOOKUP($D92,$C$5:$AU$836,18,)/VLOOKUP($D92,$C$5:$AU$836,3,))*$E92)</f>
        <v>0</v>
      </c>
      <c r="U92" s="65">
        <f>IF(VLOOKUP($D92,$C$5:$AU$836,3,)=0,0,(VLOOKUP($D92,$C$5:$AU$836,19,)/VLOOKUP($D92,$C$5:$AU$836,3,))*$E92)</f>
        <v>0</v>
      </c>
      <c r="V92" s="65">
        <f>IF(VLOOKUP($D92,$C$5:$AU$836,3,)=0,0,(VLOOKUP($D92,$C$5:$AU$836,20,)/VLOOKUP($D92,$C$5:$AU$836,3,))*$E92)</f>
        <v>0</v>
      </c>
      <c r="W92" s="65">
        <f>IF(VLOOKUP($D92,$C$5:$AU$836,3,)=0,0,(VLOOKUP($D92,$C$5:$AU$836,21,)/VLOOKUP($D92,$C$5:$AU$836,3,))*$E92)</f>
        <v>0</v>
      </c>
      <c r="X92" s="65">
        <f>IF(VLOOKUP($D92,$C$5:$AU$836,3,)=0,0,(VLOOKUP($D92,$C$5:$AU$836,22,)/VLOOKUP($D92,$C$5:$AU$836,3,))*$E92)</f>
        <v>0</v>
      </c>
      <c r="Y92" s="65">
        <f>IF(VLOOKUP($D92,$C$5:$AU$836,3,)=0,0,(VLOOKUP($D92,$C$5:$AU$836,23,)/VLOOKUP($D92,$C$5:$AU$836,3,))*$E92)</f>
        <v>0</v>
      </c>
      <c r="Z92" s="65">
        <f>IF(VLOOKUP($D92,$C$5:$AU$836,3,)=0,0,(VLOOKUP($D92,$C$5:$AU$836,24,)/VLOOKUP($D92,$C$5:$AU$836,3,))*$E92)</f>
        <v>0</v>
      </c>
      <c r="AA92" s="65">
        <f>IF(VLOOKUP($D92,$C$5:$AU$836,3,)=0,0,(VLOOKUP($D92,$C$5:$AU$836,25,)/VLOOKUP($D92,$C$5:$AU$836,3,))*$E92)</f>
        <v>0</v>
      </c>
      <c r="AB92" s="65">
        <f>IF(VLOOKUP($D92,$C$5:$AU$836,3,)=0,0,(VLOOKUP($D92,$C$5:$AU$836,26,)/VLOOKUP($D92,$C$5:$AU$836,3,))*$E92)</f>
        <v>0</v>
      </c>
      <c r="AC92" s="65">
        <f>IF(VLOOKUP($D92,$C$5:$AU$836,3,)=0,0,(VLOOKUP($D92,$C$5:$AU$836,27,)/VLOOKUP($D92,$C$5:$AU$836,3,))*$E92)</f>
        <v>0</v>
      </c>
      <c r="AD92" s="65">
        <f>IF(VLOOKUP($D92,$C$5:$AU$836,3,)=0,0,(VLOOKUP($D92,$C$5:$AU$836,28,)/VLOOKUP($D92,$C$5:$AU$836,3,))*$E92)</f>
        <v>0</v>
      </c>
      <c r="AE92" s="65">
        <f>IF(VLOOKUP($D92,$C$5:$AU$836,3,)=0,0,(VLOOKUP($D92,$C$5:$AU$836,29,)/VLOOKUP($D92,$C$5:$AU$836,3,))*$E92)</f>
        <v>0</v>
      </c>
      <c r="AF92" s="65">
        <f>IF(VLOOKUP($D92,$C$5:$AU$836,3,)=0,0,(VLOOKUP($D92,$C$5:$AU$836,30,)/VLOOKUP($D92,$C$5:$AU$836,3,))*$E92)</f>
        <v>0</v>
      </c>
      <c r="AG92" s="16">
        <f>SUM(F92:AF92)</f>
        <v>3851515.5991221294</v>
      </c>
      <c r="AH92" s="14" t="str">
        <f>IF(ABS(E92-AG92)&lt;0.01,"ok","err")</f>
        <v>ok</v>
      </c>
    </row>
    <row r="93" spans="1:34" x14ac:dyDescent="0.25">
      <c r="A93" s="2" t="s">
        <v>224</v>
      </c>
      <c r="E93" s="65">
        <f t="shared" ref="E93:N93" si="60">E91+E92</f>
        <v>11674218.756293185</v>
      </c>
      <c r="F93" s="65">
        <f t="shared" si="60"/>
        <v>8653539.8226227574</v>
      </c>
      <c r="G93" s="65">
        <f t="shared" si="60"/>
        <v>1309528.1950555481</v>
      </c>
      <c r="H93" s="65">
        <f t="shared" si="60"/>
        <v>1118091.2959149566</v>
      </c>
      <c r="I93" s="65">
        <f t="shared" si="60"/>
        <v>385591.1909015624</v>
      </c>
      <c r="J93" s="65">
        <f t="shared" si="60"/>
        <v>139766.63584918377</v>
      </c>
      <c r="K93" s="65">
        <f t="shared" si="60"/>
        <v>0</v>
      </c>
      <c r="L93" s="65">
        <f t="shared" si="60"/>
        <v>0</v>
      </c>
      <c r="M93" s="65">
        <f t="shared" si="60"/>
        <v>0</v>
      </c>
      <c r="N93" s="65">
        <f t="shared" si="60"/>
        <v>67701.615949177765</v>
      </c>
      <c r="O93" s="65">
        <f t="shared" ref="O93:AF93" si="61">O91+O92</f>
        <v>0</v>
      </c>
      <c r="P93" s="65">
        <f t="shared" si="61"/>
        <v>0</v>
      </c>
      <c r="Q93" s="65">
        <f t="shared" si="61"/>
        <v>0</v>
      </c>
      <c r="R93" s="65">
        <f t="shared" si="61"/>
        <v>0</v>
      </c>
      <c r="S93" s="65">
        <f t="shared" si="61"/>
        <v>0</v>
      </c>
      <c r="T93" s="65">
        <f t="shared" si="61"/>
        <v>0</v>
      </c>
      <c r="U93" s="65">
        <f t="shared" si="61"/>
        <v>0</v>
      </c>
      <c r="V93" s="65">
        <f t="shared" si="61"/>
        <v>0</v>
      </c>
      <c r="W93" s="65">
        <f t="shared" si="61"/>
        <v>0</v>
      </c>
      <c r="X93" s="65">
        <f t="shared" si="61"/>
        <v>0</v>
      </c>
      <c r="Y93" s="65">
        <f t="shared" si="61"/>
        <v>0</v>
      </c>
      <c r="Z93" s="65">
        <f t="shared" si="61"/>
        <v>0</v>
      </c>
      <c r="AA93" s="65">
        <f t="shared" si="61"/>
        <v>0</v>
      </c>
      <c r="AB93" s="65">
        <f t="shared" si="61"/>
        <v>0</v>
      </c>
      <c r="AC93" s="65">
        <f t="shared" si="61"/>
        <v>0</v>
      </c>
      <c r="AD93" s="65">
        <f t="shared" si="61"/>
        <v>0</v>
      </c>
      <c r="AE93" s="65">
        <f t="shared" si="61"/>
        <v>0</v>
      </c>
      <c r="AF93" s="65">
        <f t="shared" si="61"/>
        <v>0</v>
      </c>
      <c r="AG93" s="16">
        <f>SUM(F93:AF93)</f>
        <v>11674218.756293187</v>
      </c>
      <c r="AH93" s="14" t="str">
        <f>IF(ABS(E93-AG93)&lt;0.01,"ok","err")</f>
        <v>ok</v>
      </c>
    </row>
    <row r="94" spans="1:34" x14ac:dyDescent="0.25">
      <c r="E94" s="31"/>
    </row>
    <row r="95" spans="1:34" x14ac:dyDescent="0.25">
      <c r="A95" s="7" t="s">
        <v>840</v>
      </c>
      <c r="E95" s="31"/>
    </row>
    <row r="96" spans="1:34" x14ac:dyDescent="0.25">
      <c r="A96" s="12" t="s">
        <v>214</v>
      </c>
      <c r="C96" s="2" t="s">
        <v>801</v>
      </c>
      <c r="D96" s="9" t="s">
        <v>848</v>
      </c>
      <c r="E96" s="65">
        <f>'Functional Assignment'!AB131</f>
        <v>15316071.161563881</v>
      </c>
      <c r="F96" s="65">
        <f>IF(VLOOKUP($D96,$C$5:$AU$836,3,)=0,0,(VLOOKUP($D96,$C$5:$AU$836,4,)/VLOOKUP($D96,$C$5:$AU$836,3,))*$E96)</f>
        <v>9916681.0975745935</v>
      </c>
      <c r="G96" s="65">
        <f>IF(VLOOKUP($D96,$C$5:$AU$836,3,)=0,0,(VLOOKUP($D96,$C$5:$AU$836,5,)/VLOOKUP($D96,$C$5:$AU$836,3,))*$E96)</f>
        <v>2044972.2817900446</v>
      </c>
      <c r="H96" s="65">
        <f>IF(VLOOKUP($D96,$C$5:$AU$836,3,)=0,0,(VLOOKUP($D96,$C$5:$AU$836,6,)/VLOOKUP($D96,$C$5:$AU$836,3,))*$E96)</f>
        <v>2116887.2080975492</v>
      </c>
      <c r="I96" s="65">
        <f>IF(VLOOKUP($D96,$C$5:$AU$836,3,)=0,0,(VLOOKUP($D96,$C$5:$AU$836,7,)/VLOOKUP($D96,$C$5:$AU$836,3,))*$E96)</f>
        <v>728502.68417578377</v>
      </c>
      <c r="J96" s="65">
        <f>IF(VLOOKUP($D96,$C$5:$AU$836,3,)=0,0,(VLOOKUP($D96,$C$5:$AU$836,8,)/VLOOKUP($D96,$C$5:$AU$836,3,))*$E96)</f>
        <v>268772.46352672804</v>
      </c>
      <c r="K96" s="65">
        <f>IF(VLOOKUP($D96,$C$5:$AU$836,3,)=0,0,(VLOOKUP($D96,$C$5:$AU$836,9,)/VLOOKUP($D96,$C$5:$AU$836,3,))*$E96)</f>
        <v>0</v>
      </c>
      <c r="L96" s="65">
        <f>IF(VLOOKUP($D96,$C$5:$AU$836,3,)=0,0,(VLOOKUP($D96,$C$5:$AU$836,10,)/VLOOKUP($D96,$C$5:$AU$836,3,))*$E96)</f>
        <v>101057.0754910187</v>
      </c>
      <c r="M96" s="65">
        <f>IF(VLOOKUP($D96,$C$5:$AU$836,3,)=0,0,(VLOOKUP($D96,$C$5:$AU$836,11,)/VLOOKUP($D96,$C$5:$AU$836,3,))*$E96)</f>
        <v>68954.743560631541</v>
      </c>
      <c r="N96" s="65">
        <f>IF(VLOOKUP($D96,$C$5:$AU$836,3,)=0,0,(VLOOKUP($D96,$C$5:$AU$836,12,)/VLOOKUP($D96,$C$5:$AU$836,3,))*$E96)</f>
        <v>70243.607347529352</v>
      </c>
      <c r="O96" s="65">
        <f>IF(VLOOKUP($D96,$C$5:$AU$836,3,)=0,0,(VLOOKUP($D96,$C$5:$AU$836,13,)/VLOOKUP($D96,$C$5:$AU$836,3,))*$E96)</f>
        <v>0</v>
      </c>
      <c r="P96" s="65">
        <f>IF(VLOOKUP($D96,$C$5:$AU$836,3,)=0,0,(VLOOKUP($D96,$C$5:$AU$836,14,)/VLOOKUP($D96,$C$5:$AU$836,3,))*$E96)</f>
        <v>0</v>
      </c>
      <c r="Q96" s="65">
        <f>IF(VLOOKUP($D96,$C$5:$AU$836,3,)=0,0,(VLOOKUP($D96,$C$5:$AU$836,15,)/VLOOKUP($D96,$C$5:$AU$836,3,))*$E96)</f>
        <v>0</v>
      </c>
      <c r="R96" s="65">
        <f>IF(VLOOKUP($D96,$C$5:$AU$836,3,)=0,0,(VLOOKUP($D96,$C$5:$AU$836,16,)/VLOOKUP($D96,$C$5:$AU$836,3,))*$E96)</f>
        <v>0</v>
      </c>
      <c r="S96" s="65">
        <f>IF(VLOOKUP($D96,$C$5:$AU$836,3,)=0,0,(VLOOKUP($D96,$C$5:$AU$836,17,)/VLOOKUP($D96,$C$5:$AU$836,3,))*$E96)</f>
        <v>0</v>
      </c>
      <c r="T96" s="65">
        <f>IF(VLOOKUP($D96,$C$5:$AU$836,3,)=0,0,(VLOOKUP($D96,$C$5:$AU$836,18,)/VLOOKUP($D96,$C$5:$AU$836,3,))*$E96)</f>
        <v>0</v>
      </c>
      <c r="U96" s="65">
        <f>IF(VLOOKUP($D96,$C$5:$AU$836,3,)=0,0,(VLOOKUP($D96,$C$5:$AU$836,19,)/VLOOKUP($D96,$C$5:$AU$836,3,))*$E96)</f>
        <v>0</v>
      </c>
      <c r="V96" s="65">
        <f>IF(VLOOKUP($D96,$C$5:$AU$836,3,)=0,0,(VLOOKUP($D96,$C$5:$AU$836,20,)/VLOOKUP($D96,$C$5:$AU$836,3,))*$E96)</f>
        <v>0</v>
      </c>
      <c r="W96" s="65">
        <f>IF(VLOOKUP($D96,$C$5:$AU$836,3,)=0,0,(VLOOKUP($D96,$C$5:$AU$836,21,)/VLOOKUP($D96,$C$5:$AU$836,3,))*$E96)</f>
        <v>0</v>
      </c>
      <c r="X96" s="65">
        <f>IF(VLOOKUP($D96,$C$5:$AU$836,3,)=0,0,(VLOOKUP($D96,$C$5:$AU$836,22,)/VLOOKUP($D96,$C$5:$AU$836,3,))*$E96)</f>
        <v>0</v>
      </c>
      <c r="Y96" s="65">
        <f>IF(VLOOKUP($D96,$C$5:$AU$836,3,)=0,0,(VLOOKUP($D96,$C$5:$AU$836,23,)/VLOOKUP($D96,$C$5:$AU$836,3,))*$E96)</f>
        <v>0</v>
      </c>
      <c r="Z96" s="65">
        <f>IF(VLOOKUP($D96,$C$5:$AU$836,3,)=0,0,(VLOOKUP($D96,$C$5:$AU$836,24,)/VLOOKUP($D96,$C$5:$AU$836,3,))*$E96)</f>
        <v>0</v>
      </c>
      <c r="AA96" s="65">
        <f>IF(VLOOKUP($D96,$C$5:$AU$836,3,)=0,0,(VLOOKUP($D96,$C$5:$AU$836,25,)/VLOOKUP($D96,$C$5:$AU$836,3,))*$E96)</f>
        <v>0</v>
      </c>
      <c r="AB96" s="65">
        <f>IF(VLOOKUP($D96,$C$5:$AU$836,3,)=0,0,(VLOOKUP($D96,$C$5:$AU$836,26,)/VLOOKUP($D96,$C$5:$AU$836,3,))*$E96)</f>
        <v>0</v>
      </c>
      <c r="AC96" s="65">
        <f>IF(VLOOKUP($D96,$C$5:$AU$836,3,)=0,0,(VLOOKUP($D96,$C$5:$AU$836,27,)/VLOOKUP($D96,$C$5:$AU$836,3,))*$E96)</f>
        <v>0</v>
      </c>
      <c r="AD96" s="65">
        <f>IF(VLOOKUP($D96,$C$5:$AU$836,3,)=0,0,(VLOOKUP($D96,$C$5:$AU$836,28,)/VLOOKUP($D96,$C$5:$AU$836,3,))*$E96)</f>
        <v>0</v>
      </c>
      <c r="AE96" s="65">
        <f>IF(VLOOKUP($D96,$C$5:$AU$836,3,)=0,0,(VLOOKUP($D96,$C$5:$AU$836,29,)/VLOOKUP($D96,$C$5:$AU$836,3,))*$E96)</f>
        <v>0</v>
      </c>
      <c r="AF96" s="65">
        <f>IF(VLOOKUP($D96,$C$5:$AU$836,3,)=0,0,(VLOOKUP($D96,$C$5:$AU$836,30,)/VLOOKUP($D96,$C$5:$AU$836,3,))*$E96)</f>
        <v>0</v>
      </c>
      <c r="AG96" s="16">
        <f>SUM(F96:AF96)</f>
        <v>15316071.161563877</v>
      </c>
      <c r="AH96" s="14" t="str">
        <f>IF(ABS(E96-AG96)&lt;0.01,"ok","err")</f>
        <v>ok</v>
      </c>
    </row>
    <row r="97" spans="1:34" x14ac:dyDescent="0.25">
      <c r="A97" s="12" t="s">
        <v>223</v>
      </c>
      <c r="C97" s="2" t="s">
        <v>802</v>
      </c>
      <c r="D97" s="9" t="s">
        <v>853</v>
      </c>
      <c r="E97" s="65">
        <f>'Functional Assignment'!AC131</f>
        <v>19950037.891081478</v>
      </c>
      <c r="F97" s="65">
        <f>IF(VLOOKUP($D97,$C$5:$AU$836,3,)=0,0,(VLOOKUP($D97,$C$5:$AU$836,4,)/VLOOKUP($D97,$C$5:$AU$836,3,))*$E97)</f>
        <v>18293610.163191866</v>
      </c>
      <c r="G97" s="65">
        <f>IF(VLOOKUP($D97,$C$5:$AU$836,3,)=0,0,(VLOOKUP($D97,$C$5:$AU$836,5,)/VLOOKUP($D97,$C$5:$AU$836,3,))*$E97)</f>
        <v>1312205.9909176212</v>
      </c>
      <c r="H97" s="65">
        <f>IF(VLOOKUP($D97,$C$5:$AU$836,3,)=0,0,(VLOOKUP($D97,$C$5:$AU$836,6,)/VLOOKUP($D97,$C$5:$AU$836,3,))*$E97)</f>
        <v>128210.68680558143</v>
      </c>
      <c r="I97" s="65">
        <f>IF(VLOOKUP($D97,$C$5:$AU$836,3,)=0,0,(VLOOKUP($D97,$C$5:$AU$836,7,)/VLOOKUP($D97,$C$5:$AU$836,3,))*$E97)</f>
        <v>48332.245364632276</v>
      </c>
      <c r="J97" s="65">
        <f>IF(VLOOKUP($D97,$C$5:$AU$836,3,)=0,0,(VLOOKUP($D97,$C$5:$AU$836,8,)/VLOOKUP($D97,$C$5:$AU$836,3,))*$E97)</f>
        <v>4920.0489293338242</v>
      </c>
      <c r="K97" s="65">
        <f>IF(VLOOKUP($D97,$C$5:$AU$836,3,)=0,0,(VLOOKUP($D97,$C$5:$AU$836,9,)/VLOOKUP($D97,$C$5:$AU$836,3,))*$E97)</f>
        <v>0</v>
      </c>
      <c r="L97" s="65">
        <f>IF(VLOOKUP($D97,$C$5:$AU$836,3,)=0,0,(VLOOKUP($D97,$C$5:$AU$836,10,)/VLOOKUP($D97,$C$5:$AU$836,3,))*$E97)</f>
        <v>0</v>
      </c>
      <c r="M97" s="65">
        <f>IF(VLOOKUP($D97,$C$5:$AU$836,3,)=0,0,(VLOOKUP($D97,$C$5:$AU$836,11,)/VLOOKUP($D97,$C$5:$AU$836,3,))*$E97)</f>
        <v>0</v>
      </c>
      <c r="N97" s="65">
        <f>IF(VLOOKUP($D97,$C$5:$AU$836,3,)=0,0,(VLOOKUP($D97,$C$5:$AU$836,12,)/VLOOKUP($D97,$C$5:$AU$836,3,))*$E97)</f>
        <v>162758.75587244282</v>
      </c>
      <c r="O97" s="65">
        <f>IF(VLOOKUP($D97,$C$5:$AU$836,3,)=0,0,(VLOOKUP($D97,$C$5:$AU$836,13,)/VLOOKUP($D97,$C$5:$AU$836,3,))*$E97)</f>
        <v>0</v>
      </c>
      <c r="P97" s="65">
        <f>IF(VLOOKUP($D97,$C$5:$AU$836,3,)=0,0,(VLOOKUP($D97,$C$5:$AU$836,14,)/VLOOKUP($D97,$C$5:$AU$836,3,))*$E97)</f>
        <v>0</v>
      </c>
      <c r="Q97" s="65">
        <f>IF(VLOOKUP($D97,$C$5:$AU$836,3,)=0,0,(VLOOKUP($D97,$C$5:$AU$836,15,)/VLOOKUP($D97,$C$5:$AU$836,3,))*$E97)</f>
        <v>0</v>
      </c>
      <c r="R97" s="65">
        <f>IF(VLOOKUP($D97,$C$5:$AU$836,3,)=0,0,(VLOOKUP($D97,$C$5:$AU$836,16,)/VLOOKUP($D97,$C$5:$AU$836,3,))*$E97)</f>
        <v>0</v>
      </c>
      <c r="S97" s="65">
        <f>IF(VLOOKUP($D97,$C$5:$AU$836,3,)=0,0,(VLOOKUP($D97,$C$5:$AU$836,17,)/VLOOKUP($D97,$C$5:$AU$836,3,))*$E97)</f>
        <v>0</v>
      </c>
      <c r="T97" s="65">
        <f>IF(VLOOKUP($D97,$C$5:$AU$836,3,)=0,0,(VLOOKUP($D97,$C$5:$AU$836,18,)/VLOOKUP($D97,$C$5:$AU$836,3,))*$E97)</f>
        <v>0</v>
      </c>
      <c r="U97" s="65">
        <f>IF(VLOOKUP($D97,$C$5:$AU$836,3,)=0,0,(VLOOKUP($D97,$C$5:$AU$836,19,)/VLOOKUP($D97,$C$5:$AU$836,3,))*$E97)</f>
        <v>0</v>
      </c>
      <c r="V97" s="65">
        <f>IF(VLOOKUP($D97,$C$5:$AU$836,3,)=0,0,(VLOOKUP($D97,$C$5:$AU$836,20,)/VLOOKUP($D97,$C$5:$AU$836,3,))*$E97)</f>
        <v>0</v>
      </c>
      <c r="W97" s="65">
        <f>IF(VLOOKUP($D97,$C$5:$AU$836,3,)=0,0,(VLOOKUP($D97,$C$5:$AU$836,21,)/VLOOKUP($D97,$C$5:$AU$836,3,))*$E97)</f>
        <v>0</v>
      </c>
      <c r="X97" s="65">
        <f>IF(VLOOKUP($D97,$C$5:$AU$836,3,)=0,0,(VLOOKUP($D97,$C$5:$AU$836,22,)/VLOOKUP($D97,$C$5:$AU$836,3,))*$E97)</f>
        <v>0</v>
      </c>
      <c r="Y97" s="65">
        <f>IF(VLOOKUP($D97,$C$5:$AU$836,3,)=0,0,(VLOOKUP($D97,$C$5:$AU$836,23,)/VLOOKUP($D97,$C$5:$AU$836,3,))*$E97)</f>
        <v>0</v>
      </c>
      <c r="Z97" s="65">
        <f>IF(VLOOKUP($D97,$C$5:$AU$836,3,)=0,0,(VLOOKUP($D97,$C$5:$AU$836,24,)/VLOOKUP($D97,$C$5:$AU$836,3,))*$E97)</f>
        <v>0</v>
      </c>
      <c r="AA97" s="65">
        <f>IF(VLOOKUP($D97,$C$5:$AU$836,3,)=0,0,(VLOOKUP($D97,$C$5:$AU$836,25,)/VLOOKUP($D97,$C$5:$AU$836,3,))*$E97)</f>
        <v>0</v>
      </c>
      <c r="AB97" s="65">
        <f>IF(VLOOKUP($D97,$C$5:$AU$836,3,)=0,0,(VLOOKUP($D97,$C$5:$AU$836,26,)/VLOOKUP($D97,$C$5:$AU$836,3,))*$E97)</f>
        <v>0</v>
      </c>
      <c r="AC97" s="65">
        <f>IF(VLOOKUP($D97,$C$5:$AU$836,3,)=0,0,(VLOOKUP($D97,$C$5:$AU$836,27,)/VLOOKUP($D97,$C$5:$AU$836,3,))*$E97)</f>
        <v>0</v>
      </c>
      <c r="AD97" s="65">
        <f>IF(VLOOKUP($D97,$C$5:$AU$836,3,)=0,0,(VLOOKUP($D97,$C$5:$AU$836,28,)/VLOOKUP($D97,$C$5:$AU$836,3,))*$E97)</f>
        <v>0</v>
      </c>
      <c r="AE97" s="65">
        <f>IF(VLOOKUP($D97,$C$5:$AU$836,3,)=0,0,(VLOOKUP($D97,$C$5:$AU$836,29,)/VLOOKUP($D97,$C$5:$AU$836,3,))*$E97)</f>
        <v>0</v>
      </c>
      <c r="AF97" s="65">
        <f>IF(VLOOKUP($D97,$C$5:$AU$836,3,)=0,0,(VLOOKUP($D97,$C$5:$AU$836,30,)/VLOOKUP($D97,$C$5:$AU$836,3,))*$E97)</f>
        <v>0</v>
      </c>
      <c r="AG97" s="16">
        <f>SUM(F97:AF97)</f>
        <v>19950037.891081475</v>
      </c>
      <c r="AH97" s="14" t="str">
        <f>IF(ABS(E97-AG97)&lt;0.01,"ok","err")</f>
        <v>ok</v>
      </c>
    </row>
    <row r="98" spans="1:34" x14ac:dyDescent="0.25">
      <c r="A98" s="9" t="s">
        <v>841</v>
      </c>
      <c r="E98" s="65">
        <f t="shared" ref="E98:AF98" si="62">E96+E97</f>
        <v>35266109.052645355</v>
      </c>
      <c r="F98" s="65">
        <f t="shared" si="62"/>
        <v>28210291.260766461</v>
      </c>
      <c r="G98" s="65">
        <f t="shared" si="62"/>
        <v>3357178.2727076658</v>
      </c>
      <c r="H98" s="65">
        <f t="shared" si="62"/>
        <v>2245097.8949031304</v>
      </c>
      <c r="I98" s="65">
        <f t="shared" si="62"/>
        <v>776834.92954041599</v>
      </c>
      <c r="J98" s="65">
        <f t="shared" si="62"/>
        <v>273692.51245606184</v>
      </c>
      <c r="K98" s="65">
        <f t="shared" si="62"/>
        <v>0</v>
      </c>
      <c r="L98" s="65">
        <f t="shared" si="62"/>
        <v>101057.0754910187</v>
      </c>
      <c r="M98" s="65">
        <f t="shared" si="62"/>
        <v>68954.743560631541</v>
      </c>
      <c r="N98" s="65">
        <f t="shared" si="62"/>
        <v>233002.36321997218</v>
      </c>
      <c r="O98" s="65">
        <f t="shared" si="62"/>
        <v>0</v>
      </c>
      <c r="P98" s="65">
        <f t="shared" si="62"/>
        <v>0</v>
      </c>
      <c r="Q98" s="65">
        <f t="shared" si="62"/>
        <v>0</v>
      </c>
      <c r="R98" s="65">
        <f t="shared" si="62"/>
        <v>0</v>
      </c>
      <c r="S98" s="65">
        <f t="shared" si="62"/>
        <v>0</v>
      </c>
      <c r="T98" s="65">
        <f t="shared" si="62"/>
        <v>0</v>
      </c>
      <c r="U98" s="65">
        <f t="shared" si="62"/>
        <v>0</v>
      </c>
      <c r="V98" s="65">
        <f t="shared" si="62"/>
        <v>0</v>
      </c>
      <c r="W98" s="65">
        <f t="shared" si="62"/>
        <v>0</v>
      </c>
      <c r="X98" s="65">
        <f t="shared" si="62"/>
        <v>0</v>
      </c>
      <c r="Y98" s="65">
        <f t="shared" si="62"/>
        <v>0</v>
      </c>
      <c r="Z98" s="65">
        <f t="shared" si="62"/>
        <v>0</v>
      </c>
      <c r="AA98" s="65">
        <f t="shared" si="62"/>
        <v>0</v>
      </c>
      <c r="AB98" s="65">
        <f t="shared" si="62"/>
        <v>0</v>
      </c>
      <c r="AC98" s="65">
        <f t="shared" si="62"/>
        <v>0</v>
      </c>
      <c r="AD98" s="65">
        <f t="shared" si="62"/>
        <v>0</v>
      </c>
      <c r="AE98" s="65">
        <f t="shared" si="62"/>
        <v>0</v>
      </c>
      <c r="AF98" s="65">
        <f t="shared" si="62"/>
        <v>0</v>
      </c>
      <c r="AG98" s="16">
        <f>SUM(F98:AF98)</f>
        <v>35266109.052645355</v>
      </c>
      <c r="AH98" s="14" t="str">
        <f>IF(ABS(E98-AG98)&lt;0.01,"ok","err")</f>
        <v>ok</v>
      </c>
    </row>
    <row r="99" spans="1:34" x14ac:dyDescent="0.25">
      <c r="E99" s="31"/>
    </row>
    <row r="100" spans="1:34" x14ac:dyDescent="0.25">
      <c r="A100" s="8" t="s">
        <v>5</v>
      </c>
      <c r="E100" s="31"/>
    </row>
    <row r="101" spans="1:34" x14ac:dyDescent="0.25">
      <c r="A101" s="12" t="s">
        <v>214</v>
      </c>
      <c r="C101" s="2" t="s">
        <v>241</v>
      </c>
      <c r="D101" s="2" t="s">
        <v>611</v>
      </c>
      <c r="E101" s="65">
        <f>'Functional Assignment'!AE131</f>
        <v>0</v>
      </c>
      <c r="F101" s="65">
        <f>IF(VLOOKUP($D101,$C$5:$AU$836,3,)=0,0,(VLOOKUP($D101,$C$5:$AU$836,4,)/VLOOKUP($D101,$C$5:$AU$836,3,))*$E101)</f>
        <v>0</v>
      </c>
      <c r="G101" s="65">
        <f>IF(VLOOKUP($D101,$C$5:$AU$836,3,)=0,0,(VLOOKUP($D101,$C$5:$AU$836,5,)/VLOOKUP($D101,$C$5:$AU$836,3,))*$E101)</f>
        <v>0</v>
      </c>
      <c r="H101" s="65">
        <f>IF(VLOOKUP($D101,$C$5:$AU$836,3,)=0,0,(VLOOKUP($D101,$C$5:$AU$836,6,)/VLOOKUP($D101,$C$5:$AU$836,3,))*$E101)</f>
        <v>0</v>
      </c>
      <c r="I101" s="65">
        <f>IF(VLOOKUP($D101,$C$5:$AU$836,3,)=0,0,(VLOOKUP($D101,$C$5:$AU$836,7,)/VLOOKUP($D101,$C$5:$AU$836,3,))*$E101)</f>
        <v>0</v>
      </c>
      <c r="J101" s="65">
        <f>IF(VLOOKUP($D101,$C$5:$AU$836,3,)=0,0,(VLOOKUP($D101,$C$5:$AU$836,8,)/VLOOKUP($D101,$C$5:$AU$836,3,))*$E101)</f>
        <v>0</v>
      </c>
      <c r="K101" s="65">
        <f>IF(VLOOKUP($D101,$C$5:$AU$836,3,)=0,0,(VLOOKUP($D101,$C$5:$AU$836,9,)/VLOOKUP($D101,$C$5:$AU$836,3,))*$E101)</f>
        <v>0</v>
      </c>
      <c r="L101" s="65">
        <f>IF(VLOOKUP($D101,$C$5:$AU$836,3,)=0,0,(VLOOKUP($D101,$C$5:$AU$836,10,)/VLOOKUP($D101,$C$5:$AU$836,3,))*$E101)</f>
        <v>0</v>
      </c>
      <c r="M101" s="65">
        <f>IF(VLOOKUP($D101,$C$5:$AU$836,3,)=0,0,(VLOOKUP($D101,$C$5:$AU$836,11,)/VLOOKUP($D101,$C$5:$AU$836,3,))*$E101)</f>
        <v>0</v>
      </c>
      <c r="N101" s="65">
        <f>IF(VLOOKUP($D101,$C$5:$AU$836,3,)=0,0,(VLOOKUP($D101,$C$5:$AU$836,12,)/VLOOKUP($D101,$C$5:$AU$836,3,))*$E101)</f>
        <v>0</v>
      </c>
      <c r="O101" s="65">
        <f>IF(VLOOKUP($D101,$C$5:$AU$836,3,)=0,0,(VLOOKUP($D101,$C$5:$AU$836,13,)/VLOOKUP($D101,$C$5:$AU$836,3,))*$E101)</f>
        <v>0</v>
      </c>
      <c r="P101" s="65">
        <f>IF(VLOOKUP($D101,$C$5:$AU$836,3,)=0,0,(VLOOKUP($D101,$C$5:$AU$836,14,)/VLOOKUP($D101,$C$5:$AU$836,3,))*$E101)</f>
        <v>0</v>
      </c>
      <c r="Q101" s="65">
        <f>IF(VLOOKUP($D101,$C$5:$AU$836,3,)=0,0,(VLOOKUP($D101,$C$5:$AU$836,15,)/VLOOKUP($D101,$C$5:$AU$836,3,))*$E101)</f>
        <v>0</v>
      </c>
      <c r="R101" s="65">
        <f>IF(VLOOKUP($D101,$C$5:$AU$836,3,)=0,0,(VLOOKUP($D101,$C$5:$AU$836,16,)/VLOOKUP($D101,$C$5:$AU$836,3,))*$E101)</f>
        <v>0</v>
      </c>
      <c r="S101" s="65">
        <f>IF(VLOOKUP($D101,$C$5:$AU$836,3,)=0,0,(VLOOKUP($D101,$C$5:$AU$836,17,)/VLOOKUP($D101,$C$5:$AU$836,3,))*$E101)</f>
        <v>0</v>
      </c>
      <c r="T101" s="65">
        <f>IF(VLOOKUP($D101,$C$5:$AU$836,3,)=0,0,(VLOOKUP($D101,$C$5:$AU$836,18,)/VLOOKUP($D101,$C$5:$AU$836,3,))*$E101)</f>
        <v>0</v>
      </c>
      <c r="U101" s="65">
        <f>IF(VLOOKUP($D101,$C$5:$AU$836,3,)=0,0,(VLOOKUP($D101,$C$5:$AU$836,19,)/VLOOKUP($D101,$C$5:$AU$836,3,))*$E101)</f>
        <v>0</v>
      </c>
      <c r="V101" s="65">
        <f>IF(VLOOKUP($D101,$C$5:$AU$836,3,)=0,0,(VLOOKUP($D101,$C$5:$AU$836,20,)/VLOOKUP($D101,$C$5:$AU$836,3,))*$E101)</f>
        <v>0</v>
      </c>
      <c r="W101" s="65">
        <f>IF(VLOOKUP($D101,$C$5:$AU$836,3,)=0,0,(VLOOKUP($D101,$C$5:$AU$836,21,)/VLOOKUP($D101,$C$5:$AU$836,3,))*$E101)</f>
        <v>0</v>
      </c>
      <c r="X101" s="65">
        <f>IF(VLOOKUP($D101,$C$5:$AU$836,3,)=0,0,(VLOOKUP($D101,$C$5:$AU$836,22,)/VLOOKUP($D101,$C$5:$AU$836,3,))*$E101)</f>
        <v>0</v>
      </c>
      <c r="Y101" s="65">
        <f>IF(VLOOKUP($D101,$C$5:$AU$836,3,)=0,0,(VLOOKUP($D101,$C$5:$AU$836,23,)/VLOOKUP($D101,$C$5:$AU$836,3,))*$E101)</f>
        <v>0</v>
      </c>
      <c r="Z101" s="65">
        <f>IF(VLOOKUP($D101,$C$5:$AU$836,3,)=0,0,(VLOOKUP($D101,$C$5:$AU$836,24,)/VLOOKUP($D101,$C$5:$AU$836,3,))*$E101)</f>
        <v>0</v>
      </c>
      <c r="AA101" s="65">
        <f>IF(VLOOKUP($D101,$C$5:$AU$836,3,)=0,0,(VLOOKUP($D101,$C$5:$AU$836,25,)/VLOOKUP($D101,$C$5:$AU$836,3,))*$E101)</f>
        <v>0</v>
      </c>
      <c r="AB101" s="65">
        <f>IF(VLOOKUP($D101,$C$5:$AU$836,3,)=0,0,(VLOOKUP($D101,$C$5:$AU$836,26,)/VLOOKUP($D101,$C$5:$AU$836,3,))*$E101)</f>
        <v>0</v>
      </c>
      <c r="AC101" s="65">
        <f>IF(VLOOKUP($D101,$C$5:$AU$836,3,)=0,0,(VLOOKUP($D101,$C$5:$AU$836,27,)/VLOOKUP($D101,$C$5:$AU$836,3,))*$E101)</f>
        <v>0</v>
      </c>
      <c r="AD101" s="65">
        <f>IF(VLOOKUP($D101,$C$5:$AU$836,3,)=0,0,(VLOOKUP($D101,$C$5:$AU$836,28,)/VLOOKUP($D101,$C$5:$AU$836,3,))*$E101)</f>
        <v>0</v>
      </c>
      <c r="AE101" s="65">
        <f>IF(VLOOKUP($D101,$C$5:$AU$836,3,)=0,0,(VLOOKUP($D101,$C$5:$AU$836,29,)/VLOOKUP($D101,$C$5:$AU$836,3,))*$E101)</f>
        <v>0</v>
      </c>
      <c r="AF101" s="65">
        <f>IF(VLOOKUP($D101,$C$5:$AU$836,3,)=0,0,(VLOOKUP($D101,$C$5:$AU$836,30,)/VLOOKUP($D101,$C$5:$AU$836,3,))*$E101)</f>
        <v>0</v>
      </c>
      <c r="AG101" s="16">
        <f>SUM(F101:AF101)</f>
        <v>0</v>
      </c>
      <c r="AH101" s="14" t="str">
        <f>IF(ABS(E101-AG101)&lt;0.01,"ok","err")</f>
        <v>ok</v>
      </c>
    </row>
    <row r="102" spans="1:34" x14ac:dyDescent="0.25">
      <c r="A102" s="12" t="s">
        <v>223</v>
      </c>
      <c r="C102" s="2" t="s">
        <v>242</v>
      </c>
      <c r="D102" s="2" t="s">
        <v>228</v>
      </c>
      <c r="E102" s="65">
        <f>'Functional Assignment'!AF131</f>
        <v>24874177.379605152</v>
      </c>
      <c r="F102" s="65">
        <f>IF(VLOOKUP($D102,$C$5:$AU$836,3,)=0,0,(VLOOKUP($D102,$C$5:$AU$836,4,)/VLOOKUP($D102,$C$5:$AU$836,3,))*$E102)</f>
        <v>19587962.855478134</v>
      </c>
      <c r="G102" s="65">
        <f>IF(VLOOKUP($D102,$C$5:$AU$836,3,)=0,0,(VLOOKUP($D102,$C$5:$AU$836,5,)/VLOOKUP($D102,$C$5:$AU$836,3,))*$E102)</f>
        <v>2230009.5611984064</v>
      </c>
      <c r="H102" s="65">
        <f>IF(VLOOKUP($D102,$C$5:$AU$836,3,)=0,0,(VLOOKUP($D102,$C$5:$AU$836,6,)/VLOOKUP($D102,$C$5:$AU$836,3,))*$E102)</f>
        <v>278883.48123406409</v>
      </c>
      <c r="I102" s="65">
        <f>IF(VLOOKUP($D102,$C$5:$AU$836,3,)=0,0,(VLOOKUP($D102,$C$5:$AU$836,7,)/VLOOKUP($D102,$C$5:$AU$836,3,))*$E102)</f>
        <v>87954.34876205794</v>
      </c>
      <c r="J102" s="65">
        <f>IF(VLOOKUP($D102,$C$5:$AU$836,3,)=0,0,(VLOOKUP($D102,$C$5:$AU$836,8,)/VLOOKUP($D102,$C$5:$AU$836,3,))*$E102)</f>
        <v>8671.5555117521908</v>
      </c>
      <c r="K102" s="65">
        <f>IF(VLOOKUP($D102,$C$5:$AU$836,3,)=0,0,(VLOOKUP($D102,$C$5:$AU$836,9,)/VLOOKUP($D102,$C$5:$AU$836,3,))*$E102)</f>
        <v>185.46560170223538</v>
      </c>
      <c r="L102" s="65">
        <f>IF(VLOOKUP($D102,$C$5:$AU$836,3,)=0,0,(VLOOKUP($D102,$C$5:$AU$836,10,)/VLOOKUP($D102,$C$5:$AU$836,3,))*$E102)</f>
        <v>370.93120340447075</v>
      </c>
      <c r="M102" s="65">
        <f>IF(VLOOKUP($D102,$C$5:$AU$836,3,)=0,0,(VLOOKUP($D102,$C$5:$AU$836,11,)/VLOOKUP($D102,$C$5:$AU$836,3,))*$E102)</f>
        <v>1483.724813617883</v>
      </c>
      <c r="N102" s="65">
        <f>IF(VLOOKUP($D102,$C$5:$AU$836,3,)=0,0,(VLOOKUP($D102,$C$5:$AU$836,12,)/VLOOKUP($D102,$C$5:$AU$836,3,))*$E102)</f>
        <v>2678655.4558020136</v>
      </c>
      <c r="O102" s="65">
        <f>IF(VLOOKUP($D102,$C$5:$AU$836,3,)=0,0,(VLOOKUP($D102,$C$5:$AU$836,13,)/VLOOKUP($D102,$C$5:$AU$836,3,))*$E102)</f>
        <v>0</v>
      </c>
      <c r="P102" s="65">
        <f>IF(VLOOKUP($D102,$C$5:$AU$836,3,)=0,0,(VLOOKUP($D102,$C$5:$AU$836,14,)/VLOOKUP($D102,$C$5:$AU$836,3,))*$E102)</f>
        <v>0</v>
      </c>
      <c r="Q102" s="65">
        <f>IF(VLOOKUP($D102,$C$5:$AU$836,3,)=0,0,(VLOOKUP($D102,$C$5:$AU$836,15,)/VLOOKUP($D102,$C$5:$AU$836,3,))*$E102)</f>
        <v>0</v>
      </c>
      <c r="R102" s="65">
        <f>IF(VLOOKUP($D102,$C$5:$AU$836,3,)=0,0,(VLOOKUP($D102,$C$5:$AU$836,16,)/VLOOKUP($D102,$C$5:$AU$836,3,))*$E102)</f>
        <v>0</v>
      </c>
      <c r="S102" s="65">
        <f>IF(VLOOKUP($D102,$C$5:$AU$836,3,)=0,0,(VLOOKUP($D102,$C$5:$AU$836,17,)/VLOOKUP($D102,$C$5:$AU$836,3,))*$E102)</f>
        <v>0</v>
      </c>
      <c r="T102" s="65">
        <f>IF(VLOOKUP($D102,$C$5:$AU$836,3,)=0,0,(VLOOKUP($D102,$C$5:$AU$836,18,)/VLOOKUP($D102,$C$5:$AU$836,3,))*$E102)</f>
        <v>0</v>
      </c>
      <c r="U102" s="65">
        <f>IF(VLOOKUP($D102,$C$5:$AU$836,3,)=0,0,(VLOOKUP($D102,$C$5:$AU$836,19,)/VLOOKUP($D102,$C$5:$AU$836,3,))*$E102)</f>
        <v>0</v>
      </c>
      <c r="V102" s="65">
        <f>IF(VLOOKUP($D102,$C$5:$AU$836,3,)=0,0,(VLOOKUP($D102,$C$5:$AU$836,20,)/VLOOKUP($D102,$C$5:$AU$836,3,))*$E102)</f>
        <v>0</v>
      </c>
      <c r="W102" s="65">
        <f>IF(VLOOKUP($D102,$C$5:$AU$836,3,)=0,0,(VLOOKUP($D102,$C$5:$AU$836,21,)/VLOOKUP($D102,$C$5:$AU$836,3,))*$E102)</f>
        <v>0</v>
      </c>
      <c r="X102" s="65">
        <f>IF(VLOOKUP($D102,$C$5:$AU$836,3,)=0,0,(VLOOKUP($D102,$C$5:$AU$836,22,)/VLOOKUP($D102,$C$5:$AU$836,3,))*$E102)</f>
        <v>0</v>
      </c>
      <c r="Y102" s="65">
        <f>IF(VLOOKUP($D102,$C$5:$AU$836,3,)=0,0,(VLOOKUP($D102,$C$5:$AU$836,23,)/VLOOKUP($D102,$C$5:$AU$836,3,))*$E102)</f>
        <v>0</v>
      </c>
      <c r="Z102" s="65">
        <f>IF(VLOOKUP($D102,$C$5:$AU$836,3,)=0,0,(VLOOKUP($D102,$C$5:$AU$836,24,)/VLOOKUP($D102,$C$5:$AU$836,3,))*$E102)</f>
        <v>0</v>
      </c>
      <c r="AA102" s="65">
        <f>IF(VLOOKUP($D102,$C$5:$AU$836,3,)=0,0,(VLOOKUP($D102,$C$5:$AU$836,25,)/VLOOKUP($D102,$C$5:$AU$836,3,))*$E102)</f>
        <v>0</v>
      </c>
      <c r="AB102" s="65">
        <f>IF(VLOOKUP($D102,$C$5:$AU$836,3,)=0,0,(VLOOKUP($D102,$C$5:$AU$836,26,)/VLOOKUP($D102,$C$5:$AU$836,3,))*$E102)</f>
        <v>0</v>
      </c>
      <c r="AC102" s="65">
        <f>IF(VLOOKUP($D102,$C$5:$AU$836,3,)=0,0,(VLOOKUP($D102,$C$5:$AU$836,27,)/VLOOKUP($D102,$C$5:$AU$836,3,))*$E102)</f>
        <v>0</v>
      </c>
      <c r="AD102" s="65">
        <f>IF(VLOOKUP($D102,$C$5:$AU$836,3,)=0,0,(VLOOKUP($D102,$C$5:$AU$836,28,)/VLOOKUP($D102,$C$5:$AU$836,3,))*$E102)</f>
        <v>0</v>
      </c>
      <c r="AE102" s="65">
        <f>IF(VLOOKUP($D102,$C$5:$AU$836,3,)=0,0,(VLOOKUP($D102,$C$5:$AU$836,29,)/VLOOKUP($D102,$C$5:$AU$836,3,))*$E102)</f>
        <v>0</v>
      </c>
      <c r="AF102" s="65">
        <f>IF(VLOOKUP($D102,$C$5:$AU$836,3,)=0,0,(VLOOKUP($D102,$C$5:$AU$836,30,)/VLOOKUP($D102,$C$5:$AU$836,3,))*$E102)</f>
        <v>0</v>
      </c>
      <c r="AG102" s="16">
        <f>SUM(F102:AF102)</f>
        <v>24874177.379605152</v>
      </c>
      <c r="AH102" s="14" t="str">
        <f>IF(ABS(E102-AG102)&lt;0.01,"ok","err")</f>
        <v>ok</v>
      </c>
    </row>
    <row r="103" spans="1:34" x14ac:dyDescent="0.25">
      <c r="A103" s="2" t="s">
        <v>229</v>
      </c>
      <c r="E103" s="65">
        <f t="shared" ref="E103:N103" si="63">E101+E102</f>
        <v>24874177.379605152</v>
      </c>
      <c r="F103" s="65">
        <f t="shared" si="63"/>
        <v>19587962.855478134</v>
      </c>
      <c r="G103" s="65">
        <f t="shared" si="63"/>
        <v>2230009.5611984064</v>
      </c>
      <c r="H103" s="65">
        <f t="shared" si="63"/>
        <v>278883.48123406409</v>
      </c>
      <c r="I103" s="65">
        <f t="shared" si="63"/>
        <v>87954.34876205794</v>
      </c>
      <c r="J103" s="65">
        <f t="shared" si="63"/>
        <v>8671.5555117521908</v>
      </c>
      <c r="K103" s="65">
        <f t="shared" si="63"/>
        <v>185.46560170223538</v>
      </c>
      <c r="L103" s="65">
        <f t="shared" si="63"/>
        <v>370.93120340447075</v>
      </c>
      <c r="M103" s="65">
        <f t="shared" si="63"/>
        <v>1483.724813617883</v>
      </c>
      <c r="N103" s="65">
        <f t="shared" si="63"/>
        <v>2678655.4558020136</v>
      </c>
      <c r="O103" s="65">
        <f t="shared" ref="O103:T103" si="64">O101+O102</f>
        <v>0</v>
      </c>
      <c r="P103" s="65">
        <f t="shared" si="64"/>
        <v>0</v>
      </c>
      <c r="Q103" s="65">
        <f t="shared" si="64"/>
        <v>0</v>
      </c>
      <c r="R103" s="65">
        <f t="shared" si="64"/>
        <v>0</v>
      </c>
      <c r="S103" s="65">
        <f t="shared" si="64"/>
        <v>0</v>
      </c>
      <c r="T103" s="65">
        <f t="shared" si="64"/>
        <v>0</v>
      </c>
      <c r="U103" s="65">
        <f t="shared" ref="U103:AF103" si="65">U101+U102</f>
        <v>0</v>
      </c>
      <c r="V103" s="65">
        <f t="shared" si="65"/>
        <v>0</v>
      </c>
      <c r="W103" s="65">
        <f t="shared" si="65"/>
        <v>0</v>
      </c>
      <c r="X103" s="65">
        <f t="shared" si="65"/>
        <v>0</v>
      </c>
      <c r="Y103" s="65">
        <f t="shared" si="65"/>
        <v>0</v>
      </c>
      <c r="Z103" s="65">
        <f t="shared" si="65"/>
        <v>0</v>
      </c>
      <c r="AA103" s="65">
        <f t="shared" si="65"/>
        <v>0</v>
      </c>
      <c r="AB103" s="65">
        <f t="shared" si="65"/>
        <v>0</v>
      </c>
      <c r="AC103" s="65">
        <f t="shared" si="65"/>
        <v>0</v>
      </c>
      <c r="AD103" s="65">
        <f t="shared" si="65"/>
        <v>0</v>
      </c>
      <c r="AE103" s="65">
        <f t="shared" si="65"/>
        <v>0</v>
      </c>
      <c r="AF103" s="65">
        <f t="shared" si="65"/>
        <v>0</v>
      </c>
      <c r="AG103" s="16">
        <f>SUM(F103:AF103)</f>
        <v>24874177.379605152</v>
      </c>
      <c r="AH103" s="14" t="str">
        <f>IF(ABS(E103-AG103)&lt;0.01,"ok","err")</f>
        <v>ok</v>
      </c>
    </row>
    <row r="104" spans="1:34" x14ac:dyDescent="0.25">
      <c r="E104" s="31"/>
    </row>
    <row r="105" spans="1:34" x14ac:dyDescent="0.25">
      <c r="A105" s="8" t="s">
        <v>6</v>
      </c>
      <c r="E105" s="31"/>
    </row>
    <row r="106" spans="1:34" x14ac:dyDescent="0.25">
      <c r="A106" s="12" t="s">
        <v>223</v>
      </c>
      <c r="C106" s="2" t="s">
        <v>243</v>
      </c>
      <c r="D106" s="2" t="s">
        <v>231</v>
      </c>
      <c r="E106" s="65">
        <f>'Functional Assignment'!AH131</f>
        <v>9524072.5764533654</v>
      </c>
      <c r="F106" s="65">
        <f>IF(VLOOKUP($D106,$C$5:$AU$836,3,)=0,0,(VLOOKUP($D106,$C$5:$AU$836,4,)/VLOOKUP($D106,$C$5:$AU$836,3,))*$E106)</f>
        <v>6307100.7507069521</v>
      </c>
      <c r="G106" s="65">
        <f>IF(VLOOKUP($D106,$C$5:$AU$836,3,)=0,0,(VLOOKUP($D106,$C$5:$AU$836,5,)/VLOOKUP($D106,$C$5:$AU$836,3,))*$E106)</f>
        <v>2475017.3816255471</v>
      </c>
      <c r="H106" s="65">
        <f>IF(VLOOKUP($D106,$C$5:$AU$836,3,)=0,0,(VLOOKUP($D106,$C$5:$AU$836,6,)/VLOOKUP($D106,$C$5:$AU$836,3,))*$E106)</f>
        <v>590280.29022259265</v>
      </c>
      <c r="I106" s="65">
        <f>IF(VLOOKUP($D106,$C$5:$AU$836,3,)=0,0,(VLOOKUP($D106,$C$5:$AU$836,7,)/VLOOKUP($D106,$C$5:$AU$836,3,))*$E106)</f>
        <v>68578.190352003934</v>
      </c>
      <c r="J106" s="65">
        <f>IF(VLOOKUP($D106,$C$5:$AU$836,3,)=0,0,(VLOOKUP($D106,$C$5:$AU$836,8,)/VLOOKUP($D106,$C$5:$AU$836,3,))*$E106)</f>
        <v>22322.002099870377</v>
      </c>
      <c r="K106" s="65">
        <f>IF(VLOOKUP($D106,$C$5:$AU$836,3,)=0,0,(VLOOKUP($D106,$C$5:$AU$836,9,)/VLOOKUP($D106,$C$5:$AU$836,3,))*$E106)</f>
        <v>6168.7092753607512</v>
      </c>
      <c r="L106" s="65">
        <f>IF(VLOOKUP($D106,$C$5:$AU$836,3,)=0,0,(VLOOKUP($D106,$C$5:$AU$836,10,)/VLOOKUP($D106,$C$5:$AU$836,3,))*$E106)</f>
        <v>12337.418550721502</v>
      </c>
      <c r="M106" s="65">
        <f>IF(VLOOKUP($D106,$C$5:$AU$836,3,)=0,0,(VLOOKUP($D106,$C$5:$AU$836,11,)/VLOOKUP($D106,$C$5:$AU$836,3,))*$E106)</f>
        <v>8786.3523560237008</v>
      </c>
      <c r="N106" s="65">
        <f>IF(VLOOKUP($D106,$C$5:$AU$836,3,)=0,0,(VLOOKUP($D106,$C$5:$AU$836,12,)/VLOOKUP($D106,$C$5:$AU$836,3,))*$E106)</f>
        <v>33481.48126429355</v>
      </c>
      <c r="O106" s="65">
        <f>IF(VLOOKUP($D106,$C$5:$AU$836,3,)=0,0,(VLOOKUP($D106,$C$5:$AU$836,13,)/VLOOKUP($D106,$C$5:$AU$836,3,))*$E106)</f>
        <v>0</v>
      </c>
      <c r="P106" s="65">
        <f>IF(VLOOKUP($D106,$C$5:$AU$836,3,)=0,0,(VLOOKUP($D106,$C$5:$AU$836,14,)/VLOOKUP($D106,$C$5:$AU$836,3,))*$E106)</f>
        <v>0</v>
      </c>
      <c r="Q106" s="65">
        <f>IF(VLOOKUP($D106,$C$5:$AU$836,3,)=0,0,(VLOOKUP($D106,$C$5:$AU$836,15,)/VLOOKUP($D106,$C$5:$AU$836,3,))*$E106)</f>
        <v>0</v>
      </c>
      <c r="R106" s="65">
        <f>IF(VLOOKUP($D106,$C$5:$AU$836,3,)=0,0,(VLOOKUP($D106,$C$5:$AU$836,16,)/VLOOKUP($D106,$C$5:$AU$836,3,))*$E106)</f>
        <v>0</v>
      </c>
      <c r="S106" s="65">
        <f>IF(VLOOKUP($D106,$C$5:$AU$836,3,)=0,0,(VLOOKUP($D106,$C$5:$AU$836,17,)/VLOOKUP($D106,$C$5:$AU$836,3,))*$E106)</f>
        <v>0</v>
      </c>
      <c r="T106" s="65">
        <f>IF(VLOOKUP($D106,$C$5:$AU$836,3,)=0,0,(VLOOKUP($D106,$C$5:$AU$836,18,)/VLOOKUP($D106,$C$5:$AU$836,3,))*$E106)</f>
        <v>0</v>
      </c>
      <c r="U106" s="65">
        <f>IF(VLOOKUP($D106,$C$5:$AU$836,3,)=0,0,(VLOOKUP($D106,$C$5:$AU$836,19,)/VLOOKUP($D106,$C$5:$AU$836,3,))*$E106)</f>
        <v>0</v>
      </c>
      <c r="V106" s="65">
        <f>IF(VLOOKUP($D106,$C$5:$AU$836,3,)=0,0,(VLOOKUP($D106,$C$5:$AU$836,20,)/VLOOKUP($D106,$C$5:$AU$836,3,))*$E106)</f>
        <v>0</v>
      </c>
      <c r="W106" s="65">
        <f>IF(VLOOKUP($D106,$C$5:$AU$836,3,)=0,0,(VLOOKUP($D106,$C$5:$AU$836,21,)/VLOOKUP($D106,$C$5:$AU$836,3,))*$E106)</f>
        <v>0</v>
      </c>
      <c r="X106" s="65">
        <f>IF(VLOOKUP($D106,$C$5:$AU$836,3,)=0,0,(VLOOKUP($D106,$C$5:$AU$836,22,)/VLOOKUP($D106,$C$5:$AU$836,3,))*$E106)</f>
        <v>0</v>
      </c>
      <c r="Y106" s="65">
        <f>IF(VLOOKUP($D106,$C$5:$AU$836,3,)=0,0,(VLOOKUP($D106,$C$5:$AU$836,23,)/VLOOKUP($D106,$C$5:$AU$836,3,))*$E106)</f>
        <v>0</v>
      </c>
      <c r="Z106" s="65">
        <f>IF(VLOOKUP($D106,$C$5:$AU$836,3,)=0,0,(VLOOKUP($D106,$C$5:$AU$836,24,)/VLOOKUP($D106,$C$5:$AU$836,3,))*$E106)</f>
        <v>0</v>
      </c>
      <c r="AA106" s="65">
        <f>IF(VLOOKUP($D106,$C$5:$AU$836,3,)=0,0,(VLOOKUP($D106,$C$5:$AU$836,25,)/VLOOKUP($D106,$C$5:$AU$836,3,))*$E106)</f>
        <v>0</v>
      </c>
      <c r="AB106" s="65">
        <f>IF(VLOOKUP($D106,$C$5:$AU$836,3,)=0,0,(VLOOKUP($D106,$C$5:$AU$836,26,)/VLOOKUP($D106,$C$5:$AU$836,3,))*$E106)</f>
        <v>0</v>
      </c>
      <c r="AC106" s="65">
        <f>IF(VLOOKUP($D106,$C$5:$AU$836,3,)=0,0,(VLOOKUP($D106,$C$5:$AU$836,27,)/VLOOKUP($D106,$C$5:$AU$836,3,))*$E106)</f>
        <v>0</v>
      </c>
      <c r="AD106" s="65">
        <f>IF(VLOOKUP($D106,$C$5:$AU$836,3,)=0,0,(VLOOKUP($D106,$C$5:$AU$836,28,)/VLOOKUP($D106,$C$5:$AU$836,3,))*$E106)</f>
        <v>0</v>
      </c>
      <c r="AE106" s="65">
        <f>IF(VLOOKUP($D106,$C$5:$AU$836,3,)=0,0,(VLOOKUP($D106,$C$5:$AU$836,29,)/VLOOKUP($D106,$C$5:$AU$836,3,))*$E106)</f>
        <v>0</v>
      </c>
      <c r="AF106" s="65">
        <f>IF(VLOOKUP($D106,$C$5:$AU$836,3,)=0,0,(VLOOKUP($D106,$C$5:$AU$836,30,)/VLOOKUP($D106,$C$5:$AU$836,3,))*$E106)</f>
        <v>0</v>
      </c>
      <c r="AG106" s="16">
        <f>SUM(F106:AF106)</f>
        <v>9524072.5764533672</v>
      </c>
      <c r="AH106" s="14" t="str">
        <f>IF(ABS(E106-AG106)&lt;0.01,"ok","err")</f>
        <v>ok</v>
      </c>
    </row>
    <row r="107" spans="1:34" x14ac:dyDescent="0.25">
      <c r="E107" s="31"/>
    </row>
    <row r="108" spans="1:34" x14ac:dyDescent="0.25">
      <c r="A108" s="8" t="s">
        <v>7</v>
      </c>
      <c r="E108" s="31"/>
    </row>
    <row r="109" spans="1:34" x14ac:dyDescent="0.25">
      <c r="A109" s="12" t="s">
        <v>223</v>
      </c>
      <c r="C109" s="2" t="s">
        <v>244</v>
      </c>
      <c r="D109" s="2" t="s">
        <v>233</v>
      </c>
      <c r="E109" s="65">
        <f>'Functional Assignment'!AJ131</f>
        <v>10298595.34355573</v>
      </c>
      <c r="F109" s="65">
        <f>IF(VLOOKUP($D109,$C$5:$AU$836,3,)=0,0,(VLOOKUP($D109,$C$5:$AU$836,4,)/VLOOKUP($D109,$C$5:$AU$836,3,))*$E109)</f>
        <v>0</v>
      </c>
      <c r="G109" s="65">
        <f>IF(VLOOKUP($D109,$C$5:$AU$836,3,)=0,0,(VLOOKUP($D109,$C$5:$AU$836,5,)/VLOOKUP($D109,$C$5:$AU$836,3,))*$E109)</f>
        <v>0</v>
      </c>
      <c r="H109" s="65">
        <f>IF(VLOOKUP($D109,$C$5:$AU$836,3,)=0,0,(VLOOKUP($D109,$C$5:$AU$836,6,)/VLOOKUP($D109,$C$5:$AU$836,3,))*$E109)</f>
        <v>0</v>
      </c>
      <c r="I109" s="65">
        <f>IF(VLOOKUP($D109,$C$5:$AU$836,3,)=0,0,(VLOOKUP($D109,$C$5:$AU$836,7,)/VLOOKUP($D109,$C$5:$AU$836,3,))*$E109)</f>
        <v>0</v>
      </c>
      <c r="J109" s="65">
        <f>IF(VLOOKUP($D109,$C$5:$AU$836,3,)=0,0,(VLOOKUP($D109,$C$5:$AU$836,8,)/VLOOKUP($D109,$C$5:$AU$836,3,))*$E109)</f>
        <v>0</v>
      </c>
      <c r="K109" s="65">
        <f>IF(VLOOKUP($D109,$C$5:$AU$836,3,)=0,0,(VLOOKUP($D109,$C$5:$AU$836,9,)/VLOOKUP($D109,$C$5:$AU$836,3,))*$E109)</f>
        <v>0</v>
      </c>
      <c r="L109" s="65">
        <f>IF(VLOOKUP($D109,$C$5:$AU$836,3,)=0,0,(VLOOKUP($D109,$C$5:$AU$836,10,)/VLOOKUP($D109,$C$5:$AU$836,3,))*$E109)</f>
        <v>0</v>
      </c>
      <c r="M109" s="65">
        <f>IF(VLOOKUP($D109,$C$5:$AU$836,3,)=0,0,(VLOOKUP($D109,$C$5:$AU$836,11,)/VLOOKUP($D109,$C$5:$AU$836,3,))*$E109)</f>
        <v>0</v>
      </c>
      <c r="N109" s="65">
        <f>IF(VLOOKUP($D109,$C$5:$AU$836,3,)=0,0,(VLOOKUP($D109,$C$5:$AU$836,12,)/VLOOKUP($D109,$C$5:$AU$836,3,))*$E109)</f>
        <v>10298595.34355573</v>
      </c>
      <c r="O109" s="65">
        <f>IF(VLOOKUP($D109,$C$5:$AU$836,3,)=0,0,(VLOOKUP($D109,$C$5:$AU$836,13,)/VLOOKUP($D109,$C$5:$AU$836,3,))*$E109)</f>
        <v>0</v>
      </c>
      <c r="P109" s="65">
        <f>IF(VLOOKUP($D109,$C$5:$AU$836,3,)=0,0,(VLOOKUP($D109,$C$5:$AU$836,14,)/VLOOKUP($D109,$C$5:$AU$836,3,))*$E109)</f>
        <v>0</v>
      </c>
      <c r="Q109" s="65">
        <f>IF(VLOOKUP($D109,$C$5:$AU$836,3,)=0,0,(VLOOKUP($D109,$C$5:$AU$836,15,)/VLOOKUP($D109,$C$5:$AU$836,3,))*$E109)</f>
        <v>0</v>
      </c>
      <c r="R109" s="65">
        <f>IF(VLOOKUP($D109,$C$5:$AU$836,3,)=0,0,(VLOOKUP($D109,$C$5:$AU$836,16,)/VLOOKUP($D109,$C$5:$AU$836,3,))*$E109)</f>
        <v>0</v>
      </c>
      <c r="S109" s="65">
        <f>IF(VLOOKUP($D109,$C$5:$AU$836,3,)=0,0,(VLOOKUP($D109,$C$5:$AU$836,17,)/VLOOKUP($D109,$C$5:$AU$836,3,))*$E109)</f>
        <v>0</v>
      </c>
      <c r="T109" s="65">
        <f>IF(VLOOKUP($D109,$C$5:$AU$836,3,)=0,0,(VLOOKUP($D109,$C$5:$AU$836,18,)/VLOOKUP($D109,$C$5:$AU$836,3,))*$E109)</f>
        <v>0</v>
      </c>
      <c r="U109" s="65">
        <f>IF(VLOOKUP($D109,$C$5:$AU$836,3,)=0,0,(VLOOKUP($D109,$C$5:$AU$836,19,)/VLOOKUP($D109,$C$5:$AU$836,3,))*$E109)</f>
        <v>0</v>
      </c>
      <c r="V109" s="65">
        <f>IF(VLOOKUP($D109,$C$5:$AU$836,3,)=0,0,(VLOOKUP($D109,$C$5:$AU$836,20,)/VLOOKUP($D109,$C$5:$AU$836,3,))*$E109)</f>
        <v>0</v>
      </c>
      <c r="W109" s="65">
        <f>IF(VLOOKUP($D109,$C$5:$AU$836,3,)=0,0,(VLOOKUP($D109,$C$5:$AU$836,21,)/VLOOKUP($D109,$C$5:$AU$836,3,))*$E109)</f>
        <v>0</v>
      </c>
      <c r="X109" s="65">
        <f>IF(VLOOKUP($D109,$C$5:$AU$836,3,)=0,0,(VLOOKUP($D109,$C$5:$AU$836,22,)/VLOOKUP($D109,$C$5:$AU$836,3,))*$E109)</f>
        <v>0</v>
      </c>
      <c r="Y109" s="65">
        <f>IF(VLOOKUP($D109,$C$5:$AU$836,3,)=0,0,(VLOOKUP($D109,$C$5:$AU$836,23,)/VLOOKUP($D109,$C$5:$AU$836,3,))*$E109)</f>
        <v>0</v>
      </c>
      <c r="Z109" s="65">
        <f>IF(VLOOKUP($D109,$C$5:$AU$836,3,)=0,0,(VLOOKUP($D109,$C$5:$AU$836,24,)/VLOOKUP($D109,$C$5:$AU$836,3,))*$E109)</f>
        <v>0</v>
      </c>
      <c r="AA109" s="65">
        <f>IF(VLOOKUP($D109,$C$5:$AU$836,3,)=0,0,(VLOOKUP($D109,$C$5:$AU$836,25,)/VLOOKUP($D109,$C$5:$AU$836,3,))*$E109)</f>
        <v>0</v>
      </c>
      <c r="AB109" s="65">
        <f>IF(VLOOKUP($D109,$C$5:$AU$836,3,)=0,0,(VLOOKUP($D109,$C$5:$AU$836,26,)/VLOOKUP($D109,$C$5:$AU$836,3,))*$E109)</f>
        <v>0</v>
      </c>
      <c r="AC109" s="65">
        <f>IF(VLOOKUP($D109,$C$5:$AU$836,3,)=0,0,(VLOOKUP($D109,$C$5:$AU$836,27,)/VLOOKUP($D109,$C$5:$AU$836,3,))*$E109)</f>
        <v>0</v>
      </c>
      <c r="AD109" s="65">
        <f>IF(VLOOKUP($D109,$C$5:$AU$836,3,)=0,0,(VLOOKUP($D109,$C$5:$AU$836,28,)/VLOOKUP($D109,$C$5:$AU$836,3,))*$E109)</f>
        <v>0</v>
      </c>
      <c r="AE109" s="65">
        <f>IF(VLOOKUP($D109,$C$5:$AU$836,3,)=0,0,(VLOOKUP($D109,$C$5:$AU$836,29,)/VLOOKUP($D109,$C$5:$AU$836,3,))*$E109)</f>
        <v>0</v>
      </c>
      <c r="AF109" s="65">
        <f>IF(VLOOKUP($D109,$C$5:$AU$836,3,)=0,0,(VLOOKUP($D109,$C$5:$AU$836,30,)/VLOOKUP($D109,$C$5:$AU$836,3,))*$E109)</f>
        <v>0</v>
      </c>
      <c r="AG109" s="16">
        <f>SUM(F109:AF109)</f>
        <v>10298595.34355573</v>
      </c>
      <c r="AH109" s="14" t="str">
        <f>IF(ABS(E109-AG109)&lt;0.01,"ok","err")</f>
        <v>ok</v>
      </c>
    </row>
    <row r="110" spans="1:34" x14ac:dyDescent="0.25">
      <c r="E110" s="31"/>
    </row>
    <row r="111" spans="1:34" x14ac:dyDescent="0.25">
      <c r="A111" s="8" t="s">
        <v>534</v>
      </c>
      <c r="E111" s="31"/>
    </row>
    <row r="112" spans="1:34" x14ac:dyDescent="0.25">
      <c r="A112" s="12" t="s">
        <v>223</v>
      </c>
      <c r="C112" s="2" t="s">
        <v>245</v>
      </c>
      <c r="D112" s="2" t="s">
        <v>235</v>
      </c>
      <c r="E112" s="65">
        <f>'Functional Assignment'!AL131</f>
        <v>0</v>
      </c>
      <c r="F112" s="65">
        <f>IF(VLOOKUP($D112,$C$5:$AU$836,3,)=0,0,(VLOOKUP($D112,$C$5:$AU$836,4,)/VLOOKUP($D112,$C$5:$AU$836,3,))*$E112)</f>
        <v>0</v>
      </c>
      <c r="G112" s="65">
        <f>IF(VLOOKUP($D112,$C$5:$AU$836,3,)=0,0,(VLOOKUP($D112,$C$5:$AU$836,5,)/VLOOKUP($D112,$C$5:$AU$836,3,))*$E112)</f>
        <v>0</v>
      </c>
      <c r="H112" s="65">
        <f>IF(VLOOKUP($D112,$C$5:$AU$836,3,)=0,0,(VLOOKUP($D112,$C$5:$AU$836,6,)/VLOOKUP($D112,$C$5:$AU$836,3,))*$E112)</f>
        <v>0</v>
      </c>
      <c r="I112" s="65">
        <f>IF(VLOOKUP($D112,$C$5:$AU$836,3,)=0,0,(VLOOKUP($D112,$C$5:$AU$836,7,)/VLOOKUP($D112,$C$5:$AU$836,3,))*$E112)</f>
        <v>0</v>
      </c>
      <c r="J112" s="65">
        <f>IF(VLOOKUP($D112,$C$5:$AU$836,3,)=0,0,(VLOOKUP($D112,$C$5:$AU$836,8,)/VLOOKUP($D112,$C$5:$AU$836,3,))*$E112)</f>
        <v>0</v>
      </c>
      <c r="K112" s="65">
        <f>IF(VLOOKUP($D112,$C$5:$AU$836,3,)=0,0,(VLOOKUP($D112,$C$5:$AU$836,9,)/VLOOKUP($D112,$C$5:$AU$836,3,))*$E112)</f>
        <v>0</v>
      </c>
      <c r="L112" s="65">
        <f>IF(VLOOKUP($D112,$C$5:$AU$836,3,)=0,0,(VLOOKUP($D112,$C$5:$AU$836,10,)/VLOOKUP($D112,$C$5:$AU$836,3,))*$E112)</f>
        <v>0</v>
      </c>
      <c r="M112" s="65">
        <f>IF(VLOOKUP($D112,$C$5:$AU$836,3,)=0,0,(VLOOKUP($D112,$C$5:$AU$836,11,)/VLOOKUP($D112,$C$5:$AU$836,3,))*$E112)</f>
        <v>0</v>
      </c>
      <c r="N112" s="65">
        <f>IF(VLOOKUP($D112,$C$5:$AU$836,3,)=0,0,(VLOOKUP($D112,$C$5:$AU$836,12,)/VLOOKUP($D112,$C$5:$AU$836,3,))*$E112)</f>
        <v>0</v>
      </c>
      <c r="O112" s="65">
        <f>IF(VLOOKUP($D112,$C$5:$AU$836,3,)=0,0,(VLOOKUP($D112,$C$5:$AU$836,13,)/VLOOKUP($D112,$C$5:$AU$836,3,))*$E112)</f>
        <v>0</v>
      </c>
      <c r="P112" s="65">
        <f>IF(VLOOKUP($D112,$C$5:$AU$836,3,)=0,0,(VLOOKUP($D112,$C$5:$AU$836,14,)/VLOOKUP($D112,$C$5:$AU$836,3,))*$E112)</f>
        <v>0</v>
      </c>
      <c r="Q112" s="65">
        <f>IF(VLOOKUP($D112,$C$5:$AU$836,3,)=0,0,(VLOOKUP($D112,$C$5:$AU$836,15,)/VLOOKUP($D112,$C$5:$AU$836,3,))*$E112)</f>
        <v>0</v>
      </c>
      <c r="R112" s="65">
        <f>IF(VLOOKUP($D112,$C$5:$AU$836,3,)=0,0,(VLOOKUP($D112,$C$5:$AU$836,16,)/VLOOKUP($D112,$C$5:$AU$836,3,))*$E112)</f>
        <v>0</v>
      </c>
      <c r="S112" s="65">
        <f>IF(VLOOKUP($D112,$C$5:$AU$836,3,)=0,0,(VLOOKUP($D112,$C$5:$AU$836,17,)/VLOOKUP($D112,$C$5:$AU$836,3,))*$E112)</f>
        <v>0</v>
      </c>
      <c r="T112" s="65">
        <f>IF(VLOOKUP($D112,$C$5:$AU$836,3,)=0,0,(VLOOKUP($D112,$C$5:$AU$836,18,)/VLOOKUP($D112,$C$5:$AU$836,3,))*$E112)</f>
        <v>0</v>
      </c>
      <c r="U112" s="65">
        <f>IF(VLOOKUP($D112,$C$5:$AU$836,3,)=0,0,(VLOOKUP($D112,$C$5:$AU$836,19,)/VLOOKUP($D112,$C$5:$AU$836,3,))*$E112)</f>
        <v>0</v>
      </c>
      <c r="V112" s="65">
        <f>IF(VLOOKUP($D112,$C$5:$AU$836,3,)=0,0,(VLOOKUP($D112,$C$5:$AU$836,20,)/VLOOKUP($D112,$C$5:$AU$836,3,))*$E112)</f>
        <v>0</v>
      </c>
      <c r="W112" s="65">
        <f>IF(VLOOKUP($D112,$C$5:$AU$836,3,)=0,0,(VLOOKUP($D112,$C$5:$AU$836,21,)/VLOOKUP($D112,$C$5:$AU$836,3,))*$E112)</f>
        <v>0</v>
      </c>
      <c r="X112" s="65">
        <f>IF(VLOOKUP($D112,$C$5:$AU$836,3,)=0,0,(VLOOKUP($D112,$C$5:$AU$836,22,)/VLOOKUP($D112,$C$5:$AU$836,3,))*$E112)</f>
        <v>0</v>
      </c>
      <c r="Y112" s="65">
        <f>IF(VLOOKUP($D112,$C$5:$AU$836,3,)=0,0,(VLOOKUP($D112,$C$5:$AU$836,23,)/VLOOKUP($D112,$C$5:$AU$836,3,))*$E112)</f>
        <v>0</v>
      </c>
      <c r="Z112" s="65">
        <f>IF(VLOOKUP($D112,$C$5:$AU$836,3,)=0,0,(VLOOKUP($D112,$C$5:$AU$836,24,)/VLOOKUP($D112,$C$5:$AU$836,3,))*$E112)</f>
        <v>0</v>
      </c>
      <c r="AA112" s="65">
        <f>IF(VLOOKUP($D112,$C$5:$AU$836,3,)=0,0,(VLOOKUP($D112,$C$5:$AU$836,25,)/VLOOKUP($D112,$C$5:$AU$836,3,))*$E112)</f>
        <v>0</v>
      </c>
      <c r="AB112" s="65">
        <f>IF(VLOOKUP($D112,$C$5:$AU$836,3,)=0,0,(VLOOKUP($D112,$C$5:$AU$836,26,)/VLOOKUP($D112,$C$5:$AU$836,3,))*$E112)</f>
        <v>0</v>
      </c>
      <c r="AC112" s="65">
        <f>IF(VLOOKUP($D112,$C$5:$AU$836,3,)=0,0,(VLOOKUP($D112,$C$5:$AU$836,27,)/VLOOKUP($D112,$C$5:$AU$836,3,))*$E112)</f>
        <v>0</v>
      </c>
      <c r="AD112" s="65">
        <f>IF(VLOOKUP($D112,$C$5:$AU$836,3,)=0,0,(VLOOKUP($D112,$C$5:$AU$836,28,)/VLOOKUP($D112,$C$5:$AU$836,3,))*$E112)</f>
        <v>0</v>
      </c>
      <c r="AE112" s="65">
        <f>IF(VLOOKUP($D112,$C$5:$AU$836,3,)=0,0,(VLOOKUP($D112,$C$5:$AU$836,29,)/VLOOKUP($D112,$C$5:$AU$836,3,))*$E112)</f>
        <v>0</v>
      </c>
      <c r="AF112" s="65">
        <f>IF(VLOOKUP($D112,$C$5:$AU$836,3,)=0,0,(VLOOKUP($D112,$C$5:$AU$836,30,)/VLOOKUP($D112,$C$5:$AU$836,3,))*$E112)</f>
        <v>0</v>
      </c>
      <c r="AG112" s="16">
        <f>SUM(F112:AF112)</f>
        <v>0</v>
      </c>
      <c r="AH112" s="14" t="str">
        <f>IF(ABS(E112-AG112)&lt;0.01,"ok","err")</f>
        <v>ok</v>
      </c>
    </row>
    <row r="113" spans="1:34" x14ac:dyDescent="0.25">
      <c r="E113" s="31"/>
    </row>
    <row r="114" spans="1:34" x14ac:dyDescent="0.25">
      <c r="A114" s="8" t="s">
        <v>662</v>
      </c>
      <c r="E114" s="31"/>
    </row>
    <row r="115" spans="1:34" x14ac:dyDescent="0.25">
      <c r="A115" s="12" t="s">
        <v>223</v>
      </c>
      <c r="C115" s="2" t="s">
        <v>242</v>
      </c>
      <c r="D115" s="2" t="s">
        <v>236</v>
      </c>
      <c r="E115" s="65">
        <f>'Functional Assignment'!AN131</f>
        <v>0</v>
      </c>
      <c r="F115" s="65">
        <f>IF(VLOOKUP($D115,$C$5:$AU$836,3,)=0,0,(VLOOKUP($D115,$C$5:$AU$836,4,)/VLOOKUP($D115,$C$5:$AU$836,3,))*$E115)</f>
        <v>0</v>
      </c>
      <c r="G115" s="65">
        <f>IF(VLOOKUP($D115,$C$5:$AU$836,3,)=0,0,(VLOOKUP($D115,$C$5:$AU$836,5,)/VLOOKUP($D115,$C$5:$AU$836,3,))*$E115)</f>
        <v>0</v>
      </c>
      <c r="H115" s="65">
        <f>IF(VLOOKUP($D115,$C$5:$AU$836,3,)=0,0,(VLOOKUP($D115,$C$5:$AU$836,6,)/VLOOKUP($D115,$C$5:$AU$836,3,))*$E115)</f>
        <v>0</v>
      </c>
      <c r="I115" s="65">
        <f>IF(VLOOKUP($D115,$C$5:$AU$836,3,)=0,0,(VLOOKUP($D115,$C$5:$AU$836,7,)/VLOOKUP($D115,$C$5:$AU$836,3,))*$E115)</f>
        <v>0</v>
      </c>
      <c r="J115" s="65">
        <f>IF(VLOOKUP($D115,$C$5:$AU$836,3,)=0,0,(VLOOKUP($D115,$C$5:$AU$836,8,)/VLOOKUP($D115,$C$5:$AU$836,3,))*$E115)</f>
        <v>0</v>
      </c>
      <c r="K115" s="65">
        <f>IF(VLOOKUP($D115,$C$5:$AU$836,3,)=0,0,(VLOOKUP($D115,$C$5:$AU$836,9,)/VLOOKUP($D115,$C$5:$AU$836,3,))*$E115)</f>
        <v>0</v>
      </c>
      <c r="L115" s="65">
        <f>IF(VLOOKUP($D115,$C$5:$AU$836,3,)=0,0,(VLOOKUP($D115,$C$5:$AU$836,10,)/VLOOKUP($D115,$C$5:$AU$836,3,))*$E115)</f>
        <v>0</v>
      </c>
      <c r="M115" s="65">
        <f>IF(VLOOKUP($D115,$C$5:$AU$836,3,)=0,0,(VLOOKUP($D115,$C$5:$AU$836,11,)/VLOOKUP($D115,$C$5:$AU$836,3,))*$E115)</f>
        <v>0</v>
      </c>
      <c r="N115" s="65">
        <f>IF(VLOOKUP($D115,$C$5:$AU$836,3,)=0,0,(VLOOKUP($D115,$C$5:$AU$836,12,)/VLOOKUP($D115,$C$5:$AU$836,3,))*$E115)</f>
        <v>0</v>
      </c>
      <c r="O115" s="65">
        <f>IF(VLOOKUP($D115,$C$5:$AU$836,3,)=0,0,(VLOOKUP($D115,$C$5:$AU$836,13,)/VLOOKUP($D115,$C$5:$AU$836,3,))*$E115)</f>
        <v>0</v>
      </c>
      <c r="P115" s="65">
        <f>IF(VLOOKUP($D115,$C$5:$AU$836,3,)=0,0,(VLOOKUP($D115,$C$5:$AU$836,14,)/VLOOKUP($D115,$C$5:$AU$836,3,))*$E115)</f>
        <v>0</v>
      </c>
      <c r="Q115" s="65">
        <f>IF(VLOOKUP($D115,$C$5:$AU$836,3,)=0,0,(VLOOKUP($D115,$C$5:$AU$836,15,)/VLOOKUP($D115,$C$5:$AU$836,3,))*$E115)</f>
        <v>0</v>
      </c>
      <c r="R115" s="65">
        <f>IF(VLOOKUP($D115,$C$5:$AU$836,3,)=0,0,(VLOOKUP($D115,$C$5:$AU$836,16,)/VLOOKUP($D115,$C$5:$AU$836,3,))*$E115)</f>
        <v>0</v>
      </c>
      <c r="S115" s="65">
        <f>IF(VLOOKUP($D115,$C$5:$AU$836,3,)=0,0,(VLOOKUP($D115,$C$5:$AU$836,17,)/VLOOKUP($D115,$C$5:$AU$836,3,))*$E115)</f>
        <v>0</v>
      </c>
      <c r="T115" s="65">
        <f>IF(VLOOKUP($D115,$C$5:$AU$836,3,)=0,0,(VLOOKUP($D115,$C$5:$AU$836,18,)/VLOOKUP($D115,$C$5:$AU$836,3,))*$E115)</f>
        <v>0</v>
      </c>
      <c r="U115" s="65">
        <f>IF(VLOOKUP($D115,$C$5:$AU$836,3,)=0,0,(VLOOKUP($D115,$C$5:$AU$836,19,)/VLOOKUP($D115,$C$5:$AU$836,3,))*$E115)</f>
        <v>0</v>
      </c>
      <c r="V115" s="65">
        <f>IF(VLOOKUP($D115,$C$5:$AU$836,3,)=0,0,(VLOOKUP($D115,$C$5:$AU$836,20,)/VLOOKUP($D115,$C$5:$AU$836,3,))*$E115)</f>
        <v>0</v>
      </c>
      <c r="W115" s="65">
        <f>IF(VLOOKUP($D115,$C$5:$AU$836,3,)=0,0,(VLOOKUP($D115,$C$5:$AU$836,21,)/VLOOKUP($D115,$C$5:$AU$836,3,))*$E115)</f>
        <v>0</v>
      </c>
      <c r="X115" s="65">
        <f>IF(VLOOKUP($D115,$C$5:$AU$836,3,)=0,0,(VLOOKUP($D115,$C$5:$AU$836,22,)/VLOOKUP($D115,$C$5:$AU$836,3,))*$E115)</f>
        <v>0</v>
      </c>
      <c r="Y115" s="65">
        <f>IF(VLOOKUP($D115,$C$5:$AU$836,3,)=0,0,(VLOOKUP($D115,$C$5:$AU$836,23,)/VLOOKUP($D115,$C$5:$AU$836,3,))*$E115)</f>
        <v>0</v>
      </c>
      <c r="Z115" s="65">
        <f>IF(VLOOKUP($D115,$C$5:$AU$836,3,)=0,0,(VLOOKUP($D115,$C$5:$AU$836,24,)/VLOOKUP($D115,$C$5:$AU$836,3,))*$E115)</f>
        <v>0</v>
      </c>
      <c r="AA115" s="65">
        <f>IF(VLOOKUP($D115,$C$5:$AU$836,3,)=0,0,(VLOOKUP($D115,$C$5:$AU$836,25,)/VLOOKUP($D115,$C$5:$AU$836,3,))*$E115)</f>
        <v>0</v>
      </c>
      <c r="AB115" s="65">
        <f>IF(VLOOKUP($D115,$C$5:$AU$836,3,)=0,0,(VLOOKUP($D115,$C$5:$AU$836,26,)/VLOOKUP($D115,$C$5:$AU$836,3,))*$E115)</f>
        <v>0</v>
      </c>
      <c r="AC115" s="65">
        <f>IF(VLOOKUP($D115,$C$5:$AU$836,3,)=0,0,(VLOOKUP($D115,$C$5:$AU$836,27,)/VLOOKUP($D115,$C$5:$AU$836,3,))*$E115)</f>
        <v>0</v>
      </c>
      <c r="AD115" s="65">
        <f>IF(VLOOKUP($D115,$C$5:$AU$836,3,)=0,0,(VLOOKUP($D115,$C$5:$AU$836,28,)/VLOOKUP($D115,$C$5:$AU$836,3,))*$E115)</f>
        <v>0</v>
      </c>
      <c r="AE115" s="65">
        <f>IF(VLOOKUP($D115,$C$5:$AU$836,3,)=0,0,(VLOOKUP($D115,$C$5:$AU$836,29,)/VLOOKUP($D115,$C$5:$AU$836,3,))*$E115)</f>
        <v>0</v>
      </c>
      <c r="AF115" s="65">
        <f>IF(VLOOKUP($D115,$C$5:$AU$836,3,)=0,0,(VLOOKUP($D115,$C$5:$AU$836,30,)/VLOOKUP($D115,$C$5:$AU$836,3,))*$E115)</f>
        <v>0</v>
      </c>
      <c r="AG115" s="16">
        <f>SUM(F115:AF115)</f>
        <v>0</v>
      </c>
      <c r="AH115" s="14" t="str">
        <f>IF(ABS(E115-AG115)&lt;0.01,"ok","err")</f>
        <v>ok</v>
      </c>
    </row>
    <row r="116" spans="1:34" x14ac:dyDescent="0.25">
      <c r="E116" s="31"/>
    </row>
    <row r="117" spans="1:34" x14ac:dyDescent="0.25">
      <c r="A117" s="2" t="s">
        <v>1</v>
      </c>
      <c r="C117" s="2" t="s">
        <v>246</v>
      </c>
      <c r="E117" s="65">
        <f>E74+E77+E80+E83+E88+E93+E98+E103+E106+E109+E112+E115</f>
        <v>197432071.78999996</v>
      </c>
      <c r="F117" s="65">
        <f t="shared" ref="F117:AF117" si="66">F74+F77+F80+F83+F88+F93+F98+F103+F106+F109+F112+F115</f>
        <v>140355911.14947784</v>
      </c>
      <c r="G117" s="65">
        <f t="shared" si="66"/>
        <v>15598562.629970834</v>
      </c>
      <c r="H117" s="65">
        <f t="shared" si="66"/>
        <v>18090616.126942743</v>
      </c>
      <c r="I117" s="65">
        <f t="shared" si="66"/>
        <v>2742763.0407270612</v>
      </c>
      <c r="J117" s="65">
        <f t="shared" si="66"/>
        <v>1827864.8621587569</v>
      </c>
      <c r="K117" s="65">
        <f t="shared" si="66"/>
        <v>18015.312947113729</v>
      </c>
      <c r="L117" s="65">
        <f t="shared" si="66"/>
        <v>270181.44946620421</v>
      </c>
      <c r="M117" s="65">
        <f t="shared" si="66"/>
        <v>4092671.4968535663</v>
      </c>
      <c r="N117" s="65">
        <f t="shared" si="66"/>
        <v>14435485.721455887</v>
      </c>
      <c r="O117" s="65">
        <f t="shared" si="66"/>
        <v>0</v>
      </c>
      <c r="P117" s="65">
        <f t="shared" si="66"/>
        <v>0</v>
      </c>
      <c r="Q117" s="65">
        <f t="shared" si="66"/>
        <v>0</v>
      </c>
      <c r="R117" s="65">
        <f t="shared" si="66"/>
        <v>0</v>
      </c>
      <c r="S117" s="65">
        <f t="shared" si="66"/>
        <v>0</v>
      </c>
      <c r="T117" s="65">
        <f t="shared" si="66"/>
        <v>0</v>
      </c>
      <c r="U117" s="65">
        <f t="shared" si="66"/>
        <v>0</v>
      </c>
      <c r="V117" s="65">
        <f t="shared" si="66"/>
        <v>0</v>
      </c>
      <c r="W117" s="65">
        <f t="shared" si="66"/>
        <v>0</v>
      </c>
      <c r="X117" s="65">
        <f t="shared" si="66"/>
        <v>0</v>
      </c>
      <c r="Y117" s="65">
        <f t="shared" si="66"/>
        <v>0</v>
      </c>
      <c r="Z117" s="65">
        <f t="shared" si="66"/>
        <v>0</v>
      </c>
      <c r="AA117" s="65">
        <f t="shared" si="66"/>
        <v>0</v>
      </c>
      <c r="AB117" s="65">
        <f t="shared" si="66"/>
        <v>0</v>
      </c>
      <c r="AC117" s="65">
        <f t="shared" si="66"/>
        <v>0</v>
      </c>
      <c r="AD117" s="65">
        <f t="shared" si="66"/>
        <v>0</v>
      </c>
      <c r="AE117" s="65">
        <f t="shared" si="66"/>
        <v>0</v>
      </c>
      <c r="AF117" s="65">
        <f t="shared" si="66"/>
        <v>0</v>
      </c>
      <c r="AG117" s="16">
        <f>SUM(F117:AF117)</f>
        <v>197432071.79000002</v>
      </c>
      <c r="AH117" s="14" t="str">
        <f>IF(ABS(E117-AG117)&lt;0.01,"ok","err")</f>
        <v>ok</v>
      </c>
    </row>
    <row r="120" spans="1:34" x14ac:dyDescent="0.25">
      <c r="A120" s="6" t="s">
        <v>247</v>
      </c>
    </row>
    <row r="122" spans="1:34" x14ac:dyDescent="0.25">
      <c r="A122" s="8" t="s">
        <v>2</v>
      </c>
    </row>
    <row r="123" spans="1:34" x14ac:dyDescent="0.25">
      <c r="A123" s="118" t="s">
        <v>214</v>
      </c>
      <c r="C123" s="2" t="s">
        <v>878</v>
      </c>
      <c r="D123" s="9" t="s">
        <v>1072</v>
      </c>
      <c r="E123" s="65">
        <f>'Functional Assignment'!H147</f>
        <v>0</v>
      </c>
      <c r="F123" s="65">
        <f t="shared" ref="F123:F129" si="67">IF(VLOOKUP($D123,$C$5:$AU$836,3,)=0,0,(VLOOKUP($D123,$C$5:$AU$836,4,)/VLOOKUP($D123,$C$5:$AU$836,3,))*$E123)</f>
        <v>0</v>
      </c>
      <c r="G123" s="65">
        <f t="shared" ref="G123:G129" si="68">IF(VLOOKUP($D123,$C$5:$AU$836,3,)=0,0,(VLOOKUP($D123,$C$5:$AU$836,5,)/VLOOKUP($D123,$C$5:$AU$836,3,))*$E123)</f>
        <v>0</v>
      </c>
      <c r="H123" s="65">
        <f t="shared" ref="H123:H129" si="69">IF(VLOOKUP($D123,$C$5:$AU$836,3,)=0,0,(VLOOKUP($D123,$C$5:$AU$836,6,)/VLOOKUP($D123,$C$5:$AU$836,3,))*$E123)</f>
        <v>0</v>
      </c>
      <c r="I123" s="65">
        <f t="shared" ref="I123:I129" si="70">IF(VLOOKUP($D123,$C$5:$AU$836,3,)=0,0,(VLOOKUP($D123,$C$5:$AU$836,7,)/VLOOKUP($D123,$C$5:$AU$836,3,))*$E123)</f>
        <v>0</v>
      </c>
      <c r="J123" s="65">
        <f t="shared" ref="J123:J129" si="71">IF(VLOOKUP($D123,$C$5:$AU$836,3,)=0,0,(VLOOKUP($D123,$C$5:$AU$836,8,)/VLOOKUP($D123,$C$5:$AU$836,3,))*$E123)</f>
        <v>0</v>
      </c>
      <c r="K123" s="65">
        <f t="shared" ref="K123:K129" si="72">IF(VLOOKUP($D123,$C$5:$AU$836,3,)=0,0,(VLOOKUP($D123,$C$5:$AU$836,9,)/VLOOKUP($D123,$C$5:$AU$836,3,))*$E123)</f>
        <v>0</v>
      </c>
      <c r="L123" s="65">
        <f t="shared" ref="L123:L129" si="73">IF(VLOOKUP($D123,$C$5:$AU$836,3,)=0,0,(VLOOKUP($D123,$C$5:$AU$836,10,)/VLOOKUP($D123,$C$5:$AU$836,3,))*$E123)</f>
        <v>0</v>
      </c>
      <c r="M123" s="65">
        <f t="shared" ref="M123:M129" si="74">IF(VLOOKUP($D123,$C$5:$AU$836,3,)=0,0,(VLOOKUP($D123,$C$5:$AU$836,11,)/VLOOKUP($D123,$C$5:$AU$836,3,))*$E123)</f>
        <v>0</v>
      </c>
      <c r="N123" s="65">
        <f t="shared" ref="N123:N129" si="75">IF(VLOOKUP($D123,$C$5:$AU$836,3,)=0,0,(VLOOKUP($D123,$C$5:$AU$836,12,)/VLOOKUP($D123,$C$5:$AU$836,3,))*$E123)</f>
        <v>0</v>
      </c>
      <c r="O123" s="65">
        <f t="shared" ref="O123:O129" si="76">IF(VLOOKUP($D123,$C$5:$AU$836,3,)=0,0,(VLOOKUP($D123,$C$5:$AU$836,13,)/VLOOKUP($D123,$C$5:$AU$836,3,))*$E123)</f>
        <v>0</v>
      </c>
      <c r="P123" s="65">
        <f t="shared" ref="P123:P129" si="77">IF(VLOOKUP($D123,$C$5:$AU$836,3,)=0,0,(VLOOKUP($D123,$C$5:$AU$836,14,)/VLOOKUP($D123,$C$5:$AU$836,3,))*$E123)</f>
        <v>0</v>
      </c>
      <c r="Q123" s="65">
        <f t="shared" ref="Q123:Q129" si="78">IF(VLOOKUP($D123,$C$5:$AU$836,3,)=0,0,(VLOOKUP($D123,$C$5:$AU$836,15,)/VLOOKUP($D123,$C$5:$AU$836,3,))*$E123)</f>
        <v>0</v>
      </c>
      <c r="R123" s="65">
        <f>IF(VLOOKUP($D123,$C$5:$AU$836,3,)=0,0,(VLOOKUP($D123,$C$5:$AU$836,16,)/VLOOKUP($D123,$C$5:$AU$836,3,))*$E123)</f>
        <v>0</v>
      </c>
      <c r="S123" s="65">
        <f>IF(VLOOKUP($D123,$C$5:$AU$836,3,)=0,0,(VLOOKUP($D123,$C$5:$AU$836,17,)/VLOOKUP($D123,$C$5:$AU$836,3,))*$E123)</f>
        <v>0</v>
      </c>
      <c r="T123" s="65">
        <f>IF(VLOOKUP($D123,$C$5:$AU$836,3,)=0,0,(VLOOKUP($D123,$C$5:$AU$836,18,)/VLOOKUP($D123,$C$5:$AU$836,3,))*$E123)</f>
        <v>0</v>
      </c>
      <c r="U123" s="65">
        <f>IF(VLOOKUP($D123,$C$5:$AU$836,3,)=0,0,(VLOOKUP($D123,$C$5:$AU$836,19,)/VLOOKUP($D123,$C$5:$AU$836,3,))*$E123)</f>
        <v>0</v>
      </c>
      <c r="V123" s="65">
        <f>IF(VLOOKUP($D123,$C$5:$AU$836,3,)=0,0,(VLOOKUP($D123,$C$5:$AU$836,20,)/VLOOKUP($D123,$C$5:$AU$836,3,))*$E123)</f>
        <v>0</v>
      </c>
      <c r="W123" s="65">
        <f>IF(VLOOKUP($D123,$C$5:$AU$836,3,)=0,0,(VLOOKUP($D123,$C$5:$AU$836,21,)/VLOOKUP($D123,$C$5:$AU$836,3,))*$E123)</f>
        <v>0</v>
      </c>
      <c r="X123" s="65">
        <f>IF(VLOOKUP($D123,$C$5:$AU$836,3,)=0,0,(VLOOKUP($D123,$C$5:$AU$836,22,)/VLOOKUP($D123,$C$5:$AU$836,3,))*$E123)</f>
        <v>0</v>
      </c>
      <c r="Y123" s="65">
        <f>IF(VLOOKUP($D123,$C$5:$AU$836,3,)=0,0,(VLOOKUP($D123,$C$5:$AU$836,23,)/VLOOKUP($D123,$C$5:$AU$836,3,))*$E123)</f>
        <v>0</v>
      </c>
      <c r="Z123" s="65">
        <f>IF(VLOOKUP($D123,$C$5:$AU$836,3,)=0,0,(VLOOKUP($D123,$C$5:$AU$836,24,)/VLOOKUP($D123,$C$5:$AU$836,3,))*$E123)</f>
        <v>0</v>
      </c>
      <c r="AA123" s="65">
        <f>IF(VLOOKUP($D123,$C$5:$AU$836,3,)=0,0,(VLOOKUP($D123,$C$5:$AU$836,25,)/VLOOKUP($D123,$C$5:$AU$836,3,))*$E123)</f>
        <v>0</v>
      </c>
      <c r="AB123" s="65">
        <f>IF(VLOOKUP($D123,$C$5:$AU$836,3,)=0,0,(VLOOKUP($D123,$C$5:$AU$836,26,)/VLOOKUP($D123,$C$5:$AU$836,3,))*$E123)</f>
        <v>0</v>
      </c>
      <c r="AC123" s="65">
        <f>IF(VLOOKUP($D123,$C$5:$AU$836,3,)=0,0,(VLOOKUP($D123,$C$5:$AU$836,27,)/VLOOKUP($D123,$C$5:$AU$836,3,))*$E123)</f>
        <v>0</v>
      </c>
      <c r="AD123" s="65">
        <f>IF(VLOOKUP($D123,$C$5:$AU$836,3,)=0,0,(VLOOKUP($D123,$C$5:$AU$836,28,)/VLOOKUP($D123,$C$5:$AU$836,3,))*$E123)</f>
        <v>0</v>
      </c>
      <c r="AE123" s="65">
        <f>IF(VLOOKUP($D123,$C$5:$AU$836,3,)=0,0,(VLOOKUP($D123,$C$5:$AU$836,29,)/VLOOKUP($D123,$C$5:$AU$836,3,))*$E123)</f>
        <v>0</v>
      </c>
      <c r="AF123" s="65">
        <f>IF(VLOOKUP($D123,$C$5:$AU$836,3,)=0,0,(VLOOKUP($D123,$C$5:$AU$836,30,)/VLOOKUP($D123,$C$5:$AU$836,3,))*$E123)</f>
        <v>0</v>
      </c>
      <c r="AG123" s="16">
        <f t="shared" ref="AG123:AG131" si="79">SUM(F123:AF123)</f>
        <v>0</v>
      </c>
      <c r="AH123" s="14" t="str">
        <f t="shared" ref="AH123:AH129" si="80">IF(ABS(E123-AG123)&lt;0.01,"ok","err")</f>
        <v>ok</v>
      </c>
    </row>
    <row r="124" spans="1:34" x14ac:dyDescent="0.25">
      <c r="A124" s="118" t="s">
        <v>1069</v>
      </c>
      <c r="C124" s="2" t="s">
        <v>708</v>
      </c>
      <c r="D124" s="2" t="s">
        <v>839</v>
      </c>
      <c r="E124" s="65">
        <f>'Functional Assignment'!I147</f>
        <v>0</v>
      </c>
      <c r="F124" s="65">
        <f t="shared" si="67"/>
        <v>0</v>
      </c>
      <c r="G124" s="65">
        <f t="shared" si="68"/>
        <v>0</v>
      </c>
      <c r="H124" s="65">
        <f t="shared" si="69"/>
        <v>0</v>
      </c>
      <c r="I124" s="65">
        <f t="shared" si="70"/>
        <v>0</v>
      </c>
      <c r="J124" s="65">
        <f t="shared" si="71"/>
        <v>0</v>
      </c>
      <c r="K124" s="65">
        <f t="shared" si="72"/>
        <v>0</v>
      </c>
      <c r="L124" s="65">
        <f t="shared" si="73"/>
        <v>0</v>
      </c>
      <c r="M124" s="65">
        <f t="shared" si="74"/>
        <v>0</v>
      </c>
      <c r="N124" s="65">
        <f t="shared" si="75"/>
        <v>0</v>
      </c>
      <c r="O124" s="65">
        <f t="shared" si="76"/>
        <v>0</v>
      </c>
      <c r="P124" s="65">
        <f t="shared" si="77"/>
        <v>0</v>
      </c>
      <c r="Q124" s="65">
        <f t="shared" si="78"/>
        <v>0</v>
      </c>
      <c r="R124" s="65">
        <f>IF(VLOOKUP($D124,$C$5:$AU$836,3,)=0,0,(VLOOKUP($D124,$C$5:$AU$836,16,)/VLOOKUP($D124,$C$5:$AU$836,3,))*$E124)</f>
        <v>0</v>
      </c>
      <c r="S124" s="65">
        <f>IF(VLOOKUP($D124,$C$5:$AU$836,3,)=0,0,(VLOOKUP($D124,$C$5:$AU$836,17,)/VLOOKUP($D124,$C$5:$AU$836,3,))*$E124)</f>
        <v>0</v>
      </c>
      <c r="T124" s="65">
        <f>IF(VLOOKUP($D124,$C$5:$AU$836,3,)=0,0,(VLOOKUP($D124,$C$5:$AU$836,18,)/VLOOKUP($D124,$C$5:$AU$836,3,))*$E124)</f>
        <v>0</v>
      </c>
      <c r="U124" s="65">
        <f>IF(VLOOKUP($D124,$C$5:$AU$836,3,)=0,0,(VLOOKUP($D124,$C$5:$AU$836,19,)/VLOOKUP($D124,$C$5:$AU$836,3,))*$E124)</f>
        <v>0</v>
      </c>
      <c r="V124" s="65">
        <f>IF(VLOOKUP($D124,$C$5:$AU$836,3,)=0,0,(VLOOKUP($D124,$C$5:$AU$836,20,)/VLOOKUP($D124,$C$5:$AU$836,3,))*$E124)</f>
        <v>0</v>
      </c>
      <c r="W124" s="65">
        <f>IF(VLOOKUP($D124,$C$5:$AU$836,3,)=0,0,(VLOOKUP($D124,$C$5:$AU$836,21,)/VLOOKUP($D124,$C$5:$AU$836,3,))*$E124)</f>
        <v>0</v>
      </c>
      <c r="X124" s="65">
        <f>IF(VLOOKUP($D124,$C$5:$AU$836,3,)=0,0,(VLOOKUP($D124,$C$5:$AU$836,22,)/VLOOKUP($D124,$C$5:$AU$836,3,))*$E124)</f>
        <v>0</v>
      </c>
      <c r="Y124" s="65">
        <f>IF(VLOOKUP($D124,$C$5:$AU$836,3,)=0,0,(VLOOKUP($D124,$C$5:$AU$836,23,)/VLOOKUP($D124,$C$5:$AU$836,3,))*$E124)</f>
        <v>0</v>
      </c>
      <c r="Z124" s="65">
        <f>IF(VLOOKUP($D124,$C$5:$AU$836,3,)=0,0,(VLOOKUP($D124,$C$5:$AU$836,24,)/VLOOKUP($D124,$C$5:$AU$836,3,))*$E124)</f>
        <v>0</v>
      </c>
      <c r="AA124" s="65">
        <f>IF(VLOOKUP($D124,$C$5:$AU$836,3,)=0,0,(VLOOKUP($D124,$C$5:$AU$836,25,)/VLOOKUP($D124,$C$5:$AU$836,3,))*$E124)</f>
        <v>0</v>
      </c>
      <c r="AB124" s="65">
        <f>IF(VLOOKUP($D124,$C$5:$AU$836,3,)=0,0,(VLOOKUP($D124,$C$5:$AU$836,26,)/VLOOKUP($D124,$C$5:$AU$836,3,))*$E124)</f>
        <v>0</v>
      </c>
      <c r="AC124" s="65">
        <f>IF(VLOOKUP($D124,$C$5:$AU$836,3,)=0,0,(VLOOKUP($D124,$C$5:$AU$836,27,)/VLOOKUP($D124,$C$5:$AU$836,3,))*$E124)</f>
        <v>0</v>
      </c>
      <c r="AD124" s="65">
        <f>IF(VLOOKUP($D124,$C$5:$AU$836,3,)=0,0,(VLOOKUP($D124,$C$5:$AU$836,28,)/VLOOKUP($D124,$C$5:$AU$836,3,))*$E124)</f>
        <v>0</v>
      </c>
      <c r="AE124" s="65">
        <f>IF(VLOOKUP($D124,$C$5:$AU$836,3,)=0,0,(VLOOKUP($D124,$C$5:$AU$836,29,)/VLOOKUP($D124,$C$5:$AU$836,3,))*$E124)</f>
        <v>0</v>
      </c>
      <c r="AF124" s="65">
        <f>IF(VLOOKUP($D124,$C$5:$AU$836,3,)=0,0,(VLOOKUP($D124,$C$5:$AU$836,30,)/VLOOKUP($D124,$C$5:$AU$836,3,))*$E124)</f>
        <v>0</v>
      </c>
      <c r="AG124" s="16">
        <f t="shared" si="79"/>
        <v>0</v>
      </c>
      <c r="AH124" s="14" t="str">
        <f t="shared" si="80"/>
        <v>ok</v>
      </c>
    </row>
    <row r="125" spans="1:34" ht="15" customHeight="1" x14ac:dyDescent="0.25">
      <c r="A125" s="118" t="s">
        <v>1070</v>
      </c>
      <c r="C125" s="2" t="s">
        <v>879</v>
      </c>
      <c r="D125" s="9" t="s">
        <v>1073</v>
      </c>
      <c r="E125" s="65">
        <f>'Functional Assignment'!J147</f>
        <v>0</v>
      </c>
      <c r="F125" s="65">
        <f t="shared" si="67"/>
        <v>0</v>
      </c>
      <c r="G125" s="65">
        <f t="shared" si="68"/>
        <v>0</v>
      </c>
      <c r="H125" s="65">
        <f t="shared" si="69"/>
        <v>0</v>
      </c>
      <c r="I125" s="65">
        <f t="shared" si="70"/>
        <v>0</v>
      </c>
      <c r="J125" s="65">
        <f t="shared" si="71"/>
        <v>0</v>
      </c>
      <c r="K125" s="65">
        <f t="shared" si="72"/>
        <v>0</v>
      </c>
      <c r="L125" s="65">
        <f t="shared" si="73"/>
        <v>0</v>
      </c>
      <c r="M125" s="65">
        <f t="shared" si="74"/>
        <v>0</v>
      </c>
      <c r="N125" s="65">
        <f t="shared" si="75"/>
        <v>0</v>
      </c>
      <c r="O125" s="65">
        <f t="shared" si="76"/>
        <v>0</v>
      </c>
      <c r="P125" s="65">
        <f t="shared" si="77"/>
        <v>0</v>
      </c>
      <c r="Q125" s="65">
        <f t="shared" si="78"/>
        <v>0</v>
      </c>
      <c r="R125" s="65">
        <f>IF(VLOOKUP($D125,$C$5:$AU$836,3,)=0,0,(VLOOKUP($D125,$C$5:$AU$836,16,)/VLOOKUP($D125,$C$5:$AU$836,3,))*$E125)</f>
        <v>0</v>
      </c>
      <c r="S125" s="65">
        <f>IF(VLOOKUP($D125,$C$5:$AU$836,3,)=0,0,(VLOOKUP($D125,$C$5:$AU$836,17,)/VLOOKUP($D125,$C$5:$AU$836,3,))*$E125)</f>
        <v>0</v>
      </c>
      <c r="T125" s="65">
        <f>IF(VLOOKUP($D125,$C$5:$AU$836,3,)=0,0,(VLOOKUP($D125,$C$5:$AU$836,18,)/VLOOKUP($D125,$C$5:$AU$836,3,))*$E125)</f>
        <v>0</v>
      </c>
      <c r="U125" s="65">
        <f>IF(VLOOKUP($D125,$C$5:$AU$836,3,)=0,0,(VLOOKUP($D125,$C$5:$AU$836,19,)/VLOOKUP($D125,$C$5:$AU$836,3,))*$E125)</f>
        <v>0</v>
      </c>
      <c r="V125" s="65">
        <f>IF(VLOOKUP($D125,$C$5:$AU$836,3,)=0,0,(VLOOKUP($D125,$C$5:$AU$836,20,)/VLOOKUP($D125,$C$5:$AU$836,3,))*$E125)</f>
        <v>0</v>
      </c>
      <c r="W125" s="65">
        <f>IF(VLOOKUP($D125,$C$5:$AU$836,3,)=0,0,(VLOOKUP($D125,$C$5:$AU$836,21,)/VLOOKUP($D125,$C$5:$AU$836,3,))*$E125)</f>
        <v>0</v>
      </c>
      <c r="X125" s="65">
        <f>IF(VLOOKUP($D125,$C$5:$AU$836,3,)=0,0,(VLOOKUP($D125,$C$5:$AU$836,22,)/VLOOKUP($D125,$C$5:$AU$836,3,))*$E125)</f>
        <v>0</v>
      </c>
      <c r="Y125" s="65">
        <f>IF(VLOOKUP($D125,$C$5:$AU$836,3,)=0,0,(VLOOKUP($D125,$C$5:$AU$836,23,)/VLOOKUP($D125,$C$5:$AU$836,3,))*$E125)</f>
        <v>0</v>
      </c>
      <c r="Z125" s="65">
        <f>IF(VLOOKUP($D125,$C$5:$AU$836,3,)=0,0,(VLOOKUP($D125,$C$5:$AU$836,24,)/VLOOKUP($D125,$C$5:$AU$836,3,))*$E125)</f>
        <v>0</v>
      </c>
      <c r="AA125" s="65">
        <f>IF(VLOOKUP($D125,$C$5:$AU$836,3,)=0,0,(VLOOKUP($D125,$C$5:$AU$836,25,)/VLOOKUP($D125,$C$5:$AU$836,3,))*$E125)</f>
        <v>0</v>
      </c>
      <c r="AB125" s="65">
        <f>IF(VLOOKUP($D125,$C$5:$AU$836,3,)=0,0,(VLOOKUP($D125,$C$5:$AU$836,26,)/VLOOKUP($D125,$C$5:$AU$836,3,))*$E125)</f>
        <v>0</v>
      </c>
      <c r="AC125" s="65">
        <f>IF(VLOOKUP($D125,$C$5:$AU$836,3,)=0,0,(VLOOKUP($D125,$C$5:$AU$836,27,)/VLOOKUP($D125,$C$5:$AU$836,3,))*$E125)</f>
        <v>0</v>
      </c>
      <c r="AD125" s="65">
        <f>IF(VLOOKUP($D125,$C$5:$AU$836,3,)=0,0,(VLOOKUP($D125,$C$5:$AU$836,28,)/VLOOKUP($D125,$C$5:$AU$836,3,))*$E125)</f>
        <v>0</v>
      </c>
      <c r="AE125" s="65">
        <f>IF(VLOOKUP($D125,$C$5:$AU$836,3,)=0,0,(VLOOKUP($D125,$C$5:$AU$836,29,)/VLOOKUP($D125,$C$5:$AU$836,3,))*$E125)</f>
        <v>0</v>
      </c>
      <c r="AF125" s="65">
        <f>IF(VLOOKUP($D125,$C$5:$AU$836,3,)=0,0,(VLOOKUP($D125,$C$5:$AU$836,30,)/VLOOKUP($D125,$C$5:$AU$836,3,))*$E125)</f>
        <v>0</v>
      </c>
      <c r="AG125" s="16">
        <f t="shared" si="79"/>
        <v>0</v>
      </c>
      <c r="AH125" s="14" t="str">
        <f t="shared" si="80"/>
        <v>ok</v>
      </c>
    </row>
    <row r="126" spans="1:34" x14ac:dyDescent="0.25">
      <c r="A126" s="118" t="s">
        <v>1071</v>
      </c>
      <c r="C126" s="2" t="s">
        <v>880</v>
      </c>
      <c r="D126" s="9" t="s">
        <v>1074</v>
      </c>
      <c r="E126" s="65">
        <f>'Functional Assignment'!K147</f>
        <v>0</v>
      </c>
      <c r="F126" s="65">
        <f t="shared" si="67"/>
        <v>0</v>
      </c>
      <c r="G126" s="65">
        <f t="shared" si="68"/>
        <v>0</v>
      </c>
      <c r="H126" s="65">
        <f t="shared" si="69"/>
        <v>0</v>
      </c>
      <c r="I126" s="65">
        <f t="shared" si="70"/>
        <v>0</v>
      </c>
      <c r="J126" s="65">
        <f t="shared" si="71"/>
        <v>0</v>
      </c>
      <c r="K126" s="65">
        <f t="shared" si="72"/>
        <v>0</v>
      </c>
      <c r="L126" s="65">
        <f t="shared" si="73"/>
        <v>0</v>
      </c>
      <c r="M126" s="65">
        <f t="shared" si="74"/>
        <v>0</v>
      </c>
      <c r="N126" s="65">
        <f t="shared" si="75"/>
        <v>0</v>
      </c>
      <c r="O126" s="65">
        <f t="shared" si="76"/>
        <v>0</v>
      </c>
      <c r="P126" s="65">
        <f t="shared" si="77"/>
        <v>0</v>
      </c>
      <c r="Q126" s="65">
        <f t="shared" si="78"/>
        <v>0</v>
      </c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16">
        <f t="shared" si="79"/>
        <v>0</v>
      </c>
      <c r="AH126" s="14" t="str">
        <f t="shared" si="80"/>
        <v>ok</v>
      </c>
    </row>
    <row r="127" spans="1:34" ht="15" customHeight="1" x14ac:dyDescent="0.25">
      <c r="A127" s="118" t="s">
        <v>1063</v>
      </c>
      <c r="C127" s="2" t="s">
        <v>248</v>
      </c>
      <c r="D127" s="2" t="s">
        <v>918</v>
      </c>
      <c r="E127" s="65">
        <f>'Functional Assignment'!L147</f>
        <v>0</v>
      </c>
      <c r="F127" s="65">
        <f t="shared" si="67"/>
        <v>0</v>
      </c>
      <c r="G127" s="65">
        <f t="shared" si="68"/>
        <v>0</v>
      </c>
      <c r="H127" s="65">
        <f t="shared" si="69"/>
        <v>0</v>
      </c>
      <c r="I127" s="65">
        <f t="shared" si="70"/>
        <v>0</v>
      </c>
      <c r="J127" s="65">
        <f t="shared" si="71"/>
        <v>0</v>
      </c>
      <c r="K127" s="65">
        <f t="shared" si="72"/>
        <v>0</v>
      </c>
      <c r="L127" s="65">
        <f t="shared" si="73"/>
        <v>0</v>
      </c>
      <c r="M127" s="65">
        <f t="shared" si="74"/>
        <v>0</v>
      </c>
      <c r="N127" s="65">
        <f t="shared" si="75"/>
        <v>0</v>
      </c>
      <c r="O127" s="65">
        <f t="shared" si="76"/>
        <v>0</v>
      </c>
      <c r="P127" s="65">
        <f t="shared" si="77"/>
        <v>0</v>
      </c>
      <c r="Q127" s="65">
        <f t="shared" si="78"/>
        <v>0</v>
      </c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16">
        <f>SUM(F127:AF127)</f>
        <v>0</v>
      </c>
      <c r="AH127" s="14" t="str">
        <f t="shared" si="80"/>
        <v>ok</v>
      </c>
    </row>
    <row r="128" spans="1:34" ht="15" customHeight="1" x14ac:dyDescent="0.25">
      <c r="A128" s="118" t="s">
        <v>1064</v>
      </c>
      <c r="C128" s="2" t="s">
        <v>881</v>
      </c>
      <c r="D128" s="2" t="s">
        <v>928</v>
      </c>
      <c r="E128" s="65">
        <f>'Functional Assignment'!M147</f>
        <v>0</v>
      </c>
      <c r="F128" s="65">
        <f t="shared" si="67"/>
        <v>0</v>
      </c>
      <c r="G128" s="65">
        <f t="shared" si="68"/>
        <v>0</v>
      </c>
      <c r="H128" s="65">
        <f t="shared" si="69"/>
        <v>0</v>
      </c>
      <c r="I128" s="65">
        <f t="shared" si="70"/>
        <v>0</v>
      </c>
      <c r="J128" s="65">
        <f t="shared" si="71"/>
        <v>0</v>
      </c>
      <c r="K128" s="65">
        <f t="shared" si="72"/>
        <v>0</v>
      </c>
      <c r="L128" s="65">
        <f t="shared" si="73"/>
        <v>0</v>
      </c>
      <c r="M128" s="65">
        <f t="shared" si="74"/>
        <v>0</v>
      </c>
      <c r="N128" s="65">
        <f t="shared" si="75"/>
        <v>0</v>
      </c>
      <c r="O128" s="65">
        <f t="shared" si="76"/>
        <v>0</v>
      </c>
      <c r="P128" s="65">
        <f t="shared" si="77"/>
        <v>0</v>
      </c>
      <c r="Q128" s="65">
        <f t="shared" si="78"/>
        <v>0</v>
      </c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16">
        <f>SUM(F128:AF128)</f>
        <v>0</v>
      </c>
      <c r="AH128" s="14" t="str">
        <f t="shared" si="80"/>
        <v>ok</v>
      </c>
    </row>
    <row r="129" spans="1:34" ht="15" customHeight="1" x14ac:dyDescent="0.25">
      <c r="A129" s="118" t="s">
        <v>790</v>
      </c>
      <c r="C129" s="2" t="s">
        <v>882</v>
      </c>
      <c r="D129" s="2" t="s">
        <v>928</v>
      </c>
      <c r="E129" s="65">
        <f>'Functional Assignment'!N147</f>
        <v>0</v>
      </c>
      <c r="F129" s="65">
        <f t="shared" si="67"/>
        <v>0</v>
      </c>
      <c r="G129" s="65">
        <f t="shared" si="68"/>
        <v>0</v>
      </c>
      <c r="H129" s="65">
        <f t="shared" si="69"/>
        <v>0</v>
      </c>
      <c r="I129" s="65">
        <f t="shared" si="70"/>
        <v>0</v>
      </c>
      <c r="J129" s="65">
        <f t="shared" si="71"/>
        <v>0</v>
      </c>
      <c r="K129" s="65">
        <f t="shared" si="72"/>
        <v>0</v>
      </c>
      <c r="L129" s="65">
        <f t="shared" si="73"/>
        <v>0</v>
      </c>
      <c r="M129" s="65">
        <f t="shared" si="74"/>
        <v>0</v>
      </c>
      <c r="N129" s="65">
        <f t="shared" si="75"/>
        <v>0</v>
      </c>
      <c r="O129" s="65">
        <f t="shared" si="76"/>
        <v>0</v>
      </c>
      <c r="P129" s="65">
        <f t="shared" si="77"/>
        <v>0</v>
      </c>
      <c r="Q129" s="65">
        <f t="shared" si="78"/>
        <v>0</v>
      </c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16">
        <f>SUM(F129:AF129)</f>
        <v>0</v>
      </c>
      <c r="AH129" s="14" t="str">
        <f t="shared" si="80"/>
        <v>ok</v>
      </c>
    </row>
    <row r="130" spans="1:34" x14ac:dyDescent="0.25">
      <c r="A130" s="12"/>
      <c r="E130" s="31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16"/>
      <c r="AH130" s="14"/>
    </row>
    <row r="131" spans="1:34" x14ac:dyDescent="0.25">
      <c r="A131" s="2" t="s">
        <v>218</v>
      </c>
      <c r="C131" s="2" t="s">
        <v>249</v>
      </c>
      <c r="E131" s="31">
        <f>SUM(E123:E130)</f>
        <v>0</v>
      </c>
      <c r="F131" s="31">
        <f t="shared" ref="F131:AF131" si="81">SUM(F123:F130)</f>
        <v>0</v>
      </c>
      <c r="G131" s="31">
        <f t="shared" si="81"/>
        <v>0</v>
      </c>
      <c r="H131" s="31">
        <f t="shared" si="81"/>
        <v>0</v>
      </c>
      <c r="I131" s="31">
        <f t="shared" si="81"/>
        <v>0</v>
      </c>
      <c r="J131" s="31">
        <f t="shared" si="81"/>
        <v>0</v>
      </c>
      <c r="K131" s="31">
        <f t="shared" si="81"/>
        <v>0</v>
      </c>
      <c r="L131" s="31">
        <f t="shared" si="81"/>
        <v>0</v>
      </c>
      <c r="M131" s="65">
        <f>SUM(M123:M130)</f>
        <v>0</v>
      </c>
      <c r="N131" s="65">
        <f>SUM(N123:N130)</f>
        <v>0</v>
      </c>
      <c r="O131" s="31">
        <f t="shared" si="81"/>
        <v>0</v>
      </c>
      <c r="P131" s="31">
        <f t="shared" si="81"/>
        <v>0</v>
      </c>
      <c r="Q131" s="31">
        <f t="shared" si="81"/>
        <v>0</v>
      </c>
      <c r="R131" s="31">
        <f t="shared" si="81"/>
        <v>0</v>
      </c>
      <c r="S131" s="31">
        <f t="shared" si="81"/>
        <v>0</v>
      </c>
      <c r="T131" s="31">
        <f t="shared" si="81"/>
        <v>0</v>
      </c>
      <c r="U131" s="31">
        <f t="shared" si="81"/>
        <v>0</v>
      </c>
      <c r="V131" s="31">
        <f t="shared" si="81"/>
        <v>0</v>
      </c>
      <c r="W131" s="31">
        <f t="shared" si="81"/>
        <v>0</v>
      </c>
      <c r="X131" s="31">
        <f t="shared" si="81"/>
        <v>0</v>
      </c>
      <c r="Y131" s="31">
        <f t="shared" si="81"/>
        <v>0</v>
      </c>
      <c r="Z131" s="31">
        <f t="shared" si="81"/>
        <v>0</v>
      </c>
      <c r="AA131" s="31">
        <f t="shared" si="81"/>
        <v>0</v>
      </c>
      <c r="AB131" s="31">
        <f t="shared" si="81"/>
        <v>0</v>
      </c>
      <c r="AC131" s="31">
        <f t="shared" si="81"/>
        <v>0</v>
      </c>
      <c r="AD131" s="31">
        <f t="shared" si="81"/>
        <v>0</v>
      </c>
      <c r="AE131" s="31">
        <f t="shared" si="81"/>
        <v>0</v>
      </c>
      <c r="AF131" s="31">
        <f t="shared" si="81"/>
        <v>0</v>
      </c>
      <c r="AG131" s="16">
        <f t="shared" si="79"/>
        <v>0</v>
      </c>
      <c r="AH131" s="14" t="str">
        <f>IF(ABS(E131-AG131)&lt;0.01,"ok","err")</f>
        <v>ok</v>
      </c>
    </row>
    <row r="132" spans="1:34" x14ac:dyDescent="0.25">
      <c r="E132" s="31"/>
      <c r="F132" s="31"/>
    </row>
    <row r="133" spans="1:34" x14ac:dyDescent="0.25">
      <c r="A133" s="7" t="s">
        <v>772</v>
      </c>
      <c r="E133" s="31"/>
      <c r="F133" s="31"/>
    </row>
    <row r="134" spans="1:34" x14ac:dyDescent="0.25">
      <c r="A134" s="12" t="s">
        <v>214</v>
      </c>
      <c r="C134" s="2" t="s">
        <v>793</v>
      </c>
      <c r="D134" s="2" t="s">
        <v>215</v>
      </c>
      <c r="E134" s="65">
        <f>'Functional Assignment'!P147</f>
        <v>0</v>
      </c>
      <c r="F134" s="65">
        <f>IF(VLOOKUP($D134,$C$5:$AU$836,3,)=0,0,(VLOOKUP($D134,$C$5:$AU$836,4,)/VLOOKUP($D134,$C$5:$AU$836,3,))*$E134)</f>
        <v>0</v>
      </c>
      <c r="G134" s="65">
        <f>IF(VLOOKUP($D134,$C$5:$AU$836,3,)=0,0,(VLOOKUP($D134,$C$5:$AU$836,5,)/VLOOKUP($D134,$C$5:$AU$836,3,))*$E134)</f>
        <v>0</v>
      </c>
      <c r="H134" s="65">
        <f>IF(VLOOKUP($D134,$C$5:$AU$836,3,)=0,0,(VLOOKUP($D134,$C$5:$AU$836,6,)/VLOOKUP($D134,$C$5:$AU$836,3,))*$E134)</f>
        <v>0</v>
      </c>
      <c r="I134" s="65">
        <f>IF(VLOOKUP($D134,$C$5:$AU$836,3,)=0,0,(VLOOKUP($D134,$C$5:$AU$836,7,)/VLOOKUP($D134,$C$5:$AU$836,3,))*$E134)</f>
        <v>0</v>
      </c>
      <c r="J134" s="65">
        <f>IF(VLOOKUP($D134,$C$5:$AU$836,3,)=0,0,(VLOOKUP($D134,$C$5:$AU$836,8,)/VLOOKUP($D134,$C$5:$AU$836,3,))*$E134)</f>
        <v>0</v>
      </c>
      <c r="K134" s="65">
        <f>IF(VLOOKUP($D134,$C$5:$AU$836,3,)=0,0,(VLOOKUP($D134,$C$5:$AU$836,9,)/VLOOKUP($D134,$C$5:$AU$836,3,))*$E134)</f>
        <v>0</v>
      </c>
      <c r="L134" s="65">
        <f>IF(VLOOKUP($D134,$C$5:$AU$836,3,)=0,0,(VLOOKUP($D134,$C$5:$AU$836,10,)/VLOOKUP($D134,$C$5:$AU$836,3,))*$E134)</f>
        <v>0</v>
      </c>
      <c r="M134" s="65">
        <f>IF(VLOOKUP($D134,$C$5:$AU$836,3,)=0,0,(VLOOKUP($D134,$C$5:$AU$836,11,)/VLOOKUP($D134,$C$5:$AU$836,3,))*$E134)</f>
        <v>0</v>
      </c>
      <c r="N134" s="65">
        <f>IF(VLOOKUP($D134,$C$5:$AU$836,3,)=0,0,(VLOOKUP($D134,$C$5:$AU$836,12,)/VLOOKUP($D134,$C$5:$AU$836,3,))*$E134)</f>
        <v>0</v>
      </c>
      <c r="O134" s="65">
        <f>IF(VLOOKUP($D134,$C$5:$AU$836,3,)=0,0,(VLOOKUP($D134,$C$5:$AU$836,13,)/VLOOKUP($D134,$C$5:$AU$836,3,))*$E134)</f>
        <v>0</v>
      </c>
      <c r="P134" s="65">
        <f>IF(VLOOKUP($D134,$C$5:$AU$836,3,)=0,0,(VLOOKUP($D134,$C$5:$AU$836,14,)/VLOOKUP($D134,$C$5:$AU$836,3,))*$E134)</f>
        <v>0</v>
      </c>
      <c r="Q134" s="65">
        <f>IF(VLOOKUP($D134,$C$5:$AU$836,3,)=0,0,(VLOOKUP($D134,$C$5:$AU$836,15,)/VLOOKUP($D134,$C$5:$AU$836,3,))*$E134)</f>
        <v>0</v>
      </c>
      <c r="R134" s="65">
        <f>IF(VLOOKUP($D134,$C$5:$AU$836,3,)=0,0,(VLOOKUP($D134,$C$5:$AU$836,16,)/VLOOKUP($D134,$C$5:$AU$836,3,))*$E134)</f>
        <v>0</v>
      </c>
      <c r="S134" s="65">
        <f>IF(VLOOKUP($D134,$C$5:$AU$836,3,)=0,0,(VLOOKUP($D134,$C$5:$AU$836,17,)/VLOOKUP($D134,$C$5:$AU$836,3,))*$E134)</f>
        <v>0</v>
      </c>
      <c r="T134" s="65">
        <f>IF(VLOOKUP($D134,$C$5:$AU$836,3,)=0,0,(VLOOKUP($D134,$C$5:$AU$836,18,)/VLOOKUP($D134,$C$5:$AU$836,3,))*$E134)</f>
        <v>0</v>
      </c>
      <c r="U134" s="65">
        <f>IF(VLOOKUP($D134,$C$5:$AU$836,3,)=0,0,(VLOOKUP($D134,$C$5:$AU$836,19,)/VLOOKUP($D134,$C$5:$AU$836,3,))*$E134)</f>
        <v>0</v>
      </c>
      <c r="V134" s="65">
        <f>IF(VLOOKUP($D134,$C$5:$AU$836,3,)=0,0,(VLOOKUP($D134,$C$5:$AU$836,20,)/VLOOKUP($D134,$C$5:$AU$836,3,))*$E134)</f>
        <v>0</v>
      </c>
      <c r="W134" s="65">
        <f>IF(VLOOKUP($D134,$C$5:$AU$836,3,)=0,0,(VLOOKUP($D134,$C$5:$AU$836,21,)/VLOOKUP($D134,$C$5:$AU$836,3,))*$E134)</f>
        <v>0</v>
      </c>
      <c r="X134" s="65">
        <f>IF(VLOOKUP($D134,$C$5:$AU$836,3,)=0,0,(VLOOKUP($D134,$C$5:$AU$836,22,)/VLOOKUP($D134,$C$5:$AU$836,3,))*$E134)</f>
        <v>0</v>
      </c>
      <c r="Y134" s="65">
        <f>IF(VLOOKUP($D134,$C$5:$AU$836,3,)=0,0,(VLOOKUP($D134,$C$5:$AU$836,23,)/VLOOKUP($D134,$C$5:$AU$836,3,))*$E134)</f>
        <v>0</v>
      </c>
      <c r="Z134" s="65">
        <f>IF(VLOOKUP($D134,$C$5:$AU$836,3,)=0,0,(VLOOKUP($D134,$C$5:$AU$836,24,)/VLOOKUP($D134,$C$5:$AU$836,3,))*$E134)</f>
        <v>0</v>
      </c>
      <c r="AA134" s="65">
        <f>IF(VLOOKUP($D134,$C$5:$AU$836,3,)=0,0,(VLOOKUP($D134,$C$5:$AU$836,25,)/VLOOKUP($D134,$C$5:$AU$836,3,))*$E134)</f>
        <v>0</v>
      </c>
      <c r="AB134" s="65">
        <f>IF(VLOOKUP($D134,$C$5:$AU$836,3,)=0,0,(VLOOKUP($D134,$C$5:$AU$836,26,)/VLOOKUP($D134,$C$5:$AU$836,3,))*$E134)</f>
        <v>0</v>
      </c>
      <c r="AC134" s="65">
        <f>IF(VLOOKUP($D134,$C$5:$AU$836,3,)=0,0,(VLOOKUP($D134,$C$5:$AU$836,27,)/VLOOKUP($D134,$C$5:$AU$836,3,))*$E134)</f>
        <v>0</v>
      </c>
      <c r="AD134" s="65">
        <f>IF(VLOOKUP($D134,$C$5:$AU$836,3,)=0,0,(VLOOKUP($D134,$C$5:$AU$836,28,)/VLOOKUP($D134,$C$5:$AU$836,3,))*$E134)</f>
        <v>0</v>
      </c>
      <c r="AE134" s="65">
        <f>IF(VLOOKUP($D134,$C$5:$AU$836,3,)=0,0,(VLOOKUP($D134,$C$5:$AU$836,29,)/VLOOKUP($D134,$C$5:$AU$836,3,))*$E134)</f>
        <v>0</v>
      </c>
      <c r="AF134" s="65">
        <f>IF(VLOOKUP($D134,$C$5:$AU$836,3,)=0,0,(VLOOKUP($D134,$C$5:$AU$836,30,)/VLOOKUP($D134,$C$5:$AU$836,3,))*$E134)</f>
        <v>0</v>
      </c>
      <c r="AG134" s="16">
        <f>SUM(F134:AF134)</f>
        <v>0</v>
      </c>
      <c r="AH134" s="14" t="str">
        <f>IF(ABS(E134-AG134)&lt;0.01,"ok","err")</f>
        <v>ok</v>
      </c>
    </row>
    <row r="135" spans="1:34" x14ac:dyDescent="0.25">
      <c r="E135" s="31"/>
      <c r="F135" s="31"/>
    </row>
    <row r="136" spans="1:34" x14ac:dyDescent="0.25">
      <c r="A136" s="7" t="s">
        <v>334</v>
      </c>
      <c r="E136" s="31"/>
      <c r="F136" s="31"/>
    </row>
    <row r="137" spans="1:34" x14ac:dyDescent="0.25">
      <c r="A137" s="12" t="s">
        <v>214</v>
      </c>
      <c r="C137" s="2" t="s">
        <v>457</v>
      </c>
      <c r="D137" s="2" t="s">
        <v>601</v>
      </c>
      <c r="E137" s="65">
        <f>'Functional Assignment'!R147</f>
        <v>0</v>
      </c>
      <c r="F137" s="65">
        <f>IF(VLOOKUP($D137,$C$5:$AU$836,3,)=0,0,(VLOOKUP($D137,$C$5:$AU$836,4,)/VLOOKUP($D137,$C$5:$AU$836,3,))*$E137)</f>
        <v>0</v>
      </c>
      <c r="G137" s="65">
        <f>IF(VLOOKUP($D137,$C$5:$AU$836,3,)=0,0,(VLOOKUP($D137,$C$5:$AU$836,5,)/VLOOKUP($D137,$C$5:$AU$836,3,))*$E137)</f>
        <v>0</v>
      </c>
      <c r="H137" s="65">
        <f>IF(VLOOKUP($D137,$C$5:$AU$836,3,)=0,0,(VLOOKUP($D137,$C$5:$AU$836,6,)/VLOOKUP($D137,$C$5:$AU$836,3,))*$E137)</f>
        <v>0</v>
      </c>
      <c r="I137" s="65">
        <f>IF(VLOOKUP($D137,$C$5:$AU$836,3,)=0,0,(VLOOKUP($D137,$C$5:$AU$836,7,)/VLOOKUP($D137,$C$5:$AU$836,3,))*$E137)</f>
        <v>0</v>
      </c>
      <c r="J137" s="65">
        <f>IF(VLOOKUP($D137,$C$5:$AU$836,3,)=0,0,(VLOOKUP($D137,$C$5:$AU$836,8,)/VLOOKUP($D137,$C$5:$AU$836,3,))*$E137)</f>
        <v>0</v>
      </c>
      <c r="K137" s="65">
        <f>IF(VLOOKUP($D137,$C$5:$AU$836,3,)=0,0,(VLOOKUP($D137,$C$5:$AU$836,9,)/VLOOKUP($D137,$C$5:$AU$836,3,))*$E137)</f>
        <v>0</v>
      </c>
      <c r="L137" s="65">
        <f>IF(VLOOKUP($D137,$C$5:$AU$836,3,)=0,0,(VLOOKUP($D137,$C$5:$AU$836,10,)/VLOOKUP($D137,$C$5:$AU$836,3,))*$E137)</f>
        <v>0</v>
      </c>
      <c r="M137" s="65">
        <f>IF(VLOOKUP($D137,$C$5:$AU$836,3,)=0,0,(VLOOKUP($D137,$C$5:$AU$836,11,)/VLOOKUP($D137,$C$5:$AU$836,3,))*$E137)</f>
        <v>0</v>
      </c>
      <c r="N137" s="65">
        <f>IF(VLOOKUP($D137,$C$5:$AU$836,3,)=0,0,(VLOOKUP($D137,$C$5:$AU$836,12,)/VLOOKUP($D137,$C$5:$AU$836,3,))*$E137)</f>
        <v>0</v>
      </c>
      <c r="O137" s="65">
        <f>IF(VLOOKUP($D137,$C$5:$AU$836,3,)=0,0,(VLOOKUP($D137,$C$5:$AU$836,13,)/VLOOKUP($D137,$C$5:$AU$836,3,))*$E137)</f>
        <v>0</v>
      </c>
      <c r="P137" s="65">
        <f>IF(VLOOKUP($D137,$C$5:$AU$836,3,)=0,0,(VLOOKUP($D137,$C$5:$AU$836,14,)/VLOOKUP($D137,$C$5:$AU$836,3,))*$E137)</f>
        <v>0</v>
      </c>
      <c r="Q137" s="65">
        <f>IF(VLOOKUP($D137,$C$5:$AU$836,3,)=0,0,(VLOOKUP($D137,$C$5:$AU$836,15,)/VLOOKUP($D137,$C$5:$AU$836,3,))*$E137)</f>
        <v>0</v>
      </c>
      <c r="R137" s="65">
        <f>IF(VLOOKUP($D137,$C$5:$AU$836,3,)=0,0,(VLOOKUP($D137,$C$5:$AU$836,16,)/VLOOKUP($D137,$C$5:$AU$836,3,))*$E137)</f>
        <v>0</v>
      </c>
      <c r="S137" s="65">
        <f>IF(VLOOKUP($D137,$C$5:$AU$836,3,)=0,0,(VLOOKUP($D137,$C$5:$AU$836,17,)/VLOOKUP($D137,$C$5:$AU$836,3,))*$E137)</f>
        <v>0</v>
      </c>
      <c r="T137" s="65">
        <f>IF(VLOOKUP($D137,$C$5:$AU$836,3,)=0,0,(VLOOKUP($D137,$C$5:$AU$836,18,)/VLOOKUP($D137,$C$5:$AU$836,3,))*$E137)</f>
        <v>0</v>
      </c>
      <c r="U137" s="65">
        <f>IF(VLOOKUP($D137,$C$5:$AU$836,3,)=0,0,(VLOOKUP($D137,$C$5:$AU$836,19,)/VLOOKUP($D137,$C$5:$AU$836,3,))*$E137)</f>
        <v>0</v>
      </c>
      <c r="V137" s="65">
        <f>IF(VLOOKUP($D137,$C$5:$AU$836,3,)=0,0,(VLOOKUP($D137,$C$5:$AU$836,20,)/VLOOKUP($D137,$C$5:$AU$836,3,))*$E137)</f>
        <v>0</v>
      </c>
      <c r="W137" s="65">
        <f>IF(VLOOKUP($D137,$C$5:$AU$836,3,)=0,0,(VLOOKUP($D137,$C$5:$AU$836,21,)/VLOOKUP($D137,$C$5:$AU$836,3,))*$E137)</f>
        <v>0</v>
      </c>
      <c r="X137" s="65">
        <f>IF(VLOOKUP($D137,$C$5:$AU$836,3,)=0,0,(VLOOKUP($D137,$C$5:$AU$836,22,)/VLOOKUP($D137,$C$5:$AU$836,3,))*$E137)</f>
        <v>0</v>
      </c>
      <c r="Y137" s="65">
        <f>IF(VLOOKUP($D137,$C$5:$AU$836,3,)=0,0,(VLOOKUP($D137,$C$5:$AU$836,23,)/VLOOKUP($D137,$C$5:$AU$836,3,))*$E137)</f>
        <v>0</v>
      </c>
      <c r="Z137" s="65">
        <f>IF(VLOOKUP($D137,$C$5:$AU$836,3,)=0,0,(VLOOKUP($D137,$C$5:$AU$836,24,)/VLOOKUP($D137,$C$5:$AU$836,3,))*$E137)</f>
        <v>0</v>
      </c>
      <c r="AA137" s="65">
        <f>IF(VLOOKUP($D137,$C$5:$AU$836,3,)=0,0,(VLOOKUP($D137,$C$5:$AU$836,25,)/VLOOKUP($D137,$C$5:$AU$836,3,))*$E137)</f>
        <v>0</v>
      </c>
      <c r="AB137" s="65">
        <f>IF(VLOOKUP($D137,$C$5:$AU$836,3,)=0,0,(VLOOKUP($D137,$C$5:$AU$836,26,)/VLOOKUP($D137,$C$5:$AU$836,3,))*$E137)</f>
        <v>0</v>
      </c>
      <c r="AC137" s="65">
        <f>IF(VLOOKUP($D137,$C$5:$AU$836,3,)=0,0,(VLOOKUP($D137,$C$5:$AU$836,27,)/VLOOKUP($D137,$C$5:$AU$836,3,))*$E137)</f>
        <v>0</v>
      </c>
      <c r="AD137" s="65">
        <f>IF(VLOOKUP($D137,$C$5:$AU$836,3,)=0,0,(VLOOKUP($D137,$C$5:$AU$836,28,)/VLOOKUP($D137,$C$5:$AU$836,3,))*$E137)</f>
        <v>0</v>
      </c>
      <c r="AE137" s="65">
        <f>IF(VLOOKUP($D137,$C$5:$AU$836,3,)=0,0,(VLOOKUP($D137,$C$5:$AU$836,29,)/VLOOKUP($D137,$C$5:$AU$836,3,))*$E137)</f>
        <v>0</v>
      </c>
      <c r="AF137" s="65">
        <f>IF(VLOOKUP($D137,$C$5:$AU$836,3,)=0,0,(VLOOKUP($D137,$C$5:$AU$836,30,)/VLOOKUP($D137,$C$5:$AU$836,3,))*$E137)</f>
        <v>0</v>
      </c>
      <c r="AG137" s="16">
        <f>SUM(F137:AF137)</f>
        <v>0</v>
      </c>
      <c r="AH137" s="14" t="str">
        <f>IF(ABS(E137-AG137)&lt;0.01,"ok","err")</f>
        <v>ok</v>
      </c>
    </row>
    <row r="138" spans="1:34" x14ac:dyDescent="0.25">
      <c r="E138" s="31"/>
      <c r="F138" s="31"/>
    </row>
    <row r="139" spans="1:34" x14ac:dyDescent="0.25">
      <c r="A139" s="8" t="s">
        <v>3</v>
      </c>
      <c r="E139" s="31"/>
      <c r="F139" s="31"/>
    </row>
    <row r="140" spans="1:34" x14ac:dyDescent="0.25">
      <c r="A140" s="12" t="s">
        <v>214</v>
      </c>
      <c r="C140" s="2" t="s">
        <v>250</v>
      </c>
      <c r="D140" s="2" t="s">
        <v>608</v>
      </c>
      <c r="E140" s="65">
        <f>'Functional Assignment'!T147</f>
        <v>732972.63011609646</v>
      </c>
      <c r="F140" s="65">
        <f>IF(VLOOKUP($D140,$C$5:$AU$836,3,)=0,0,(VLOOKUP($D140,$C$5:$AU$836,4,)/VLOOKUP($D140,$C$5:$AU$836,3,))*$E140)</f>
        <v>520964.23279167269</v>
      </c>
      <c r="G140" s="65">
        <f>IF(VLOOKUP($D140,$C$5:$AU$836,3,)=0,0,(VLOOKUP($D140,$C$5:$AU$836,5,)/VLOOKUP($D140,$C$5:$AU$836,3,))*$E140)</f>
        <v>34094.947236576452</v>
      </c>
      <c r="H140" s="65">
        <f>IF(VLOOKUP($D140,$C$5:$AU$836,3,)=0,0,(VLOOKUP($D140,$C$5:$AU$836,6,)/VLOOKUP($D140,$C$5:$AU$836,3,))*$E140)</f>
        <v>86569.513669986336</v>
      </c>
      <c r="I140" s="65">
        <f>IF(VLOOKUP($D140,$C$5:$AU$836,3,)=0,0,(VLOOKUP($D140,$C$5:$AU$836,7,)/VLOOKUP($D140,$C$5:$AU$836,3,))*$E140)</f>
        <v>8899.4417601647674</v>
      </c>
      <c r="J140" s="65">
        <f>IF(VLOOKUP($D140,$C$5:$AU$836,3,)=0,0,(VLOOKUP($D140,$C$5:$AU$836,8,)/VLOOKUP($D140,$C$5:$AU$836,3,))*$E140)</f>
        <v>8728.7675346273609</v>
      </c>
      <c r="K140" s="65">
        <f>IF(VLOOKUP($D140,$C$5:$AU$836,3,)=0,0,(VLOOKUP($D140,$C$5:$AU$836,9,)/VLOOKUP($D140,$C$5:$AU$836,3,))*$E140)</f>
        <v>4813.2791459608952</v>
      </c>
      <c r="L140" s="65">
        <f>IF(VLOOKUP($D140,$C$5:$AU$836,3,)=0,0,(VLOOKUP($D140,$C$5:$AU$836,10,)/VLOOKUP($D140,$C$5:$AU$836,3,))*$E140)</f>
        <v>33884.466018617924</v>
      </c>
      <c r="M140" s="65">
        <f>IF(VLOOKUP($D140,$C$5:$AU$836,3,)=0,0,(VLOOKUP($D140,$C$5:$AU$836,11,)/VLOOKUP($D140,$C$5:$AU$836,3,))*$E140)</f>
        <v>25455.107623099233</v>
      </c>
      <c r="N140" s="65">
        <f>IF(VLOOKUP($D140,$C$5:$AU$836,3,)=0,0,(VLOOKUP($D140,$C$5:$AU$836,12,)/VLOOKUP($D140,$C$5:$AU$836,3,))*$E140)</f>
        <v>9562.8743353905029</v>
      </c>
      <c r="O140" s="65">
        <f>IF(VLOOKUP($D140,$C$5:$AU$836,3,)=0,0,(VLOOKUP($D140,$C$5:$AU$836,13,)/VLOOKUP($D140,$C$5:$AU$836,3,))*$E140)</f>
        <v>0</v>
      </c>
      <c r="P140" s="65">
        <f>IF(VLOOKUP($D140,$C$5:$AU$836,3,)=0,0,(VLOOKUP($D140,$C$5:$AU$836,14,)/VLOOKUP($D140,$C$5:$AU$836,3,))*$E140)</f>
        <v>0</v>
      </c>
      <c r="Q140" s="65">
        <f>IF(VLOOKUP($D140,$C$5:$AU$836,3,)=0,0,(VLOOKUP($D140,$C$5:$AU$836,15,)/VLOOKUP($D140,$C$5:$AU$836,3,))*$E140)</f>
        <v>0</v>
      </c>
      <c r="R140" s="65">
        <f>IF(VLOOKUP($D140,$C$5:$AU$836,3,)=0,0,(VLOOKUP($D140,$C$5:$AU$836,16,)/VLOOKUP($D140,$C$5:$AU$836,3,))*$E140)</f>
        <v>0</v>
      </c>
      <c r="S140" s="65">
        <f>IF(VLOOKUP($D140,$C$5:$AU$836,3,)=0,0,(VLOOKUP($D140,$C$5:$AU$836,17,)/VLOOKUP($D140,$C$5:$AU$836,3,))*$E140)</f>
        <v>0</v>
      </c>
      <c r="T140" s="65">
        <f>IF(VLOOKUP($D140,$C$5:$AU$836,3,)=0,0,(VLOOKUP($D140,$C$5:$AU$836,18,)/VLOOKUP($D140,$C$5:$AU$836,3,))*$E140)</f>
        <v>0</v>
      </c>
      <c r="U140" s="65">
        <f>IF(VLOOKUP($D140,$C$5:$AU$836,3,)=0,0,(VLOOKUP($D140,$C$5:$AU$836,19,)/VLOOKUP($D140,$C$5:$AU$836,3,))*$E140)</f>
        <v>0</v>
      </c>
      <c r="V140" s="65">
        <f>IF(VLOOKUP($D140,$C$5:$AU$836,3,)=0,0,(VLOOKUP($D140,$C$5:$AU$836,20,)/VLOOKUP($D140,$C$5:$AU$836,3,))*$E140)</f>
        <v>0</v>
      </c>
      <c r="W140" s="65">
        <f>IF(VLOOKUP($D140,$C$5:$AU$836,3,)=0,0,(VLOOKUP($D140,$C$5:$AU$836,21,)/VLOOKUP($D140,$C$5:$AU$836,3,))*$E140)</f>
        <v>0</v>
      </c>
      <c r="X140" s="65">
        <f>IF(VLOOKUP($D140,$C$5:$AU$836,3,)=0,0,(VLOOKUP($D140,$C$5:$AU$836,22,)/VLOOKUP($D140,$C$5:$AU$836,3,))*$E140)</f>
        <v>0</v>
      </c>
      <c r="Y140" s="65">
        <f>IF(VLOOKUP($D140,$C$5:$AU$836,3,)=0,0,(VLOOKUP($D140,$C$5:$AU$836,23,)/VLOOKUP($D140,$C$5:$AU$836,3,))*$E140)</f>
        <v>0</v>
      </c>
      <c r="Z140" s="65">
        <f>IF(VLOOKUP($D140,$C$5:$AU$836,3,)=0,0,(VLOOKUP($D140,$C$5:$AU$836,24,)/VLOOKUP($D140,$C$5:$AU$836,3,))*$E140)</f>
        <v>0</v>
      </c>
      <c r="AA140" s="65">
        <f>IF(VLOOKUP($D140,$C$5:$AU$836,3,)=0,0,(VLOOKUP($D140,$C$5:$AU$836,25,)/VLOOKUP($D140,$C$5:$AU$836,3,))*$E140)</f>
        <v>0</v>
      </c>
      <c r="AB140" s="65">
        <f>IF(VLOOKUP($D140,$C$5:$AU$836,3,)=0,0,(VLOOKUP($D140,$C$5:$AU$836,26,)/VLOOKUP($D140,$C$5:$AU$836,3,))*$E140)</f>
        <v>0</v>
      </c>
      <c r="AC140" s="65">
        <f>IF(VLOOKUP($D140,$C$5:$AU$836,3,)=0,0,(VLOOKUP($D140,$C$5:$AU$836,27,)/VLOOKUP($D140,$C$5:$AU$836,3,))*$E140)</f>
        <v>0</v>
      </c>
      <c r="AD140" s="65">
        <f>IF(VLOOKUP($D140,$C$5:$AU$836,3,)=0,0,(VLOOKUP($D140,$C$5:$AU$836,28,)/VLOOKUP($D140,$C$5:$AU$836,3,))*$E140)</f>
        <v>0</v>
      </c>
      <c r="AE140" s="65">
        <f>IF(VLOOKUP($D140,$C$5:$AU$836,3,)=0,0,(VLOOKUP($D140,$C$5:$AU$836,29,)/VLOOKUP($D140,$C$5:$AU$836,3,))*$E140)</f>
        <v>0</v>
      </c>
      <c r="AF140" s="65">
        <f>IF(VLOOKUP($D140,$C$5:$AU$836,3,)=0,0,(VLOOKUP($D140,$C$5:$AU$836,30,)/VLOOKUP($D140,$C$5:$AU$836,3,))*$E140)</f>
        <v>0</v>
      </c>
      <c r="AG140" s="16">
        <f>SUM(F140:AF140)</f>
        <v>732972.63011609635</v>
      </c>
      <c r="AH140" s="14" t="str">
        <f>IF(ABS(E140-AG140)&lt;0.01,"ok","err")</f>
        <v>ok</v>
      </c>
    </row>
    <row r="141" spans="1:34" x14ac:dyDescent="0.25">
      <c r="E141" s="31"/>
    </row>
    <row r="142" spans="1:34" x14ac:dyDescent="0.25">
      <c r="A142" s="8" t="s">
        <v>4</v>
      </c>
      <c r="E142" s="31"/>
    </row>
    <row r="143" spans="1:34" x14ac:dyDescent="0.25">
      <c r="A143" s="12" t="s">
        <v>214</v>
      </c>
      <c r="C143" s="2" t="s">
        <v>803</v>
      </c>
      <c r="D143" s="9" t="s">
        <v>748</v>
      </c>
      <c r="E143" s="65">
        <f>'Functional Assignment'!V147</f>
        <v>71411348.167887449</v>
      </c>
      <c r="F143" s="65">
        <f>IF(VLOOKUP($D143,$C$5:$AU$836,3,)=0,0,(VLOOKUP($D143,$C$5:$AU$836,4,)/VLOOKUP($D143,$C$5:$AU$836,3,))*$E143)</f>
        <v>45948062.056673646</v>
      </c>
      <c r="G143" s="65">
        <f>IF(VLOOKUP($D143,$C$5:$AU$836,3,)=0,0,(VLOOKUP($D143,$C$5:$AU$836,5,)/VLOOKUP($D143,$C$5:$AU$836,3,))*$E143)</f>
        <v>3969385.1933490275</v>
      </c>
      <c r="H143" s="65">
        <f>IF(VLOOKUP($D143,$C$5:$AU$836,3,)=0,0,(VLOOKUP($D143,$C$5:$AU$836,6,)/VLOOKUP($D143,$C$5:$AU$836,3,))*$E143)</f>
        <v>13743481.883616002</v>
      </c>
      <c r="I143" s="65">
        <f>IF(VLOOKUP($D143,$C$5:$AU$836,3,)=0,0,(VLOOKUP($D143,$C$5:$AU$836,7,)/VLOOKUP($D143,$C$5:$AU$836,3,))*$E143)</f>
        <v>1350052.0220520305</v>
      </c>
      <c r="J143" s="65">
        <f>IF(VLOOKUP($D143,$C$5:$AU$836,3,)=0,0,(VLOOKUP($D143,$C$5:$AU$836,8,)/VLOOKUP($D143,$C$5:$AU$836,3,))*$E143)</f>
        <v>1385749.4791499339</v>
      </c>
      <c r="K143" s="65">
        <f>IF(VLOOKUP($D143,$C$5:$AU$836,3,)=0,0,(VLOOKUP($D143,$C$5:$AU$836,9,)/VLOOKUP($D143,$C$5:$AU$836,3,))*$E143)</f>
        <v>6476.0839479251954</v>
      </c>
      <c r="L143" s="65">
        <f>IF(VLOOKUP($D143,$C$5:$AU$836,3,)=0,0,(VLOOKUP($D143,$C$5:$AU$836,10,)/VLOOKUP($D143,$C$5:$AU$836,3,))*$E143)</f>
        <v>123547.57540364069</v>
      </c>
      <c r="M143" s="65">
        <f>IF(VLOOKUP($D143,$C$5:$AU$836,3,)=0,0,(VLOOKUP($D143,$C$5:$AU$836,11,)/VLOOKUP($D143,$C$5:$AU$836,3,))*$E143)</f>
        <v>4041166.4064233969</v>
      </c>
      <c r="N143" s="65">
        <f>IF(VLOOKUP($D143,$C$5:$AU$836,3,)=0,0,(VLOOKUP($D143,$C$5:$AU$836,12,)/VLOOKUP($D143,$C$5:$AU$836,3,))*$E143)</f>
        <v>843427.46727183391</v>
      </c>
      <c r="O143" s="65">
        <f>IF(VLOOKUP($D143,$C$5:$AU$836,3,)=0,0,(VLOOKUP($D143,$C$5:$AU$836,13,)/VLOOKUP($D143,$C$5:$AU$836,3,))*$E143)</f>
        <v>0</v>
      </c>
      <c r="P143" s="65">
        <f>IF(VLOOKUP($D143,$C$5:$AU$836,3,)=0,0,(VLOOKUP($D143,$C$5:$AU$836,14,)/VLOOKUP($D143,$C$5:$AU$836,3,))*$E143)</f>
        <v>0</v>
      </c>
      <c r="Q143" s="65">
        <f>IF(VLOOKUP($D143,$C$5:$AU$836,3,)=0,0,(VLOOKUP($D143,$C$5:$AU$836,15,)/VLOOKUP($D143,$C$5:$AU$836,3,))*$E143)</f>
        <v>0</v>
      </c>
      <c r="R143" s="65">
        <f>IF(VLOOKUP($D143,$C$5:$AU$836,3,)=0,0,(VLOOKUP($D143,$C$5:$AU$836,16,)/VLOOKUP($D143,$C$5:$AU$836,3,))*$E143)</f>
        <v>0</v>
      </c>
      <c r="S143" s="65">
        <f>IF(VLOOKUP($D143,$C$5:$AU$836,3,)=0,0,(VLOOKUP($D143,$C$5:$AU$836,17,)/VLOOKUP($D143,$C$5:$AU$836,3,))*$E143)</f>
        <v>0</v>
      </c>
      <c r="T143" s="65">
        <f>IF(VLOOKUP($D143,$C$5:$AU$836,3,)=0,0,(VLOOKUP($D143,$C$5:$AU$836,18,)/VLOOKUP($D143,$C$5:$AU$836,3,))*$E143)</f>
        <v>0</v>
      </c>
      <c r="U143" s="65">
        <f>IF(VLOOKUP($D143,$C$5:$AU$836,3,)=0,0,(VLOOKUP($D143,$C$5:$AU$836,19,)/VLOOKUP($D143,$C$5:$AU$836,3,))*$E143)</f>
        <v>0</v>
      </c>
      <c r="V143" s="65">
        <f>IF(VLOOKUP($D143,$C$5:$AU$836,3,)=0,0,(VLOOKUP($D143,$C$5:$AU$836,20,)/VLOOKUP($D143,$C$5:$AU$836,3,))*$E143)</f>
        <v>0</v>
      </c>
      <c r="W143" s="65">
        <f>IF(VLOOKUP($D143,$C$5:$AU$836,3,)=0,0,(VLOOKUP($D143,$C$5:$AU$836,21,)/VLOOKUP($D143,$C$5:$AU$836,3,))*$E143)</f>
        <v>0</v>
      </c>
      <c r="X143" s="65">
        <f>IF(VLOOKUP($D143,$C$5:$AU$836,3,)=0,0,(VLOOKUP($D143,$C$5:$AU$836,22,)/VLOOKUP($D143,$C$5:$AU$836,3,))*$E143)</f>
        <v>0</v>
      </c>
      <c r="Y143" s="65">
        <f>IF(VLOOKUP($D143,$C$5:$AU$836,3,)=0,0,(VLOOKUP($D143,$C$5:$AU$836,23,)/VLOOKUP($D143,$C$5:$AU$836,3,))*$E143)</f>
        <v>0</v>
      </c>
      <c r="Z143" s="65">
        <f>IF(VLOOKUP($D143,$C$5:$AU$836,3,)=0,0,(VLOOKUP($D143,$C$5:$AU$836,24,)/VLOOKUP($D143,$C$5:$AU$836,3,))*$E143)</f>
        <v>0</v>
      </c>
      <c r="AA143" s="65">
        <f>IF(VLOOKUP($D143,$C$5:$AU$836,3,)=0,0,(VLOOKUP($D143,$C$5:$AU$836,25,)/VLOOKUP($D143,$C$5:$AU$836,3,))*$E143)</f>
        <v>0</v>
      </c>
      <c r="AB143" s="65">
        <f>IF(VLOOKUP($D143,$C$5:$AU$836,3,)=0,0,(VLOOKUP($D143,$C$5:$AU$836,26,)/VLOOKUP($D143,$C$5:$AU$836,3,))*$E143)</f>
        <v>0</v>
      </c>
      <c r="AC143" s="65">
        <f>IF(VLOOKUP($D143,$C$5:$AU$836,3,)=0,0,(VLOOKUP($D143,$C$5:$AU$836,27,)/VLOOKUP($D143,$C$5:$AU$836,3,))*$E143)</f>
        <v>0</v>
      </c>
      <c r="AD143" s="65">
        <f>IF(VLOOKUP($D143,$C$5:$AU$836,3,)=0,0,(VLOOKUP($D143,$C$5:$AU$836,28,)/VLOOKUP($D143,$C$5:$AU$836,3,))*$E143)</f>
        <v>0</v>
      </c>
      <c r="AE143" s="65">
        <f>IF(VLOOKUP($D143,$C$5:$AU$836,3,)=0,0,(VLOOKUP($D143,$C$5:$AU$836,29,)/VLOOKUP($D143,$C$5:$AU$836,3,))*$E143)</f>
        <v>0</v>
      </c>
      <c r="AF143" s="65">
        <f>IF(VLOOKUP($D143,$C$5:$AU$836,3,)=0,0,(VLOOKUP($D143,$C$5:$AU$836,30,)/VLOOKUP($D143,$C$5:$AU$836,3,))*$E143)</f>
        <v>0</v>
      </c>
      <c r="AG143" s="16">
        <f>SUM(F143:AF143)</f>
        <v>71411348.167887434</v>
      </c>
      <c r="AH143" s="14" t="str">
        <f>IF(ABS(E143-AG143)&lt;0.01,"ok","err")</f>
        <v>ok</v>
      </c>
    </row>
    <row r="144" spans="1:34" x14ac:dyDescent="0.25">
      <c r="A144" s="12" t="s">
        <v>223</v>
      </c>
      <c r="C144" s="2" t="s">
        <v>804</v>
      </c>
      <c r="D144" s="9" t="s">
        <v>759</v>
      </c>
      <c r="E144" s="65">
        <f>'Functional Assignment'!W147</f>
        <v>35118872.348068282</v>
      </c>
      <c r="F144" s="65">
        <f>IF(VLOOKUP($D144,$C$5:$AU$836,3,)=0,0,(VLOOKUP($D144,$C$5:$AU$836,4,)/VLOOKUP($D144,$C$5:$AU$836,3,))*$E144)</f>
        <v>32197594.406407252</v>
      </c>
      <c r="G144" s="65">
        <f>IF(VLOOKUP($D144,$C$5:$AU$836,3,)=0,0,(VLOOKUP($D144,$C$5:$AU$836,5,)/VLOOKUP($D144,$C$5:$AU$836,3,))*$E144)</f>
        <v>2309542.8347015535</v>
      </c>
      <c r="H144" s="65">
        <f>IF(VLOOKUP($D144,$C$5:$AU$836,3,)=0,0,(VLOOKUP($D144,$C$5:$AU$836,6,)/VLOOKUP($D144,$C$5:$AU$836,3,))*$E144)</f>
        <v>225656.69955288668</v>
      </c>
      <c r="I144" s="65">
        <f>IF(VLOOKUP($D144,$C$5:$AU$836,3,)=0,0,(VLOOKUP($D144,$C$5:$AU$836,7,)/VLOOKUP($D144,$C$5:$AU$836,3,))*$E144)</f>
        <v>85066.972517679635</v>
      </c>
      <c r="J144" s="65">
        <f>IF(VLOOKUP($D144,$C$5:$AU$836,3,)=0,0,(VLOOKUP($D144,$C$5:$AU$836,8,)/VLOOKUP($D144,$C$5:$AU$836,3,))*$E144)</f>
        <v>8659.5121724584042</v>
      </c>
      <c r="K144" s="65">
        <f>IF(VLOOKUP($D144,$C$5:$AU$836,3,)=0,0,(VLOOKUP($D144,$C$5:$AU$836,9,)/VLOOKUP($D144,$C$5:$AU$836,3,))*$E144)</f>
        <v>509.38306896814146</v>
      </c>
      <c r="L144" s="65">
        <f>IF(VLOOKUP($D144,$C$5:$AU$836,3,)=0,0,(VLOOKUP($D144,$C$5:$AU$836,10,)/VLOOKUP($D144,$C$5:$AU$836,3,))*$E144)</f>
        <v>1018.7661379362829</v>
      </c>
      <c r="M144" s="65">
        <f>IF(VLOOKUP($D144,$C$5:$AU$836,3,)=0,0,(VLOOKUP($D144,$C$5:$AU$836,11,)/VLOOKUP($D144,$C$5:$AU$836,3,))*$E144)</f>
        <v>4075.0645517451317</v>
      </c>
      <c r="N144" s="65">
        <f>IF(VLOOKUP($D144,$C$5:$AU$836,3,)=0,0,(VLOOKUP($D144,$C$5:$AU$836,12,)/VLOOKUP($D144,$C$5:$AU$836,3,))*$E144)</f>
        <v>286748.70895779907</v>
      </c>
      <c r="O144" s="65">
        <f>IF(VLOOKUP($D144,$C$5:$AU$836,3,)=0,0,(VLOOKUP($D144,$C$5:$AU$836,13,)/VLOOKUP($D144,$C$5:$AU$836,3,))*$E144)</f>
        <v>0</v>
      </c>
      <c r="P144" s="65">
        <f>IF(VLOOKUP($D144,$C$5:$AU$836,3,)=0,0,(VLOOKUP($D144,$C$5:$AU$836,14,)/VLOOKUP($D144,$C$5:$AU$836,3,))*$E144)</f>
        <v>0</v>
      </c>
      <c r="Q144" s="65">
        <f>IF(VLOOKUP($D144,$C$5:$AU$836,3,)=0,0,(VLOOKUP($D144,$C$5:$AU$836,15,)/VLOOKUP($D144,$C$5:$AU$836,3,))*$E144)</f>
        <v>0</v>
      </c>
      <c r="R144" s="65">
        <f>IF(VLOOKUP($D144,$C$5:$AU$836,3,)=0,0,(VLOOKUP($D144,$C$5:$AU$836,16,)/VLOOKUP($D144,$C$5:$AU$836,3,))*$E144)</f>
        <v>0</v>
      </c>
      <c r="S144" s="65">
        <f>IF(VLOOKUP($D144,$C$5:$AU$836,3,)=0,0,(VLOOKUP($D144,$C$5:$AU$836,17,)/VLOOKUP($D144,$C$5:$AU$836,3,))*$E144)</f>
        <v>0</v>
      </c>
      <c r="T144" s="65">
        <f>IF(VLOOKUP($D144,$C$5:$AU$836,3,)=0,0,(VLOOKUP($D144,$C$5:$AU$836,18,)/VLOOKUP($D144,$C$5:$AU$836,3,))*$E144)</f>
        <v>0</v>
      </c>
      <c r="U144" s="65">
        <f>IF(VLOOKUP($D144,$C$5:$AU$836,3,)=0,0,(VLOOKUP($D144,$C$5:$AU$836,19,)/VLOOKUP($D144,$C$5:$AU$836,3,))*$E144)</f>
        <v>0</v>
      </c>
      <c r="V144" s="65">
        <f>IF(VLOOKUP($D144,$C$5:$AU$836,3,)=0,0,(VLOOKUP($D144,$C$5:$AU$836,20,)/VLOOKUP($D144,$C$5:$AU$836,3,))*$E144)</f>
        <v>0</v>
      </c>
      <c r="W144" s="65">
        <f>IF(VLOOKUP($D144,$C$5:$AU$836,3,)=0,0,(VLOOKUP($D144,$C$5:$AU$836,21,)/VLOOKUP($D144,$C$5:$AU$836,3,))*$E144)</f>
        <v>0</v>
      </c>
      <c r="X144" s="65">
        <f>IF(VLOOKUP($D144,$C$5:$AU$836,3,)=0,0,(VLOOKUP($D144,$C$5:$AU$836,22,)/VLOOKUP($D144,$C$5:$AU$836,3,))*$E144)</f>
        <v>0</v>
      </c>
      <c r="Y144" s="65">
        <f>IF(VLOOKUP($D144,$C$5:$AU$836,3,)=0,0,(VLOOKUP($D144,$C$5:$AU$836,23,)/VLOOKUP($D144,$C$5:$AU$836,3,))*$E144)</f>
        <v>0</v>
      </c>
      <c r="Z144" s="65">
        <f>IF(VLOOKUP($D144,$C$5:$AU$836,3,)=0,0,(VLOOKUP($D144,$C$5:$AU$836,24,)/VLOOKUP($D144,$C$5:$AU$836,3,))*$E144)</f>
        <v>0</v>
      </c>
      <c r="AA144" s="65">
        <f>IF(VLOOKUP($D144,$C$5:$AU$836,3,)=0,0,(VLOOKUP($D144,$C$5:$AU$836,25,)/VLOOKUP($D144,$C$5:$AU$836,3,))*$E144)</f>
        <v>0</v>
      </c>
      <c r="AB144" s="65">
        <f>IF(VLOOKUP($D144,$C$5:$AU$836,3,)=0,0,(VLOOKUP($D144,$C$5:$AU$836,26,)/VLOOKUP($D144,$C$5:$AU$836,3,))*$E144)</f>
        <v>0</v>
      </c>
      <c r="AC144" s="65">
        <f>IF(VLOOKUP($D144,$C$5:$AU$836,3,)=0,0,(VLOOKUP($D144,$C$5:$AU$836,27,)/VLOOKUP($D144,$C$5:$AU$836,3,))*$E144)</f>
        <v>0</v>
      </c>
      <c r="AD144" s="65">
        <f>IF(VLOOKUP($D144,$C$5:$AU$836,3,)=0,0,(VLOOKUP($D144,$C$5:$AU$836,28,)/VLOOKUP($D144,$C$5:$AU$836,3,))*$E144)</f>
        <v>0</v>
      </c>
      <c r="AE144" s="65">
        <f>IF(VLOOKUP($D144,$C$5:$AU$836,3,)=0,0,(VLOOKUP($D144,$C$5:$AU$836,29,)/VLOOKUP($D144,$C$5:$AU$836,3,))*$E144)</f>
        <v>0</v>
      </c>
      <c r="AF144" s="65">
        <f>IF(VLOOKUP($D144,$C$5:$AU$836,3,)=0,0,(VLOOKUP($D144,$C$5:$AU$836,30,)/VLOOKUP($D144,$C$5:$AU$836,3,))*$E144)</f>
        <v>0</v>
      </c>
      <c r="AG144" s="16">
        <f>SUM(F144:AF144)</f>
        <v>35118872.348068282</v>
      </c>
      <c r="AH144" s="14" t="str">
        <f>IF(ABS(E144-AG144)&lt;0.01,"ok","err")</f>
        <v>ok</v>
      </c>
    </row>
    <row r="145" spans="1:34" x14ac:dyDescent="0.25">
      <c r="A145" s="2" t="s">
        <v>224</v>
      </c>
      <c r="E145" s="65">
        <f t="shared" ref="E145:N145" si="82">E143+E144</f>
        <v>106530220.51595573</v>
      </c>
      <c r="F145" s="65">
        <f t="shared" si="82"/>
        <v>78145656.463080898</v>
      </c>
      <c r="G145" s="65">
        <f t="shared" si="82"/>
        <v>6278928.028050581</v>
      </c>
      <c r="H145" s="65">
        <f t="shared" si="82"/>
        <v>13969138.583168888</v>
      </c>
      <c r="I145" s="65">
        <f t="shared" si="82"/>
        <v>1435118.9945697102</v>
      </c>
      <c r="J145" s="65">
        <f t="shared" si="82"/>
        <v>1394408.9913223924</v>
      </c>
      <c r="K145" s="65">
        <f t="shared" si="82"/>
        <v>6985.4670168933371</v>
      </c>
      <c r="L145" s="65">
        <f t="shared" si="82"/>
        <v>124566.34154157697</v>
      </c>
      <c r="M145" s="65">
        <f t="shared" si="82"/>
        <v>4045241.470975142</v>
      </c>
      <c r="N145" s="65">
        <f t="shared" si="82"/>
        <v>1130176.1762296329</v>
      </c>
      <c r="O145" s="65">
        <f t="shared" ref="O145:T145" si="83">O143+O144</f>
        <v>0</v>
      </c>
      <c r="P145" s="65">
        <f t="shared" si="83"/>
        <v>0</v>
      </c>
      <c r="Q145" s="65">
        <f t="shared" si="83"/>
        <v>0</v>
      </c>
      <c r="R145" s="65">
        <f t="shared" si="83"/>
        <v>0</v>
      </c>
      <c r="S145" s="65">
        <f t="shared" si="83"/>
        <v>0</v>
      </c>
      <c r="T145" s="65">
        <f t="shared" si="83"/>
        <v>0</v>
      </c>
      <c r="U145" s="65">
        <f t="shared" ref="U145:AF145" si="84">U143+U144</f>
        <v>0</v>
      </c>
      <c r="V145" s="65">
        <f t="shared" si="84"/>
        <v>0</v>
      </c>
      <c r="W145" s="65">
        <f t="shared" si="84"/>
        <v>0</v>
      </c>
      <c r="X145" s="65">
        <f t="shared" si="84"/>
        <v>0</v>
      </c>
      <c r="Y145" s="65">
        <f t="shared" si="84"/>
        <v>0</v>
      </c>
      <c r="Z145" s="65">
        <f t="shared" si="84"/>
        <v>0</v>
      </c>
      <c r="AA145" s="65">
        <f t="shared" si="84"/>
        <v>0</v>
      </c>
      <c r="AB145" s="65">
        <f t="shared" si="84"/>
        <v>0</v>
      </c>
      <c r="AC145" s="65">
        <f t="shared" si="84"/>
        <v>0</v>
      </c>
      <c r="AD145" s="65">
        <f t="shared" si="84"/>
        <v>0</v>
      </c>
      <c r="AE145" s="65">
        <f t="shared" si="84"/>
        <v>0</v>
      </c>
      <c r="AF145" s="65">
        <f t="shared" si="84"/>
        <v>0</v>
      </c>
      <c r="AG145" s="16">
        <f>SUM(F145:AF145)</f>
        <v>106530220.51595572</v>
      </c>
      <c r="AH145" s="14" t="str">
        <f>IF(ABS(E145-AG145)&lt;0.01,"ok","err")</f>
        <v>ok</v>
      </c>
    </row>
    <row r="146" spans="1:34" x14ac:dyDescent="0.2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16"/>
      <c r="AH146" s="14"/>
    </row>
    <row r="147" spans="1:34" x14ac:dyDescent="0.25">
      <c r="A147" s="7" t="s">
        <v>734</v>
      </c>
      <c r="E147" s="31"/>
    </row>
    <row r="148" spans="1:34" x14ac:dyDescent="0.25">
      <c r="A148" s="12" t="s">
        <v>214</v>
      </c>
      <c r="C148" s="2" t="s">
        <v>805</v>
      </c>
      <c r="D148" s="9" t="s">
        <v>753</v>
      </c>
      <c r="E148" s="65">
        <f>'Functional Assignment'!Y147</f>
        <v>7934594.2408763822</v>
      </c>
      <c r="F148" s="65">
        <f>IF(VLOOKUP($D148,$C$5:$AU$836,3,)=0,0,(VLOOKUP($D148,$C$5:$AU$836,4,)/VLOOKUP($D148,$C$5:$AU$836,3,))*$E148)</f>
        <v>5195070.1463692961</v>
      </c>
      <c r="G148" s="65">
        <f>IF(VLOOKUP($D148,$C$5:$AU$836,3,)=0,0,(VLOOKUP($D148,$C$5:$AU$836,5,)/VLOOKUP($D148,$C$5:$AU$836,3,))*$E148)</f>
        <v>1071303.4277041042</v>
      </c>
      <c r="H148" s="65">
        <f>IF(VLOOKUP($D148,$C$5:$AU$836,3,)=0,0,(VLOOKUP($D148,$C$5:$AU$836,6,)/VLOOKUP($D148,$C$5:$AU$836,3,))*$E148)</f>
        <v>1108977.6337275123</v>
      </c>
      <c r="I148" s="65">
        <f>IF(VLOOKUP($D148,$C$5:$AU$836,3,)=0,0,(VLOOKUP($D148,$C$5:$AU$836,7,)/VLOOKUP($D148,$C$5:$AU$836,3,))*$E148)</f>
        <v>381642.05431968078</v>
      </c>
      <c r="J148" s="65">
        <f>IF(VLOOKUP($D148,$C$5:$AU$836,3,)=0,0,(VLOOKUP($D148,$C$5:$AU$836,8,)/VLOOKUP($D148,$C$5:$AU$836,3,))*$E148)</f>
        <v>140802.32970034078</v>
      </c>
      <c r="K148" s="65">
        <f>IF(VLOOKUP($D148,$C$5:$AU$836,3,)=0,0,(VLOOKUP($D148,$C$5:$AU$836,9,)/VLOOKUP($D148,$C$5:$AU$836,3,))*$E148)</f>
        <v>0</v>
      </c>
      <c r="L148" s="65">
        <f>IF(VLOOKUP($D148,$C$5:$AU$836,3,)=0,0,(VLOOKUP($D148,$C$5:$AU$836,10,)/VLOOKUP($D148,$C$5:$AU$836,3,))*$E148)</f>
        <v>0</v>
      </c>
      <c r="M148" s="65">
        <f>IF(VLOOKUP($D148,$C$5:$AU$836,3,)=0,0,(VLOOKUP($D148,$C$5:$AU$836,11,)/VLOOKUP($D148,$C$5:$AU$836,3,))*$E148)</f>
        <v>0</v>
      </c>
      <c r="N148" s="65">
        <f>IF(VLOOKUP($D148,$C$5:$AU$836,3,)=0,0,(VLOOKUP($D148,$C$5:$AU$836,12,)/VLOOKUP($D148,$C$5:$AU$836,3,))*$E148)</f>
        <v>36798.649055447429</v>
      </c>
      <c r="O148" s="65">
        <f>IF(VLOOKUP($D148,$C$5:$AU$836,3,)=0,0,(VLOOKUP($D148,$C$5:$AU$836,13,)/VLOOKUP($D148,$C$5:$AU$836,3,))*$E148)</f>
        <v>0</v>
      </c>
      <c r="P148" s="65">
        <f>IF(VLOOKUP($D148,$C$5:$AU$836,3,)=0,0,(VLOOKUP($D148,$C$5:$AU$836,14,)/VLOOKUP($D148,$C$5:$AU$836,3,))*$E148)</f>
        <v>0</v>
      </c>
      <c r="Q148" s="65">
        <f>IF(VLOOKUP($D148,$C$5:$AU$836,3,)=0,0,(VLOOKUP($D148,$C$5:$AU$836,15,)/VLOOKUP($D148,$C$5:$AU$836,3,))*$E148)</f>
        <v>0</v>
      </c>
      <c r="R148" s="65">
        <f>IF(VLOOKUP($D148,$C$5:$AU$836,3,)=0,0,(VLOOKUP($D148,$C$5:$AU$836,16,)/VLOOKUP($D148,$C$5:$AU$836,3,))*$E148)</f>
        <v>0</v>
      </c>
      <c r="S148" s="65">
        <f>IF(VLOOKUP($D148,$C$5:$AU$836,3,)=0,0,(VLOOKUP($D148,$C$5:$AU$836,17,)/VLOOKUP($D148,$C$5:$AU$836,3,))*$E148)</f>
        <v>0</v>
      </c>
      <c r="T148" s="65">
        <f>IF(VLOOKUP($D148,$C$5:$AU$836,3,)=0,0,(VLOOKUP($D148,$C$5:$AU$836,18,)/VLOOKUP($D148,$C$5:$AU$836,3,))*$E148)</f>
        <v>0</v>
      </c>
      <c r="U148" s="65">
        <f>IF(VLOOKUP($D148,$C$5:$AU$836,3,)=0,0,(VLOOKUP($D148,$C$5:$AU$836,19,)/VLOOKUP($D148,$C$5:$AU$836,3,))*$E148)</f>
        <v>0</v>
      </c>
      <c r="V148" s="65">
        <f>IF(VLOOKUP($D148,$C$5:$AU$836,3,)=0,0,(VLOOKUP($D148,$C$5:$AU$836,20,)/VLOOKUP($D148,$C$5:$AU$836,3,))*$E148)</f>
        <v>0</v>
      </c>
      <c r="W148" s="65">
        <f>IF(VLOOKUP($D148,$C$5:$AU$836,3,)=0,0,(VLOOKUP($D148,$C$5:$AU$836,21,)/VLOOKUP($D148,$C$5:$AU$836,3,))*$E148)</f>
        <v>0</v>
      </c>
      <c r="X148" s="65">
        <f>IF(VLOOKUP($D148,$C$5:$AU$836,3,)=0,0,(VLOOKUP($D148,$C$5:$AU$836,22,)/VLOOKUP($D148,$C$5:$AU$836,3,))*$E148)</f>
        <v>0</v>
      </c>
      <c r="Y148" s="65">
        <f>IF(VLOOKUP($D148,$C$5:$AU$836,3,)=0,0,(VLOOKUP($D148,$C$5:$AU$836,23,)/VLOOKUP($D148,$C$5:$AU$836,3,))*$E148)</f>
        <v>0</v>
      </c>
      <c r="Z148" s="65">
        <f>IF(VLOOKUP($D148,$C$5:$AU$836,3,)=0,0,(VLOOKUP($D148,$C$5:$AU$836,24,)/VLOOKUP($D148,$C$5:$AU$836,3,))*$E148)</f>
        <v>0</v>
      </c>
      <c r="AA148" s="65">
        <f>IF(VLOOKUP($D148,$C$5:$AU$836,3,)=0,0,(VLOOKUP($D148,$C$5:$AU$836,25,)/VLOOKUP($D148,$C$5:$AU$836,3,))*$E148)</f>
        <v>0</v>
      </c>
      <c r="AB148" s="65">
        <f>IF(VLOOKUP($D148,$C$5:$AU$836,3,)=0,0,(VLOOKUP($D148,$C$5:$AU$836,26,)/VLOOKUP($D148,$C$5:$AU$836,3,))*$E148)</f>
        <v>0</v>
      </c>
      <c r="AC148" s="65">
        <f>IF(VLOOKUP($D148,$C$5:$AU$836,3,)=0,0,(VLOOKUP($D148,$C$5:$AU$836,27,)/VLOOKUP($D148,$C$5:$AU$836,3,))*$E148)</f>
        <v>0</v>
      </c>
      <c r="AD148" s="65">
        <f>IF(VLOOKUP($D148,$C$5:$AU$836,3,)=0,0,(VLOOKUP($D148,$C$5:$AU$836,28,)/VLOOKUP($D148,$C$5:$AU$836,3,))*$E148)</f>
        <v>0</v>
      </c>
      <c r="AE148" s="65">
        <f>IF(VLOOKUP($D148,$C$5:$AU$836,3,)=0,0,(VLOOKUP($D148,$C$5:$AU$836,29,)/VLOOKUP($D148,$C$5:$AU$836,3,))*$E148)</f>
        <v>0</v>
      </c>
      <c r="AF148" s="65">
        <f>IF(VLOOKUP($D148,$C$5:$AU$836,3,)=0,0,(VLOOKUP($D148,$C$5:$AU$836,30,)/VLOOKUP($D148,$C$5:$AU$836,3,))*$E148)</f>
        <v>0</v>
      </c>
      <c r="AG148" s="16">
        <f>SUM(F148:AF148)</f>
        <v>7934594.2408763813</v>
      </c>
      <c r="AH148" s="14" t="str">
        <f>IF(ABS(E148-AG148)&lt;0.01,"ok","err")</f>
        <v>ok</v>
      </c>
    </row>
    <row r="149" spans="1:34" x14ac:dyDescent="0.25">
      <c r="A149" s="12" t="s">
        <v>223</v>
      </c>
      <c r="C149" s="2" t="s">
        <v>806</v>
      </c>
      <c r="D149" s="9" t="s">
        <v>760</v>
      </c>
      <c r="E149" s="65">
        <f>'Functional Assignment'!Z147</f>
        <v>3902096.927563142</v>
      </c>
      <c r="F149" s="65">
        <f>IF(VLOOKUP($D149,$C$5:$AU$836,3,)=0,0,(VLOOKUP($D149,$C$5:$AU$836,4,)/VLOOKUP($D149,$C$5:$AU$836,3,))*$E149)</f>
        <v>3578110.4979124027</v>
      </c>
      <c r="G149" s="65">
        <f>IF(VLOOKUP($D149,$C$5:$AU$836,3,)=0,0,(VLOOKUP($D149,$C$5:$AU$836,5,)/VLOOKUP($D149,$C$5:$AU$836,3,))*$E149)</f>
        <v>256658.9092935315</v>
      </c>
      <c r="H149" s="65">
        <f>IF(VLOOKUP($D149,$C$5:$AU$836,3,)=0,0,(VLOOKUP($D149,$C$5:$AU$836,6,)/VLOOKUP($D149,$C$5:$AU$836,3,))*$E149)</f>
        <v>25077.171772614569</v>
      </c>
      <c r="I149" s="65">
        <f>IF(VLOOKUP($D149,$C$5:$AU$836,3,)=0,0,(VLOOKUP($D149,$C$5:$AU$836,7,)/VLOOKUP($D149,$C$5:$AU$836,3,))*$E149)</f>
        <v>9453.4710745522189</v>
      </c>
      <c r="J149" s="65">
        <f>IF(VLOOKUP($D149,$C$5:$AU$836,3,)=0,0,(VLOOKUP($D149,$C$5:$AU$836,8,)/VLOOKUP($D149,$C$5:$AU$836,3,))*$E149)</f>
        <v>962.32939082268103</v>
      </c>
      <c r="K149" s="65">
        <f>IF(VLOOKUP($D149,$C$5:$AU$836,3,)=0,0,(VLOOKUP($D149,$C$5:$AU$836,9,)/VLOOKUP($D149,$C$5:$AU$836,3,))*$E149)</f>
        <v>0</v>
      </c>
      <c r="L149" s="65">
        <f>IF(VLOOKUP($D149,$C$5:$AU$836,3,)=0,0,(VLOOKUP($D149,$C$5:$AU$836,10,)/VLOOKUP($D149,$C$5:$AU$836,3,))*$E149)</f>
        <v>0</v>
      </c>
      <c r="M149" s="65">
        <f>IF(VLOOKUP($D149,$C$5:$AU$836,3,)=0,0,(VLOOKUP($D149,$C$5:$AU$836,11,)/VLOOKUP($D149,$C$5:$AU$836,3,))*$E149)</f>
        <v>0</v>
      </c>
      <c r="N149" s="65">
        <f>IF(VLOOKUP($D149,$C$5:$AU$836,3,)=0,0,(VLOOKUP($D149,$C$5:$AU$836,12,)/VLOOKUP($D149,$C$5:$AU$836,3,))*$E149)</f>
        <v>31834.548119218147</v>
      </c>
      <c r="O149" s="65">
        <f>IF(VLOOKUP($D149,$C$5:$AU$836,3,)=0,0,(VLOOKUP($D149,$C$5:$AU$836,13,)/VLOOKUP($D149,$C$5:$AU$836,3,))*$E149)</f>
        <v>0</v>
      </c>
      <c r="P149" s="65">
        <f>IF(VLOOKUP($D149,$C$5:$AU$836,3,)=0,0,(VLOOKUP($D149,$C$5:$AU$836,14,)/VLOOKUP($D149,$C$5:$AU$836,3,))*$E149)</f>
        <v>0</v>
      </c>
      <c r="Q149" s="65">
        <f>IF(VLOOKUP($D149,$C$5:$AU$836,3,)=0,0,(VLOOKUP($D149,$C$5:$AU$836,15,)/VLOOKUP($D149,$C$5:$AU$836,3,))*$E149)</f>
        <v>0</v>
      </c>
      <c r="R149" s="65">
        <f>IF(VLOOKUP($D149,$C$5:$AU$836,3,)=0,0,(VLOOKUP($D149,$C$5:$AU$836,16,)/VLOOKUP($D149,$C$5:$AU$836,3,))*$E149)</f>
        <v>0</v>
      </c>
      <c r="S149" s="65">
        <f>IF(VLOOKUP($D149,$C$5:$AU$836,3,)=0,0,(VLOOKUP($D149,$C$5:$AU$836,17,)/VLOOKUP($D149,$C$5:$AU$836,3,))*$E149)</f>
        <v>0</v>
      </c>
      <c r="T149" s="65">
        <f>IF(VLOOKUP($D149,$C$5:$AU$836,3,)=0,0,(VLOOKUP($D149,$C$5:$AU$836,18,)/VLOOKUP($D149,$C$5:$AU$836,3,))*$E149)</f>
        <v>0</v>
      </c>
      <c r="U149" s="65">
        <f>IF(VLOOKUP($D149,$C$5:$AU$836,3,)=0,0,(VLOOKUP($D149,$C$5:$AU$836,19,)/VLOOKUP($D149,$C$5:$AU$836,3,))*$E149)</f>
        <v>0</v>
      </c>
      <c r="V149" s="65">
        <f>IF(VLOOKUP($D149,$C$5:$AU$836,3,)=0,0,(VLOOKUP($D149,$C$5:$AU$836,20,)/VLOOKUP($D149,$C$5:$AU$836,3,))*$E149)</f>
        <v>0</v>
      </c>
      <c r="W149" s="65">
        <f>IF(VLOOKUP($D149,$C$5:$AU$836,3,)=0,0,(VLOOKUP($D149,$C$5:$AU$836,21,)/VLOOKUP($D149,$C$5:$AU$836,3,))*$E149)</f>
        <v>0</v>
      </c>
      <c r="X149" s="65">
        <f>IF(VLOOKUP($D149,$C$5:$AU$836,3,)=0,0,(VLOOKUP($D149,$C$5:$AU$836,22,)/VLOOKUP($D149,$C$5:$AU$836,3,))*$E149)</f>
        <v>0</v>
      </c>
      <c r="Y149" s="65">
        <f>IF(VLOOKUP($D149,$C$5:$AU$836,3,)=0,0,(VLOOKUP($D149,$C$5:$AU$836,23,)/VLOOKUP($D149,$C$5:$AU$836,3,))*$E149)</f>
        <v>0</v>
      </c>
      <c r="Z149" s="65">
        <f>IF(VLOOKUP($D149,$C$5:$AU$836,3,)=0,0,(VLOOKUP($D149,$C$5:$AU$836,24,)/VLOOKUP($D149,$C$5:$AU$836,3,))*$E149)</f>
        <v>0</v>
      </c>
      <c r="AA149" s="65">
        <f>IF(VLOOKUP($D149,$C$5:$AU$836,3,)=0,0,(VLOOKUP($D149,$C$5:$AU$836,25,)/VLOOKUP($D149,$C$5:$AU$836,3,))*$E149)</f>
        <v>0</v>
      </c>
      <c r="AB149" s="65">
        <f>IF(VLOOKUP($D149,$C$5:$AU$836,3,)=0,0,(VLOOKUP($D149,$C$5:$AU$836,26,)/VLOOKUP($D149,$C$5:$AU$836,3,))*$E149)</f>
        <v>0</v>
      </c>
      <c r="AC149" s="65">
        <f>IF(VLOOKUP($D149,$C$5:$AU$836,3,)=0,0,(VLOOKUP($D149,$C$5:$AU$836,27,)/VLOOKUP($D149,$C$5:$AU$836,3,))*$E149)</f>
        <v>0</v>
      </c>
      <c r="AD149" s="65">
        <f>IF(VLOOKUP($D149,$C$5:$AU$836,3,)=0,0,(VLOOKUP($D149,$C$5:$AU$836,28,)/VLOOKUP($D149,$C$5:$AU$836,3,))*$E149)</f>
        <v>0</v>
      </c>
      <c r="AE149" s="65">
        <f>IF(VLOOKUP($D149,$C$5:$AU$836,3,)=0,0,(VLOOKUP($D149,$C$5:$AU$836,29,)/VLOOKUP($D149,$C$5:$AU$836,3,))*$E149)</f>
        <v>0</v>
      </c>
      <c r="AF149" s="65">
        <f>IF(VLOOKUP($D149,$C$5:$AU$836,3,)=0,0,(VLOOKUP($D149,$C$5:$AU$836,30,)/VLOOKUP($D149,$C$5:$AU$836,3,))*$E149)</f>
        <v>0</v>
      </c>
      <c r="AG149" s="16">
        <f>SUM(F149:AF149)</f>
        <v>3902096.927563142</v>
      </c>
      <c r="AH149" s="14" t="str">
        <f>IF(ABS(E149-AG149)&lt;0.01,"ok","err")</f>
        <v>ok</v>
      </c>
    </row>
    <row r="150" spans="1:34" x14ac:dyDescent="0.25">
      <c r="A150" s="2" t="s">
        <v>224</v>
      </c>
      <c r="E150" s="65">
        <f t="shared" ref="E150:N150" si="85">E148+E149</f>
        <v>11836691.168439524</v>
      </c>
      <c r="F150" s="65">
        <f t="shared" si="85"/>
        <v>8773180.6442816984</v>
      </c>
      <c r="G150" s="65">
        <f t="shared" si="85"/>
        <v>1327962.3369976357</v>
      </c>
      <c r="H150" s="65">
        <f t="shared" si="85"/>
        <v>1134054.8055001269</v>
      </c>
      <c r="I150" s="65">
        <f t="shared" si="85"/>
        <v>391095.525394233</v>
      </c>
      <c r="J150" s="65">
        <f t="shared" si="85"/>
        <v>141764.65909116346</v>
      </c>
      <c r="K150" s="65">
        <f t="shared" si="85"/>
        <v>0</v>
      </c>
      <c r="L150" s="65">
        <f t="shared" si="85"/>
        <v>0</v>
      </c>
      <c r="M150" s="65">
        <f t="shared" si="85"/>
        <v>0</v>
      </c>
      <c r="N150" s="65">
        <f t="shared" si="85"/>
        <v>68633.197174665576</v>
      </c>
      <c r="O150" s="65">
        <f t="shared" ref="O150:AF150" si="86">O148+O149</f>
        <v>0</v>
      </c>
      <c r="P150" s="65">
        <f t="shared" si="86"/>
        <v>0</v>
      </c>
      <c r="Q150" s="65">
        <f t="shared" si="86"/>
        <v>0</v>
      </c>
      <c r="R150" s="65">
        <f t="shared" si="86"/>
        <v>0</v>
      </c>
      <c r="S150" s="65">
        <f t="shared" si="86"/>
        <v>0</v>
      </c>
      <c r="T150" s="65">
        <f t="shared" si="86"/>
        <v>0</v>
      </c>
      <c r="U150" s="65">
        <f t="shared" si="86"/>
        <v>0</v>
      </c>
      <c r="V150" s="65">
        <f t="shared" si="86"/>
        <v>0</v>
      </c>
      <c r="W150" s="65">
        <f t="shared" si="86"/>
        <v>0</v>
      </c>
      <c r="X150" s="65">
        <f t="shared" si="86"/>
        <v>0</v>
      </c>
      <c r="Y150" s="65">
        <f t="shared" si="86"/>
        <v>0</v>
      </c>
      <c r="Z150" s="65">
        <f t="shared" si="86"/>
        <v>0</v>
      </c>
      <c r="AA150" s="65">
        <f t="shared" si="86"/>
        <v>0</v>
      </c>
      <c r="AB150" s="65">
        <f t="shared" si="86"/>
        <v>0</v>
      </c>
      <c r="AC150" s="65">
        <f t="shared" si="86"/>
        <v>0</v>
      </c>
      <c r="AD150" s="65">
        <f t="shared" si="86"/>
        <v>0</v>
      </c>
      <c r="AE150" s="65">
        <f t="shared" si="86"/>
        <v>0</v>
      </c>
      <c r="AF150" s="65">
        <f t="shared" si="86"/>
        <v>0</v>
      </c>
      <c r="AG150" s="16">
        <f>SUM(F150:AF150)</f>
        <v>11836691.168439524</v>
      </c>
      <c r="AH150" s="14" t="str">
        <f>IF(ABS(E150-AG150)&lt;0.01,"ok","err")</f>
        <v>ok</v>
      </c>
    </row>
    <row r="151" spans="1:34" x14ac:dyDescent="0.25">
      <c r="E151" s="31"/>
    </row>
    <row r="152" spans="1:34" x14ac:dyDescent="0.25">
      <c r="A152" s="7" t="s">
        <v>840</v>
      </c>
      <c r="E152" s="31"/>
    </row>
    <row r="153" spans="1:34" x14ac:dyDescent="0.25">
      <c r="A153" s="12" t="s">
        <v>214</v>
      </c>
      <c r="C153" s="2" t="s">
        <v>801</v>
      </c>
      <c r="D153" s="9" t="s">
        <v>848</v>
      </c>
      <c r="E153" s="65">
        <f>'Functional Assignment'!AB147</f>
        <v>15348558.546614612</v>
      </c>
      <c r="F153" s="65">
        <f>IF(VLOOKUP($D153,$C$5:$AU$836,3,)=0,0,(VLOOKUP($D153,$C$5:$AU$836,4,)/VLOOKUP($D153,$C$5:$AU$836,3,))*$E153)</f>
        <v>9937715.6719013769</v>
      </c>
      <c r="G153" s="65">
        <f>IF(VLOOKUP($D153,$C$5:$AU$836,3,)=0,0,(VLOOKUP($D153,$C$5:$AU$836,5,)/VLOOKUP($D153,$C$5:$AU$836,3,))*$E153)</f>
        <v>2049309.9347844566</v>
      </c>
      <c r="H153" s="65">
        <f>IF(VLOOKUP($D153,$C$5:$AU$836,3,)=0,0,(VLOOKUP($D153,$C$5:$AU$836,6,)/VLOOKUP($D153,$C$5:$AU$836,3,))*$E153)</f>
        <v>2121377.4020325979</v>
      </c>
      <c r="I153" s="65">
        <f>IF(VLOOKUP($D153,$C$5:$AU$836,3,)=0,0,(VLOOKUP($D153,$C$5:$AU$836,7,)/VLOOKUP($D153,$C$5:$AU$836,3,))*$E153)</f>
        <v>730047.93340854417</v>
      </c>
      <c r="J153" s="65">
        <f>IF(VLOOKUP($D153,$C$5:$AU$836,3,)=0,0,(VLOOKUP($D153,$C$5:$AU$836,8,)/VLOOKUP($D153,$C$5:$AU$836,3,))*$E153)</f>
        <v>269342.56498561514</v>
      </c>
      <c r="K153" s="65">
        <f>IF(VLOOKUP($D153,$C$5:$AU$836,3,)=0,0,(VLOOKUP($D153,$C$5:$AU$836,9,)/VLOOKUP($D153,$C$5:$AU$836,3,))*$E153)</f>
        <v>0</v>
      </c>
      <c r="L153" s="65">
        <f>IF(VLOOKUP($D153,$C$5:$AU$836,3,)=0,0,(VLOOKUP($D153,$C$5:$AU$836,10,)/VLOOKUP($D153,$C$5:$AU$836,3,))*$E153)</f>
        <v>101271.43073192515</v>
      </c>
      <c r="M153" s="65">
        <f>IF(VLOOKUP($D153,$C$5:$AU$836,3,)=0,0,(VLOOKUP($D153,$C$5:$AU$836,11,)/VLOOKUP($D153,$C$5:$AU$836,3,))*$E153)</f>
        <v>69101.005567480301</v>
      </c>
      <c r="N153" s="65">
        <f>IF(VLOOKUP($D153,$C$5:$AU$836,3,)=0,0,(VLOOKUP($D153,$C$5:$AU$836,12,)/VLOOKUP($D153,$C$5:$AU$836,3,))*$E153)</f>
        <v>70392.603202613798</v>
      </c>
      <c r="O153" s="65">
        <f>IF(VLOOKUP($D153,$C$5:$AU$836,3,)=0,0,(VLOOKUP($D153,$C$5:$AU$836,13,)/VLOOKUP($D153,$C$5:$AU$836,3,))*$E153)</f>
        <v>0</v>
      </c>
      <c r="P153" s="65">
        <f>IF(VLOOKUP($D153,$C$5:$AU$836,3,)=0,0,(VLOOKUP($D153,$C$5:$AU$836,14,)/VLOOKUP($D153,$C$5:$AU$836,3,))*$E153)</f>
        <v>0</v>
      </c>
      <c r="Q153" s="65">
        <f>IF(VLOOKUP($D153,$C$5:$AU$836,3,)=0,0,(VLOOKUP($D153,$C$5:$AU$836,15,)/VLOOKUP($D153,$C$5:$AU$836,3,))*$E153)</f>
        <v>0</v>
      </c>
      <c r="R153" s="65">
        <f>IF(VLOOKUP($D153,$C$5:$AU$836,3,)=0,0,(VLOOKUP($D153,$C$5:$AU$836,16,)/VLOOKUP($D153,$C$5:$AU$836,3,))*$E153)</f>
        <v>0</v>
      </c>
      <c r="S153" s="65">
        <f>IF(VLOOKUP($D153,$C$5:$AU$836,3,)=0,0,(VLOOKUP($D153,$C$5:$AU$836,17,)/VLOOKUP($D153,$C$5:$AU$836,3,))*$E153)</f>
        <v>0</v>
      </c>
      <c r="T153" s="65">
        <f>IF(VLOOKUP($D153,$C$5:$AU$836,3,)=0,0,(VLOOKUP($D153,$C$5:$AU$836,18,)/VLOOKUP($D153,$C$5:$AU$836,3,))*$E153)</f>
        <v>0</v>
      </c>
      <c r="U153" s="65">
        <f>IF(VLOOKUP($D153,$C$5:$AU$836,3,)=0,0,(VLOOKUP($D153,$C$5:$AU$836,19,)/VLOOKUP($D153,$C$5:$AU$836,3,))*$E153)</f>
        <v>0</v>
      </c>
      <c r="V153" s="65">
        <f>IF(VLOOKUP($D153,$C$5:$AU$836,3,)=0,0,(VLOOKUP($D153,$C$5:$AU$836,20,)/VLOOKUP($D153,$C$5:$AU$836,3,))*$E153)</f>
        <v>0</v>
      </c>
      <c r="W153" s="65">
        <f>IF(VLOOKUP($D153,$C$5:$AU$836,3,)=0,0,(VLOOKUP($D153,$C$5:$AU$836,21,)/VLOOKUP($D153,$C$5:$AU$836,3,))*$E153)</f>
        <v>0</v>
      </c>
      <c r="X153" s="65">
        <f>IF(VLOOKUP($D153,$C$5:$AU$836,3,)=0,0,(VLOOKUP($D153,$C$5:$AU$836,22,)/VLOOKUP($D153,$C$5:$AU$836,3,))*$E153)</f>
        <v>0</v>
      </c>
      <c r="Y153" s="65">
        <f>IF(VLOOKUP($D153,$C$5:$AU$836,3,)=0,0,(VLOOKUP($D153,$C$5:$AU$836,23,)/VLOOKUP($D153,$C$5:$AU$836,3,))*$E153)</f>
        <v>0</v>
      </c>
      <c r="Z153" s="65">
        <f>IF(VLOOKUP($D153,$C$5:$AU$836,3,)=0,0,(VLOOKUP($D153,$C$5:$AU$836,24,)/VLOOKUP($D153,$C$5:$AU$836,3,))*$E153)</f>
        <v>0</v>
      </c>
      <c r="AA153" s="65">
        <f>IF(VLOOKUP($D153,$C$5:$AU$836,3,)=0,0,(VLOOKUP($D153,$C$5:$AU$836,25,)/VLOOKUP($D153,$C$5:$AU$836,3,))*$E153)</f>
        <v>0</v>
      </c>
      <c r="AB153" s="65">
        <f>IF(VLOOKUP($D153,$C$5:$AU$836,3,)=0,0,(VLOOKUP($D153,$C$5:$AU$836,26,)/VLOOKUP($D153,$C$5:$AU$836,3,))*$E153)</f>
        <v>0</v>
      </c>
      <c r="AC153" s="65">
        <f>IF(VLOOKUP($D153,$C$5:$AU$836,3,)=0,0,(VLOOKUP($D153,$C$5:$AU$836,27,)/VLOOKUP($D153,$C$5:$AU$836,3,))*$E153)</f>
        <v>0</v>
      </c>
      <c r="AD153" s="65">
        <f>IF(VLOOKUP($D153,$C$5:$AU$836,3,)=0,0,(VLOOKUP($D153,$C$5:$AU$836,28,)/VLOOKUP($D153,$C$5:$AU$836,3,))*$E153)</f>
        <v>0</v>
      </c>
      <c r="AE153" s="65">
        <f>IF(VLOOKUP($D153,$C$5:$AU$836,3,)=0,0,(VLOOKUP($D153,$C$5:$AU$836,29,)/VLOOKUP($D153,$C$5:$AU$836,3,))*$E153)</f>
        <v>0</v>
      </c>
      <c r="AF153" s="65">
        <f>IF(VLOOKUP($D153,$C$5:$AU$836,3,)=0,0,(VLOOKUP($D153,$C$5:$AU$836,30,)/VLOOKUP($D153,$C$5:$AU$836,3,))*$E153)</f>
        <v>0</v>
      </c>
      <c r="AG153" s="16">
        <f>SUM(F153:AF153)</f>
        <v>15348558.546614606</v>
      </c>
      <c r="AH153" s="14" t="str">
        <f>IF(ABS(E153-AG153)&lt;0.01,"ok","err")</f>
        <v>ok</v>
      </c>
    </row>
    <row r="154" spans="1:34" x14ac:dyDescent="0.25">
      <c r="A154" s="12" t="s">
        <v>223</v>
      </c>
      <c r="C154" s="2" t="s">
        <v>802</v>
      </c>
      <c r="D154" s="9" t="s">
        <v>853</v>
      </c>
      <c r="E154" s="65">
        <f>'Functional Assignment'!AC147</f>
        <v>19992354.524107493</v>
      </c>
      <c r="F154" s="65">
        <f>IF(VLOOKUP($D154,$C$5:$AU$836,3,)=0,0,(VLOOKUP($D154,$C$5:$AU$836,4,)/VLOOKUP($D154,$C$5:$AU$836,3,))*$E154)</f>
        <v>18332413.296911366</v>
      </c>
      <c r="G154" s="65">
        <f>IF(VLOOKUP($D154,$C$5:$AU$836,3,)=0,0,(VLOOKUP($D154,$C$5:$AU$836,5,)/VLOOKUP($D154,$C$5:$AU$836,3,))*$E154)</f>
        <v>1314989.3510132439</v>
      </c>
      <c r="H154" s="65">
        <f>IF(VLOOKUP($D154,$C$5:$AU$836,3,)=0,0,(VLOOKUP($D154,$C$5:$AU$836,6,)/VLOOKUP($D154,$C$5:$AU$836,3,))*$E154)</f>
        <v>128482.63839851502</v>
      </c>
      <c r="I154" s="65">
        <f>IF(VLOOKUP($D154,$C$5:$AU$836,3,)=0,0,(VLOOKUP($D154,$C$5:$AU$836,7,)/VLOOKUP($D154,$C$5:$AU$836,3,))*$E154)</f>
        <v>48434.764362419883</v>
      </c>
      <c r="J154" s="65">
        <f>IF(VLOOKUP($D154,$C$5:$AU$836,3,)=0,0,(VLOOKUP($D154,$C$5:$AU$836,8,)/VLOOKUP($D154,$C$5:$AU$836,3,))*$E154)</f>
        <v>4930.4849949768741</v>
      </c>
      <c r="K154" s="65">
        <f>IF(VLOOKUP($D154,$C$5:$AU$836,3,)=0,0,(VLOOKUP($D154,$C$5:$AU$836,9,)/VLOOKUP($D154,$C$5:$AU$836,3,))*$E154)</f>
        <v>0</v>
      </c>
      <c r="L154" s="65">
        <f>IF(VLOOKUP($D154,$C$5:$AU$836,3,)=0,0,(VLOOKUP($D154,$C$5:$AU$836,10,)/VLOOKUP($D154,$C$5:$AU$836,3,))*$E154)</f>
        <v>0</v>
      </c>
      <c r="M154" s="65">
        <f>IF(VLOOKUP($D154,$C$5:$AU$836,3,)=0,0,(VLOOKUP($D154,$C$5:$AU$836,11,)/VLOOKUP($D154,$C$5:$AU$836,3,))*$E154)</f>
        <v>0</v>
      </c>
      <c r="N154" s="65">
        <f>IF(VLOOKUP($D154,$C$5:$AU$836,3,)=0,0,(VLOOKUP($D154,$C$5:$AU$836,12,)/VLOOKUP($D154,$C$5:$AU$836,3,))*$E154)</f>
        <v>163103.98842696866</v>
      </c>
      <c r="O154" s="65">
        <f>IF(VLOOKUP($D154,$C$5:$AU$836,3,)=0,0,(VLOOKUP($D154,$C$5:$AU$836,13,)/VLOOKUP($D154,$C$5:$AU$836,3,))*$E154)</f>
        <v>0</v>
      </c>
      <c r="P154" s="65">
        <f>IF(VLOOKUP($D154,$C$5:$AU$836,3,)=0,0,(VLOOKUP($D154,$C$5:$AU$836,14,)/VLOOKUP($D154,$C$5:$AU$836,3,))*$E154)</f>
        <v>0</v>
      </c>
      <c r="Q154" s="65">
        <f>IF(VLOOKUP($D154,$C$5:$AU$836,3,)=0,0,(VLOOKUP($D154,$C$5:$AU$836,15,)/VLOOKUP($D154,$C$5:$AU$836,3,))*$E154)</f>
        <v>0</v>
      </c>
      <c r="R154" s="65">
        <f>IF(VLOOKUP($D154,$C$5:$AU$836,3,)=0,0,(VLOOKUP($D154,$C$5:$AU$836,16,)/VLOOKUP($D154,$C$5:$AU$836,3,))*$E154)</f>
        <v>0</v>
      </c>
      <c r="S154" s="65">
        <f>IF(VLOOKUP($D154,$C$5:$AU$836,3,)=0,0,(VLOOKUP($D154,$C$5:$AU$836,17,)/VLOOKUP($D154,$C$5:$AU$836,3,))*$E154)</f>
        <v>0</v>
      </c>
      <c r="T154" s="65">
        <f>IF(VLOOKUP($D154,$C$5:$AU$836,3,)=0,0,(VLOOKUP($D154,$C$5:$AU$836,18,)/VLOOKUP($D154,$C$5:$AU$836,3,))*$E154)</f>
        <v>0</v>
      </c>
      <c r="U154" s="65">
        <f>IF(VLOOKUP($D154,$C$5:$AU$836,3,)=0,0,(VLOOKUP($D154,$C$5:$AU$836,19,)/VLOOKUP($D154,$C$5:$AU$836,3,))*$E154)</f>
        <v>0</v>
      </c>
      <c r="V154" s="65">
        <f>IF(VLOOKUP($D154,$C$5:$AU$836,3,)=0,0,(VLOOKUP($D154,$C$5:$AU$836,20,)/VLOOKUP($D154,$C$5:$AU$836,3,))*$E154)</f>
        <v>0</v>
      </c>
      <c r="W154" s="65">
        <f>IF(VLOOKUP($D154,$C$5:$AU$836,3,)=0,0,(VLOOKUP($D154,$C$5:$AU$836,21,)/VLOOKUP($D154,$C$5:$AU$836,3,))*$E154)</f>
        <v>0</v>
      </c>
      <c r="X154" s="65">
        <f>IF(VLOOKUP($D154,$C$5:$AU$836,3,)=0,0,(VLOOKUP($D154,$C$5:$AU$836,22,)/VLOOKUP($D154,$C$5:$AU$836,3,))*$E154)</f>
        <v>0</v>
      </c>
      <c r="Y154" s="65">
        <f>IF(VLOOKUP($D154,$C$5:$AU$836,3,)=0,0,(VLOOKUP($D154,$C$5:$AU$836,23,)/VLOOKUP($D154,$C$5:$AU$836,3,))*$E154)</f>
        <v>0</v>
      </c>
      <c r="Z154" s="65">
        <f>IF(VLOOKUP($D154,$C$5:$AU$836,3,)=0,0,(VLOOKUP($D154,$C$5:$AU$836,24,)/VLOOKUP($D154,$C$5:$AU$836,3,))*$E154)</f>
        <v>0</v>
      </c>
      <c r="AA154" s="65">
        <f>IF(VLOOKUP($D154,$C$5:$AU$836,3,)=0,0,(VLOOKUP($D154,$C$5:$AU$836,25,)/VLOOKUP($D154,$C$5:$AU$836,3,))*$E154)</f>
        <v>0</v>
      </c>
      <c r="AB154" s="65">
        <f>IF(VLOOKUP($D154,$C$5:$AU$836,3,)=0,0,(VLOOKUP($D154,$C$5:$AU$836,26,)/VLOOKUP($D154,$C$5:$AU$836,3,))*$E154)</f>
        <v>0</v>
      </c>
      <c r="AC154" s="65">
        <f>IF(VLOOKUP($D154,$C$5:$AU$836,3,)=0,0,(VLOOKUP($D154,$C$5:$AU$836,27,)/VLOOKUP($D154,$C$5:$AU$836,3,))*$E154)</f>
        <v>0</v>
      </c>
      <c r="AD154" s="65">
        <f>IF(VLOOKUP($D154,$C$5:$AU$836,3,)=0,0,(VLOOKUP($D154,$C$5:$AU$836,28,)/VLOOKUP($D154,$C$5:$AU$836,3,))*$E154)</f>
        <v>0</v>
      </c>
      <c r="AE154" s="65">
        <f>IF(VLOOKUP($D154,$C$5:$AU$836,3,)=0,0,(VLOOKUP($D154,$C$5:$AU$836,29,)/VLOOKUP($D154,$C$5:$AU$836,3,))*$E154)</f>
        <v>0</v>
      </c>
      <c r="AF154" s="65">
        <f>IF(VLOOKUP($D154,$C$5:$AU$836,3,)=0,0,(VLOOKUP($D154,$C$5:$AU$836,30,)/VLOOKUP($D154,$C$5:$AU$836,3,))*$E154)</f>
        <v>0</v>
      </c>
      <c r="AG154" s="16">
        <f>SUM(F154:AF154)</f>
        <v>19992354.52410749</v>
      </c>
      <c r="AH154" s="14" t="str">
        <f>IF(ABS(E154-AG154)&lt;0.01,"ok","err")</f>
        <v>ok</v>
      </c>
    </row>
    <row r="155" spans="1:34" x14ac:dyDescent="0.25">
      <c r="A155" s="9" t="s">
        <v>841</v>
      </c>
      <c r="E155" s="65">
        <f t="shared" ref="E155:AF155" si="87">E153+E154</f>
        <v>35340913.070722103</v>
      </c>
      <c r="F155" s="65">
        <f t="shared" si="87"/>
        <v>28270128.968812741</v>
      </c>
      <c r="G155" s="65">
        <f t="shared" si="87"/>
        <v>3364299.2857977003</v>
      </c>
      <c r="H155" s="65">
        <f t="shared" si="87"/>
        <v>2249860.040431113</v>
      </c>
      <c r="I155" s="65">
        <f t="shared" si="87"/>
        <v>778482.69777096401</v>
      </c>
      <c r="J155" s="65">
        <f t="shared" si="87"/>
        <v>274273.04998059204</v>
      </c>
      <c r="K155" s="65">
        <f t="shared" si="87"/>
        <v>0</v>
      </c>
      <c r="L155" s="65">
        <f t="shared" si="87"/>
        <v>101271.43073192515</v>
      </c>
      <c r="M155" s="65">
        <f t="shared" si="87"/>
        <v>69101.005567480301</v>
      </c>
      <c r="N155" s="65">
        <f t="shared" si="87"/>
        <v>233496.59162958246</v>
      </c>
      <c r="O155" s="65">
        <f t="shared" si="87"/>
        <v>0</v>
      </c>
      <c r="P155" s="65">
        <f t="shared" si="87"/>
        <v>0</v>
      </c>
      <c r="Q155" s="65">
        <f t="shared" si="87"/>
        <v>0</v>
      </c>
      <c r="R155" s="65">
        <f t="shared" si="87"/>
        <v>0</v>
      </c>
      <c r="S155" s="65">
        <f t="shared" si="87"/>
        <v>0</v>
      </c>
      <c r="T155" s="65">
        <f t="shared" si="87"/>
        <v>0</v>
      </c>
      <c r="U155" s="65">
        <f t="shared" si="87"/>
        <v>0</v>
      </c>
      <c r="V155" s="65">
        <f t="shared" si="87"/>
        <v>0</v>
      </c>
      <c r="W155" s="65">
        <f t="shared" si="87"/>
        <v>0</v>
      </c>
      <c r="X155" s="65">
        <f t="shared" si="87"/>
        <v>0</v>
      </c>
      <c r="Y155" s="65">
        <f t="shared" si="87"/>
        <v>0</v>
      </c>
      <c r="Z155" s="65">
        <f t="shared" si="87"/>
        <v>0</v>
      </c>
      <c r="AA155" s="65">
        <f t="shared" si="87"/>
        <v>0</v>
      </c>
      <c r="AB155" s="65">
        <f t="shared" si="87"/>
        <v>0</v>
      </c>
      <c r="AC155" s="65">
        <f t="shared" si="87"/>
        <v>0</v>
      </c>
      <c r="AD155" s="65">
        <f t="shared" si="87"/>
        <v>0</v>
      </c>
      <c r="AE155" s="65">
        <f t="shared" si="87"/>
        <v>0</v>
      </c>
      <c r="AF155" s="65">
        <f t="shared" si="87"/>
        <v>0</v>
      </c>
      <c r="AG155" s="16">
        <f>SUM(F155:AF155)</f>
        <v>35340913.070722096</v>
      </c>
      <c r="AH155" s="14" t="str">
        <f>IF(ABS(E155-AG155)&lt;0.01,"ok","err")</f>
        <v>ok</v>
      </c>
    </row>
    <row r="156" spans="1:34" x14ac:dyDescent="0.25">
      <c r="E156" s="31"/>
    </row>
    <row r="157" spans="1:34" x14ac:dyDescent="0.25">
      <c r="A157" s="8" t="s">
        <v>5</v>
      </c>
      <c r="E157" s="31"/>
    </row>
    <row r="158" spans="1:34" x14ac:dyDescent="0.25">
      <c r="A158" s="12" t="s">
        <v>214</v>
      </c>
      <c r="C158" s="2" t="s">
        <v>251</v>
      </c>
      <c r="D158" s="2" t="s">
        <v>611</v>
      </c>
      <c r="E158" s="65">
        <f>'Functional Assignment'!AE147</f>
        <v>0</v>
      </c>
      <c r="F158" s="65">
        <f>IF(VLOOKUP($D158,$C$5:$AU$836,3,)=0,0,(VLOOKUP($D158,$C$5:$AU$836,4,)/VLOOKUP($D158,$C$5:$AU$836,3,))*$E158)</f>
        <v>0</v>
      </c>
      <c r="G158" s="65">
        <f>IF(VLOOKUP($D158,$C$5:$AU$836,3,)=0,0,(VLOOKUP($D158,$C$5:$AU$836,5,)/VLOOKUP($D158,$C$5:$AU$836,3,))*$E158)</f>
        <v>0</v>
      </c>
      <c r="H158" s="65">
        <f>IF(VLOOKUP($D158,$C$5:$AU$836,3,)=0,0,(VLOOKUP($D158,$C$5:$AU$836,6,)/VLOOKUP($D158,$C$5:$AU$836,3,))*$E158)</f>
        <v>0</v>
      </c>
      <c r="I158" s="65">
        <f>IF(VLOOKUP($D158,$C$5:$AU$836,3,)=0,0,(VLOOKUP($D158,$C$5:$AU$836,7,)/VLOOKUP($D158,$C$5:$AU$836,3,))*$E158)</f>
        <v>0</v>
      </c>
      <c r="J158" s="65">
        <f>IF(VLOOKUP($D158,$C$5:$AU$836,3,)=0,0,(VLOOKUP($D158,$C$5:$AU$836,8,)/VLOOKUP($D158,$C$5:$AU$836,3,))*$E158)</f>
        <v>0</v>
      </c>
      <c r="K158" s="65">
        <f>IF(VLOOKUP($D158,$C$5:$AU$836,3,)=0,0,(VLOOKUP($D158,$C$5:$AU$836,9,)/VLOOKUP($D158,$C$5:$AU$836,3,))*$E158)</f>
        <v>0</v>
      </c>
      <c r="L158" s="65">
        <f>IF(VLOOKUP($D158,$C$5:$AU$836,3,)=0,0,(VLOOKUP($D158,$C$5:$AU$836,10,)/VLOOKUP($D158,$C$5:$AU$836,3,))*$E158)</f>
        <v>0</v>
      </c>
      <c r="M158" s="65">
        <f>IF(VLOOKUP($D158,$C$5:$AU$836,3,)=0,0,(VLOOKUP($D158,$C$5:$AU$836,11,)/VLOOKUP($D158,$C$5:$AU$836,3,))*$E158)</f>
        <v>0</v>
      </c>
      <c r="N158" s="65">
        <f>IF(VLOOKUP($D158,$C$5:$AU$836,3,)=0,0,(VLOOKUP($D158,$C$5:$AU$836,12,)/VLOOKUP($D158,$C$5:$AU$836,3,))*$E158)</f>
        <v>0</v>
      </c>
      <c r="O158" s="65">
        <f>IF(VLOOKUP($D158,$C$5:$AU$836,3,)=0,0,(VLOOKUP($D158,$C$5:$AU$836,13,)/VLOOKUP($D158,$C$5:$AU$836,3,))*$E158)</f>
        <v>0</v>
      </c>
      <c r="P158" s="65">
        <f>IF(VLOOKUP($D158,$C$5:$AU$836,3,)=0,0,(VLOOKUP($D158,$C$5:$AU$836,14,)/VLOOKUP($D158,$C$5:$AU$836,3,))*$E158)</f>
        <v>0</v>
      </c>
      <c r="Q158" s="65">
        <f>IF(VLOOKUP($D158,$C$5:$AU$836,3,)=0,0,(VLOOKUP($D158,$C$5:$AU$836,15,)/VLOOKUP($D158,$C$5:$AU$836,3,))*$E158)</f>
        <v>0</v>
      </c>
      <c r="R158" s="65">
        <f>IF(VLOOKUP($D158,$C$5:$AU$836,3,)=0,0,(VLOOKUP($D158,$C$5:$AU$836,16,)/VLOOKUP($D158,$C$5:$AU$836,3,))*$E158)</f>
        <v>0</v>
      </c>
      <c r="S158" s="65">
        <f>IF(VLOOKUP($D158,$C$5:$AU$836,3,)=0,0,(VLOOKUP($D158,$C$5:$AU$836,17,)/VLOOKUP($D158,$C$5:$AU$836,3,))*$E158)</f>
        <v>0</v>
      </c>
      <c r="T158" s="65">
        <f>IF(VLOOKUP($D158,$C$5:$AU$836,3,)=0,0,(VLOOKUP($D158,$C$5:$AU$836,18,)/VLOOKUP($D158,$C$5:$AU$836,3,))*$E158)</f>
        <v>0</v>
      </c>
      <c r="U158" s="65">
        <f>IF(VLOOKUP($D158,$C$5:$AU$836,3,)=0,0,(VLOOKUP($D158,$C$5:$AU$836,19,)/VLOOKUP($D158,$C$5:$AU$836,3,))*$E158)</f>
        <v>0</v>
      </c>
      <c r="V158" s="65">
        <f>IF(VLOOKUP($D158,$C$5:$AU$836,3,)=0,0,(VLOOKUP($D158,$C$5:$AU$836,20,)/VLOOKUP($D158,$C$5:$AU$836,3,))*$E158)</f>
        <v>0</v>
      </c>
      <c r="W158" s="65">
        <f>IF(VLOOKUP($D158,$C$5:$AU$836,3,)=0,0,(VLOOKUP($D158,$C$5:$AU$836,21,)/VLOOKUP($D158,$C$5:$AU$836,3,))*$E158)</f>
        <v>0</v>
      </c>
      <c r="X158" s="65">
        <f>IF(VLOOKUP($D158,$C$5:$AU$836,3,)=0,0,(VLOOKUP($D158,$C$5:$AU$836,22,)/VLOOKUP($D158,$C$5:$AU$836,3,))*$E158)</f>
        <v>0</v>
      </c>
      <c r="Y158" s="65">
        <f>IF(VLOOKUP($D158,$C$5:$AU$836,3,)=0,0,(VLOOKUP($D158,$C$5:$AU$836,23,)/VLOOKUP($D158,$C$5:$AU$836,3,))*$E158)</f>
        <v>0</v>
      </c>
      <c r="Z158" s="65">
        <f>IF(VLOOKUP($D158,$C$5:$AU$836,3,)=0,0,(VLOOKUP($D158,$C$5:$AU$836,24,)/VLOOKUP($D158,$C$5:$AU$836,3,))*$E158)</f>
        <v>0</v>
      </c>
      <c r="AA158" s="65">
        <f>IF(VLOOKUP($D158,$C$5:$AU$836,3,)=0,0,(VLOOKUP($D158,$C$5:$AU$836,25,)/VLOOKUP($D158,$C$5:$AU$836,3,))*$E158)</f>
        <v>0</v>
      </c>
      <c r="AB158" s="65">
        <f>IF(VLOOKUP($D158,$C$5:$AU$836,3,)=0,0,(VLOOKUP($D158,$C$5:$AU$836,26,)/VLOOKUP($D158,$C$5:$AU$836,3,))*$E158)</f>
        <v>0</v>
      </c>
      <c r="AC158" s="65">
        <f>IF(VLOOKUP($D158,$C$5:$AU$836,3,)=0,0,(VLOOKUP($D158,$C$5:$AU$836,27,)/VLOOKUP($D158,$C$5:$AU$836,3,))*$E158)</f>
        <v>0</v>
      </c>
      <c r="AD158" s="65">
        <f>IF(VLOOKUP($D158,$C$5:$AU$836,3,)=0,0,(VLOOKUP($D158,$C$5:$AU$836,28,)/VLOOKUP($D158,$C$5:$AU$836,3,))*$E158)</f>
        <v>0</v>
      </c>
      <c r="AE158" s="65">
        <f>IF(VLOOKUP($D158,$C$5:$AU$836,3,)=0,0,(VLOOKUP($D158,$C$5:$AU$836,29,)/VLOOKUP($D158,$C$5:$AU$836,3,))*$E158)</f>
        <v>0</v>
      </c>
      <c r="AF158" s="65">
        <f>IF(VLOOKUP($D158,$C$5:$AU$836,3,)=0,0,(VLOOKUP($D158,$C$5:$AU$836,30,)/VLOOKUP($D158,$C$5:$AU$836,3,))*$E158)</f>
        <v>0</v>
      </c>
      <c r="AG158" s="16">
        <f>SUM(F158:AF158)</f>
        <v>0</v>
      </c>
      <c r="AH158" s="14" t="str">
        <f>IF(ABS(E158-AG158)&lt;0.01,"ok","err")</f>
        <v>ok</v>
      </c>
    </row>
    <row r="159" spans="1:34" x14ac:dyDescent="0.25">
      <c r="A159" s="12" t="s">
        <v>223</v>
      </c>
      <c r="C159" s="2" t="s">
        <v>252</v>
      </c>
      <c r="D159" s="2" t="s">
        <v>228</v>
      </c>
      <c r="E159" s="65">
        <f>'Functional Assignment'!AF147</f>
        <v>24916999.606662214</v>
      </c>
      <c r="F159" s="65">
        <f>IF(VLOOKUP($D159,$C$5:$AU$836,3,)=0,0,(VLOOKUP($D159,$C$5:$AU$836,4,)/VLOOKUP($D159,$C$5:$AU$836,3,))*$E159)</f>
        <v>19621684.581434399</v>
      </c>
      <c r="G159" s="65">
        <f>IF(VLOOKUP($D159,$C$5:$AU$836,3,)=0,0,(VLOOKUP($D159,$C$5:$AU$836,5,)/VLOOKUP($D159,$C$5:$AU$836,3,))*$E159)</f>
        <v>2233848.641957208</v>
      </c>
      <c r="H159" s="65">
        <f>IF(VLOOKUP($D159,$C$5:$AU$836,3,)=0,0,(VLOOKUP($D159,$C$5:$AU$836,6,)/VLOOKUP($D159,$C$5:$AU$836,3,))*$E159)</f>
        <v>279363.5940664853</v>
      </c>
      <c r="I159" s="65">
        <f>IF(VLOOKUP($D159,$C$5:$AU$836,3,)=0,0,(VLOOKUP($D159,$C$5:$AU$836,7,)/VLOOKUP($D159,$C$5:$AU$836,3,))*$E159)</f>
        <v>88105.766878760493</v>
      </c>
      <c r="J159" s="65">
        <f>IF(VLOOKUP($D159,$C$5:$AU$836,3,)=0,0,(VLOOKUP($D159,$C$5:$AU$836,8,)/VLOOKUP($D159,$C$5:$AU$836,3,))*$E159)</f>
        <v>8686.4840584693447</v>
      </c>
      <c r="K159" s="65">
        <f>IF(VLOOKUP($D159,$C$5:$AU$836,3,)=0,0,(VLOOKUP($D159,$C$5:$AU$836,9,)/VLOOKUP($D159,$C$5:$AU$836,3,))*$E159)</f>
        <v>185.7848906574504</v>
      </c>
      <c r="L159" s="65">
        <f>IF(VLOOKUP($D159,$C$5:$AU$836,3,)=0,0,(VLOOKUP($D159,$C$5:$AU$836,10,)/VLOOKUP($D159,$C$5:$AU$836,3,))*$E159)</f>
        <v>371.56978131490081</v>
      </c>
      <c r="M159" s="65">
        <f>IF(VLOOKUP($D159,$C$5:$AU$836,3,)=0,0,(VLOOKUP($D159,$C$5:$AU$836,11,)/VLOOKUP($D159,$C$5:$AU$836,3,))*$E159)</f>
        <v>1486.2791252596032</v>
      </c>
      <c r="N159" s="65">
        <f>IF(VLOOKUP($D159,$C$5:$AU$836,3,)=0,0,(VLOOKUP($D159,$C$5:$AU$836,12,)/VLOOKUP($D159,$C$5:$AU$836,3,))*$E159)</f>
        <v>2683266.9044696605</v>
      </c>
      <c r="O159" s="65">
        <f>IF(VLOOKUP($D159,$C$5:$AU$836,3,)=0,0,(VLOOKUP($D159,$C$5:$AU$836,13,)/VLOOKUP($D159,$C$5:$AU$836,3,))*$E159)</f>
        <v>0</v>
      </c>
      <c r="P159" s="65">
        <f>IF(VLOOKUP($D159,$C$5:$AU$836,3,)=0,0,(VLOOKUP($D159,$C$5:$AU$836,14,)/VLOOKUP($D159,$C$5:$AU$836,3,))*$E159)</f>
        <v>0</v>
      </c>
      <c r="Q159" s="65">
        <f>IF(VLOOKUP($D159,$C$5:$AU$836,3,)=0,0,(VLOOKUP($D159,$C$5:$AU$836,15,)/VLOOKUP($D159,$C$5:$AU$836,3,))*$E159)</f>
        <v>0</v>
      </c>
      <c r="R159" s="65">
        <f>IF(VLOOKUP($D159,$C$5:$AU$836,3,)=0,0,(VLOOKUP($D159,$C$5:$AU$836,16,)/VLOOKUP($D159,$C$5:$AU$836,3,))*$E159)</f>
        <v>0</v>
      </c>
      <c r="S159" s="65">
        <f>IF(VLOOKUP($D159,$C$5:$AU$836,3,)=0,0,(VLOOKUP($D159,$C$5:$AU$836,17,)/VLOOKUP($D159,$C$5:$AU$836,3,))*$E159)</f>
        <v>0</v>
      </c>
      <c r="T159" s="65">
        <f>IF(VLOOKUP($D159,$C$5:$AU$836,3,)=0,0,(VLOOKUP($D159,$C$5:$AU$836,18,)/VLOOKUP($D159,$C$5:$AU$836,3,))*$E159)</f>
        <v>0</v>
      </c>
      <c r="U159" s="65">
        <f>IF(VLOOKUP($D159,$C$5:$AU$836,3,)=0,0,(VLOOKUP($D159,$C$5:$AU$836,19,)/VLOOKUP($D159,$C$5:$AU$836,3,))*$E159)</f>
        <v>0</v>
      </c>
      <c r="V159" s="65">
        <f>IF(VLOOKUP($D159,$C$5:$AU$836,3,)=0,0,(VLOOKUP($D159,$C$5:$AU$836,20,)/VLOOKUP($D159,$C$5:$AU$836,3,))*$E159)</f>
        <v>0</v>
      </c>
      <c r="W159" s="65">
        <f>IF(VLOOKUP($D159,$C$5:$AU$836,3,)=0,0,(VLOOKUP($D159,$C$5:$AU$836,21,)/VLOOKUP($D159,$C$5:$AU$836,3,))*$E159)</f>
        <v>0</v>
      </c>
      <c r="X159" s="65">
        <f>IF(VLOOKUP($D159,$C$5:$AU$836,3,)=0,0,(VLOOKUP($D159,$C$5:$AU$836,22,)/VLOOKUP($D159,$C$5:$AU$836,3,))*$E159)</f>
        <v>0</v>
      </c>
      <c r="Y159" s="65">
        <f>IF(VLOOKUP($D159,$C$5:$AU$836,3,)=0,0,(VLOOKUP($D159,$C$5:$AU$836,23,)/VLOOKUP($D159,$C$5:$AU$836,3,))*$E159)</f>
        <v>0</v>
      </c>
      <c r="Z159" s="65">
        <f>IF(VLOOKUP($D159,$C$5:$AU$836,3,)=0,0,(VLOOKUP($D159,$C$5:$AU$836,24,)/VLOOKUP($D159,$C$5:$AU$836,3,))*$E159)</f>
        <v>0</v>
      </c>
      <c r="AA159" s="65">
        <f>IF(VLOOKUP($D159,$C$5:$AU$836,3,)=0,0,(VLOOKUP($D159,$C$5:$AU$836,25,)/VLOOKUP($D159,$C$5:$AU$836,3,))*$E159)</f>
        <v>0</v>
      </c>
      <c r="AB159" s="65">
        <f>IF(VLOOKUP($D159,$C$5:$AU$836,3,)=0,0,(VLOOKUP($D159,$C$5:$AU$836,26,)/VLOOKUP($D159,$C$5:$AU$836,3,))*$E159)</f>
        <v>0</v>
      </c>
      <c r="AC159" s="65">
        <f>IF(VLOOKUP($D159,$C$5:$AU$836,3,)=0,0,(VLOOKUP($D159,$C$5:$AU$836,27,)/VLOOKUP($D159,$C$5:$AU$836,3,))*$E159)</f>
        <v>0</v>
      </c>
      <c r="AD159" s="65">
        <f>IF(VLOOKUP($D159,$C$5:$AU$836,3,)=0,0,(VLOOKUP($D159,$C$5:$AU$836,28,)/VLOOKUP($D159,$C$5:$AU$836,3,))*$E159)</f>
        <v>0</v>
      </c>
      <c r="AE159" s="65">
        <f>IF(VLOOKUP($D159,$C$5:$AU$836,3,)=0,0,(VLOOKUP($D159,$C$5:$AU$836,29,)/VLOOKUP($D159,$C$5:$AU$836,3,))*$E159)</f>
        <v>0</v>
      </c>
      <c r="AF159" s="65">
        <f>IF(VLOOKUP($D159,$C$5:$AU$836,3,)=0,0,(VLOOKUP($D159,$C$5:$AU$836,30,)/VLOOKUP($D159,$C$5:$AU$836,3,))*$E159)</f>
        <v>0</v>
      </c>
      <c r="AG159" s="16">
        <f>SUM(F159:AF159)</f>
        <v>24916999.606662218</v>
      </c>
      <c r="AH159" s="14" t="str">
        <f>IF(ABS(E159-AG159)&lt;0.01,"ok","err")</f>
        <v>ok</v>
      </c>
    </row>
    <row r="160" spans="1:34" x14ac:dyDescent="0.25">
      <c r="A160" s="2" t="s">
        <v>229</v>
      </c>
      <c r="E160" s="65">
        <f t="shared" ref="E160:N160" si="88">E158+E159</f>
        <v>24916999.606662214</v>
      </c>
      <c r="F160" s="65">
        <f t="shared" si="88"/>
        <v>19621684.581434399</v>
      </c>
      <c r="G160" s="65">
        <f t="shared" si="88"/>
        <v>2233848.641957208</v>
      </c>
      <c r="H160" s="65">
        <f t="shared" si="88"/>
        <v>279363.5940664853</v>
      </c>
      <c r="I160" s="65">
        <f t="shared" si="88"/>
        <v>88105.766878760493</v>
      </c>
      <c r="J160" s="65">
        <f t="shared" si="88"/>
        <v>8686.4840584693447</v>
      </c>
      <c r="K160" s="65">
        <f t="shared" si="88"/>
        <v>185.7848906574504</v>
      </c>
      <c r="L160" s="65">
        <f t="shared" si="88"/>
        <v>371.56978131490081</v>
      </c>
      <c r="M160" s="65">
        <f t="shared" si="88"/>
        <v>1486.2791252596032</v>
      </c>
      <c r="N160" s="65">
        <f t="shared" si="88"/>
        <v>2683266.9044696605</v>
      </c>
      <c r="O160" s="65">
        <f t="shared" ref="O160:T160" si="89">O158+O159</f>
        <v>0</v>
      </c>
      <c r="P160" s="65">
        <f t="shared" si="89"/>
        <v>0</v>
      </c>
      <c r="Q160" s="65">
        <f t="shared" si="89"/>
        <v>0</v>
      </c>
      <c r="R160" s="65">
        <f t="shared" si="89"/>
        <v>0</v>
      </c>
      <c r="S160" s="65">
        <f t="shared" si="89"/>
        <v>0</v>
      </c>
      <c r="T160" s="65">
        <f t="shared" si="89"/>
        <v>0</v>
      </c>
      <c r="U160" s="65">
        <f t="shared" ref="U160:AF160" si="90">U158+U159</f>
        <v>0</v>
      </c>
      <c r="V160" s="65">
        <f t="shared" si="90"/>
        <v>0</v>
      </c>
      <c r="W160" s="65">
        <f t="shared" si="90"/>
        <v>0</v>
      </c>
      <c r="X160" s="65">
        <f t="shared" si="90"/>
        <v>0</v>
      </c>
      <c r="Y160" s="65">
        <f t="shared" si="90"/>
        <v>0</v>
      </c>
      <c r="Z160" s="65">
        <f t="shared" si="90"/>
        <v>0</v>
      </c>
      <c r="AA160" s="65">
        <f t="shared" si="90"/>
        <v>0</v>
      </c>
      <c r="AB160" s="65">
        <f t="shared" si="90"/>
        <v>0</v>
      </c>
      <c r="AC160" s="65">
        <f t="shared" si="90"/>
        <v>0</v>
      </c>
      <c r="AD160" s="65">
        <f t="shared" si="90"/>
        <v>0</v>
      </c>
      <c r="AE160" s="65">
        <f t="shared" si="90"/>
        <v>0</v>
      </c>
      <c r="AF160" s="65">
        <f t="shared" si="90"/>
        <v>0</v>
      </c>
      <c r="AG160" s="16">
        <f>SUM(F160:AF160)</f>
        <v>24916999.606662218</v>
      </c>
      <c r="AH160" s="14" t="str">
        <f>IF(ABS(E160-AG160)&lt;0.01,"ok","err")</f>
        <v>ok</v>
      </c>
    </row>
    <row r="161" spans="1:34" x14ac:dyDescent="0.25">
      <c r="E161" s="31"/>
    </row>
    <row r="162" spans="1:34" x14ac:dyDescent="0.25">
      <c r="A162" s="8" t="s">
        <v>6</v>
      </c>
      <c r="E162" s="31"/>
    </row>
    <row r="163" spans="1:34" x14ac:dyDescent="0.25">
      <c r="A163" s="12" t="s">
        <v>223</v>
      </c>
      <c r="C163" s="2" t="s">
        <v>253</v>
      </c>
      <c r="D163" s="2" t="s">
        <v>231</v>
      </c>
      <c r="E163" s="65">
        <f>'Functional Assignment'!AH147</f>
        <v>9778908.4490127824</v>
      </c>
      <c r="F163" s="65">
        <f>IF(VLOOKUP($D163,$C$5:$AU$836,3,)=0,0,(VLOOKUP($D163,$C$5:$AU$836,4,)/VLOOKUP($D163,$C$5:$AU$836,3,))*$E163)</f>
        <v>6475860.0194152016</v>
      </c>
      <c r="G163" s="65">
        <f>IF(VLOOKUP($D163,$C$5:$AU$836,3,)=0,0,(VLOOKUP($D163,$C$5:$AU$836,5,)/VLOOKUP($D163,$C$5:$AU$836,3,))*$E163)</f>
        <v>2541241.4899555934</v>
      </c>
      <c r="H163" s="65">
        <f>IF(VLOOKUP($D163,$C$5:$AU$836,3,)=0,0,(VLOOKUP($D163,$C$5:$AU$836,6,)/VLOOKUP($D163,$C$5:$AU$836,3,))*$E163)</f>
        <v>606074.43622536457</v>
      </c>
      <c r="I163" s="65">
        <f>IF(VLOOKUP($D163,$C$5:$AU$836,3,)=0,0,(VLOOKUP($D163,$C$5:$AU$836,7,)/VLOOKUP($D163,$C$5:$AU$836,3,))*$E163)</f>
        <v>70413.138882331768</v>
      </c>
      <c r="J163" s="65">
        <f>IF(VLOOKUP($D163,$C$5:$AU$836,3,)=0,0,(VLOOKUP($D163,$C$5:$AU$836,8,)/VLOOKUP($D163,$C$5:$AU$836,3,))*$E163)</f>
        <v>22919.272525597422</v>
      </c>
      <c r="K163" s="65">
        <f>IF(VLOOKUP($D163,$C$5:$AU$836,3,)=0,0,(VLOOKUP($D163,$C$5:$AU$836,9,)/VLOOKUP($D163,$C$5:$AU$836,3,))*$E163)</f>
        <v>6333.7655995469449</v>
      </c>
      <c r="L163" s="65">
        <f>IF(VLOOKUP($D163,$C$5:$AU$836,3,)=0,0,(VLOOKUP($D163,$C$5:$AU$836,10,)/VLOOKUP($D163,$C$5:$AU$836,3,))*$E163)</f>
        <v>12667.53119909389</v>
      </c>
      <c r="M163" s="65">
        <f>IF(VLOOKUP($D163,$C$5:$AU$836,3,)=0,0,(VLOOKUP($D163,$C$5:$AU$836,11,)/VLOOKUP($D163,$C$5:$AU$836,3,))*$E163)</f>
        <v>9021.4490283020623</v>
      </c>
      <c r="N163" s="65">
        <f>IF(VLOOKUP($D163,$C$5:$AU$836,3,)=0,0,(VLOOKUP($D163,$C$5:$AU$836,12,)/VLOOKUP($D163,$C$5:$AU$836,3,))*$E163)</f>
        <v>34377.346181751505</v>
      </c>
      <c r="O163" s="65">
        <f>IF(VLOOKUP($D163,$C$5:$AU$836,3,)=0,0,(VLOOKUP($D163,$C$5:$AU$836,13,)/VLOOKUP($D163,$C$5:$AU$836,3,))*$E163)</f>
        <v>0</v>
      </c>
      <c r="P163" s="65">
        <f>IF(VLOOKUP($D163,$C$5:$AU$836,3,)=0,0,(VLOOKUP($D163,$C$5:$AU$836,14,)/VLOOKUP($D163,$C$5:$AU$836,3,))*$E163)</f>
        <v>0</v>
      </c>
      <c r="Q163" s="65">
        <f>IF(VLOOKUP($D163,$C$5:$AU$836,3,)=0,0,(VLOOKUP($D163,$C$5:$AU$836,15,)/VLOOKUP($D163,$C$5:$AU$836,3,))*$E163)</f>
        <v>0</v>
      </c>
      <c r="R163" s="65">
        <f>IF(VLOOKUP($D163,$C$5:$AU$836,3,)=0,0,(VLOOKUP($D163,$C$5:$AU$836,16,)/VLOOKUP($D163,$C$5:$AU$836,3,))*$E163)</f>
        <v>0</v>
      </c>
      <c r="S163" s="65">
        <f>IF(VLOOKUP($D163,$C$5:$AU$836,3,)=0,0,(VLOOKUP($D163,$C$5:$AU$836,17,)/VLOOKUP($D163,$C$5:$AU$836,3,))*$E163)</f>
        <v>0</v>
      </c>
      <c r="T163" s="65">
        <f>IF(VLOOKUP($D163,$C$5:$AU$836,3,)=0,0,(VLOOKUP($D163,$C$5:$AU$836,18,)/VLOOKUP($D163,$C$5:$AU$836,3,))*$E163)</f>
        <v>0</v>
      </c>
      <c r="U163" s="65">
        <f>IF(VLOOKUP($D163,$C$5:$AU$836,3,)=0,0,(VLOOKUP($D163,$C$5:$AU$836,19,)/VLOOKUP($D163,$C$5:$AU$836,3,))*$E163)</f>
        <v>0</v>
      </c>
      <c r="V163" s="65">
        <f>IF(VLOOKUP($D163,$C$5:$AU$836,3,)=0,0,(VLOOKUP($D163,$C$5:$AU$836,20,)/VLOOKUP($D163,$C$5:$AU$836,3,))*$E163)</f>
        <v>0</v>
      </c>
      <c r="W163" s="65">
        <f>IF(VLOOKUP($D163,$C$5:$AU$836,3,)=0,0,(VLOOKUP($D163,$C$5:$AU$836,21,)/VLOOKUP($D163,$C$5:$AU$836,3,))*$E163)</f>
        <v>0</v>
      </c>
      <c r="X163" s="65">
        <f>IF(VLOOKUP($D163,$C$5:$AU$836,3,)=0,0,(VLOOKUP($D163,$C$5:$AU$836,22,)/VLOOKUP($D163,$C$5:$AU$836,3,))*$E163)</f>
        <v>0</v>
      </c>
      <c r="Y163" s="65">
        <f>IF(VLOOKUP($D163,$C$5:$AU$836,3,)=0,0,(VLOOKUP($D163,$C$5:$AU$836,23,)/VLOOKUP($D163,$C$5:$AU$836,3,))*$E163)</f>
        <v>0</v>
      </c>
      <c r="Z163" s="65">
        <f>IF(VLOOKUP($D163,$C$5:$AU$836,3,)=0,0,(VLOOKUP($D163,$C$5:$AU$836,24,)/VLOOKUP($D163,$C$5:$AU$836,3,))*$E163)</f>
        <v>0</v>
      </c>
      <c r="AA163" s="65">
        <f>IF(VLOOKUP($D163,$C$5:$AU$836,3,)=0,0,(VLOOKUP($D163,$C$5:$AU$836,25,)/VLOOKUP($D163,$C$5:$AU$836,3,))*$E163)</f>
        <v>0</v>
      </c>
      <c r="AB163" s="65">
        <f>IF(VLOOKUP($D163,$C$5:$AU$836,3,)=0,0,(VLOOKUP($D163,$C$5:$AU$836,26,)/VLOOKUP($D163,$C$5:$AU$836,3,))*$E163)</f>
        <v>0</v>
      </c>
      <c r="AC163" s="65">
        <f>IF(VLOOKUP($D163,$C$5:$AU$836,3,)=0,0,(VLOOKUP($D163,$C$5:$AU$836,27,)/VLOOKUP($D163,$C$5:$AU$836,3,))*$E163)</f>
        <v>0</v>
      </c>
      <c r="AD163" s="65">
        <f>IF(VLOOKUP($D163,$C$5:$AU$836,3,)=0,0,(VLOOKUP($D163,$C$5:$AU$836,28,)/VLOOKUP($D163,$C$5:$AU$836,3,))*$E163)</f>
        <v>0</v>
      </c>
      <c r="AE163" s="65">
        <f>IF(VLOOKUP($D163,$C$5:$AU$836,3,)=0,0,(VLOOKUP($D163,$C$5:$AU$836,29,)/VLOOKUP($D163,$C$5:$AU$836,3,))*$E163)</f>
        <v>0</v>
      </c>
      <c r="AF163" s="65">
        <f>IF(VLOOKUP($D163,$C$5:$AU$836,3,)=0,0,(VLOOKUP($D163,$C$5:$AU$836,30,)/VLOOKUP($D163,$C$5:$AU$836,3,))*$E163)</f>
        <v>0</v>
      </c>
      <c r="AG163" s="16">
        <f>SUM(F163:AF163)</f>
        <v>9778908.4490127824</v>
      </c>
      <c r="AH163" s="14" t="str">
        <f>IF(ABS(E163-AG163)&lt;0.01,"ok","err")</f>
        <v>ok</v>
      </c>
    </row>
    <row r="164" spans="1:34" x14ac:dyDescent="0.25">
      <c r="E164" s="31"/>
    </row>
    <row r="165" spans="1:34" x14ac:dyDescent="0.25">
      <c r="A165" s="8" t="s">
        <v>7</v>
      </c>
      <c r="E165" s="31"/>
    </row>
    <row r="166" spans="1:34" x14ac:dyDescent="0.25">
      <c r="A166" s="12" t="s">
        <v>223</v>
      </c>
      <c r="C166" s="2" t="s">
        <v>254</v>
      </c>
      <c r="D166" s="2" t="s">
        <v>233</v>
      </c>
      <c r="E166" s="65">
        <f>'Functional Assignment'!AJ147</f>
        <v>10376280.892471958</v>
      </c>
      <c r="F166" s="65">
        <f>IF(VLOOKUP($D166,$C$5:$AU$836,3,)=0,0,(VLOOKUP($D166,$C$5:$AU$836,4,)/VLOOKUP($D166,$C$5:$AU$836,3,))*$E166)</f>
        <v>0</v>
      </c>
      <c r="G166" s="65">
        <f>IF(VLOOKUP($D166,$C$5:$AU$836,3,)=0,0,(VLOOKUP($D166,$C$5:$AU$836,5,)/VLOOKUP($D166,$C$5:$AU$836,3,))*$E166)</f>
        <v>0</v>
      </c>
      <c r="H166" s="65">
        <f>IF(VLOOKUP($D166,$C$5:$AU$836,3,)=0,0,(VLOOKUP($D166,$C$5:$AU$836,6,)/VLOOKUP($D166,$C$5:$AU$836,3,))*$E166)</f>
        <v>0</v>
      </c>
      <c r="I166" s="65">
        <f>IF(VLOOKUP($D166,$C$5:$AU$836,3,)=0,0,(VLOOKUP($D166,$C$5:$AU$836,7,)/VLOOKUP($D166,$C$5:$AU$836,3,))*$E166)</f>
        <v>0</v>
      </c>
      <c r="J166" s="65">
        <f>IF(VLOOKUP($D166,$C$5:$AU$836,3,)=0,0,(VLOOKUP($D166,$C$5:$AU$836,8,)/VLOOKUP($D166,$C$5:$AU$836,3,))*$E166)</f>
        <v>0</v>
      </c>
      <c r="K166" s="65">
        <f>IF(VLOOKUP($D166,$C$5:$AU$836,3,)=0,0,(VLOOKUP($D166,$C$5:$AU$836,9,)/VLOOKUP($D166,$C$5:$AU$836,3,))*$E166)</f>
        <v>0</v>
      </c>
      <c r="L166" s="65">
        <f>IF(VLOOKUP($D166,$C$5:$AU$836,3,)=0,0,(VLOOKUP($D166,$C$5:$AU$836,10,)/VLOOKUP($D166,$C$5:$AU$836,3,))*$E166)</f>
        <v>0</v>
      </c>
      <c r="M166" s="65">
        <f>IF(VLOOKUP($D166,$C$5:$AU$836,3,)=0,0,(VLOOKUP($D166,$C$5:$AU$836,11,)/VLOOKUP($D166,$C$5:$AU$836,3,))*$E166)</f>
        <v>0</v>
      </c>
      <c r="N166" s="65">
        <f>IF(VLOOKUP($D166,$C$5:$AU$836,3,)=0,0,(VLOOKUP($D166,$C$5:$AU$836,12,)/VLOOKUP($D166,$C$5:$AU$836,3,))*$E166)</f>
        <v>10376280.892471958</v>
      </c>
      <c r="O166" s="65">
        <f>IF(VLOOKUP($D166,$C$5:$AU$836,3,)=0,0,(VLOOKUP($D166,$C$5:$AU$836,13,)/VLOOKUP($D166,$C$5:$AU$836,3,))*$E166)</f>
        <v>0</v>
      </c>
      <c r="P166" s="65">
        <f>IF(VLOOKUP($D166,$C$5:$AU$836,3,)=0,0,(VLOOKUP($D166,$C$5:$AU$836,14,)/VLOOKUP($D166,$C$5:$AU$836,3,))*$E166)</f>
        <v>0</v>
      </c>
      <c r="Q166" s="65">
        <f>IF(VLOOKUP($D166,$C$5:$AU$836,3,)=0,0,(VLOOKUP($D166,$C$5:$AU$836,15,)/VLOOKUP($D166,$C$5:$AU$836,3,))*$E166)</f>
        <v>0</v>
      </c>
      <c r="R166" s="65">
        <f>IF(VLOOKUP($D166,$C$5:$AU$836,3,)=0,0,(VLOOKUP($D166,$C$5:$AU$836,16,)/VLOOKUP($D166,$C$5:$AU$836,3,))*$E166)</f>
        <v>0</v>
      </c>
      <c r="S166" s="65">
        <f>IF(VLOOKUP($D166,$C$5:$AU$836,3,)=0,0,(VLOOKUP($D166,$C$5:$AU$836,17,)/VLOOKUP($D166,$C$5:$AU$836,3,))*$E166)</f>
        <v>0</v>
      </c>
      <c r="T166" s="65">
        <f>IF(VLOOKUP($D166,$C$5:$AU$836,3,)=0,0,(VLOOKUP($D166,$C$5:$AU$836,18,)/VLOOKUP($D166,$C$5:$AU$836,3,))*$E166)</f>
        <v>0</v>
      </c>
      <c r="U166" s="65">
        <f>IF(VLOOKUP($D166,$C$5:$AU$836,3,)=0,0,(VLOOKUP($D166,$C$5:$AU$836,19,)/VLOOKUP($D166,$C$5:$AU$836,3,))*$E166)</f>
        <v>0</v>
      </c>
      <c r="V166" s="65">
        <f>IF(VLOOKUP($D166,$C$5:$AU$836,3,)=0,0,(VLOOKUP($D166,$C$5:$AU$836,20,)/VLOOKUP($D166,$C$5:$AU$836,3,))*$E166)</f>
        <v>0</v>
      </c>
      <c r="W166" s="65">
        <f>IF(VLOOKUP($D166,$C$5:$AU$836,3,)=0,0,(VLOOKUP($D166,$C$5:$AU$836,21,)/VLOOKUP($D166,$C$5:$AU$836,3,))*$E166)</f>
        <v>0</v>
      </c>
      <c r="X166" s="65">
        <f>IF(VLOOKUP($D166,$C$5:$AU$836,3,)=0,0,(VLOOKUP($D166,$C$5:$AU$836,22,)/VLOOKUP($D166,$C$5:$AU$836,3,))*$E166)</f>
        <v>0</v>
      </c>
      <c r="Y166" s="65">
        <f>IF(VLOOKUP($D166,$C$5:$AU$836,3,)=0,0,(VLOOKUP($D166,$C$5:$AU$836,23,)/VLOOKUP($D166,$C$5:$AU$836,3,))*$E166)</f>
        <v>0</v>
      </c>
      <c r="Z166" s="65">
        <f>IF(VLOOKUP($D166,$C$5:$AU$836,3,)=0,0,(VLOOKUP($D166,$C$5:$AU$836,24,)/VLOOKUP($D166,$C$5:$AU$836,3,))*$E166)</f>
        <v>0</v>
      </c>
      <c r="AA166" s="65">
        <f>IF(VLOOKUP($D166,$C$5:$AU$836,3,)=0,0,(VLOOKUP($D166,$C$5:$AU$836,25,)/VLOOKUP($D166,$C$5:$AU$836,3,))*$E166)</f>
        <v>0</v>
      </c>
      <c r="AB166" s="65">
        <f>IF(VLOOKUP($D166,$C$5:$AU$836,3,)=0,0,(VLOOKUP($D166,$C$5:$AU$836,26,)/VLOOKUP($D166,$C$5:$AU$836,3,))*$E166)</f>
        <v>0</v>
      </c>
      <c r="AC166" s="65">
        <f>IF(VLOOKUP($D166,$C$5:$AU$836,3,)=0,0,(VLOOKUP($D166,$C$5:$AU$836,27,)/VLOOKUP($D166,$C$5:$AU$836,3,))*$E166)</f>
        <v>0</v>
      </c>
      <c r="AD166" s="65">
        <f>IF(VLOOKUP($D166,$C$5:$AU$836,3,)=0,0,(VLOOKUP($D166,$C$5:$AU$836,28,)/VLOOKUP($D166,$C$5:$AU$836,3,))*$E166)</f>
        <v>0</v>
      </c>
      <c r="AE166" s="65">
        <f>IF(VLOOKUP($D166,$C$5:$AU$836,3,)=0,0,(VLOOKUP($D166,$C$5:$AU$836,29,)/VLOOKUP($D166,$C$5:$AU$836,3,))*$E166)</f>
        <v>0</v>
      </c>
      <c r="AF166" s="65">
        <f>IF(VLOOKUP($D166,$C$5:$AU$836,3,)=0,0,(VLOOKUP($D166,$C$5:$AU$836,30,)/VLOOKUP($D166,$C$5:$AU$836,3,))*$E166)</f>
        <v>0</v>
      </c>
      <c r="AG166" s="16">
        <f>SUM(F166:AF166)</f>
        <v>10376280.892471958</v>
      </c>
      <c r="AH166" s="14" t="str">
        <f>IF(ABS(E166-AG166)&lt;0.01,"ok","err")</f>
        <v>ok</v>
      </c>
    </row>
    <row r="167" spans="1:34" x14ac:dyDescent="0.25">
      <c r="E167" s="31"/>
    </row>
    <row r="168" spans="1:34" x14ac:dyDescent="0.25">
      <c r="A168" s="8" t="s">
        <v>534</v>
      </c>
      <c r="E168" s="31"/>
    </row>
    <row r="169" spans="1:34" x14ac:dyDescent="0.25">
      <c r="A169" s="12" t="s">
        <v>223</v>
      </c>
      <c r="C169" s="2" t="s">
        <v>255</v>
      </c>
      <c r="D169" s="2" t="s">
        <v>235</v>
      </c>
      <c r="E169" s="65">
        <f>'Functional Assignment'!AL147</f>
        <v>665034.98698780383</v>
      </c>
      <c r="F169" s="65">
        <f>IF(VLOOKUP($D169,$C$5:$AU$836,3,)=0,0,(VLOOKUP($D169,$C$5:$AU$836,4,)/VLOOKUP($D169,$C$5:$AU$836,3,))*$E169)</f>
        <v>609863.49933348107</v>
      </c>
      <c r="G169" s="65">
        <f>IF(VLOOKUP($D169,$C$5:$AU$836,3,)=0,0,(VLOOKUP($D169,$C$5:$AU$836,5,)/VLOOKUP($D169,$C$5:$AU$836,3,))*$E169)</f>
        <v>43756.483453056178</v>
      </c>
      <c r="H169" s="65">
        <f>IF(VLOOKUP($D169,$C$5:$AU$836,3,)=0,0,(VLOOKUP($D169,$C$5:$AU$836,6,)/VLOOKUP($D169,$C$5:$AU$836,3,))*$E169)</f>
        <v>4152.5955567654846</v>
      </c>
      <c r="I169" s="65">
        <f>IF(VLOOKUP($D169,$C$5:$AU$836,3,)=0,0,(VLOOKUP($D169,$C$5:$AU$836,7,)/VLOOKUP($D169,$C$5:$AU$836,3,))*$E169)</f>
        <v>1592.7763779374461</v>
      </c>
      <c r="J169" s="65">
        <f>IF(VLOOKUP($D169,$C$5:$AU$836,3,)=0,0,(VLOOKUP($D169,$C$5:$AU$836,8,)/VLOOKUP($D169,$C$5:$AU$836,3,))*$E169)</f>
        <v>157.03429078256508</v>
      </c>
      <c r="K169" s="65">
        <f>IF(VLOOKUP($D169,$C$5:$AU$836,3,)=0,0,(VLOOKUP($D169,$C$5:$AU$836,9,)/VLOOKUP($D169,$C$5:$AU$836,3,))*$E169)</f>
        <v>9.6143443336264358</v>
      </c>
      <c r="L169" s="65">
        <f>IF(VLOOKUP($D169,$C$5:$AU$836,3,)=0,0,(VLOOKUP($D169,$C$5:$AU$836,10,)/VLOOKUP($D169,$C$5:$AU$836,3,))*$E169)</f>
        <v>19.228688667252872</v>
      </c>
      <c r="M169" s="65">
        <f>IF(VLOOKUP($D169,$C$5:$AU$836,3,)=0,0,(VLOOKUP($D169,$C$5:$AU$836,11,)/VLOOKUP($D169,$C$5:$AU$836,3,))*$E169)</f>
        <v>76.914754669011486</v>
      </c>
      <c r="N169" s="65">
        <f>IF(VLOOKUP($D169,$C$5:$AU$836,3,)=0,0,(VLOOKUP($D169,$C$5:$AU$836,12,)/VLOOKUP($D169,$C$5:$AU$836,3,))*$E169)</f>
        <v>5406.8401881111295</v>
      </c>
      <c r="O169" s="65">
        <f>IF(VLOOKUP($D169,$C$5:$AU$836,3,)=0,0,(VLOOKUP($D169,$C$5:$AU$836,13,)/VLOOKUP($D169,$C$5:$AU$836,3,))*$E169)</f>
        <v>0</v>
      </c>
      <c r="P169" s="65">
        <f>IF(VLOOKUP($D169,$C$5:$AU$836,3,)=0,0,(VLOOKUP($D169,$C$5:$AU$836,14,)/VLOOKUP($D169,$C$5:$AU$836,3,))*$E169)</f>
        <v>0</v>
      </c>
      <c r="Q169" s="65">
        <f>IF(VLOOKUP($D169,$C$5:$AU$836,3,)=0,0,(VLOOKUP($D169,$C$5:$AU$836,15,)/VLOOKUP($D169,$C$5:$AU$836,3,))*$E169)</f>
        <v>0</v>
      </c>
      <c r="R169" s="65">
        <f>IF(VLOOKUP($D169,$C$5:$AU$836,3,)=0,0,(VLOOKUP($D169,$C$5:$AU$836,16,)/VLOOKUP($D169,$C$5:$AU$836,3,))*$E169)</f>
        <v>0</v>
      </c>
      <c r="S169" s="65">
        <f>IF(VLOOKUP($D169,$C$5:$AU$836,3,)=0,0,(VLOOKUP($D169,$C$5:$AU$836,17,)/VLOOKUP($D169,$C$5:$AU$836,3,))*$E169)</f>
        <v>0</v>
      </c>
      <c r="T169" s="65">
        <f>IF(VLOOKUP($D169,$C$5:$AU$836,3,)=0,0,(VLOOKUP($D169,$C$5:$AU$836,18,)/VLOOKUP($D169,$C$5:$AU$836,3,))*$E169)</f>
        <v>0</v>
      </c>
      <c r="U169" s="65">
        <f>IF(VLOOKUP($D169,$C$5:$AU$836,3,)=0,0,(VLOOKUP($D169,$C$5:$AU$836,19,)/VLOOKUP($D169,$C$5:$AU$836,3,))*$E169)</f>
        <v>0</v>
      </c>
      <c r="V169" s="65">
        <f>IF(VLOOKUP($D169,$C$5:$AU$836,3,)=0,0,(VLOOKUP($D169,$C$5:$AU$836,20,)/VLOOKUP($D169,$C$5:$AU$836,3,))*$E169)</f>
        <v>0</v>
      </c>
      <c r="W169" s="65">
        <f>IF(VLOOKUP($D169,$C$5:$AU$836,3,)=0,0,(VLOOKUP($D169,$C$5:$AU$836,21,)/VLOOKUP($D169,$C$5:$AU$836,3,))*$E169)</f>
        <v>0</v>
      </c>
      <c r="X169" s="65">
        <f>IF(VLOOKUP($D169,$C$5:$AU$836,3,)=0,0,(VLOOKUP($D169,$C$5:$AU$836,22,)/VLOOKUP($D169,$C$5:$AU$836,3,))*$E169)</f>
        <v>0</v>
      </c>
      <c r="Y169" s="65">
        <f>IF(VLOOKUP($D169,$C$5:$AU$836,3,)=0,0,(VLOOKUP($D169,$C$5:$AU$836,23,)/VLOOKUP($D169,$C$5:$AU$836,3,))*$E169)</f>
        <v>0</v>
      </c>
      <c r="Z169" s="65">
        <f>IF(VLOOKUP($D169,$C$5:$AU$836,3,)=0,0,(VLOOKUP($D169,$C$5:$AU$836,24,)/VLOOKUP($D169,$C$5:$AU$836,3,))*$E169)</f>
        <v>0</v>
      </c>
      <c r="AA169" s="65">
        <f>IF(VLOOKUP($D169,$C$5:$AU$836,3,)=0,0,(VLOOKUP($D169,$C$5:$AU$836,25,)/VLOOKUP($D169,$C$5:$AU$836,3,))*$E169)</f>
        <v>0</v>
      </c>
      <c r="AB169" s="65">
        <f>IF(VLOOKUP($D169,$C$5:$AU$836,3,)=0,0,(VLOOKUP($D169,$C$5:$AU$836,26,)/VLOOKUP($D169,$C$5:$AU$836,3,))*$E169)</f>
        <v>0</v>
      </c>
      <c r="AC169" s="65">
        <f>IF(VLOOKUP($D169,$C$5:$AU$836,3,)=0,0,(VLOOKUP($D169,$C$5:$AU$836,27,)/VLOOKUP($D169,$C$5:$AU$836,3,))*$E169)</f>
        <v>0</v>
      </c>
      <c r="AD169" s="65">
        <f>IF(VLOOKUP($D169,$C$5:$AU$836,3,)=0,0,(VLOOKUP($D169,$C$5:$AU$836,28,)/VLOOKUP($D169,$C$5:$AU$836,3,))*$E169)</f>
        <v>0</v>
      </c>
      <c r="AE169" s="65">
        <f>IF(VLOOKUP($D169,$C$5:$AU$836,3,)=0,0,(VLOOKUP($D169,$C$5:$AU$836,29,)/VLOOKUP($D169,$C$5:$AU$836,3,))*$E169)</f>
        <v>0</v>
      </c>
      <c r="AF169" s="65">
        <f>IF(VLOOKUP($D169,$C$5:$AU$836,3,)=0,0,(VLOOKUP($D169,$C$5:$AU$836,30,)/VLOOKUP($D169,$C$5:$AU$836,3,))*$E169)</f>
        <v>0</v>
      </c>
      <c r="AG169" s="16">
        <f>SUM(F169:AF169)</f>
        <v>665034.98698780383</v>
      </c>
      <c r="AH169" s="14" t="str">
        <f>IF(ABS(E169-AG169)&lt;0.01,"ok","err")</f>
        <v>ok</v>
      </c>
    </row>
    <row r="170" spans="1:34" x14ac:dyDescent="0.25">
      <c r="E170" s="31"/>
    </row>
    <row r="171" spans="1:34" x14ac:dyDescent="0.25">
      <c r="A171" s="8" t="s">
        <v>662</v>
      </c>
      <c r="E171" s="31"/>
    </row>
    <row r="172" spans="1:34" x14ac:dyDescent="0.25">
      <c r="A172" s="12" t="s">
        <v>223</v>
      </c>
      <c r="C172" s="2" t="s">
        <v>252</v>
      </c>
      <c r="D172" s="2" t="s">
        <v>236</v>
      </c>
      <c r="E172" s="65">
        <f>'Functional Assignment'!AN147</f>
        <v>27987.480881793759</v>
      </c>
      <c r="F172" s="65">
        <f>IF(VLOOKUP($D172,$C$5:$AU$836,3,)=0,0,(VLOOKUP($D172,$C$5:$AU$836,4,)/VLOOKUP($D172,$C$5:$AU$836,3,))*$E172)</f>
        <v>25665.631676627359</v>
      </c>
      <c r="G172" s="65">
        <f>IF(VLOOKUP($D172,$C$5:$AU$836,3,)=0,0,(VLOOKUP($D172,$C$5:$AU$836,5,)/VLOOKUP($D172,$C$5:$AU$836,3,))*$E172)</f>
        <v>1841.4576196115129</v>
      </c>
      <c r="H172" s="65">
        <f>IF(VLOOKUP($D172,$C$5:$AU$836,3,)=0,0,(VLOOKUP($D172,$C$5:$AU$836,6,)/VLOOKUP($D172,$C$5:$AU$836,3,))*$E172)</f>
        <v>174.75875860487184</v>
      </c>
      <c r="I172" s="65">
        <f>IF(VLOOKUP($D172,$C$5:$AU$836,3,)=0,0,(VLOOKUP($D172,$C$5:$AU$836,7,)/VLOOKUP($D172,$C$5:$AU$836,3,))*$E172)</f>
        <v>67.030756725156323</v>
      </c>
      <c r="J172" s="65">
        <f>IF(VLOOKUP($D172,$C$5:$AU$836,3,)=0,0,(VLOOKUP($D172,$C$5:$AU$836,8,)/VLOOKUP($D172,$C$5:$AU$836,3,))*$E172)</f>
        <v>6.6086661560013278</v>
      </c>
      <c r="K172" s="65">
        <f>IF(VLOOKUP($D172,$C$5:$AU$836,3,)=0,0,(VLOOKUP($D172,$C$5:$AU$836,9,)/VLOOKUP($D172,$C$5:$AU$836,3,))*$E172)</f>
        <v>0.40461221363273436</v>
      </c>
      <c r="L172" s="65">
        <f>IF(VLOOKUP($D172,$C$5:$AU$836,3,)=0,0,(VLOOKUP($D172,$C$5:$AU$836,10,)/VLOOKUP($D172,$C$5:$AU$836,3,))*$E172)</f>
        <v>0.80922442726546873</v>
      </c>
      <c r="M172" s="65">
        <f>IF(VLOOKUP($D172,$C$5:$AU$836,3,)=0,0,(VLOOKUP($D172,$C$5:$AU$836,11,)/VLOOKUP($D172,$C$5:$AU$836,3,))*$E172)</f>
        <v>3.2368977090618749</v>
      </c>
      <c r="N172" s="65">
        <f>IF(VLOOKUP($D172,$C$5:$AU$836,3,)=0,0,(VLOOKUP($D172,$C$5:$AU$836,12,)/VLOOKUP($D172,$C$5:$AU$836,3,))*$E172)</f>
        <v>227.54266971889336</v>
      </c>
      <c r="O172" s="65">
        <f>IF(VLOOKUP($D172,$C$5:$AU$836,3,)=0,0,(VLOOKUP($D172,$C$5:$AU$836,13,)/VLOOKUP($D172,$C$5:$AU$836,3,))*$E172)</f>
        <v>0</v>
      </c>
      <c r="P172" s="65">
        <f>IF(VLOOKUP($D172,$C$5:$AU$836,3,)=0,0,(VLOOKUP($D172,$C$5:$AU$836,14,)/VLOOKUP($D172,$C$5:$AU$836,3,))*$E172)</f>
        <v>0</v>
      </c>
      <c r="Q172" s="65">
        <f>IF(VLOOKUP($D172,$C$5:$AU$836,3,)=0,0,(VLOOKUP($D172,$C$5:$AU$836,15,)/VLOOKUP($D172,$C$5:$AU$836,3,))*$E172)</f>
        <v>0</v>
      </c>
      <c r="R172" s="65">
        <f>IF(VLOOKUP($D172,$C$5:$AU$836,3,)=0,0,(VLOOKUP($D172,$C$5:$AU$836,16,)/VLOOKUP($D172,$C$5:$AU$836,3,))*$E172)</f>
        <v>0</v>
      </c>
      <c r="S172" s="65">
        <f>IF(VLOOKUP($D172,$C$5:$AU$836,3,)=0,0,(VLOOKUP($D172,$C$5:$AU$836,17,)/VLOOKUP($D172,$C$5:$AU$836,3,))*$E172)</f>
        <v>0</v>
      </c>
      <c r="T172" s="65">
        <f>IF(VLOOKUP($D172,$C$5:$AU$836,3,)=0,0,(VLOOKUP($D172,$C$5:$AU$836,18,)/VLOOKUP($D172,$C$5:$AU$836,3,))*$E172)</f>
        <v>0</v>
      </c>
      <c r="U172" s="65">
        <f>IF(VLOOKUP($D172,$C$5:$AU$836,3,)=0,0,(VLOOKUP($D172,$C$5:$AU$836,19,)/VLOOKUP($D172,$C$5:$AU$836,3,))*$E172)</f>
        <v>0</v>
      </c>
      <c r="V172" s="65">
        <f>IF(VLOOKUP($D172,$C$5:$AU$836,3,)=0,0,(VLOOKUP($D172,$C$5:$AU$836,20,)/VLOOKUP($D172,$C$5:$AU$836,3,))*$E172)</f>
        <v>0</v>
      </c>
      <c r="W172" s="65">
        <f>IF(VLOOKUP($D172,$C$5:$AU$836,3,)=0,0,(VLOOKUP($D172,$C$5:$AU$836,21,)/VLOOKUP($D172,$C$5:$AU$836,3,))*$E172)</f>
        <v>0</v>
      </c>
      <c r="X172" s="65">
        <f>IF(VLOOKUP($D172,$C$5:$AU$836,3,)=0,0,(VLOOKUP($D172,$C$5:$AU$836,22,)/VLOOKUP($D172,$C$5:$AU$836,3,))*$E172)</f>
        <v>0</v>
      </c>
      <c r="Y172" s="65">
        <f>IF(VLOOKUP($D172,$C$5:$AU$836,3,)=0,0,(VLOOKUP($D172,$C$5:$AU$836,23,)/VLOOKUP($D172,$C$5:$AU$836,3,))*$E172)</f>
        <v>0</v>
      </c>
      <c r="Z172" s="65">
        <f>IF(VLOOKUP($D172,$C$5:$AU$836,3,)=0,0,(VLOOKUP($D172,$C$5:$AU$836,24,)/VLOOKUP($D172,$C$5:$AU$836,3,))*$E172)</f>
        <v>0</v>
      </c>
      <c r="AA172" s="65">
        <f>IF(VLOOKUP($D172,$C$5:$AU$836,3,)=0,0,(VLOOKUP($D172,$C$5:$AU$836,25,)/VLOOKUP($D172,$C$5:$AU$836,3,))*$E172)</f>
        <v>0</v>
      </c>
      <c r="AB172" s="65">
        <f>IF(VLOOKUP($D172,$C$5:$AU$836,3,)=0,0,(VLOOKUP($D172,$C$5:$AU$836,26,)/VLOOKUP($D172,$C$5:$AU$836,3,))*$E172)</f>
        <v>0</v>
      </c>
      <c r="AC172" s="65">
        <f>IF(VLOOKUP($D172,$C$5:$AU$836,3,)=0,0,(VLOOKUP($D172,$C$5:$AU$836,27,)/VLOOKUP($D172,$C$5:$AU$836,3,))*$E172)</f>
        <v>0</v>
      </c>
      <c r="AD172" s="65">
        <f>IF(VLOOKUP($D172,$C$5:$AU$836,3,)=0,0,(VLOOKUP($D172,$C$5:$AU$836,28,)/VLOOKUP($D172,$C$5:$AU$836,3,))*$E172)</f>
        <v>0</v>
      </c>
      <c r="AE172" s="65">
        <f>IF(VLOOKUP($D172,$C$5:$AU$836,3,)=0,0,(VLOOKUP($D172,$C$5:$AU$836,29,)/VLOOKUP($D172,$C$5:$AU$836,3,))*$E172)</f>
        <v>0</v>
      </c>
      <c r="AF172" s="65">
        <f>IF(VLOOKUP($D172,$C$5:$AU$836,3,)=0,0,(VLOOKUP($D172,$C$5:$AU$836,30,)/VLOOKUP($D172,$C$5:$AU$836,3,))*$E172)</f>
        <v>0</v>
      </c>
      <c r="AG172" s="16">
        <f>SUM(F172:AF172)</f>
        <v>27987.480881793752</v>
      </c>
      <c r="AH172" s="14" t="str">
        <f>IF(ABS(E172-AG172)&lt;0.01,"ok","err")</f>
        <v>ok</v>
      </c>
    </row>
    <row r="173" spans="1:34" x14ac:dyDescent="0.25">
      <c r="E173" s="31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</row>
    <row r="174" spans="1:34" x14ac:dyDescent="0.25">
      <c r="A174" s="2" t="s">
        <v>1</v>
      </c>
      <c r="C174" s="2" t="s">
        <v>256</v>
      </c>
      <c r="E174" s="65">
        <f>E131+E134+E137+E140+E145+E150+E155+E160+E163+E166+E169+E172</f>
        <v>200206008.80125001</v>
      </c>
      <c r="F174" s="65">
        <f t="shared" ref="F174:AF174" si="91">F131+F134+F137+F140+F145+F150+F155+F160+F163+F166+F169+F172</f>
        <v>142443004.04082671</v>
      </c>
      <c r="G174" s="65">
        <f t="shared" si="91"/>
        <v>15825972.671067962</v>
      </c>
      <c r="H174" s="65">
        <f t="shared" si="91"/>
        <v>18329388.327377338</v>
      </c>
      <c r="I174" s="65">
        <f t="shared" si="91"/>
        <v>2773775.3723908262</v>
      </c>
      <c r="J174" s="65">
        <f t="shared" si="91"/>
        <v>1850944.8674697804</v>
      </c>
      <c r="K174" s="65">
        <f t="shared" si="91"/>
        <v>18328.315609605885</v>
      </c>
      <c r="L174" s="65">
        <f t="shared" si="91"/>
        <v>272781.37718562334</v>
      </c>
      <c r="M174" s="65">
        <f t="shared" si="91"/>
        <v>4150385.4639716614</v>
      </c>
      <c r="N174" s="65">
        <f t="shared" si="91"/>
        <v>14541428.36535047</v>
      </c>
      <c r="O174" s="65">
        <f t="shared" si="91"/>
        <v>0</v>
      </c>
      <c r="P174" s="65">
        <f t="shared" si="91"/>
        <v>0</v>
      </c>
      <c r="Q174" s="65">
        <f t="shared" si="91"/>
        <v>0</v>
      </c>
      <c r="R174" s="65">
        <f t="shared" si="91"/>
        <v>0</v>
      </c>
      <c r="S174" s="65">
        <f t="shared" si="91"/>
        <v>0</v>
      </c>
      <c r="T174" s="65">
        <f t="shared" si="91"/>
        <v>0</v>
      </c>
      <c r="U174" s="65">
        <f t="shared" si="91"/>
        <v>0</v>
      </c>
      <c r="V174" s="65">
        <f t="shared" si="91"/>
        <v>0</v>
      </c>
      <c r="W174" s="65">
        <f t="shared" si="91"/>
        <v>0</v>
      </c>
      <c r="X174" s="65">
        <f t="shared" si="91"/>
        <v>0</v>
      </c>
      <c r="Y174" s="65">
        <f t="shared" si="91"/>
        <v>0</v>
      </c>
      <c r="Z174" s="65">
        <f t="shared" si="91"/>
        <v>0</v>
      </c>
      <c r="AA174" s="65">
        <f t="shared" si="91"/>
        <v>0</v>
      </c>
      <c r="AB174" s="65">
        <f t="shared" si="91"/>
        <v>0</v>
      </c>
      <c r="AC174" s="65">
        <f t="shared" si="91"/>
        <v>0</v>
      </c>
      <c r="AD174" s="65">
        <f t="shared" si="91"/>
        <v>0</v>
      </c>
      <c r="AE174" s="65">
        <f t="shared" si="91"/>
        <v>0</v>
      </c>
      <c r="AF174" s="65">
        <f t="shared" si="91"/>
        <v>0</v>
      </c>
      <c r="AG174" s="16">
        <f>SUM(F174:AF174)</f>
        <v>200206008.80124998</v>
      </c>
      <c r="AH174" s="14" t="str">
        <f>IF(ABS(E174-AG174)&lt;0.01,"ok","err")</f>
        <v>ok</v>
      </c>
    </row>
    <row r="177" spans="1:34" x14ac:dyDescent="0.25">
      <c r="A177" s="6" t="s">
        <v>91</v>
      </c>
    </row>
    <row r="179" spans="1:34" x14ac:dyDescent="0.25">
      <c r="A179" s="8" t="s">
        <v>2</v>
      </c>
    </row>
    <row r="180" spans="1:34" x14ac:dyDescent="0.25">
      <c r="A180" s="118" t="s">
        <v>214</v>
      </c>
      <c r="C180" s="2" t="s">
        <v>883</v>
      </c>
      <c r="D180" s="9" t="s">
        <v>1072</v>
      </c>
      <c r="E180" s="65">
        <f>'Functional Assignment'!H264</f>
        <v>19679910.880000003</v>
      </c>
      <c r="F180" s="65">
        <f t="shared" ref="F180:F186" si="92">IF(VLOOKUP($D180,$C$5:$AU$836,3,)=0,0,(VLOOKUP($D180,$C$5:$AU$836,4,)/VLOOKUP($D180,$C$5:$AU$836,3,))*$E180)</f>
        <v>14414129.239034249</v>
      </c>
      <c r="G180" s="65">
        <f t="shared" ref="G180:G186" si="93">IF(VLOOKUP($D180,$C$5:$AU$836,3,)=0,0,(VLOOKUP($D180,$C$5:$AU$836,5,)/VLOOKUP($D180,$C$5:$AU$836,3,))*$E180)</f>
        <v>772988.6526527208</v>
      </c>
      <c r="H180" s="65">
        <f t="shared" ref="H180:H186" si="94">IF(VLOOKUP($D180,$C$5:$AU$836,3,)=0,0,(VLOOKUP($D180,$C$5:$AU$836,6,)/VLOOKUP($D180,$C$5:$AU$836,3,))*$E180)</f>
        <v>1713030.3980972418</v>
      </c>
      <c r="I180" s="65">
        <f t="shared" ref="I180:I186" si="95">IF(VLOOKUP($D180,$C$5:$AU$836,3,)=0,0,(VLOOKUP($D180,$C$5:$AU$836,7,)/VLOOKUP($D180,$C$5:$AU$836,3,))*$E180)</f>
        <v>153627.5605403838</v>
      </c>
      <c r="J180" s="65">
        <f t="shared" ref="J180:J186" si="96">IF(VLOOKUP($D180,$C$5:$AU$836,3,)=0,0,(VLOOKUP($D180,$C$5:$AU$836,8,)/VLOOKUP($D180,$C$5:$AU$836,3,))*$E180)</f>
        <v>116212.65363933834</v>
      </c>
      <c r="K180" s="65">
        <f t="shared" ref="K180:K186" si="97">IF(VLOOKUP($D180,$C$5:$AU$836,3,)=0,0,(VLOOKUP($D180,$C$5:$AU$836,9,)/VLOOKUP($D180,$C$5:$AU$836,3,))*$E180)</f>
        <v>197891.99999999997</v>
      </c>
      <c r="L180" s="65">
        <f t="shared" ref="L180:L186" si="98">IF(VLOOKUP($D180,$C$5:$AU$836,3,)=0,0,(VLOOKUP($D180,$C$5:$AU$836,10,)/VLOOKUP($D180,$C$5:$AU$836,3,))*$E180)</f>
        <v>1222556.7000000002</v>
      </c>
      <c r="M180" s="65">
        <f t="shared" ref="M180:M186" si="99">IF(VLOOKUP($D180,$C$5:$AU$836,3,)=0,0,(VLOOKUP($D180,$C$5:$AU$836,11,)/VLOOKUP($D180,$C$5:$AU$836,3,))*$E180)</f>
        <v>962948.68000000017</v>
      </c>
      <c r="N180" s="65">
        <f t="shared" ref="N180:N186" si="100">IF(VLOOKUP($D180,$C$5:$AU$836,3,)=0,0,(VLOOKUP($D180,$C$5:$AU$836,12,)/VLOOKUP($D180,$C$5:$AU$836,3,))*$E180)</f>
        <v>126524.99603606931</v>
      </c>
      <c r="O180" s="65">
        <f t="shared" ref="O180:O186" si="101">IF(VLOOKUP($D180,$C$5:$AU$836,3,)=0,0,(VLOOKUP($D180,$C$5:$AU$836,13,)/VLOOKUP($D180,$C$5:$AU$836,3,))*$E180)</f>
        <v>0</v>
      </c>
      <c r="P180" s="65">
        <f t="shared" ref="P180:P186" si="102">IF(VLOOKUP($D180,$C$5:$AU$836,3,)=0,0,(VLOOKUP($D180,$C$5:$AU$836,14,)/VLOOKUP($D180,$C$5:$AU$836,3,))*$E180)</f>
        <v>0</v>
      </c>
      <c r="Q180" s="65">
        <f t="shared" ref="Q180:Q186" si="103">IF(VLOOKUP($D180,$C$5:$AU$836,3,)=0,0,(VLOOKUP($D180,$C$5:$AU$836,15,)/VLOOKUP($D180,$C$5:$AU$836,3,))*$E180)</f>
        <v>0</v>
      </c>
      <c r="R180" s="65">
        <f t="shared" ref="R180:R186" si="104">IF(VLOOKUP($D180,$C$5:$AU$836,3,)=0,0,(VLOOKUP($D180,$C$5:$AU$836,16,)/VLOOKUP($D180,$C$5:$AU$836,3,))*$E180)</f>
        <v>0</v>
      </c>
      <c r="S180" s="65">
        <f t="shared" ref="S180:S186" si="105">IF(VLOOKUP($D180,$C$5:$AU$836,3,)=0,0,(VLOOKUP($D180,$C$5:$AU$836,17,)/VLOOKUP($D180,$C$5:$AU$836,3,))*$E180)</f>
        <v>0</v>
      </c>
      <c r="T180" s="65">
        <f t="shared" ref="T180:T186" si="106">IF(VLOOKUP($D180,$C$5:$AU$836,3,)=0,0,(VLOOKUP($D180,$C$5:$AU$836,18,)/VLOOKUP($D180,$C$5:$AU$836,3,))*$E180)</f>
        <v>0</v>
      </c>
      <c r="U180" s="65">
        <f t="shared" ref="U180:U186" si="107">IF(VLOOKUP($D180,$C$5:$AU$836,3,)=0,0,(VLOOKUP($D180,$C$5:$AU$836,19,)/VLOOKUP($D180,$C$5:$AU$836,3,))*$E180)</f>
        <v>0</v>
      </c>
      <c r="V180" s="65">
        <f t="shared" ref="V180:V186" si="108">IF(VLOOKUP($D180,$C$5:$AU$836,3,)=0,0,(VLOOKUP($D180,$C$5:$AU$836,20,)/VLOOKUP($D180,$C$5:$AU$836,3,))*$E180)</f>
        <v>0</v>
      </c>
      <c r="W180" s="65">
        <f t="shared" ref="W180:W186" si="109">IF(VLOOKUP($D180,$C$5:$AU$836,3,)=0,0,(VLOOKUP($D180,$C$5:$AU$836,21,)/VLOOKUP($D180,$C$5:$AU$836,3,))*$E180)</f>
        <v>0</v>
      </c>
      <c r="X180" s="65">
        <f t="shared" ref="X180:X186" si="110">IF(VLOOKUP($D180,$C$5:$AU$836,3,)=0,0,(VLOOKUP($D180,$C$5:$AU$836,22,)/VLOOKUP($D180,$C$5:$AU$836,3,))*$E180)</f>
        <v>0</v>
      </c>
      <c r="Y180" s="65">
        <f t="shared" ref="Y180:Y186" si="111">IF(VLOOKUP($D180,$C$5:$AU$836,3,)=0,0,(VLOOKUP($D180,$C$5:$AU$836,23,)/VLOOKUP($D180,$C$5:$AU$836,3,))*$E180)</f>
        <v>0</v>
      </c>
      <c r="Z180" s="65">
        <f t="shared" ref="Z180:Z186" si="112">IF(VLOOKUP($D180,$C$5:$AU$836,3,)=0,0,(VLOOKUP($D180,$C$5:$AU$836,24,)/VLOOKUP($D180,$C$5:$AU$836,3,))*$E180)</f>
        <v>0</v>
      </c>
      <c r="AA180" s="65">
        <f t="shared" ref="AA180:AA186" si="113">IF(VLOOKUP($D180,$C$5:$AU$836,3,)=0,0,(VLOOKUP($D180,$C$5:$AU$836,25,)/VLOOKUP($D180,$C$5:$AU$836,3,))*$E180)</f>
        <v>0</v>
      </c>
      <c r="AB180" s="65">
        <f t="shared" ref="AB180:AB186" si="114">IF(VLOOKUP($D180,$C$5:$AU$836,3,)=0,0,(VLOOKUP($D180,$C$5:$AU$836,26,)/VLOOKUP($D180,$C$5:$AU$836,3,))*$E180)</f>
        <v>0</v>
      </c>
      <c r="AC180" s="65">
        <f t="shared" ref="AC180:AC186" si="115">IF(VLOOKUP($D180,$C$5:$AU$836,3,)=0,0,(VLOOKUP($D180,$C$5:$AU$836,27,)/VLOOKUP($D180,$C$5:$AU$836,3,))*$E180)</f>
        <v>0</v>
      </c>
      <c r="AD180" s="65">
        <f t="shared" ref="AD180:AD186" si="116">IF(VLOOKUP($D180,$C$5:$AU$836,3,)=0,0,(VLOOKUP($D180,$C$5:$AU$836,28,)/VLOOKUP($D180,$C$5:$AU$836,3,))*$E180)</f>
        <v>0</v>
      </c>
      <c r="AE180" s="65">
        <f t="shared" ref="AE180:AE186" si="117">IF(VLOOKUP($D180,$C$5:$AU$836,3,)=0,0,(VLOOKUP($D180,$C$5:$AU$836,29,)/VLOOKUP($D180,$C$5:$AU$836,3,))*$E180)</f>
        <v>0</v>
      </c>
      <c r="AF180" s="65">
        <f t="shared" ref="AF180:AF186" si="118">IF(VLOOKUP($D180,$C$5:$AU$836,3,)=0,0,(VLOOKUP($D180,$C$5:$AU$836,30,)/VLOOKUP($D180,$C$5:$AU$836,3,))*$E180)</f>
        <v>0</v>
      </c>
      <c r="AG180" s="16">
        <f t="shared" ref="AG180:AG188" si="119">SUM(F180:AF180)</f>
        <v>19679910.880000003</v>
      </c>
      <c r="AH180" s="14" t="str">
        <f t="shared" ref="AH180:AH186" si="120">IF(ABS(E180-AG180)&lt;0.01,"ok","err")</f>
        <v>ok</v>
      </c>
    </row>
    <row r="181" spans="1:34" x14ac:dyDescent="0.25">
      <c r="A181" s="118" t="s">
        <v>1069</v>
      </c>
      <c r="C181" s="2" t="s">
        <v>709</v>
      </c>
      <c r="D181" s="2" t="s">
        <v>839</v>
      </c>
      <c r="E181" s="65">
        <f>'Functional Assignment'!I264</f>
        <v>1704216</v>
      </c>
      <c r="F181" s="65">
        <f t="shared" si="92"/>
        <v>1211280.6733461085</v>
      </c>
      <c r="G181" s="65">
        <f t="shared" si="93"/>
        <v>79273.293725205032</v>
      </c>
      <c r="H181" s="65">
        <f t="shared" si="94"/>
        <v>201280.57207980807</v>
      </c>
      <c r="I181" s="65">
        <f t="shared" si="95"/>
        <v>20691.865447061387</v>
      </c>
      <c r="J181" s="65">
        <f t="shared" si="96"/>
        <v>20295.035150816373</v>
      </c>
      <c r="K181" s="65">
        <f t="shared" si="97"/>
        <v>11191.23279093468</v>
      </c>
      <c r="L181" s="65">
        <f t="shared" si="98"/>
        <v>78783.909204411146</v>
      </c>
      <c r="M181" s="65">
        <f t="shared" si="99"/>
        <v>59185.022619652955</v>
      </c>
      <c r="N181" s="65">
        <f t="shared" si="100"/>
        <v>22234.395636001482</v>
      </c>
      <c r="O181" s="65">
        <f t="shared" si="101"/>
        <v>0</v>
      </c>
      <c r="P181" s="65">
        <f t="shared" si="102"/>
        <v>0</v>
      </c>
      <c r="Q181" s="65">
        <f t="shared" si="103"/>
        <v>0</v>
      </c>
      <c r="R181" s="65">
        <f t="shared" si="104"/>
        <v>0</v>
      </c>
      <c r="S181" s="65">
        <f t="shared" si="105"/>
        <v>0</v>
      </c>
      <c r="T181" s="65">
        <f t="shared" si="106"/>
        <v>0</v>
      </c>
      <c r="U181" s="65">
        <f t="shared" si="107"/>
        <v>0</v>
      </c>
      <c r="V181" s="65">
        <f t="shared" si="108"/>
        <v>0</v>
      </c>
      <c r="W181" s="65">
        <f t="shared" si="109"/>
        <v>0</v>
      </c>
      <c r="X181" s="65">
        <f t="shared" si="110"/>
        <v>0</v>
      </c>
      <c r="Y181" s="65">
        <f t="shared" si="111"/>
        <v>0</v>
      </c>
      <c r="Z181" s="65">
        <f t="shared" si="112"/>
        <v>0</v>
      </c>
      <c r="AA181" s="65">
        <f t="shared" si="113"/>
        <v>0</v>
      </c>
      <c r="AB181" s="65">
        <f t="shared" si="114"/>
        <v>0</v>
      </c>
      <c r="AC181" s="65">
        <f t="shared" si="115"/>
        <v>0</v>
      </c>
      <c r="AD181" s="65">
        <f t="shared" si="116"/>
        <v>0</v>
      </c>
      <c r="AE181" s="65">
        <f t="shared" si="117"/>
        <v>0</v>
      </c>
      <c r="AF181" s="65">
        <f t="shared" si="118"/>
        <v>0</v>
      </c>
      <c r="AG181" s="16">
        <f t="shared" si="119"/>
        <v>1704215.9999999995</v>
      </c>
      <c r="AH181" s="14" t="str">
        <f t="shared" si="120"/>
        <v>ok</v>
      </c>
    </row>
    <row r="182" spans="1:34" ht="15" customHeight="1" x14ac:dyDescent="0.25">
      <c r="A182" s="118" t="s">
        <v>1070</v>
      </c>
      <c r="C182" s="2" t="s">
        <v>884</v>
      </c>
      <c r="D182" s="9" t="s">
        <v>1073</v>
      </c>
      <c r="E182" s="65">
        <f>'Functional Assignment'!J264</f>
        <v>-130049</v>
      </c>
      <c r="F182" s="65">
        <f t="shared" si="92"/>
        <v>-130049</v>
      </c>
      <c r="G182" s="65">
        <f t="shared" si="93"/>
        <v>0</v>
      </c>
      <c r="H182" s="65">
        <f t="shared" si="94"/>
        <v>0</v>
      </c>
      <c r="I182" s="65">
        <f t="shared" si="95"/>
        <v>0</v>
      </c>
      <c r="J182" s="65">
        <f t="shared" si="96"/>
        <v>0</v>
      </c>
      <c r="K182" s="65">
        <f t="shared" si="97"/>
        <v>0</v>
      </c>
      <c r="L182" s="65">
        <f t="shared" si="98"/>
        <v>0</v>
      </c>
      <c r="M182" s="65">
        <f t="shared" si="99"/>
        <v>0</v>
      </c>
      <c r="N182" s="65">
        <f t="shared" si="100"/>
        <v>0</v>
      </c>
      <c r="O182" s="65">
        <f t="shared" si="101"/>
        <v>0</v>
      </c>
      <c r="P182" s="65">
        <f t="shared" si="102"/>
        <v>0</v>
      </c>
      <c r="Q182" s="65">
        <f t="shared" si="103"/>
        <v>0</v>
      </c>
      <c r="R182" s="65">
        <f t="shared" si="104"/>
        <v>0</v>
      </c>
      <c r="S182" s="65">
        <f t="shared" si="105"/>
        <v>0</v>
      </c>
      <c r="T182" s="65">
        <f t="shared" si="106"/>
        <v>0</v>
      </c>
      <c r="U182" s="65">
        <f t="shared" si="107"/>
        <v>0</v>
      </c>
      <c r="V182" s="65">
        <f t="shared" si="108"/>
        <v>0</v>
      </c>
      <c r="W182" s="65">
        <f t="shared" si="109"/>
        <v>0</v>
      </c>
      <c r="X182" s="65">
        <f t="shared" si="110"/>
        <v>0</v>
      </c>
      <c r="Y182" s="65">
        <f t="shared" si="111"/>
        <v>0</v>
      </c>
      <c r="Z182" s="65">
        <f t="shared" si="112"/>
        <v>0</v>
      </c>
      <c r="AA182" s="65">
        <f t="shared" si="113"/>
        <v>0</v>
      </c>
      <c r="AB182" s="65">
        <f t="shared" si="114"/>
        <v>0</v>
      </c>
      <c r="AC182" s="65">
        <f t="shared" si="115"/>
        <v>0</v>
      </c>
      <c r="AD182" s="65">
        <f t="shared" si="116"/>
        <v>0</v>
      </c>
      <c r="AE182" s="65">
        <f t="shared" si="117"/>
        <v>0</v>
      </c>
      <c r="AF182" s="65">
        <f t="shared" si="118"/>
        <v>0</v>
      </c>
      <c r="AG182" s="16">
        <f t="shared" si="119"/>
        <v>-130049</v>
      </c>
      <c r="AH182" s="14" t="str">
        <f t="shared" si="120"/>
        <v>ok</v>
      </c>
    </row>
    <row r="183" spans="1:34" x14ac:dyDescent="0.25">
      <c r="A183" s="118" t="s">
        <v>1071</v>
      </c>
      <c r="C183" s="2" t="s">
        <v>885</v>
      </c>
      <c r="D183" s="9" t="s">
        <v>1074</v>
      </c>
      <c r="E183" s="65">
        <f>'Functional Assignment'!K264</f>
        <v>-6340583</v>
      </c>
      <c r="F183" s="65">
        <f t="shared" si="92"/>
        <v>-4006180.9014360947</v>
      </c>
      <c r="G183" s="65">
        <f t="shared" si="93"/>
        <v>-357248.67013613234</v>
      </c>
      <c r="H183" s="65">
        <f t="shared" si="94"/>
        <v>-991280.46713355021</v>
      </c>
      <c r="I183" s="65">
        <f t="shared" si="95"/>
        <v>-70210.61624355473</v>
      </c>
      <c r="J183" s="65">
        <f t="shared" si="96"/>
        <v>-55594.352286120484</v>
      </c>
      <c r="K183" s="65">
        <f t="shared" si="97"/>
        <v>-52376</v>
      </c>
      <c r="L183" s="65">
        <f t="shared" si="98"/>
        <v>-402866</v>
      </c>
      <c r="M183" s="65">
        <f t="shared" si="99"/>
        <v>-322317</v>
      </c>
      <c r="N183" s="65">
        <f t="shared" si="100"/>
        <v>-82508.992764547642</v>
      </c>
      <c r="O183" s="65">
        <f t="shared" si="101"/>
        <v>0</v>
      </c>
      <c r="P183" s="65">
        <f t="shared" si="102"/>
        <v>0</v>
      </c>
      <c r="Q183" s="65">
        <f t="shared" si="103"/>
        <v>0</v>
      </c>
      <c r="R183" s="65">
        <f t="shared" si="104"/>
        <v>0</v>
      </c>
      <c r="S183" s="65">
        <f t="shared" si="105"/>
        <v>0</v>
      </c>
      <c r="T183" s="65">
        <f t="shared" si="106"/>
        <v>0</v>
      </c>
      <c r="U183" s="65">
        <f t="shared" si="107"/>
        <v>0</v>
      </c>
      <c r="V183" s="65">
        <f t="shared" si="108"/>
        <v>0</v>
      </c>
      <c r="W183" s="65">
        <f t="shared" si="109"/>
        <v>0</v>
      </c>
      <c r="X183" s="65">
        <f t="shared" si="110"/>
        <v>0</v>
      </c>
      <c r="Y183" s="65">
        <f t="shared" si="111"/>
        <v>0</v>
      </c>
      <c r="Z183" s="65">
        <f t="shared" si="112"/>
        <v>0</v>
      </c>
      <c r="AA183" s="65">
        <f t="shared" si="113"/>
        <v>0</v>
      </c>
      <c r="AB183" s="65">
        <f t="shared" si="114"/>
        <v>0</v>
      </c>
      <c r="AC183" s="65">
        <f t="shared" si="115"/>
        <v>0</v>
      </c>
      <c r="AD183" s="65">
        <f t="shared" si="116"/>
        <v>0</v>
      </c>
      <c r="AE183" s="65">
        <f t="shared" si="117"/>
        <v>0</v>
      </c>
      <c r="AF183" s="65">
        <f t="shared" si="118"/>
        <v>0</v>
      </c>
      <c r="AG183" s="16">
        <f>SUM(F183:AF183)</f>
        <v>-6340583</v>
      </c>
      <c r="AH183" s="14" t="str">
        <f t="shared" si="120"/>
        <v>ok</v>
      </c>
    </row>
    <row r="184" spans="1:34" ht="15" customHeight="1" x14ac:dyDescent="0.25">
      <c r="A184" s="118" t="s">
        <v>1063</v>
      </c>
      <c r="C184" s="2" t="s">
        <v>257</v>
      </c>
      <c r="D184" s="2" t="s">
        <v>918</v>
      </c>
      <c r="E184" s="65">
        <f>'Functional Assignment'!L264</f>
        <v>29509797.417011004</v>
      </c>
      <c r="F184" s="65">
        <f t="shared" si="92"/>
        <v>21627655.283922203</v>
      </c>
      <c r="G184" s="65">
        <f t="shared" si="93"/>
        <v>1909354.3853024251</v>
      </c>
      <c r="H184" s="65">
        <f t="shared" si="94"/>
        <v>5129554.0182285057</v>
      </c>
      <c r="I184" s="65">
        <f t="shared" si="95"/>
        <v>380785.75732671528</v>
      </c>
      <c r="J184" s="65">
        <f t="shared" si="96"/>
        <v>291869.87003704632</v>
      </c>
      <c r="K184" s="65">
        <f t="shared" si="97"/>
        <v>0</v>
      </c>
      <c r="L184" s="65">
        <f t="shared" si="98"/>
        <v>0</v>
      </c>
      <c r="M184" s="65">
        <f t="shared" si="99"/>
        <v>0</v>
      </c>
      <c r="N184" s="65">
        <f t="shared" si="100"/>
        <v>170578.10219411104</v>
      </c>
      <c r="O184" s="65">
        <f t="shared" si="101"/>
        <v>0</v>
      </c>
      <c r="P184" s="65">
        <f t="shared" si="102"/>
        <v>0</v>
      </c>
      <c r="Q184" s="65">
        <f t="shared" si="103"/>
        <v>0</v>
      </c>
      <c r="R184" s="65">
        <f t="shared" si="104"/>
        <v>0</v>
      </c>
      <c r="S184" s="65">
        <f t="shared" si="105"/>
        <v>0</v>
      </c>
      <c r="T184" s="65">
        <f t="shared" si="106"/>
        <v>0</v>
      </c>
      <c r="U184" s="65">
        <f t="shared" si="107"/>
        <v>0</v>
      </c>
      <c r="V184" s="65">
        <f t="shared" si="108"/>
        <v>0</v>
      </c>
      <c r="W184" s="65">
        <f t="shared" si="109"/>
        <v>0</v>
      </c>
      <c r="X184" s="65">
        <f t="shared" si="110"/>
        <v>0</v>
      </c>
      <c r="Y184" s="65">
        <f t="shared" si="111"/>
        <v>0</v>
      </c>
      <c r="Z184" s="65">
        <f t="shared" si="112"/>
        <v>0</v>
      </c>
      <c r="AA184" s="65">
        <f t="shared" si="113"/>
        <v>0</v>
      </c>
      <c r="AB184" s="65">
        <f t="shared" si="114"/>
        <v>0</v>
      </c>
      <c r="AC184" s="65">
        <f t="shared" si="115"/>
        <v>0</v>
      </c>
      <c r="AD184" s="65">
        <f t="shared" si="116"/>
        <v>0</v>
      </c>
      <c r="AE184" s="65">
        <f t="shared" si="117"/>
        <v>0</v>
      </c>
      <c r="AF184" s="65">
        <f t="shared" si="118"/>
        <v>0</v>
      </c>
      <c r="AG184" s="16">
        <f>SUM(F184:AF184)</f>
        <v>29509797.417011004</v>
      </c>
      <c r="AH184" s="14" t="str">
        <f t="shared" si="120"/>
        <v>ok</v>
      </c>
    </row>
    <row r="185" spans="1:34" ht="15" customHeight="1" x14ac:dyDescent="0.25">
      <c r="A185" s="118" t="s">
        <v>1064</v>
      </c>
      <c r="C185" s="2" t="s">
        <v>886</v>
      </c>
      <c r="D185" s="2" t="s">
        <v>928</v>
      </c>
      <c r="E185" s="65">
        <f>'Functional Assignment'!M264</f>
        <v>29823651.702989001</v>
      </c>
      <c r="F185" s="65">
        <f t="shared" si="92"/>
        <v>16444705.988909721</v>
      </c>
      <c r="G185" s="65">
        <f t="shared" si="93"/>
        <v>1482470.6401426697</v>
      </c>
      <c r="H185" s="65">
        <f t="shared" si="94"/>
        <v>4253524.6475918619</v>
      </c>
      <c r="I185" s="65">
        <f t="shared" si="95"/>
        <v>286749.3525293555</v>
      </c>
      <c r="J185" s="65">
        <f t="shared" si="96"/>
        <v>235071.57478248858</v>
      </c>
      <c r="K185" s="65">
        <f t="shared" si="97"/>
        <v>451861.05688599998</v>
      </c>
      <c r="L185" s="65">
        <f t="shared" si="98"/>
        <v>3408128.4290300002</v>
      </c>
      <c r="M185" s="65">
        <f t="shared" si="99"/>
        <v>2693993.382044001</v>
      </c>
      <c r="N185" s="65">
        <f t="shared" si="100"/>
        <v>567146.63107290433</v>
      </c>
      <c r="O185" s="65">
        <f t="shared" si="101"/>
        <v>0</v>
      </c>
      <c r="P185" s="65">
        <f t="shared" si="102"/>
        <v>0</v>
      </c>
      <c r="Q185" s="65">
        <f t="shared" si="103"/>
        <v>0</v>
      </c>
      <c r="R185" s="65">
        <f t="shared" si="104"/>
        <v>0</v>
      </c>
      <c r="S185" s="65">
        <f t="shared" si="105"/>
        <v>0</v>
      </c>
      <c r="T185" s="65">
        <f t="shared" si="106"/>
        <v>0</v>
      </c>
      <c r="U185" s="65">
        <f t="shared" si="107"/>
        <v>0</v>
      </c>
      <c r="V185" s="65">
        <f t="shared" si="108"/>
        <v>0</v>
      </c>
      <c r="W185" s="65">
        <f t="shared" si="109"/>
        <v>0</v>
      </c>
      <c r="X185" s="65">
        <f t="shared" si="110"/>
        <v>0</v>
      </c>
      <c r="Y185" s="65">
        <f t="shared" si="111"/>
        <v>0</v>
      </c>
      <c r="Z185" s="65">
        <f t="shared" si="112"/>
        <v>0</v>
      </c>
      <c r="AA185" s="65">
        <f t="shared" si="113"/>
        <v>0</v>
      </c>
      <c r="AB185" s="65">
        <f t="shared" si="114"/>
        <v>0</v>
      </c>
      <c r="AC185" s="65">
        <f t="shared" si="115"/>
        <v>0</v>
      </c>
      <c r="AD185" s="65">
        <f t="shared" si="116"/>
        <v>0</v>
      </c>
      <c r="AE185" s="65">
        <f t="shared" si="117"/>
        <v>0</v>
      </c>
      <c r="AF185" s="65">
        <f t="shared" si="118"/>
        <v>0</v>
      </c>
      <c r="AG185" s="16">
        <f>SUM(F185:AF185)</f>
        <v>29823651.702989001</v>
      </c>
      <c r="AH185" s="14" t="str">
        <f t="shared" si="120"/>
        <v>ok</v>
      </c>
    </row>
    <row r="186" spans="1:34" ht="15" customHeight="1" x14ac:dyDescent="0.25">
      <c r="A186" s="118" t="s">
        <v>790</v>
      </c>
      <c r="C186" s="2" t="s">
        <v>887</v>
      </c>
      <c r="D186" s="2" t="s">
        <v>928</v>
      </c>
      <c r="E186" s="65">
        <f>'Functional Assignment'!N264</f>
        <v>0</v>
      </c>
      <c r="F186" s="65">
        <f t="shared" si="92"/>
        <v>0</v>
      </c>
      <c r="G186" s="65">
        <f t="shared" si="93"/>
        <v>0</v>
      </c>
      <c r="H186" s="65">
        <f t="shared" si="94"/>
        <v>0</v>
      </c>
      <c r="I186" s="65">
        <f t="shared" si="95"/>
        <v>0</v>
      </c>
      <c r="J186" s="65">
        <f t="shared" si="96"/>
        <v>0</v>
      </c>
      <c r="K186" s="65">
        <f t="shared" si="97"/>
        <v>0</v>
      </c>
      <c r="L186" s="65">
        <f t="shared" si="98"/>
        <v>0</v>
      </c>
      <c r="M186" s="65">
        <f t="shared" si="99"/>
        <v>0</v>
      </c>
      <c r="N186" s="65">
        <f t="shared" si="100"/>
        <v>0</v>
      </c>
      <c r="O186" s="65">
        <f t="shared" si="101"/>
        <v>0</v>
      </c>
      <c r="P186" s="65">
        <f t="shared" si="102"/>
        <v>0</v>
      </c>
      <c r="Q186" s="65">
        <f t="shared" si="103"/>
        <v>0</v>
      </c>
      <c r="R186" s="65">
        <f t="shared" si="104"/>
        <v>0</v>
      </c>
      <c r="S186" s="65">
        <f t="shared" si="105"/>
        <v>0</v>
      </c>
      <c r="T186" s="65">
        <f t="shared" si="106"/>
        <v>0</v>
      </c>
      <c r="U186" s="65">
        <f t="shared" si="107"/>
        <v>0</v>
      </c>
      <c r="V186" s="65">
        <f t="shared" si="108"/>
        <v>0</v>
      </c>
      <c r="W186" s="65">
        <f t="shared" si="109"/>
        <v>0</v>
      </c>
      <c r="X186" s="65">
        <f t="shared" si="110"/>
        <v>0</v>
      </c>
      <c r="Y186" s="65">
        <f t="shared" si="111"/>
        <v>0</v>
      </c>
      <c r="Z186" s="65">
        <f t="shared" si="112"/>
        <v>0</v>
      </c>
      <c r="AA186" s="65">
        <f t="shared" si="113"/>
        <v>0</v>
      </c>
      <c r="AB186" s="65">
        <f t="shared" si="114"/>
        <v>0</v>
      </c>
      <c r="AC186" s="65">
        <f t="shared" si="115"/>
        <v>0</v>
      </c>
      <c r="AD186" s="65">
        <f t="shared" si="116"/>
        <v>0</v>
      </c>
      <c r="AE186" s="65">
        <f t="shared" si="117"/>
        <v>0</v>
      </c>
      <c r="AF186" s="65">
        <f t="shared" si="118"/>
        <v>0</v>
      </c>
      <c r="AG186" s="16">
        <f>SUM(F186:AF186)</f>
        <v>0</v>
      </c>
      <c r="AH186" s="14" t="str">
        <f t="shared" si="120"/>
        <v>ok</v>
      </c>
    </row>
    <row r="187" spans="1:34" x14ac:dyDescent="0.25">
      <c r="A187" s="12"/>
      <c r="E187" s="31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16"/>
      <c r="AH187" s="14"/>
    </row>
    <row r="188" spans="1:34" x14ac:dyDescent="0.25">
      <c r="A188" s="2" t="s">
        <v>218</v>
      </c>
      <c r="C188" s="2" t="s">
        <v>258</v>
      </c>
      <c r="E188" s="31">
        <f t="shared" ref="E188:N188" si="121">SUM(E180:E187)</f>
        <v>74246944</v>
      </c>
      <c r="F188" s="31">
        <f t="shared" si="121"/>
        <v>49561541.283776186</v>
      </c>
      <c r="G188" s="31">
        <f t="shared" si="121"/>
        <v>3886838.3016868886</v>
      </c>
      <c r="H188" s="31">
        <f t="shared" si="121"/>
        <v>10306109.168863866</v>
      </c>
      <c r="I188" s="31">
        <f t="shared" si="121"/>
        <v>771643.91959996126</v>
      </c>
      <c r="J188" s="31">
        <f t="shared" si="121"/>
        <v>607854.78132356913</v>
      </c>
      <c r="K188" s="31">
        <f t="shared" si="121"/>
        <v>608568.2896769346</v>
      </c>
      <c r="L188" s="31">
        <f t="shared" si="121"/>
        <v>4306603.0382344117</v>
      </c>
      <c r="M188" s="65">
        <f t="shared" si="121"/>
        <v>3393810.0846636542</v>
      </c>
      <c r="N188" s="65">
        <f t="shared" si="121"/>
        <v>803975.13217453845</v>
      </c>
      <c r="O188" s="31">
        <f>SUM(O180:O187)</f>
        <v>0</v>
      </c>
      <c r="P188" s="31">
        <f t="shared" ref="P188:AF188" si="122">SUM(P180:P187)</f>
        <v>0</v>
      </c>
      <c r="Q188" s="31">
        <f t="shared" si="122"/>
        <v>0</v>
      </c>
      <c r="R188" s="31">
        <f t="shared" si="122"/>
        <v>0</v>
      </c>
      <c r="S188" s="31">
        <f t="shared" si="122"/>
        <v>0</v>
      </c>
      <c r="T188" s="31">
        <f t="shared" si="122"/>
        <v>0</v>
      </c>
      <c r="U188" s="31">
        <f t="shared" si="122"/>
        <v>0</v>
      </c>
      <c r="V188" s="31">
        <f t="shared" si="122"/>
        <v>0</v>
      </c>
      <c r="W188" s="31">
        <f t="shared" si="122"/>
        <v>0</v>
      </c>
      <c r="X188" s="31">
        <f t="shared" si="122"/>
        <v>0</v>
      </c>
      <c r="Y188" s="31">
        <f t="shared" si="122"/>
        <v>0</v>
      </c>
      <c r="Z188" s="31">
        <f t="shared" si="122"/>
        <v>0</v>
      </c>
      <c r="AA188" s="31">
        <f t="shared" si="122"/>
        <v>0</v>
      </c>
      <c r="AB188" s="31">
        <f t="shared" si="122"/>
        <v>0</v>
      </c>
      <c r="AC188" s="31">
        <f t="shared" si="122"/>
        <v>0</v>
      </c>
      <c r="AD188" s="31">
        <f t="shared" si="122"/>
        <v>0</v>
      </c>
      <c r="AE188" s="31">
        <f t="shared" si="122"/>
        <v>0</v>
      </c>
      <c r="AF188" s="31">
        <f t="shared" si="122"/>
        <v>0</v>
      </c>
      <c r="AG188" s="16">
        <f t="shared" si="119"/>
        <v>74246944</v>
      </c>
      <c r="AH188" s="14" t="str">
        <f>IF(ABS(E188-AG188)&lt;0.01,"ok","err")</f>
        <v>ok</v>
      </c>
    </row>
    <row r="189" spans="1:34" x14ac:dyDescent="0.25">
      <c r="E189" s="31"/>
      <c r="F189" s="31"/>
    </row>
    <row r="190" spans="1:34" x14ac:dyDescent="0.25">
      <c r="A190" s="7" t="s">
        <v>772</v>
      </c>
      <c r="E190" s="31"/>
      <c r="F190" s="31"/>
    </row>
    <row r="191" spans="1:34" x14ac:dyDescent="0.25">
      <c r="A191" s="12" t="s">
        <v>214</v>
      </c>
      <c r="C191" s="2" t="s">
        <v>794</v>
      </c>
      <c r="D191" s="2" t="s">
        <v>215</v>
      </c>
      <c r="E191" s="65">
        <f>'Functional Assignment'!P264</f>
        <v>0</v>
      </c>
      <c r="F191" s="65">
        <f>IF(VLOOKUP($D191,$C$5:$AU$836,3,)=0,0,(VLOOKUP($D191,$C$5:$AU$836,4,)/VLOOKUP($D191,$C$5:$AU$836,3,))*$E191)</f>
        <v>0</v>
      </c>
      <c r="G191" s="65">
        <f>IF(VLOOKUP($D191,$C$5:$AU$836,3,)=0,0,(VLOOKUP($D191,$C$5:$AU$836,5,)/VLOOKUP($D191,$C$5:$AU$836,3,))*$E191)</f>
        <v>0</v>
      </c>
      <c r="H191" s="65">
        <f>IF(VLOOKUP($D191,$C$5:$AU$836,3,)=0,0,(VLOOKUP($D191,$C$5:$AU$836,6,)/VLOOKUP($D191,$C$5:$AU$836,3,))*$E191)</f>
        <v>0</v>
      </c>
      <c r="I191" s="65">
        <f>IF(VLOOKUP($D191,$C$5:$AU$836,3,)=0,0,(VLOOKUP($D191,$C$5:$AU$836,7,)/VLOOKUP($D191,$C$5:$AU$836,3,))*$E191)</f>
        <v>0</v>
      </c>
      <c r="J191" s="65">
        <f>IF(VLOOKUP($D191,$C$5:$AU$836,3,)=0,0,(VLOOKUP($D191,$C$5:$AU$836,8,)/VLOOKUP($D191,$C$5:$AU$836,3,))*$E191)</f>
        <v>0</v>
      </c>
      <c r="K191" s="65">
        <f>IF(VLOOKUP($D191,$C$5:$AU$836,3,)=0,0,(VLOOKUP($D191,$C$5:$AU$836,9,)/VLOOKUP($D191,$C$5:$AU$836,3,))*$E191)</f>
        <v>0</v>
      </c>
      <c r="L191" s="65">
        <f>IF(VLOOKUP($D191,$C$5:$AU$836,3,)=0,0,(VLOOKUP($D191,$C$5:$AU$836,10,)/VLOOKUP($D191,$C$5:$AU$836,3,))*$E191)</f>
        <v>0</v>
      </c>
      <c r="M191" s="65">
        <f>IF(VLOOKUP($D191,$C$5:$AU$836,3,)=0,0,(VLOOKUP($D191,$C$5:$AU$836,11,)/VLOOKUP($D191,$C$5:$AU$836,3,))*$E191)</f>
        <v>0</v>
      </c>
      <c r="N191" s="65">
        <f>IF(VLOOKUP($D191,$C$5:$AU$836,3,)=0,0,(VLOOKUP($D191,$C$5:$AU$836,12,)/VLOOKUP($D191,$C$5:$AU$836,3,))*$E191)</f>
        <v>0</v>
      </c>
      <c r="O191" s="65">
        <f>IF(VLOOKUP($D191,$C$5:$AU$836,3,)=0,0,(VLOOKUP($D191,$C$5:$AU$836,13,)/VLOOKUP($D191,$C$5:$AU$836,3,))*$E191)</f>
        <v>0</v>
      </c>
      <c r="P191" s="65">
        <f>IF(VLOOKUP($D191,$C$5:$AU$836,3,)=0,0,(VLOOKUP($D191,$C$5:$AU$836,14,)/VLOOKUP($D191,$C$5:$AU$836,3,))*$E191)</f>
        <v>0</v>
      </c>
      <c r="Q191" s="65">
        <f>IF(VLOOKUP($D191,$C$5:$AU$836,3,)=0,0,(VLOOKUP($D191,$C$5:$AU$836,15,)/VLOOKUP($D191,$C$5:$AU$836,3,))*$E191)</f>
        <v>0</v>
      </c>
      <c r="R191" s="65">
        <f>IF(VLOOKUP($D191,$C$5:$AU$836,3,)=0,0,(VLOOKUP($D191,$C$5:$AU$836,16,)/VLOOKUP($D191,$C$5:$AU$836,3,))*$E191)</f>
        <v>0</v>
      </c>
      <c r="S191" s="65">
        <f>IF(VLOOKUP($D191,$C$5:$AU$836,3,)=0,0,(VLOOKUP($D191,$C$5:$AU$836,17,)/VLOOKUP($D191,$C$5:$AU$836,3,))*$E191)</f>
        <v>0</v>
      </c>
      <c r="T191" s="65">
        <f>IF(VLOOKUP($D191,$C$5:$AU$836,3,)=0,0,(VLOOKUP($D191,$C$5:$AU$836,18,)/VLOOKUP($D191,$C$5:$AU$836,3,))*$E191)</f>
        <v>0</v>
      </c>
      <c r="U191" s="65">
        <f>IF(VLOOKUP($D191,$C$5:$AU$836,3,)=0,0,(VLOOKUP($D191,$C$5:$AU$836,19,)/VLOOKUP($D191,$C$5:$AU$836,3,))*$E191)</f>
        <v>0</v>
      </c>
      <c r="V191" s="65">
        <f>IF(VLOOKUP($D191,$C$5:$AU$836,3,)=0,0,(VLOOKUP($D191,$C$5:$AU$836,20,)/VLOOKUP($D191,$C$5:$AU$836,3,))*$E191)</f>
        <v>0</v>
      </c>
      <c r="W191" s="65">
        <f>IF(VLOOKUP($D191,$C$5:$AU$836,3,)=0,0,(VLOOKUP($D191,$C$5:$AU$836,21,)/VLOOKUP($D191,$C$5:$AU$836,3,))*$E191)</f>
        <v>0</v>
      </c>
      <c r="X191" s="65">
        <f>IF(VLOOKUP($D191,$C$5:$AU$836,3,)=0,0,(VLOOKUP($D191,$C$5:$AU$836,22,)/VLOOKUP($D191,$C$5:$AU$836,3,))*$E191)</f>
        <v>0</v>
      </c>
      <c r="Y191" s="65">
        <f>IF(VLOOKUP($D191,$C$5:$AU$836,3,)=0,0,(VLOOKUP($D191,$C$5:$AU$836,23,)/VLOOKUP($D191,$C$5:$AU$836,3,))*$E191)</f>
        <v>0</v>
      </c>
      <c r="Z191" s="65">
        <f>IF(VLOOKUP($D191,$C$5:$AU$836,3,)=0,0,(VLOOKUP($D191,$C$5:$AU$836,24,)/VLOOKUP($D191,$C$5:$AU$836,3,))*$E191)</f>
        <v>0</v>
      </c>
      <c r="AA191" s="65">
        <f>IF(VLOOKUP($D191,$C$5:$AU$836,3,)=0,0,(VLOOKUP($D191,$C$5:$AU$836,25,)/VLOOKUP($D191,$C$5:$AU$836,3,))*$E191)</f>
        <v>0</v>
      </c>
      <c r="AB191" s="65">
        <f>IF(VLOOKUP($D191,$C$5:$AU$836,3,)=0,0,(VLOOKUP($D191,$C$5:$AU$836,26,)/VLOOKUP($D191,$C$5:$AU$836,3,))*$E191)</f>
        <v>0</v>
      </c>
      <c r="AC191" s="65">
        <f>IF(VLOOKUP($D191,$C$5:$AU$836,3,)=0,0,(VLOOKUP($D191,$C$5:$AU$836,27,)/VLOOKUP($D191,$C$5:$AU$836,3,))*$E191)</f>
        <v>0</v>
      </c>
      <c r="AD191" s="65">
        <f>IF(VLOOKUP($D191,$C$5:$AU$836,3,)=0,0,(VLOOKUP($D191,$C$5:$AU$836,28,)/VLOOKUP($D191,$C$5:$AU$836,3,))*$E191)</f>
        <v>0</v>
      </c>
      <c r="AE191" s="65">
        <f>IF(VLOOKUP($D191,$C$5:$AU$836,3,)=0,0,(VLOOKUP($D191,$C$5:$AU$836,29,)/VLOOKUP($D191,$C$5:$AU$836,3,))*$E191)</f>
        <v>0</v>
      </c>
      <c r="AF191" s="65">
        <f>IF(VLOOKUP($D191,$C$5:$AU$836,3,)=0,0,(VLOOKUP($D191,$C$5:$AU$836,30,)/VLOOKUP($D191,$C$5:$AU$836,3,))*$E191)</f>
        <v>0</v>
      </c>
      <c r="AG191" s="16">
        <f>SUM(F191:AF191)</f>
        <v>0</v>
      </c>
      <c r="AH191" s="14" t="str">
        <f>IF(ABS(E191-AG191)&lt;0.01,"ok","err")</f>
        <v>ok</v>
      </c>
    </row>
    <row r="192" spans="1:34" x14ac:dyDescent="0.25">
      <c r="E192" s="31"/>
      <c r="F192" s="31"/>
    </row>
    <row r="193" spans="1:34" x14ac:dyDescent="0.25">
      <c r="A193" s="7" t="s">
        <v>334</v>
      </c>
      <c r="E193" s="31"/>
      <c r="F193" s="31"/>
    </row>
    <row r="194" spans="1:34" x14ac:dyDescent="0.25">
      <c r="A194" s="12" t="s">
        <v>214</v>
      </c>
      <c r="C194" s="2" t="s">
        <v>458</v>
      </c>
      <c r="D194" s="2" t="s">
        <v>617</v>
      </c>
      <c r="E194" s="65">
        <f>'Functional Assignment'!R264</f>
        <v>0</v>
      </c>
      <c r="F194" s="65">
        <f>IF(VLOOKUP($D194,$C$5:$AU$836,3,)=0,0,(VLOOKUP($D194,$C$5:$AU$836,4,)/VLOOKUP($D194,$C$5:$AU$836,3,))*$E194)</f>
        <v>0</v>
      </c>
      <c r="G194" s="65">
        <f>IF(VLOOKUP($D194,$C$5:$AU$836,3,)=0,0,(VLOOKUP($D194,$C$5:$AU$836,5,)/VLOOKUP($D194,$C$5:$AU$836,3,))*$E194)</f>
        <v>0</v>
      </c>
      <c r="H194" s="65">
        <f>IF(VLOOKUP($D194,$C$5:$AU$836,3,)=0,0,(VLOOKUP($D194,$C$5:$AU$836,6,)/VLOOKUP($D194,$C$5:$AU$836,3,))*$E194)</f>
        <v>0</v>
      </c>
      <c r="I194" s="65">
        <f>IF(VLOOKUP($D194,$C$5:$AU$836,3,)=0,0,(VLOOKUP($D194,$C$5:$AU$836,7,)/VLOOKUP($D194,$C$5:$AU$836,3,))*$E194)</f>
        <v>0</v>
      </c>
      <c r="J194" s="65">
        <f>IF(VLOOKUP($D194,$C$5:$AU$836,3,)=0,0,(VLOOKUP($D194,$C$5:$AU$836,8,)/VLOOKUP($D194,$C$5:$AU$836,3,))*$E194)</f>
        <v>0</v>
      </c>
      <c r="K194" s="65">
        <f>IF(VLOOKUP($D194,$C$5:$AU$836,3,)=0,0,(VLOOKUP($D194,$C$5:$AU$836,9,)/VLOOKUP($D194,$C$5:$AU$836,3,))*$E194)</f>
        <v>0</v>
      </c>
      <c r="L194" s="65">
        <f>IF(VLOOKUP($D194,$C$5:$AU$836,3,)=0,0,(VLOOKUP($D194,$C$5:$AU$836,10,)/VLOOKUP($D194,$C$5:$AU$836,3,))*$E194)</f>
        <v>0</v>
      </c>
      <c r="M194" s="65">
        <f>IF(VLOOKUP($D194,$C$5:$AU$836,3,)=0,0,(VLOOKUP($D194,$C$5:$AU$836,11,)/VLOOKUP($D194,$C$5:$AU$836,3,))*$E194)</f>
        <v>0</v>
      </c>
      <c r="N194" s="65">
        <f>IF(VLOOKUP($D194,$C$5:$AU$836,3,)=0,0,(VLOOKUP($D194,$C$5:$AU$836,12,)/VLOOKUP($D194,$C$5:$AU$836,3,))*$E194)</f>
        <v>0</v>
      </c>
      <c r="O194" s="65">
        <f>IF(VLOOKUP($D194,$C$5:$AU$836,3,)=0,0,(VLOOKUP($D194,$C$5:$AU$836,13,)/VLOOKUP($D194,$C$5:$AU$836,3,))*$E194)</f>
        <v>0</v>
      </c>
      <c r="P194" s="65">
        <f>IF(VLOOKUP($D194,$C$5:$AU$836,3,)=0,0,(VLOOKUP($D194,$C$5:$AU$836,14,)/VLOOKUP($D194,$C$5:$AU$836,3,))*$E194)</f>
        <v>0</v>
      </c>
      <c r="Q194" s="65">
        <f>IF(VLOOKUP($D194,$C$5:$AU$836,3,)=0,0,(VLOOKUP($D194,$C$5:$AU$836,15,)/VLOOKUP($D194,$C$5:$AU$836,3,))*$E194)</f>
        <v>0</v>
      </c>
      <c r="R194" s="65">
        <f>IF(VLOOKUP($D194,$C$5:$AU$836,3,)=0,0,(VLOOKUP($D194,$C$5:$AU$836,16,)/VLOOKUP($D194,$C$5:$AU$836,3,))*$E194)</f>
        <v>0</v>
      </c>
      <c r="S194" s="65">
        <f>IF(VLOOKUP($D194,$C$5:$AU$836,3,)=0,0,(VLOOKUP($D194,$C$5:$AU$836,17,)/VLOOKUP($D194,$C$5:$AU$836,3,))*$E194)</f>
        <v>0</v>
      </c>
      <c r="T194" s="65">
        <f>IF(VLOOKUP($D194,$C$5:$AU$836,3,)=0,0,(VLOOKUP($D194,$C$5:$AU$836,18,)/VLOOKUP($D194,$C$5:$AU$836,3,))*$E194)</f>
        <v>0</v>
      </c>
      <c r="U194" s="65">
        <f>IF(VLOOKUP($D194,$C$5:$AU$836,3,)=0,0,(VLOOKUP($D194,$C$5:$AU$836,19,)/VLOOKUP($D194,$C$5:$AU$836,3,))*$E194)</f>
        <v>0</v>
      </c>
      <c r="V194" s="65">
        <f>IF(VLOOKUP($D194,$C$5:$AU$836,3,)=0,0,(VLOOKUP($D194,$C$5:$AU$836,20,)/VLOOKUP($D194,$C$5:$AU$836,3,))*$E194)</f>
        <v>0</v>
      </c>
      <c r="W194" s="65">
        <f>IF(VLOOKUP($D194,$C$5:$AU$836,3,)=0,0,(VLOOKUP($D194,$C$5:$AU$836,21,)/VLOOKUP($D194,$C$5:$AU$836,3,))*$E194)</f>
        <v>0</v>
      </c>
      <c r="X194" s="65">
        <f>IF(VLOOKUP($D194,$C$5:$AU$836,3,)=0,0,(VLOOKUP($D194,$C$5:$AU$836,22,)/VLOOKUP($D194,$C$5:$AU$836,3,))*$E194)</f>
        <v>0</v>
      </c>
      <c r="Y194" s="65">
        <f>IF(VLOOKUP($D194,$C$5:$AU$836,3,)=0,0,(VLOOKUP($D194,$C$5:$AU$836,23,)/VLOOKUP($D194,$C$5:$AU$836,3,))*$E194)</f>
        <v>0</v>
      </c>
      <c r="Z194" s="65">
        <f>IF(VLOOKUP($D194,$C$5:$AU$836,3,)=0,0,(VLOOKUP($D194,$C$5:$AU$836,24,)/VLOOKUP($D194,$C$5:$AU$836,3,))*$E194)</f>
        <v>0</v>
      </c>
      <c r="AA194" s="65">
        <f>IF(VLOOKUP($D194,$C$5:$AU$836,3,)=0,0,(VLOOKUP($D194,$C$5:$AU$836,25,)/VLOOKUP($D194,$C$5:$AU$836,3,))*$E194)</f>
        <v>0</v>
      </c>
      <c r="AB194" s="65">
        <f>IF(VLOOKUP($D194,$C$5:$AU$836,3,)=0,0,(VLOOKUP($D194,$C$5:$AU$836,26,)/VLOOKUP($D194,$C$5:$AU$836,3,))*$E194)</f>
        <v>0</v>
      </c>
      <c r="AC194" s="65">
        <f>IF(VLOOKUP($D194,$C$5:$AU$836,3,)=0,0,(VLOOKUP($D194,$C$5:$AU$836,27,)/VLOOKUP($D194,$C$5:$AU$836,3,))*$E194)</f>
        <v>0</v>
      </c>
      <c r="AD194" s="65">
        <f>IF(VLOOKUP($D194,$C$5:$AU$836,3,)=0,0,(VLOOKUP($D194,$C$5:$AU$836,28,)/VLOOKUP($D194,$C$5:$AU$836,3,))*$E194)</f>
        <v>0</v>
      </c>
      <c r="AE194" s="65">
        <f>IF(VLOOKUP($D194,$C$5:$AU$836,3,)=0,0,(VLOOKUP($D194,$C$5:$AU$836,29,)/VLOOKUP($D194,$C$5:$AU$836,3,))*$E194)</f>
        <v>0</v>
      </c>
      <c r="AF194" s="65">
        <f>IF(VLOOKUP($D194,$C$5:$AU$836,3,)=0,0,(VLOOKUP($D194,$C$5:$AU$836,30,)/VLOOKUP($D194,$C$5:$AU$836,3,))*$E194)</f>
        <v>0</v>
      </c>
      <c r="AG194" s="16">
        <f>SUM(F194:AF194)</f>
        <v>0</v>
      </c>
      <c r="AH194" s="14" t="str">
        <f>IF(ABS(E194-AG194)&lt;0.01,"ok","err")</f>
        <v>ok</v>
      </c>
    </row>
    <row r="195" spans="1:34" x14ac:dyDescent="0.25">
      <c r="E195" s="31"/>
      <c r="F195" s="31"/>
    </row>
    <row r="196" spans="1:34" x14ac:dyDescent="0.25">
      <c r="A196" s="8" t="s">
        <v>3</v>
      </c>
      <c r="E196" s="31"/>
      <c r="F196" s="31"/>
    </row>
    <row r="197" spans="1:34" x14ac:dyDescent="0.25">
      <c r="A197" s="12" t="s">
        <v>214</v>
      </c>
      <c r="C197" s="2" t="s">
        <v>259</v>
      </c>
      <c r="D197" s="2" t="s">
        <v>620</v>
      </c>
      <c r="E197" s="65">
        <f>'Functional Assignment'!T264</f>
        <v>45304.30526892854</v>
      </c>
      <c r="F197" s="65">
        <f>IF(VLOOKUP($D197,$C$5:$AU$836,3,)=0,0,(VLOOKUP($D197,$C$5:$AU$836,4,)/VLOOKUP($D197,$C$5:$AU$836,3,))*$E197)</f>
        <v>32200.278246199661</v>
      </c>
      <c r="G197" s="65">
        <f>IF(VLOOKUP($D197,$C$5:$AU$836,3,)=0,0,(VLOOKUP($D197,$C$5:$AU$836,5,)/VLOOKUP($D197,$C$5:$AU$836,3,))*$E197)</f>
        <v>2107.3745925399867</v>
      </c>
      <c r="H197" s="65">
        <f>IF(VLOOKUP($D197,$C$5:$AU$836,3,)=0,0,(VLOOKUP($D197,$C$5:$AU$836,6,)/VLOOKUP($D197,$C$5:$AU$836,3,))*$E197)</f>
        <v>5350.7750673671644</v>
      </c>
      <c r="I197" s="65">
        <f>IF(VLOOKUP($D197,$C$5:$AU$836,3,)=0,0,(VLOOKUP($D197,$C$5:$AU$836,7,)/VLOOKUP($D197,$C$5:$AU$836,3,))*$E197)</f>
        <v>550.0655954393477</v>
      </c>
      <c r="J197" s="65">
        <f>IF(VLOOKUP($D197,$C$5:$AU$836,3,)=0,0,(VLOOKUP($D197,$C$5:$AU$836,8,)/VLOOKUP($D197,$C$5:$AU$836,3,))*$E197)</f>
        <v>539.51639223914094</v>
      </c>
      <c r="K197" s="65">
        <f>IF(VLOOKUP($D197,$C$5:$AU$836,3,)=0,0,(VLOOKUP($D197,$C$5:$AU$836,9,)/VLOOKUP($D197,$C$5:$AU$836,3,))*$E197)</f>
        <v>297.5039705625037</v>
      </c>
      <c r="L197" s="65">
        <f>IF(VLOOKUP($D197,$C$5:$AU$836,3,)=0,0,(VLOOKUP($D197,$C$5:$AU$836,10,)/VLOOKUP($D197,$C$5:$AU$836,3,))*$E197)</f>
        <v>2094.3649589466304</v>
      </c>
      <c r="M197" s="65">
        <f>IF(VLOOKUP($D197,$C$5:$AU$836,3,)=0,0,(VLOOKUP($D197,$C$5:$AU$836,11,)/VLOOKUP($D197,$C$5:$AU$836,3,))*$E197)</f>
        <v>1573.3547461760702</v>
      </c>
      <c r="N197" s="65">
        <f>IF(VLOOKUP($D197,$C$5:$AU$836,3,)=0,0,(VLOOKUP($D197,$C$5:$AU$836,12,)/VLOOKUP($D197,$C$5:$AU$836,3,))*$E197)</f>
        <v>591.07169945801672</v>
      </c>
      <c r="O197" s="65">
        <f>IF(VLOOKUP($D197,$C$5:$AU$836,3,)=0,0,(VLOOKUP($D197,$C$5:$AU$836,13,)/VLOOKUP($D197,$C$5:$AU$836,3,))*$E197)</f>
        <v>0</v>
      </c>
      <c r="P197" s="65">
        <f>IF(VLOOKUP($D197,$C$5:$AU$836,3,)=0,0,(VLOOKUP($D197,$C$5:$AU$836,14,)/VLOOKUP($D197,$C$5:$AU$836,3,))*$E197)</f>
        <v>0</v>
      </c>
      <c r="Q197" s="65">
        <f>IF(VLOOKUP($D197,$C$5:$AU$836,3,)=0,0,(VLOOKUP($D197,$C$5:$AU$836,15,)/VLOOKUP($D197,$C$5:$AU$836,3,))*$E197)</f>
        <v>0</v>
      </c>
      <c r="R197" s="65">
        <f>IF(VLOOKUP($D197,$C$5:$AU$836,3,)=0,0,(VLOOKUP($D197,$C$5:$AU$836,16,)/VLOOKUP($D197,$C$5:$AU$836,3,))*$E197)</f>
        <v>0</v>
      </c>
      <c r="S197" s="65">
        <f>IF(VLOOKUP($D197,$C$5:$AU$836,3,)=0,0,(VLOOKUP($D197,$C$5:$AU$836,17,)/VLOOKUP($D197,$C$5:$AU$836,3,))*$E197)</f>
        <v>0</v>
      </c>
      <c r="T197" s="65">
        <f>IF(VLOOKUP($D197,$C$5:$AU$836,3,)=0,0,(VLOOKUP($D197,$C$5:$AU$836,18,)/VLOOKUP($D197,$C$5:$AU$836,3,))*$E197)</f>
        <v>0</v>
      </c>
      <c r="U197" s="65">
        <f>IF(VLOOKUP($D197,$C$5:$AU$836,3,)=0,0,(VLOOKUP($D197,$C$5:$AU$836,19,)/VLOOKUP($D197,$C$5:$AU$836,3,))*$E197)</f>
        <v>0</v>
      </c>
      <c r="V197" s="65">
        <f>IF(VLOOKUP($D197,$C$5:$AU$836,3,)=0,0,(VLOOKUP($D197,$C$5:$AU$836,20,)/VLOOKUP($D197,$C$5:$AU$836,3,))*$E197)</f>
        <v>0</v>
      </c>
      <c r="W197" s="65">
        <f>IF(VLOOKUP($D197,$C$5:$AU$836,3,)=0,0,(VLOOKUP($D197,$C$5:$AU$836,21,)/VLOOKUP($D197,$C$5:$AU$836,3,))*$E197)</f>
        <v>0</v>
      </c>
      <c r="X197" s="65">
        <f>IF(VLOOKUP($D197,$C$5:$AU$836,3,)=0,0,(VLOOKUP($D197,$C$5:$AU$836,22,)/VLOOKUP($D197,$C$5:$AU$836,3,))*$E197)</f>
        <v>0</v>
      </c>
      <c r="Y197" s="65">
        <f>IF(VLOOKUP($D197,$C$5:$AU$836,3,)=0,0,(VLOOKUP($D197,$C$5:$AU$836,23,)/VLOOKUP($D197,$C$5:$AU$836,3,))*$E197)</f>
        <v>0</v>
      </c>
      <c r="Z197" s="65">
        <f>IF(VLOOKUP($D197,$C$5:$AU$836,3,)=0,0,(VLOOKUP($D197,$C$5:$AU$836,24,)/VLOOKUP($D197,$C$5:$AU$836,3,))*$E197)</f>
        <v>0</v>
      </c>
      <c r="AA197" s="65">
        <f>IF(VLOOKUP($D197,$C$5:$AU$836,3,)=0,0,(VLOOKUP($D197,$C$5:$AU$836,25,)/VLOOKUP($D197,$C$5:$AU$836,3,))*$E197)</f>
        <v>0</v>
      </c>
      <c r="AB197" s="65">
        <f>IF(VLOOKUP($D197,$C$5:$AU$836,3,)=0,0,(VLOOKUP($D197,$C$5:$AU$836,26,)/VLOOKUP($D197,$C$5:$AU$836,3,))*$E197)</f>
        <v>0</v>
      </c>
      <c r="AC197" s="65">
        <f>IF(VLOOKUP($D197,$C$5:$AU$836,3,)=0,0,(VLOOKUP($D197,$C$5:$AU$836,27,)/VLOOKUP($D197,$C$5:$AU$836,3,))*$E197)</f>
        <v>0</v>
      </c>
      <c r="AD197" s="65">
        <f>IF(VLOOKUP($D197,$C$5:$AU$836,3,)=0,0,(VLOOKUP($D197,$C$5:$AU$836,28,)/VLOOKUP($D197,$C$5:$AU$836,3,))*$E197)</f>
        <v>0</v>
      </c>
      <c r="AE197" s="65">
        <f>IF(VLOOKUP($D197,$C$5:$AU$836,3,)=0,0,(VLOOKUP($D197,$C$5:$AU$836,29,)/VLOOKUP($D197,$C$5:$AU$836,3,))*$E197)</f>
        <v>0</v>
      </c>
      <c r="AF197" s="65">
        <f>IF(VLOOKUP($D197,$C$5:$AU$836,3,)=0,0,(VLOOKUP($D197,$C$5:$AU$836,30,)/VLOOKUP($D197,$C$5:$AU$836,3,))*$E197)</f>
        <v>0</v>
      </c>
      <c r="AG197" s="16">
        <f>SUM(F197:AF197)</f>
        <v>45304.30526892851</v>
      </c>
      <c r="AH197" s="14" t="str">
        <f>IF(ABS(E197-AG197)&lt;0.01,"ok","err")</f>
        <v>ok</v>
      </c>
    </row>
    <row r="198" spans="1:34" x14ac:dyDescent="0.25">
      <c r="E198" s="31"/>
    </row>
    <row r="199" spans="1:34" x14ac:dyDescent="0.25">
      <c r="A199" s="8" t="s">
        <v>4</v>
      </c>
      <c r="E199" s="31"/>
    </row>
    <row r="200" spans="1:34" x14ac:dyDescent="0.25">
      <c r="A200" s="12" t="s">
        <v>214</v>
      </c>
      <c r="C200" s="2" t="s">
        <v>807</v>
      </c>
      <c r="D200" s="9" t="s">
        <v>750</v>
      </c>
      <c r="E200" s="65">
        <f>'Functional Assignment'!V264</f>
        <v>7761948.2903428525</v>
      </c>
      <c r="F200" s="65">
        <f>IF(VLOOKUP($D200,$C$5:$AU$836,3,)=0,0,(VLOOKUP($D200,$C$5:$AU$836,4,)/VLOOKUP($D200,$C$5:$AU$836,3,))*$E200)</f>
        <v>4994254.9871330336</v>
      </c>
      <c r="G200" s="65">
        <f>IF(VLOOKUP($D200,$C$5:$AU$836,3,)=0,0,(VLOOKUP($D200,$C$5:$AU$836,5,)/VLOOKUP($D200,$C$5:$AU$836,3,))*$E200)</f>
        <v>431446.30938479549</v>
      </c>
      <c r="H200" s="65">
        <f>IF(VLOOKUP($D200,$C$5:$AU$836,3,)=0,0,(VLOOKUP($D200,$C$5:$AU$836,6,)/VLOOKUP($D200,$C$5:$AU$836,3,))*$E200)</f>
        <v>1493826.9399297209</v>
      </c>
      <c r="I200" s="65">
        <f>IF(VLOOKUP($D200,$C$5:$AU$836,3,)=0,0,(VLOOKUP($D200,$C$5:$AU$836,7,)/VLOOKUP($D200,$C$5:$AU$836,3,))*$E200)</f>
        <v>146741.85900824267</v>
      </c>
      <c r="J200" s="65">
        <f>IF(VLOOKUP($D200,$C$5:$AU$836,3,)=0,0,(VLOOKUP($D200,$C$5:$AU$836,8,)/VLOOKUP($D200,$C$5:$AU$836,3,))*$E200)</f>
        <v>150621.9400205664</v>
      </c>
      <c r="K200" s="65">
        <f>IF(VLOOKUP($D200,$C$5:$AU$836,3,)=0,0,(VLOOKUP($D200,$C$5:$AU$836,9,)/VLOOKUP($D200,$C$5:$AU$836,3,))*$E200)</f>
        <v>703.90813249369592</v>
      </c>
      <c r="L200" s="65">
        <f>IF(VLOOKUP($D200,$C$5:$AU$836,3,)=0,0,(VLOOKUP($D200,$C$5:$AU$836,10,)/VLOOKUP($D200,$C$5:$AU$836,3,))*$E200)</f>
        <v>13428.816515629473</v>
      </c>
      <c r="M200" s="65">
        <f>IF(VLOOKUP($D200,$C$5:$AU$836,3,)=0,0,(VLOOKUP($D200,$C$5:$AU$836,11,)/VLOOKUP($D200,$C$5:$AU$836,3,))*$E200)</f>
        <v>439248.45958074828</v>
      </c>
      <c r="N200" s="65">
        <f>IF(VLOOKUP($D200,$C$5:$AU$836,3,)=0,0,(VLOOKUP($D200,$C$5:$AU$836,12,)/VLOOKUP($D200,$C$5:$AU$836,3,))*$E200)</f>
        <v>91675.070637620782</v>
      </c>
      <c r="O200" s="65">
        <f>IF(VLOOKUP($D200,$C$5:$AU$836,3,)=0,0,(VLOOKUP($D200,$C$5:$AU$836,13,)/VLOOKUP($D200,$C$5:$AU$836,3,))*$E200)</f>
        <v>0</v>
      </c>
      <c r="P200" s="65">
        <f>IF(VLOOKUP($D200,$C$5:$AU$836,3,)=0,0,(VLOOKUP($D200,$C$5:$AU$836,14,)/VLOOKUP($D200,$C$5:$AU$836,3,))*$E200)</f>
        <v>0</v>
      </c>
      <c r="Q200" s="65">
        <f>IF(VLOOKUP($D200,$C$5:$AU$836,3,)=0,0,(VLOOKUP($D200,$C$5:$AU$836,15,)/VLOOKUP($D200,$C$5:$AU$836,3,))*$E200)</f>
        <v>0</v>
      </c>
      <c r="R200" s="65">
        <f>IF(VLOOKUP($D200,$C$5:$AU$836,3,)=0,0,(VLOOKUP($D200,$C$5:$AU$836,16,)/VLOOKUP($D200,$C$5:$AU$836,3,))*$E200)</f>
        <v>0</v>
      </c>
      <c r="S200" s="65">
        <f>IF(VLOOKUP($D200,$C$5:$AU$836,3,)=0,0,(VLOOKUP($D200,$C$5:$AU$836,17,)/VLOOKUP($D200,$C$5:$AU$836,3,))*$E200)</f>
        <v>0</v>
      </c>
      <c r="T200" s="65">
        <f>IF(VLOOKUP($D200,$C$5:$AU$836,3,)=0,0,(VLOOKUP($D200,$C$5:$AU$836,18,)/VLOOKUP($D200,$C$5:$AU$836,3,))*$E200)</f>
        <v>0</v>
      </c>
      <c r="U200" s="65">
        <f>IF(VLOOKUP($D200,$C$5:$AU$836,3,)=0,0,(VLOOKUP($D200,$C$5:$AU$836,19,)/VLOOKUP($D200,$C$5:$AU$836,3,))*$E200)</f>
        <v>0</v>
      </c>
      <c r="V200" s="65">
        <f>IF(VLOOKUP($D200,$C$5:$AU$836,3,)=0,0,(VLOOKUP($D200,$C$5:$AU$836,20,)/VLOOKUP($D200,$C$5:$AU$836,3,))*$E200)</f>
        <v>0</v>
      </c>
      <c r="W200" s="65">
        <f>IF(VLOOKUP($D200,$C$5:$AU$836,3,)=0,0,(VLOOKUP($D200,$C$5:$AU$836,21,)/VLOOKUP($D200,$C$5:$AU$836,3,))*$E200)</f>
        <v>0</v>
      </c>
      <c r="X200" s="65">
        <f>IF(VLOOKUP($D200,$C$5:$AU$836,3,)=0,0,(VLOOKUP($D200,$C$5:$AU$836,22,)/VLOOKUP($D200,$C$5:$AU$836,3,))*$E200)</f>
        <v>0</v>
      </c>
      <c r="Y200" s="65">
        <f>IF(VLOOKUP($D200,$C$5:$AU$836,3,)=0,0,(VLOOKUP($D200,$C$5:$AU$836,23,)/VLOOKUP($D200,$C$5:$AU$836,3,))*$E200)</f>
        <v>0</v>
      </c>
      <c r="Z200" s="65">
        <f>IF(VLOOKUP($D200,$C$5:$AU$836,3,)=0,0,(VLOOKUP($D200,$C$5:$AU$836,24,)/VLOOKUP($D200,$C$5:$AU$836,3,))*$E200)</f>
        <v>0</v>
      </c>
      <c r="AA200" s="65">
        <f>IF(VLOOKUP($D200,$C$5:$AU$836,3,)=0,0,(VLOOKUP($D200,$C$5:$AU$836,25,)/VLOOKUP($D200,$C$5:$AU$836,3,))*$E200)</f>
        <v>0</v>
      </c>
      <c r="AB200" s="65">
        <f>IF(VLOOKUP($D200,$C$5:$AU$836,3,)=0,0,(VLOOKUP($D200,$C$5:$AU$836,26,)/VLOOKUP($D200,$C$5:$AU$836,3,))*$E200)</f>
        <v>0</v>
      </c>
      <c r="AC200" s="65">
        <f>IF(VLOOKUP($D200,$C$5:$AU$836,3,)=0,0,(VLOOKUP($D200,$C$5:$AU$836,27,)/VLOOKUP($D200,$C$5:$AU$836,3,))*$E200)</f>
        <v>0</v>
      </c>
      <c r="AD200" s="65">
        <f>IF(VLOOKUP($D200,$C$5:$AU$836,3,)=0,0,(VLOOKUP($D200,$C$5:$AU$836,28,)/VLOOKUP($D200,$C$5:$AU$836,3,))*$E200)</f>
        <v>0</v>
      </c>
      <c r="AE200" s="65">
        <f>IF(VLOOKUP($D200,$C$5:$AU$836,3,)=0,0,(VLOOKUP($D200,$C$5:$AU$836,29,)/VLOOKUP($D200,$C$5:$AU$836,3,))*$E200)</f>
        <v>0</v>
      </c>
      <c r="AF200" s="65">
        <f>IF(VLOOKUP($D200,$C$5:$AU$836,3,)=0,0,(VLOOKUP($D200,$C$5:$AU$836,30,)/VLOOKUP($D200,$C$5:$AU$836,3,))*$E200)</f>
        <v>0</v>
      </c>
      <c r="AG200" s="16">
        <f>SUM(F200:AF200)</f>
        <v>7761948.2903428515</v>
      </c>
      <c r="AH200" s="14" t="str">
        <f>IF(ABS(E200-AG200)&lt;0.01,"ok","err")</f>
        <v>ok</v>
      </c>
    </row>
    <row r="201" spans="1:34" x14ac:dyDescent="0.25">
      <c r="A201" s="12" t="s">
        <v>223</v>
      </c>
      <c r="C201" s="2" t="s">
        <v>808</v>
      </c>
      <c r="D201" s="9" t="s">
        <v>759</v>
      </c>
      <c r="E201" s="65">
        <f>'Functional Assignment'!W264</f>
        <v>3497001.1944332095</v>
      </c>
      <c r="F201" s="65">
        <f>IF(VLOOKUP($D201,$C$5:$AU$836,3,)=0,0,(VLOOKUP($D201,$C$5:$AU$836,4,)/VLOOKUP($D201,$C$5:$AU$836,3,))*$E201)</f>
        <v>3206111.6593134431</v>
      </c>
      <c r="G201" s="65">
        <f>IF(VLOOKUP($D201,$C$5:$AU$836,3,)=0,0,(VLOOKUP($D201,$C$5:$AU$836,5,)/VLOOKUP($D201,$C$5:$AU$836,3,))*$E201)</f>
        <v>229975.32413623302</v>
      </c>
      <c r="H201" s="65">
        <f>IF(VLOOKUP($D201,$C$5:$AU$836,3,)=0,0,(VLOOKUP($D201,$C$5:$AU$836,6,)/VLOOKUP($D201,$C$5:$AU$836,3,))*$E201)</f>
        <v>22470.01953955695</v>
      </c>
      <c r="I201" s="65">
        <f>IF(VLOOKUP($D201,$C$5:$AU$836,3,)=0,0,(VLOOKUP($D201,$C$5:$AU$836,7,)/VLOOKUP($D201,$C$5:$AU$836,3,))*$E201)</f>
        <v>8470.639420103862</v>
      </c>
      <c r="J201" s="65">
        <f>IF(VLOOKUP($D201,$C$5:$AU$836,3,)=0,0,(VLOOKUP($D201,$C$5:$AU$836,8,)/VLOOKUP($D201,$C$5:$AU$836,3,))*$E201)</f>
        <v>862.28065953153077</v>
      </c>
      <c r="K201" s="65">
        <f>IF(VLOOKUP($D201,$C$5:$AU$836,3,)=0,0,(VLOOKUP($D201,$C$5:$AU$836,9,)/VLOOKUP($D201,$C$5:$AU$836,3,))*$E201)</f>
        <v>50.722391737148868</v>
      </c>
      <c r="L201" s="65">
        <f>IF(VLOOKUP($D201,$C$5:$AU$836,3,)=0,0,(VLOOKUP($D201,$C$5:$AU$836,10,)/VLOOKUP($D201,$C$5:$AU$836,3,))*$E201)</f>
        <v>101.44478347429774</v>
      </c>
      <c r="M201" s="65">
        <f>IF(VLOOKUP($D201,$C$5:$AU$836,3,)=0,0,(VLOOKUP($D201,$C$5:$AU$836,11,)/VLOOKUP($D201,$C$5:$AU$836,3,))*$E201)</f>
        <v>405.77913389719095</v>
      </c>
      <c r="N201" s="65">
        <f>IF(VLOOKUP($D201,$C$5:$AU$836,3,)=0,0,(VLOOKUP($D201,$C$5:$AU$836,12,)/VLOOKUP($D201,$C$5:$AU$836,3,))*$E201)</f>
        <v>28553.325055232337</v>
      </c>
      <c r="O201" s="65">
        <f>IF(VLOOKUP($D201,$C$5:$AU$836,3,)=0,0,(VLOOKUP($D201,$C$5:$AU$836,13,)/VLOOKUP($D201,$C$5:$AU$836,3,))*$E201)</f>
        <v>0</v>
      </c>
      <c r="P201" s="65">
        <f>IF(VLOOKUP($D201,$C$5:$AU$836,3,)=0,0,(VLOOKUP($D201,$C$5:$AU$836,14,)/VLOOKUP($D201,$C$5:$AU$836,3,))*$E201)</f>
        <v>0</v>
      </c>
      <c r="Q201" s="65">
        <f>IF(VLOOKUP($D201,$C$5:$AU$836,3,)=0,0,(VLOOKUP($D201,$C$5:$AU$836,15,)/VLOOKUP($D201,$C$5:$AU$836,3,))*$E201)</f>
        <v>0</v>
      </c>
      <c r="R201" s="65">
        <f>IF(VLOOKUP($D201,$C$5:$AU$836,3,)=0,0,(VLOOKUP($D201,$C$5:$AU$836,16,)/VLOOKUP($D201,$C$5:$AU$836,3,))*$E201)</f>
        <v>0</v>
      </c>
      <c r="S201" s="65">
        <f>IF(VLOOKUP($D201,$C$5:$AU$836,3,)=0,0,(VLOOKUP($D201,$C$5:$AU$836,17,)/VLOOKUP($D201,$C$5:$AU$836,3,))*$E201)</f>
        <v>0</v>
      </c>
      <c r="T201" s="65">
        <f>IF(VLOOKUP($D201,$C$5:$AU$836,3,)=0,0,(VLOOKUP($D201,$C$5:$AU$836,18,)/VLOOKUP($D201,$C$5:$AU$836,3,))*$E201)</f>
        <v>0</v>
      </c>
      <c r="U201" s="65">
        <f>IF(VLOOKUP($D201,$C$5:$AU$836,3,)=0,0,(VLOOKUP($D201,$C$5:$AU$836,19,)/VLOOKUP($D201,$C$5:$AU$836,3,))*$E201)</f>
        <v>0</v>
      </c>
      <c r="V201" s="65">
        <f>IF(VLOOKUP($D201,$C$5:$AU$836,3,)=0,0,(VLOOKUP($D201,$C$5:$AU$836,20,)/VLOOKUP($D201,$C$5:$AU$836,3,))*$E201)</f>
        <v>0</v>
      </c>
      <c r="W201" s="65">
        <f>IF(VLOOKUP($D201,$C$5:$AU$836,3,)=0,0,(VLOOKUP($D201,$C$5:$AU$836,21,)/VLOOKUP($D201,$C$5:$AU$836,3,))*$E201)</f>
        <v>0</v>
      </c>
      <c r="X201" s="65">
        <f>IF(VLOOKUP($D201,$C$5:$AU$836,3,)=0,0,(VLOOKUP($D201,$C$5:$AU$836,22,)/VLOOKUP($D201,$C$5:$AU$836,3,))*$E201)</f>
        <v>0</v>
      </c>
      <c r="Y201" s="65">
        <f>IF(VLOOKUP($D201,$C$5:$AU$836,3,)=0,0,(VLOOKUP($D201,$C$5:$AU$836,23,)/VLOOKUP($D201,$C$5:$AU$836,3,))*$E201)</f>
        <v>0</v>
      </c>
      <c r="Z201" s="65">
        <f>IF(VLOOKUP($D201,$C$5:$AU$836,3,)=0,0,(VLOOKUP($D201,$C$5:$AU$836,24,)/VLOOKUP($D201,$C$5:$AU$836,3,))*$E201)</f>
        <v>0</v>
      </c>
      <c r="AA201" s="65">
        <f>IF(VLOOKUP($D201,$C$5:$AU$836,3,)=0,0,(VLOOKUP($D201,$C$5:$AU$836,25,)/VLOOKUP($D201,$C$5:$AU$836,3,))*$E201)</f>
        <v>0</v>
      </c>
      <c r="AB201" s="65">
        <f>IF(VLOOKUP($D201,$C$5:$AU$836,3,)=0,0,(VLOOKUP($D201,$C$5:$AU$836,26,)/VLOOKUP($D201,$C$5:$AU$836,3,))*$E201)</f>
        <v>0</v>
      </c>
      <c r="AC201" s="65">
        <f>IF(VLOOKUP($D201,$C$5:$AU$836,3,)=0,0,(VLOOKUP($D201,$C$5:$AU$836,27,)/VLOOKUP($D201,$C$5:$AU$836,3,))*$E201)</f>
        <v>0</v>
      </c>
      <c r="AD201" s="65">
        <f>IF(VLOOKUP($D201,$C$5:$AU$836,3,)=0,0,(VLOOKUP($D201,$C$5:$AU$836,28,)/VLOOKUP($D201,$C$5:$AU$836,3,))*$E201)</f>
        <v>0</v>
      </c>
      <c r="AE201" s="65">
        <f>IF(VLOOKUP($D201,$C$5:$AU$836,3,)=0,0,(VLOOKUP($D201,$C$5:$AU$836,29,)/VLOOKUP($D201,$C$5:$AU$836,3,))*$E201)</f>
        <v>0</v>
      </c>
      <c r="AF201" s="65">
        <f>IF(VLOOKUP($D201,$C$5:$AU$836,3,)=0,0,(VLOOKUP($D201,$C$5:$AU$836,30,)/VLOOKUP($D201,$C$5:$AU$836,3,))*$E201)</f>
        <v>0</v>
      </c>
      <c r="AG201" s="16">
        <f>SUM(F201:AF201)</f>
        <v>3497001.1944332095</v>
      </c>
      <c r="AH201" s="14" t="str">
        <f>IF(ABS(E201-AG201)&lt;0.01,"ok","err")</f>
        <v>ok</v>
      </c>
    </row>
    <row r="202" spans="1:34" x14ac:dyDescent="0.25">
      <c r="A202" s="2" t="s">
        <v>224</v>
      </c>
      <c r="E202" s="65">
        <f t="shared" ref="E202:N202" si="123">E200+E201</f>
        <v>11258949.484776061</v>
      </c>
      <c r="F202" s="65">
        <f t="shared" si="123"/>
        <v>8200366.6464464767</v>
      </c>
      <c r="G202" s="65">
        <f t="shared" si="123"/>
        <v>661421.63352102856</v>
      </c>
      <c r="H202" s="65">
        <f t="shared" si="123"/>
        <v>1516296.9594692779</v>
      </c>
      <c r="I202" s="65">
        <f t="shared" si="123"/>
        <v>155212.49842834653</v>
      </c>
      <c r="J202" s="65">
        <f t="shared" si="123"/>
        <v>151484.22068009793</v>
      </c>
      <c r="K202" s="65">
        <f t="shared" si="123"/>
        <v>754.6305242308448</v>
      </c>
      <c r="L202" s="65">
        <f t="shared" si="123"/>
        <v>13530.261299103769</v>
      </c>
      <c r="M202" s="65">
        <f t="shared" si="123"/>
        <v>439654.2387146455</v>
      </c>
      <c r="N202" s="65">
        <f t="shared" si="123"/>
        <v>120228.39569285311</v>
      </c>
      <c r="O202" s="65">
        <f t="shared" ref="O202:T202" si="124">O200+O201</f>
        <v>0</v>
      </c>
      <c r="P202" s="65">
        <f t="shared" si="124"/>
        <v>0</v>
      </c>
      <c r="Q202" s="65">
        <f t="shared" si="124"/>
        <v>0</v>
      </c>
      <c r="R202" s="65">
        <f t="shared" si="124"/>
        <v>0</v>
      </c>
      <c r="S202" s="65">
        <f t="shared" si="124"/>
        <v>0</v>
      </c>
      <c r="T202" s="65">
        <f t="shared" si="124"/>
        <v>0</v>
      </c>
      <c r="U202" s="65">
        <f t="shared" ref="U202:AF202" si="125">U200+U201</f>
        <v>0</v>
      </c>
      <c r="V202" s="65">
        <f t="shared" si="125"/>
        <v>0</v>
      </c>
      <c r="W202" s="65">
        <f t="shared" si="125"/>
        <v>0</v>
      </c>
      <c r="X202" s="65">
        <f t="shared" si="125"/>
        <v>0</v>
      </c>
      <c r="Y202" s="65">
        <f t="shared" si="125"/>
        <v>0</v>
      </c>
      <c r="Z202" s="65">
        <f t="shared" si="125"/>
        <v>0</v>
      </c>
      <c r="AA202" s="65">
        <f t="shared" si="125"/>
        <v>0</v>
      </c>
      <c r="AB202" s="65">
        <f t="shared" si="125"/>
        <v>0</v>
      </c>
      <c r="AC202" s="65">
        <f t="shared" si="125"/>
        <v>0</v>
      </c>
      <c r="AD202" s="65">
        <f t="shared" si="125"/>
        <v>0</v>
      </c>
      <c r="AE202" s="65">
        <f t="shared" si="125"/>
        <v>0</v>
      </c>
      <c r="AF202" s="65">
        <f t="shared" si="125"/>
        <v>0</v>
      </c>
      <c r="AG202" s="16">
        <f>SUM(F202:AF202)</f>
        <v>11258949.484776059</v>
      </c>
      <c r="AH202" s="14" t="str">
        <f>IF(ABS(E202-AG202)&lt;0.01,"ok","err")</f>
        <v>ok</v>
      </c>
    </row>
    <row r="203" spans="1:34" x14ac:dyDescent="0.2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16"/>
      <c r="AH203" s="14"/>
    </row>
    <row r="204" spans="1:34" x14ac:dyDescent="0.25">
      <c r="A204" s="7" t="s">
        <v>734</v>
      </c>
      <c r="E204" s="31"/>
    </row>
    <row r="205" spans="1:34" x14ac:dyDescent="0.25">
      <c r="A205" s="12" t="s">
        <v>214</v>
      </c>
      <c r="C205" s="2" t="s">
        <v>809</v>
      </c>
      <c r="D205" s="9" t="s">
        <v>756</v>
      </c>
      <c r="E205" s="65">
        <f>'Functional Assignment'!Y264</f>
        <v>862438.69892698363</v>
      </c>
      <c r="F205" s="65">
        <f>IF(VLOOKUP($D205,$C$5:$AU$836,3,)=0,0,(VLOOKUP($D205,$C$5:$AU$836,4,)/VLOOKUP($D205,$C$5:$AU$836,3,))*$E205)</f>
        <v>564670.27825915429</v>
      </c>
      <c r="G205" s="65">
        <f>IF(VLOOKUP($D205,$C$5:$AU$836,3,)=0,0,(VLOOKUP($D205,$C$5:$AU$836,5,)/VLOOKUP($D205,$C$5:$AU$836,3,))*$E205)</f>
        <v>116443.70289098694</v>
      </c>
      <c r="H205" s="65">
        <f>IF(VLOOKUP($D205,$C$5:$AU$836,3,)=0,0,(VLOOKUP($D205,$C$5:$AU$836,6,)/VLOOKUP($D205,$C$5:$AU$836,3,))*$E205)</f>
        <v>120538.6436327011</v>
      </c>
      <c r="I205" s="65">
        <f>IF(VLOOKUP($D205,$C$5:$AU$836,3,)=0,0,(VLOOKUP($D205,$C$5:$AU$836,7,)/VLOOKUP($D205,$C$5:$AU$836,3,))*$E205)</f>
        <v>41482.004850059304</v>
      </c>
      <c r="J205" s="65">
        <f>IF(VLOOKUP($D205,$C$5:$AU$836,3,)=0,0,(VLOOKUP($D205,$C$5:$AU$836,8,)/VLOOKUP($D205,$C$5:$AU$836,3,))*$E205)</f>
        <v>15304.295890401785</v>
      </c>
      <c r="K205" s="65">
        <f>IF(VLOOKUP($D205,$C$5:$AU$836,3,)=0,0,(VLOOKUP($D205,$C$5:$AU$836,9,)/VLOOKUP($D205,$C$5:$AU$836,3,))*$E205)</f>
        <v>0</v>
      </c>
      <c r="L205" s="65">
        <f>IF(VLOOKUP($D205,$C$5:$AU$836,3,)=0,0,(VLOOKUP($D205,$C$5:$AU$836,10,)/VLOOKUP($D205,$C$5:$AU$836,3,))*$E205)</f>
        <v>0</v>
      </c>
      <c r="M205" s="65">
        <f>IF(VLOOKUP($D205,$C$5:$AU$836,3,)=0,0,(VLOOKUP($D205,$C$5:$AU$836,11,)/VLOOKUP($D205,$C$5:$AU$836,3,))*$E205)</f>
        <v>0</v>
      </c>
      <c r="N205" s="65">
        <f>IF(VLOOKUP($D205,$C$5:$AU$836,3,)=0,0,(VLOOKUP($D205,$C$5:$AU$836,12,)/VLOOKUP($D205,$C$5:$AU$836,3,))*$E205)</f>
        <v>3999.7734036801135</v>
      </c>
      <c r="O205" s="65">
        <f>IF(VLOOKUP($D205,$C$5:$AU$836,3,)=0,0,(VLOOKUP($D205,$C$5:$AU$836,13,)/VLOOKUP($D205,$C$5:$AU$836,3,))*$E205)</f>
        <v>0</v>
      </c>
      <c r="P205" s="65">
        <f>IF(VLOOKUP($D205,$C$5:$AU$836,3,)=0,0,(VLOOKUP($D205,$C$5:$AU$836,14,)/VLOOKUP($D205,$C$5:$AU$836,3,))*$E205)</f>
        <v>0</v>
      </c>
      <c r="Q205" s="65">
        <f>IF(VLOOKUP($D205,$C$5:$AU$836,3,)=0,0,(VLOOKUP($D205,$C$5:$AU$836,15,)/VLOOKUP($D205,$C$5:$AU$836,3,))*$E205)</f>
        <v>0</v>
      </c>
      <c r="R205" s="65">
        <f>IF(VLOOKUP($D205,$C$5:$AU$836,3,)=0,0,(VLOOKUP($D205,$C$5:$AU$836,16,)/VLOOKUP($D205,$C$5:$AU$836,3,))*$E205)</f>
        <v>0</v>
      </c>
      <c r="S205" s="65">
        <f>IF(VLOOKUP($D205,$C$5:$AU$836,3,)=0,0,(VLOOKUP($D205,$C$5:$AU$836,17,)/VLOOKUP($D205,$C$5:$AU$836,3,))*$E205)</f>
        <v>0</v>
      </c>
      <c r="T205" s="65">
        <f>IF(VLOOKUP($D205,$C$5:$AU$836,3,)=0,0,(VLOOKUP($D205,$C$5:$AU$836,18,)/VLOOKUP($D205,$C$5:$AU$836,3,))*$E205)</f>
        <v>0</v>
      </c>
      <c r="U205" s="65">
        <f>IF(VLOOKUP($D205,$C$5:$AU$836,3,)=0,0,(VLOOKUP($D205,$C$5:$AU$836,19,)/VLOOKUP($D205,$C$5:$AU$836,3,))*$E205)</f>
        <v>0</v>
      </c>
      <c r="V205" s="65">
        <f>IF(VLOOKUP($D205,$C$5:$AU$836,3,)=0,0,(VLOOKUP($D205,$C$5:$AU$836,20,)/VLOOKUP($D205,$C$5:$AU$836,3,))*$E205)</f>
        <v>0</v>
      </c>
      <c r="W205" s="65">
        <f>IF(VLOOKUP($D205,$C$5:$AU$836,3,)=0,0,(VLOOKUP($D205,$C$5:$AU$836,21,)/VLOOKUP($D205,$C$5:$AU$836,3,))*$E205)</f>
        <v>0</v>
      </c>
      <c r="X205" s="65">
        <f>IF(VLOOKUP($D205,$C$5:$AU$836,3,)=0,0,(VLOOKUP($D205,$C$5:$AU$836,22,)/VLOOKUP($D205,$C$5:$AU$836,3,))*$E205)</f>
        <v>0</v>
      </c>
      <c r="Y205" s="65">
        <f>IF(VLOOKUP($D205,$C$5:$AU$836,3,)=0,0,(VLOOKUP($D205,$C$5:$AU$836,23,)/VLOOKUP($D205,$C$5:$AU$836,3,))*$E205)</f>
        <v>0</v>
      </c>
      <c r="Z205" s="65">
        <f>IF(VLOOKUP($D205,$C$5:$AU$836,3,)=0,0,(VLOOKUP($D205,$C$5:$AU$836,24,)/VLOOKUP($D205,$C$5:$AU$836,3,))*$E205)</f>
        <v>0</v>
      </c>
      <c r="AA205" s="65">
        <f>IF(VLOOKUP($D205,$C$5:$AU$836,3,)=0,0,(VLOOKUP($D205,$C$5:$AU$836,25,)/VLOOKUP($D205,$C$5:$AU$836,3,))*$E205)</f>
        <v>0</v>
      </c>
      <c r="AB205" s="65">
        <f>IF(VLOOKUP($D205,$C$5:$AU$836,3,)=0,0,(VLOOKUP($D205,$C$5:$AU$836,26,)/VLOOKUP($D205,$C$5:$AU$836,3,))*$E205)</f>
        <v>0</v>
      </c>
      <c r="AC205" s="65">
        <f>IF(VLOOKUP($D205,$C$5:$AU$836,3,)=0,0,(VLOOKUP($D205,$C$5:$AU$836,27,)/VLOOKUP($D205,$C$5:$AU$836,3,))*$E205)</f>
        <v>0</v>
      </c>
      <c r="AD205" s="65">
        <f>IF(VLOOKUP($D205,$C$5:$AU$836,3,)=0,0,(VLOOKUP($D205,$C$5:$AU$836,28,)/VLOOKUP($D205,$C$5:$AU$836,3,))*$E205)</f>
        <v>0</v>
      </c>
      <c r="AE205" s="65">
        <f>IF(VLOOKUP($D205,$C$5:$AU$836,3,)=0,0,(VLOOKUP($D205,$C$5:$AU$836,29,)/VLOOKUP($D205,$C$5:$AU$836,3,))*$E205)</f>
        <v>0</v>
      </c>
      <c r="AF205" s="65">
        <f>IF(VLOOKUP($D205,$C$5:$AU$836,3,)=0,0,(VLOOKUP($D205,$C$5:$AU$836,30,)/VLOOKUP($D205,$C$5:$AU$836,3,))*$E205)</f>
        <v>0</v>
      </c>
      <c r="AG205" s="16">
        <f>SUM(F205:AF205)</f>
        <v>862438.69892698352</v>
      </c>
      <c r="AH205" s="14" t="str">
        <f>IF(ABS(E205-AG205)&lt;0.01,"ok","err")</f>
        <v>ok</v>
      </c>
    </row>
    <row r="206" spans="1:34" x14ac:dyDescent="0.25">
      <c r="A206" s="12" t="s">
        <v>223</v>
      </c>
      <c r="C206" s="2" t="s">
        <v>810</v>
      </c>
      <c r="D206" s="9" t="s">
        <v>760</v>
      </c>
      <c r="E206" s="65">
        <f>'Functional Assignment'!Z264</f>
        <v>388555.68827035662</v>
      </c>
      <c r="F206" s="65">
        <f>IF(VLOOKUP($D206,$C$5:$AU$836,3,)=0,0,(VLOOKUP($D206,$C$5:$AU$836,4,)/VLOOKUP($D206,$C$5:$AU$836,3,))*$E206)</f>
        <v>356294.37531475694</v>
      </c>
      <c r="G206" s="65">
        <f>IF(VLOOKUP($D206,$C$5:$AU$836,3,)=0,0,(VLOOKUP($D206,$C$5:$AU$836,5,)/VLOOKUP($D206,$C$5:$AU$836,3,))*$E206)</f>
        <v>25557.099426934579</v>
      </c>
      <c r="H206" s="65">
        <f>IF(VLOOKUP($D206,$C$5:$AU$836,3,)=0,0,(VLOOKUP($D206,$C$5:$AU$836,6,)/VLOOKUP($D206,$C$5:$AU$836,3,))*$E206)</f>
        <v>2497.0875708275298</v>
      </c>
      <c r="I206" s="65">
        <f>IF(VLOOKUP($D206,$C$5:$AU$836,3,)=0,0,(VLOOKUP($D206,$C$5:$AU$836,7,)/VLOOKUP($D206,$C$5:$AU$836,3,))*$E206)</f>
        <v>941.34000977019741</v>
      </c>
      <c r="J206" s="65">
        <f>IF(VLOOKUP($D206,$C$5:$AU$836,3,)=0,0,(VLOOKUP($D206,$C$5:$AU$836,8,)/VLOOKUP($D206,$C$5:$AU$836,3,))*$E206)</f>
        <v>95.825030934690758</v>
      </c>
      <c r="K206" s="65">
        <f>IF(VLOOKUP($D206,$C$5:$AU$836,3,)=0,0,(VLOOKUP($D206,$C$5:$AU$836,9,)/VLOOKUP($D206,$C$5:$AU$836,3,))*$E206)</f>
        <v>0</v>
      </c>
      <c r="L206" s="65">
        <f>IF(VLOOKUP($D206,$C$5:$AU$836,3,)=0,0,(VLOOKUP($D206,$C$5:$AU$836,10,)/VLOOKUP($D206,$C$5:$AU$836,3,))*$E206)</f>
        <v>0</v>
      </c>
      <c r="M206" s="65">
        <f>IF(VLOOKUP($D206,$C$5:$AU$836,3,)=0,0,(VLOOKUP($D206,$C$5:$AU$836,11,)/VLOOKUP($D206,$C$5:$AU$836,3,))*$E206)</f>
        <v>0</v>
      </c>
      <c r="N206" s="65">
        <f>IF(VLOOKUP($D206,$C$5:$AU$836,3,)=0,0,(VLOOKUP($D206,$C$5:$AU$836,12,)/VLOOKUP($D206,$C$5:$AU$836,3,))*$E206)</f>
        <v>3169.9609171326606</v>
      </c>
      <c r="O206" s="65">
        <f>IF(VLOOKUP($D206,$C$5:$AU$836,3,)=0,0,(VLOOKUP($D206,$C$5:$AU$836,13,)/VLOOKUP($D206,$C$5:$AU$836,3,))*$E206)</f>
        <v>0</v>
      </c>
      <c r="P206" s="65">
        <f>IF(VLOOKUP($D206,$C$5:$AU$836,3,)=0,0,(VLOOKUP($D206,$C$5:$AU$836,14,)/VLOOKUP($D206,$C$5:$AU$836,3,))*$E206)</f>
        <v>0</v>
      </c>
      <c r="Q206" s="65">
        <f>IF(VLOOKUP($D206,$C$5:$AU$836,3,)=0,0,(VLOOKUP($D206,$C$5:$AU$836,15,)/VLOOKUP($D206,$C$5:$AU$836,3,))*$E206)</f>
        <v>0</v>
      </c>
      <c r="R206" s="65">
        <f>IF(VLOOKUP($D206,$C$5:$AU$836,3,)=0,0,(VLOOKUP($D206,$C$5:$AU$836,16,)/VLOOKUP($D206,$C$5:$AU$836,3,))*$E206)</f>
        <v>0</v>
      </c>
      <c r="S206" s="65">
        <f>IF(VLOOKUP($D206,$C$5:$AU$836,3,)=0,0,(VLOOKUP($D206,$C$5:$AU$836,17,)/VLOOKUP($D206,$C$5:$AU$836,3,))*$E206)</f>
        <v>0</v>
      </c>
      <c r="T206" s="65">
        <f>IF(VLOOKUP($D206,$C$5:$AU$836,3,)=0,0,(VLOOKUP($D206,$C$5:$AU$836,18,)/VLOOKUP($D206,$C$5:$AU$836,3,))*$E206)</f>
        <v>0</v>
      </c>
      <c r="U206" s="65">
        <f>IF(VLOOKUP($D206,$C$5:$AU$836,3,)=0,0,(VLOOKUP($D206,$C$5:$AU$836,19,)/VLOOKUP($D206,$C$5:$AU$836,3,))*$E206)</f>
        <v>0</v>
      </c>
      <c r="V206" s="65">
        <f>IF(VLOOKUP($D206,$C$5:$AU$836,3,)=0,0,(VLOOKUP($D206,$C$5:$AU$836,20,)/VLOOKUP($D206,$C$5:$AU$836,3,))*$E206)</f>
        <v>0</v>
      </c>
      <c r="W206" s="65">
        <f>IF(VLOOKUP($D206,$C$5:$AU$836,3,)=0,0,(VLOOKUP($D206,$C$5:$AU$836,21,)/VLOOKUP($D206,$C$5:$AU$836,3,))*$E206)</f>
        <v>0</v>
      </c>
      <c r="X206" s="65">
        <f>IF(VLOOKUP($D206,$C$5:$AU$836,3,)=0,0,(VLOOKUP($D206,$C$5:$AU$836,22,)/VLOOKUP($D206,$C$5:$AU$836,3,))*$E206)</f>
        <v>0</v>
      </c>
      <c r="Y206" s="65">
        <f>IF(VLOOKUP($D206,$C$5:$AU$836,3,)=0,0,(VLOOKUP($D206,$C$5:$AU$836,23,)/VLOOKUP($D206,$C$5:$AU$836,3,))*$E206)</f>
        <v>0</v>
      </c>
      <c r="Z206" s="65">
        <f>IF(VLOOKUP($D206,$C$5:$AU$836,3,)=0,0,(VLOOKUP($D206,$C$5:$AU$836,24,)/VLOOKUP($D206,$C$5:$AU$836,3,))*$E206)</f>
        <v>0</v>
      </c>
      <c r="AA206" s="65">
        <f>IF(VLOOKUP($D206,$C$5:$AU$836,3,)=0,0,(VLOOKUP($D206,$C$5:$AU$836,25,)/VLOOKUP($D206,$C$5:$AU$836,3,))*$E206)</f>
        <v>0</v>
      </c>
      <c r="AB206" s="65">
        <f>IF(VLOOKUP($D206,$C$5:$AU$836,3,)=0,0,(VLOOKUP($D206,$C$5:$AU$836,26,)/VLOOKUP($D206,$C$5:$AU$836,3,))*$E206)</f>
        <v>0</v>
      </c>
      <c r="AC206" s="65">
        <f>IF(VLOOKUP($D206,$C$5:$AU$836,3,)=0,0,(VLOOKUP($D206,$C$5:$AU$836,27,)/VLOOKUP($D206,$C$5:$AU$836,3,))*$E206)</f>
        <v>0</v>
      </c>
      <c r="AD206" s="65">
        <f>IF(VLOOKUP($D206,$C$5:$AU$836,3,)=0,0,(VLOOKUP($D206,$C$5:$AU$836,28,)/VLOOKUP($D206,$C$5:$AU$836,3,))*$E206)</f>
        <v>0</v>
      </c>
      <c r="AE206" s="65">
        <f>IF(VLOOKUP($D206,$C$5:$AU$836,3,)=0,0,(VLOOKUP($D206,$C$5:$AU$836,29,)/VLOOKUP($D206,$C$5:$AU$836,3,))*$E206)</f>
        <v>0</v>
      </c>
      <c r="AF206" s="65">
        <f>IF(VLOOKUP($D206,$C$5:$AU$836,3,)=0,0,(VLOOKUP($D206,$C$5:$AU$836,30,)/VLOOKUP($D206,$C$5:$AU$836,3,))*$E206)</f>
        <v>0</v>
      </c>
      <c r="AG206" s="16">
        <f>SUM(F206:AF206)</f>
        <v>388555.68827035656</v>
      </c>
      <c r="AH206" s="14" t="str">
        <f>IF(ABS(E206-AG206)&lt;0.01,"ok","err")</f>
        <v>ok</v>
      </c>
    </row>
    <row r="207" spans="1:34" x14ac:dyDescent="0.25">
      <c r="A207" s="2" t="s">
        <v>224</v>
      </c>
      <c r="E207" s="65">
        <f t="shared" ref="E207:N207" si="126">E205+E206</f>
        <v>1250994.3871973404</v>
      </c>
      <c r="F207" s="65">
        <f t="shared" si="126"/>
        <v>920964.65357391117</v>
      </c>
      <c r="G207" s="65">
        <f t="shared" si="126"/>
        <v>142000.80231792151</v>
      </c>
      <c r="H207" s="65">
        <f t="shared" si="126"/>
        <v>123035.73120352863</v>
      </c>
      <c r="I207" s="65">
        <f t="shared" si="126"/>
        <v>42423.3448598295</v>
      </c>
      <c r="J207" s="65">
        <f t="shared" si="126"/>
        <v>15400.120921336476</v>
      </c>
      <c r="K207" s="65">
        <f t="shared" si="126"/>
        <v>0</v>
      </c>
      <c r="L207" s="65">
        <f t="shared" si="126"/>
        <v>0</v>
      </c>
      <c r="M207" s="65">
        <f t="shared" si="126"/>
        <v>0</v>
      </c>
      <c r="N207" s="65">
        <f t="shared" si="126"/>
        <v>7169.7343208127741</v>
      </c>
      <c r="O207" s="65">
        <f t="shared" ref="O207:AF207" si="127">O205+O206</f>
        <v>0</v>
      </c>
      <c r="P207" s="65">
        <f t="shared" si="127"/>
        <v>0</v>
      </c>
      <c r="Q207" s="65">
        <f t="shared" si="127"/>
        <v>0</v>
      </c>
      <c r="R207" s="65">
        <f t="shared" si="127"/>
        <v>0</v>
      </c>
      <c r="S207" s="65">
        <f t="shared" si="127"/>
        <v>0</v>
      </c>
      <c r="T207" s="65">
        <f t="shared" si="127"/>
        <v>0</v>
      </c>
      <c r="U207" s="65">
        <f t="shared" si="127"/>
        <v>0</v>
      </c>
      <c r="V207" s="65">
        <f t="shared" si="127"/>
        <v>0</v>
      </c>
      <c r="W207" s="65">
        <f t="shared" si="127"/>
        <v>0</v>
      </c>
      <c r="X207" s="65">
        <f t="shared" si="127"/>
        <v>0</v>
      </c>
      <c r="Y207" s="65">
        <f t="shared" si="127"/>
        <v>0</v>
      </c>
      <c r="Z207" s="65">
        <f t="shared" si="127"/>
        <v>0</v>
      </c>
      <c r="AA207" s="65">
        <f t="shared" si="127"/>
        <v>0</v>
      </c>
      <c r="AB207" s="65">
        <f t="shared" si="127"/>
        <v>0</v>
      </c>
      <c r="AC207" s="65">
        <f t="shared" si="127"/>
        <v>0</v>
      </c>
      <c r="AD207" s="65">
        <f t="shared" si="127"/>
        <v>0</v>
      </c>
      <c r="AE207" s="65">
        <f t="shared" si="127"/>
        <v>0</v>
      </c>
      <c r="AF207" s="65">
        <f t="shared" si="127"/>
        <v>0</v>
      </c>
      <c r="AG207" s="16">
        <f>SUM(F207:AF207)</f>
        <v>1250994.3871973401</v>
      </c>
      <c r="AH207" s="14" t="str">
        <f>IF(ABS(E207-AG207)&lt;0.01,"ok","err")</f>
        <v>ok</v>
      </c>
    </row>
    <row r="208" spans="1:34" x14ac:dyDescent="0.25">
      <c r="E208" s="31"/>
    </row>
    <row r="209" spans="1:34" x14ac:dyDescent="0.25">
      <c r="A209" s="7" t="s">
        <v>840</v>
      </c>
      <c r="E209" s="31"/>
    </row>
    <row r="210" spans="1:34" x14ac:dyDescent="0.25">
      <c r="A210" s="12" t="s">
        <v>214</v>
      </c>
      <c r="C210" s="2" t="s">
        <v>801</v>
      </c>
      <c r="D210" s="9" t="s">
        <v>851</v>
      </c>
      <c r="E210" s="65">
        <f>'Functional Assignment'!AB264</f>
        <v>195895.38402489829</v>
      </c>
      <c r="F210" s="65">
        <f>IF(VLOOKUP($D210,$C$5:$AU$836,3,)=0,0,(VLOOKUP($D210,$C$5:$AU$836,4,)/VLOOKUP($D210,$C$5:$AU$836,3,))*$E210)</f>
        <v>126836.1860799469</v>
      </c>
      <c r="G210" s="65">
        <f>IF(VLOOKUP($D210,$C$5:$AU$836,3,)=0,0,(VLOOKUP($D210,$C$5:$AU$836,5,)/VLOOKUP($D210,$C$5:$AU$836,3,))*$E210)</f>
        <v>26155.573856750685</v>
      </c>
      <c r="H210" s="65">
        <f>IF(VLOOKUP($D210,$C$5:$AU$836,3,)=0,0,(VLOOKUP($D210,$C$5:$AU$836,6,)/VLOOKUP($D210,$C$5:$AU$836,3,))*$E210)</f>
        <v>27075.379070341267</v>
      </c>
      <c r="I210" s="65">
        <f>IF(VLOOKUP($D210,$C$5:$AU$836,3,)=0,0,(VLOOKUP($D210,$C$5:$AU$836,7,)/VLOOKUP($D210,$C$5:$AU$836,3,))*$E210)</f>
        <v>9317.684122408622</v>
      </c>
      <c r="J210" s="65">
        <f>IF(VLOOKUP($D210,$C$5:$AU$836,3,)=0,0,(VLOOKUP($D210,$C$5:$AU$836,8,)/VLOOKUP($D210,$C$5:$AU$836,3,))*$E210)</f>
        <v>3437.6495383500351</v>
      </c>
      <c r="K210" s="65">
        <f>IF(VLOOKUP($D210,$C$5:$AU$836,3,)=0,0,(VLOOKUP($D210,$C$5:$AU$836,9,)/VLOOKUP($D210,$C$5:$AU$836,3,))*$E210)</f>
        <v>0</v>
      </c>
      <c r="L210" s="65">
        <f>IF(VLOOKUP($D210,$C$5:$AU$836,3,)=0,0,(VLOOKUP($D210,$C$5:$AU$836,10,)/VLOOKUP($D210,$C$5:$AU$836,3,))*$E210)</f>
        <v>1292.5386936975337</v>
      </c>
      <c r="M210" s="65">
        <f>IF(VLOOKUP($D210,$C$5:$AU$836,3,)=0,0,(VLOOKUP($D210,$C$5:$AU$836,11,)/VLOOKUP($D210,$C$5:$AU$836,3,))*$E210)</f>
        <v>881.94392854786418</v>
      </c>
      <c r="N210" s="65">
        <f>IF(VLOOKUP($D210,$C$5:$AU$836,3,)=0,0,(VLOOKUP($D210,$C$5:$AU$836,12,)/VLOOKUP($D210,$C$5:$AU$836,3,))*$E210)</f>
        <v>898.42873485535529</v>
      </c>
      <c r="O210" s="65">
        <f>IF(VLOOKUP($D210,$C$5:$AU$836,3,)=0,0,(VLOOKUP($D210,$C$5:$AU$836,13,)/VLOOKUP($D210,$C$5:$AU$836,3,))*$E210)</f>
        <v>0</v>
      </c>
      <c r="P210" s="65">
        <f>IF(VLOOKUP($D210,$C$5:$AU$836,3,)=0,0,(VLOOKUP($D210,$C$5:$AU$836,14,)/VLOOKUP($D210,$C$5:$AU$836,3,))*$E210)</f>
        <v>0</v>
      </c>
      <c r="Q210" s="65">
        <f>IF(VLOOKUP($D210,$C$5:$AU$836,3,)=0,0,(VLOOKUP($D210,$C$5:$AU$836,15,)/VLOOKUP($D210,$C$5:$AU$836,3,))*$E210)</f>
        <v>0</v>
      </c>
      <c r="R210" s="65">
        <f>IF(VLOOKUP($D210,$C$5:$AU$836,3,)=0,0,(VLOOKUP($D210,$C$5:$AU$836,16,)/VLOOKUP($D210,$C$5:$AU$836,3,))*$E210)</f>
        <v>0</v>
      </c>
      <c r="S210" s="65">
        <f>IF(VLOOKUP($D210,$C$5:$AU$836,3,)=0,0,(VLOOKUP($D210,$C$5:$AU$836,17,)/VLOOKUP($D210,$C$5:$AU$836,3,))*$E210)</f>
        <v>0</v>
      </c>
      <c r="T210" s="65">
        <f>IF(VLOOKUP($D210,$C$5:$AU$836,3,)=0,0,(VLOOKUP($D210,$C$5:$AU$836,18,)/VLOOKUP($D210,$C$5:$AU$836,3,))*$E210)</f>
        <v>0</v>
      </c>
      <c r="U210" s="65">
        <f>IF(VLOOKUP($D210,$C$5:$AU$836,3,)=0,0,(VLOOKUP($D210,$C$5:$AU$836,19,)/VLOOKUP($D210,$C$5:$AU$836,3,))*$E210)</f>
        <v>0</v>
      </c>
      <c r="V210" s="65">
        <f>IF(VLOOKUP($D210,$C$5:$AU$836,3,)=0,0,(VLOOKUP($D210,$C$5:$AU$836,20,)/VLOOKUP($D210,$C$5:$AU$836,3,))*$E210)</f>
        <v>0</v>
      </c>
      <c r="W210" s="65">
        <f>IF(VLOOKUP($D210,$C$5:$AU$836,3,)=0,0,(VLOOKUP($D210,$C$5:$AU$836,21,)/VLOOKUP($D210,$C$5:$AU$836,3,))*$E210)</f>
        <v>0</v>
      </c>
      <c r="X210" s="65">
        <f>IF(VLOOKUP($D210,$C$5:$AU$836,3,)=0,0,(VLOOKUP($D210,$C$5:$AU$836,22,)/VLOOKUP($D210,$C$5:$AU$836,3,))*$E210)</f>
        <v>0</v>
      </c>
      <c r="Y210" s="65">
        <f>IF(VLOOKUP($D210,$C$5:$AU$836,3,)=0,0,(VLOOKUP($D210,$C$5:$AU$836,23,)/VLOOKUP($D210,$C$5:$AU$836,3,))*$E210)</f>
        <v>0</v>
      </c>
      <c r="Z210" s="65">
        <f>IF(VLOOKUP($D210,$C$5:$AU$836,3,)=0,0,(VLOOKUP($D210,$C$5:$AU$836,24,)/VLOOKUP($D210,$C$5:$AU$836,3,))*$E210)</f>
        <v>0</v>
      </c>
      <c r="AA210" s="65">
        <f>IF(VLOOKUP($D210,$C$5:$AU$836,3,)=0,0,(VLOOKUP($D210,$C$5:$AU$836,25,)/VLOOKUP($D210,$C$5:$AU$836,3,))*$E210)</f>
        <v>0</v>
      </c>
      <c r="AB210" s="65">
        <f>IF(VLOOKUP($D210,$C$5:$AU$836,3,)=0,0,(VLOOKUP($D210,$C$5:$AU$836,26,)/VLOOKUP($D210,$C$5:$AU$836,3,))*$E210)</f>
        <v>0</v>
      </c>
      <c r="AC210" s="65">
        <f>IF(VLOOKUP($D210,$C$5:$AU$836,3,)=0,0,(VLOOKUP($D210,$C$5:$AU$836,27,)/VLOOKUP($D210,$C$5:$AU$836,3,))*$E210)</f>
        <v>0</v>
      </c>
      <c r="AD210" s="65">
        <f>IF(VLOOKUP($D210,$C$5:$AU$836,3,)=0,0,(VLOOKUP($D210,$C$5:$AU$836,28,)/VLOOKUP($D210,$C$5:$AU$836,3,))*$E210)</f>
        <v>0</v>
      </c>
      <c r="AE210" s="65">
        <f>IF(VLOOKUP($D210,$C$5:$AU$836,3,)=0,0,(VLOOKUP($D210,$C$5:$AU$836,29,)/VLOOKUP($D210,$C$5:$AU$836,3,))*$E210)</f>
        <v>0</v>
      </c>
      <c r="AF210" s="65">
        <f>IF(VLOOKUP($D210,$C$5:$AU$836,3,)=0,0,(VLOOKUP($D210,$C$5:$AU$836,30,)/VLOOKUP($D210,$C$5:$AU$836,3,))*$E210)</f>
        <v>0</v>
      </c>
      <c r="AG210" s="16">
        <f>SUM(F210:AF210)</f>
        <v>195895.38402489826</v>
      </c>
      <c r="AH210" s="14" t="str">
        <f>IF(ABS(E210-AG210)&lt;0.01,"ok","err")</f>
        <v>ok</v>
      </c>
    </row>
    <row r="211" spans="1:34" x14ac:dyDescent="0.25">
      <c r="A211" s="12" t="s">
        <v>223</v>
      </c>
      <c r="C211" s="2" t="s">
        <v>802</v>
      </c>
      <c r="D211" s="9" t="s">
        <v>853</v>
      </c>
      <c r="E211" s="65">
        <f>'Functional Assignment'!AC264</f>
        <v>255164.67589888317</v>
      </c>
      <c r="F211" s="65">
        <f>IF(VLOOKUP($D211,$C$5:$AU$836,3,)=0,0,(VLOOKUP($D211,$C$5:$AU$836,4,)/VLOOKUP($D211,$C$5:$AU$836,3,))*$E211)</f>
        <v>233978.6587772904</v>
      </c>
      <c r="G211" s="65">
        <f>IF(VLOOKUP($D211,$C$5:$AU$836,3,)=0,0,(VLOOKUP($D211,$C$5:$AU$836,5,)/VLOOKUP($D211,$C$5:$AU$836,3,))*$E211)</f>
        <v>16783.357415814753</v>
      </c>
      <c r="H211" s="65">
        <f>IF(VLOOKUP($D211,$C$5:$AU$836,3,)=0,0,(VLOOKUP($D211,$C$5:$AU$836,6,)/VLOOKUP($D211,$C$5:$AU$836,3,))*$E211)</f>
        <v>1639.8384065297607</v>
      </c>
      <c r="I211" s="65">
        <f>IF(VLOOKUP($D211,$C$5:$AU$836,3,)=0,0,(VLOOKUP($D211,$C$5:$AU$836,7,)/VLOOKUP($D211,$C$5:$AU$836,3,))*$E211)</f>
        <v>618.17836092656898</v>
      </c>
      <c r="J211" s="65">
        <f>IF(VLOOKUP($D211,$C$5:$AU$836,3,)=0,0,(VLOOKUP($D211,$C$5:$AU$836,8,)/VLOOKUP($D211,$C$5:$AU$836,3,))*$E211)</f>
        <v>62.928336142225582</v>
      </c>
      <c r="K211" s="65">
        <f>IF(VLOOKUP($D211,$C$5:$AU$836,3,)=0,0,(VLOOKUP($D211,$C$5:$AU$836,9,)/VLOOKUP($D211,$C$5:$AU$836,3,))*$E211)</f>
        <v>0</v>
      </c>
      <c r="L211" s="65">
        <f>IF(VLOOKUP($D211,$C$5:$AU$836,3,)=0,0,(VLOOKUP($D211,$C$5:$AU$836,10,)/VLOOKUP($D211,$C$5:$AU$836,3,))*$E211)</f>
        <v>0</v>
      </c>
      <c r="M211" s="65">
        <f>IF(VLOOKUP($D211,$C$5:$AU$836,3,)=0,0,(VLOOKUP($D211,$C$5:$AU$836,11,)/VLOOKUP($D211,$C$5:$AU$836,3,))*$E211)</f>
        <v>0</v>
      </c>
      <c r="N211" s="65">
        <f>IF(VLOOKUP($D211,$C$5:$AU$836,3,)=0,0,(VLOOKUP($D211,$C$5:$AU$836,12,)/VLOOKUP($D211,$C$5:$AU$836,3,))*$E211)</f>
        <v>2081.7146021794342</v>
      </c>
      <c r="O211" s="65">
        <f>IF(VLOOKUP($D211,$C$5:$AU$836,3,)=0,0,(VLOOKUP($D211,$C$5:$AU$836,13,)/VLOOKUP($D211,$C$5:$AU$836,3,))*$E211)</f>
        <v>0</v>
      </c>
      <c r="P211" s="65">
        <f>IF(VLOOKUP($D211,$C$5:$AU$836,3,)=0,0,(VLOOKUP($D211,$C$5:$AU$836,14,)/VLOOKUP($D211,$C$5:$AU$836,3,))*$E211)</f>
        <v>0</v>
      </c>
      <c r="Q211" s="65">
        <f>IF(VLOOKUP($D211,$C$5:$AU$836,3,)=0,0,(VLOOKUP($D211,$C$5:$AU$836,15,)/VLOOKUP($D211,$C$5:$AU$836,3,))*$E211)</f>
        <v>0</v>
      </c>
      <c r="R211" s="65">
        <f>IF(VLOOKUP($D211,$C$5:$AU$836,3,)=0,0,(VLOOKUP($D211,$C$5:$AU$836,16,)/VLOOKUP($D211,$C$5:$AU$836,3,))*$E211)</f>
        <v>0</v>
      </c>
      <c r="S211" s="65">
        <f>IF(VLOOKUP($D211,$C$5:$AU$836,3,)=0,0,(VLOOKUP($D211,$C$5:$AU$836,17,)/VLOOKUP($D211,$C$5:$AU$836,3,))*$E211)</f>
        <v>0</v>
      </c>
      <c r="T211" s="65">
        <f>IF(VLOOKUP($D211,$C$5:$AU$836,3,)=0,0,(VLOOKUP($D211,$C$5:$AU$836,18,)/VLOOKUP($D211,$C$5:$AU$836,3,))*$E211)</f>
        <v>0</v>
      </c>
      <c r="U211" s="65">
        <f>IF(VLOOKUP($D211,$C$5:$AU$836,3,)=0,0,(VLOOKUP($D211,$C$5:$AU$836,19,)/VLOOKUP($D211,$C$5:$AU$836,3,))*$E211)</f>
        <v>0</v>
      </c>
      <c r="V211" s="65">
        <f>IF(VLOOKUP($D211,$C$5:$AU$836,3,)=0,0,(VLOOKUP($D211,$C$5:$AU$836,20,)/VLOOKUP($D211,$C$5:$AU$836,3,))*$E211)</f>
        <v>0</v>
      </c>
      <c r="W211" s="65">
        <f>IF(VLOOKUP($D211,$C$5:$AU$836,3,)=0,0,(VLOOKUP($D211,$C$5:$AU$836,21,)/VLOOKUP($D211,$C$5:$AU$836,3,))*$E211)</f>
        <v>0</v>
      </c>
      <c r="X211" s="65">
        <f>IF(VLOOKUP($D211,$C$5:$AU$836,3,)=0,0,(VLOOKUP($D211,$C$5:$AU$836,22,)/VLOOKUP($D211,$C$5:$AU$836,3,))*$E211)</f>
        <v>0</v>
      </c>
      <c r="Y211" s="65">
        <f>IF(VLOOKUP($D211,$C$5:$AU$836,3,)=0,0,(VLOOKUP($D211,$C$5:$AU$836,23,)/VLOOKUP($D211,$C$5:$AU$836,3,))*$E211)</f>
        <v>0</v>
      </c>
      <c r="Z211" s="65">
        <f>IF(VLOOKUP($D211,$C$5:$AU$836,3,)=0,0,(VLOOKUP($D211,$C$5:$AU$836,24,)/VLOOKUP($D211,$C$5:$AU$836,3,))*$E211)</f>
        <v>0</v>
      </c>
      <c r="AA211" s="65">
        <f>IF(VLOOKUP($D211,$C$5:$AU$836,3,)=0,0,(VLOOKUP($D211,$C$5:$AU$836,25,)/VLOOKUP($D211,$C$5:$AU$836,3,))*$E211)</f>
        <v>0</v>
      </c>
      <c r="AB211" s="65">
        <f>IF(VLOOKUP($D211,$C$5:$AU$836,3,)=0,0,(VLOOKUP($D211,$C$5:$AU$836,26,)/VLOOKUP($D211,$C$5:$AU$836,3,))*$E211)</f>
        <v>0</v>
      </c>
      <c r="AC211" s="65">
        <f>IF(VLOOKUP($D211,$C$5:$AU$836,3,)=0,0,(VLOOKUP($D211,$C$5:$AU$836,27,)/VLOOKUP($D211,$C$5:$AU$836,3,))*$E211)</f>
        <v>0</v>
      </c>
      <c r="AD211" s="65">
        <f>IF(VLOOKUP($D211,$C$5:$AU$836,3,)=0,0,(VLOOKUP($D211,$C$5:$AU$836,28,)/VLOOKUP($D211,$C$5:$AU$836,3,))*$E211)</f>
        <v>0</v>
      </c>
      <c r="AE211" s="65">
        <f>IF(VLOOKUP($D211,$C$5:$AU$836,3,)=0,0,(VLOOKUP($D211,$C$5:$AU$836,29,)/VLOOKUP($D211,$C$5:$AU$836,3,))*$E211)</f>
        <v>0</v>
      </c>
      <c r="AF211" s="65">
        <f>IF(VLOOKUP($D211,$C$5:$AU$836,3,)=0,0,(VLOOKUP($D211,$C$5:$AU$836,30,)/VLOOKUP($D211,$C$5:$AU$836,3,))*$E211)</f>
        <v>0</v>
      </c>
      <c r="AG211" s="16">
        <f>SUM(F211:AF211)</f>
        <v>255164.67589888314</v>
      </c>
      <c r="AH211" s="14" t="str">
        <f>IF(ABS(E211-AG211)&lt;0.01,"ok","err")</f>
        <v>ok</v>
      </c>
    </row>
    <row r="212" spans="1:34" x14ac:dyDescent="0.25">
      <c r="A212" s="9" t="s">
        <v>841</v>
      </c>
      <c r="E212" s="65">
        <f t="shared" ref="E212:AF212" si="128">E210+E211</f>
        <v>451060.05992378143</v>
      </c>
      <c r="F212" s="65">
        <f t="shared" si="128"/>
        <v>360814.8448572373</v>
      </c>
      <c r="G212" s="65">
        <f t="shared" si="128"/>
        <v>42938.931272565438</v>
      </c>
      <c r="H212" s="65">
        <f t="shared" si="128"/>
        <v>28715.217476871028</v>
      </c>
      <c r="I212" s="65">
        <f t="shared" si="128"/>
        <v>9935.8624833351914</v>
      </c>
      <c r="J212" s="65">
        <f t="shared" si="128"/>
        <v>3500.5778744922604</v>
      </c>
      <c r="K212" s="65">
        <f t="shared" si="128"/>
        <v>0</v>
      </c>
      <c r="L212" s="65">
        <f t="shared" si="128"/>
        <v>1292.5386936975337</v>
      </c>
      <c r="M212" s="65">
        <f t="shared" si="128"/>
        <v>881.94392854786418</v>
      </c>
      <c r="N212" s="65">
        <f t="shared" si="128"/>
        <v>2980.1433370347895</v>
      </c>
      <c r="O212" s="65">
        <f t="shared" si="128"/>
        <v>0</v>
      </c>
      <c r="P212" s="65">
        <f t="shared" si="128"/>
        <v>0</v>
      </c>
      <c r="Q212" s="65">
        <f t="shared" si="128"/>
        <v>0</v>
      </c>
      <c r="R212" s="65">
        <f t="shared" si="128"/>
        <v>0</v>
      </c>
      <c r="S212" s="65">
        <f t="shared" si="128"/>
        <v>0</v>
      </c>
      <c r="T212" s="65">
        <f t="shared" si="128"/>
        <v>0</v>
      </c>
      <c r="U212" s="65">
        <f t="shared" si="128"/>
        <v>0</v>
      </c>
      <c r="V212" s="65">
        <f t="shared" si="128"/>
        <v>0</v>
      </c>
      <c r="W212" s="65">
        <f t="shared" si="128"/>
        <v>0</v>
      </c>
      <c r="X212" s="65">
        <f t="shared" si="128"/>
        <v>0</v>
      </c>
      <c r="Y212" s="65">
        <f t="shared" si="128"/>
        <v>0</v>
      </c>
      <c r="Z212" s="65">
        <f t="shared" si="128"/>
        <v>0</v>
      </c>
      <c r="AA212" s="65">
        <f t="shared" si="128"/>
        <v>0</v>
      </c>
      <c r="AB212" s="65">
        <f t="shared" si="128"/>
        <v>0</v>
      </c>
      <c r="AC212" s="65">
        <f t="shared" si="128"/>
        <v>0</v>
      </c>
      <c r="AD212" s="65">
        <f t="shared" si="128"/>
        <v>0</v>
      </c>
      <c r="AE212" s="65">
        <f t="shared" si="128"/>
        <v>0</v>
      </c>
      <c r="AF212" s="65">
        <f t="shared" si="128"/>
        <v>0</v>
      </c>
      <c r="AG212" s="16">
        <f>SUM(F212:AF212)</f>
        <v>451060.05992378143</v>
      </c>
      <c r="AH212" s="14" t="str">
        <f>IF(ABS(E212-AG212)&lt;0.01,"ok","err")</f>
        <v>ok</v>
      </c>
    </row>
    <row r="213" spans="1:34" x14ac:dyDescent="0.25">
      <c r="E213" s="31"/>
    </row>
    <row r="214" spans="1:34" x14ac:dyDescent="0.25">
      <c r="A214" s="8" t="s">
        <v>5</v>
      </c>
      <c r="E214" s="31"/>
    </row>
    <row r="215" spans="1:34" x14ac:dyDescent="0.25">
      <c r="A215" s="12" t="s">
        <v>214</v>
      </c>
      <c r="C215" s="2" t="s">
        <v>260</v>
      </c>
      <c r="D215" s="2" t="s">
        <v>611</v>
      </c>
      <c r="E215" s="65">
        <f>'Functional Assignment'!AE264</f>
        <v>0</v>
      </c>
      <c r="F215" s="65">
        <f>IF(VLOOKUP($D215,$C$5:$AU$836,3,)=0,0,(VLOOKUP($D215,$C$5:$AU$836,4,)/VLOOKUP($D215,$C$5:$AU$836,3,))*$E215)</f>
        <v>0</v>
      </c>
      <c r="G215" s="65">
        <f>IF(VLOOKUP($D215,$C$5:$AU$836,3,)=0,0,(VLOOKUP($D215,$C$5:$AU$836,5,)/VLOOKUP($D215,$C$5:$AU$836,3,))*$E215)</f>
        <v>0</v>
      </c>
      <c r="H215" s="65">
        <f>IF(VLOOKUP($D215,$C$5:$AU$836,3,)=0,0,(VLOOKUP($D215,$C$5:$AU$836,6,)/VLOOKUP($D215,$C$5:$AU$836,3,))*$E215)</f>
        <v>0</v>
      </c>
      <c r="I215" s="65">
        <f>IF(VLOOKUP($D215,$C$5:$AU$836,3,)=0,0,(VLOOKUP($D215,$C$5:$AU$836,7,)/VLOOKUP($D215,$C$5:$AU$836,3,))*$E215)</f>
        <v>0</v>
      </c>
      <c r="J215" s="65">
        <f>IF(VLOOKUP($D215,$C$5:$AU$836,3,)=0,0,(VLOOKUP($D215,$C$5:$AU$836,8,)/VLOOKUP($D215,$C$5:$AU$836,3,))*$E215)</f>
        <v>0</v>
      </c>
      <c r="K215" s="65">
        <f>IF(VLOOKUP($D215,$C$5:$AU$836,3,)=0,0,(VLOOKUP($D215,$C$5:$AU$836,9,)/VLOOKUP($D215,$C$5:$AU$836,3,))*$E215)</f>
        <v>0</v>
      </c>
      <c r="L215" s="65">
        <f>IF(VLOOKUP($D215,$C$5:$AU$836,3,)=0,0,(VLOOKUP($D215,$C$5:$AU$836,10,)/VLOOKUP($D215,$C$5:$AU$836,3,))*$E215)</f>
        <v>0</v>
      </c>
      <c r="M215" s="65">
        <f>IF(VLOOKUP($D215,$C$5:$AU$836,3,)=0,0,(VLOOKUP($D215,$C$5:$AU$836,11,)/VLOOKUP($D215,$C$5:$AU$836,3,))*$E215)</f>
        <v>0</v>
      </c>
      <c r="N215" s="65">
        <f>IF(VLOOKUP($D215,$C$5:$AU$836,3,)=0,0,(VLOOKUP($D215,$C$5:$AU$836,12,)/VLOOKUP($D215,$C$5:$AU$836,3,))*$E215)</f>
        <v>0</v>
      </c>
      <c r="O215" s="65">
        <f>IF(VLOOKUP($D215,$C$5:$AU$836,3,)=0,0,(VLOOKUP($D215,$C$5:$AU$836,13,)/VLOOKUP($D215,$C$5:$AU$836,3,))*$E215)</f>
        <v>0</v>
      </c>
      <c r="P215" s="65">
        <f>IF(VLOOKUP($D215,$C$5:$AU$836,3,)=0,0,(VLOOKUP($D215,$C$5:$AU$836,14,)/VLOOKUP($D215,$C$5:$AU$836,3,))*$E215)</f>
        <v>0</v>
      </c>
      <c r="Q215" s="65">
        <f>IF(VLOOKUP($D215,$C$5:$AU$836,3,)=0,0,(VLOOKUP($D215,$C$5:$AU$836,15,)/VLOOKUP($D215,$C$5:$AU$836,3,))*$E215)</f>
        <v>0</v>
      </c>
      <c r="R215" s="65">
        <f>IF(VLOOKUP($D215,$C$5:$AU$836,3,)=0,0,(VLOOKUP($D215,$C$5:$AU$836,16,)/VLOOKUP($D215,$C$5:$AU$836,3,))*$E215)</f>
        <v>0</v>
      </c>
      <c r="S215" s="65">
        <f>IF(VLOOKUP($D215,$C$5:$AU$836,3,)=0,0,(VLOOKUP($D215,$C$5:$AU$836,17,)/VLOOKUP($D215,$C$5:$AU$836,3,))*$E215)</f>
        <v>0</v>
      </c>
      <c r="T215" s="65">
        <f>IF(VLOOKUP($D215,$C$5:$AU$836,3,)=0,0,(VLOOKUP($D215,$C$5:$AU$836,18,)/VLOOKUP($D215,$C$5:$AU$836,3,))*$E215)</f>
        <v>0</v>
      </c>
      <c r="U215" s="65">
        <f>IF(VLOOKUP($D215,$C$5:$AU$836,3,)=0,0,(VLOOKUP($D215,$C$5:$AU$836,19,)/VLOOKUP($D215,$C$5:$AU$836,3,))*$E215)</f>
        <v>0</v>
      </c>
      <c r="V215" s="65">
        <f>IF(VLOOKUP($D215,$C$5:$AU$836,3,)=0,0,(VLOOKUP($D215,$C$5:$AU$836,20,)/VLOOKUP($D215,$C$5:$AU$836,3,))*$E215)</f>
        <v>0</v>
      </c>
      <c r="W215" s="65">
        <f>IF(VLOOKUP($D215,$C$5:$AU$836,3,)=0,0,(VLOOKUP($D215,$C$5:$AU$836,21,)/VLOOKUP($D215,$C$5:$AU$836,3,))*$E215)</f>
        <v>0</v>
      </c>
      <c r="X215" s="65">
        <f>IF(VLOOKUP($D215,$C$5:$AU$836,3,)=0,0,(VLOOKUP($D215,$C$5:$AU$836,22,)/VLOOKUP($D215,$C$5:$AU$836,3,))*$E215)</f>
        <v>0</v>
      </c>
      <c r="Y215" s="65">
        <f>IF(VLOOKUP($D215,$C$5:$AU$836,3,)=0,0,(VLOOKUP($D215,$C$5:$AU$836,23,)/VLOOKUP($D215,$C$5:$AU$836,3,))*$E215)</f>
        <v>0</v>
      </c>
      <c r="Z215" s="65">
        <f>IF(VLOOKUP($D215,$C$5:$AU$836,3,)=0,0,(VLOOKUP($D215,$C$5:$AU$836,24,)/VLOOKUP($D215,$C$5:$AU$836,3,))*$E215)</f>
        <v>0</v>
      </c>
      <c r="AA215" s="65">
        <f>IF(VLOOKUP($D215,$C$5:$AU$836,3,)=0,0,(VLOOKUP($D215,$C$5:$AU$836,25,)/VLOOKUP($D215,$C$5:$AU$836,3,))*$E215)</f>
        <v>0</v>
      </c>
      <c r="AB215" s="65">
        <f>IF(VLOOKUP($D215,$C$5:$AU$836,3,)=0,0,(VLOOKUP($D215,$C$5:$AU$836,26,)/VLOOKUP($D215,$C$5:$AU$836,3,))*$E215)</f>
        <v>0</v>
      </c>
      <c r="AC215" s="65">
        <f>IF(VLOOKUP($D215,$C$5:$AU$836,3,)=0,0,(VLOOKUP($D215,$C$5:$AU$836,27,)/VLOOKUP($D215,$C$5:$AU$836,3,))*$E215)</f>
        <v>0</v>
      </c>
      <c r="AD215" s="65">
        <f>IF(VLOOKUP($D215,$C$5:$AU$836,3,)=0,0,(VLOOKUP($D215,$C$5:$AU$836,28,)/VLOOKUP($D215,$C$5:$AU$836,3,))*$E215)</f>
        <v>0</v>
      </c>
      <c r="AE215" s="65">
        <f>IF(VLOOKUP($D215,$C$5:$AU$836,3,)=0,0,(VLOOKUP($D215,$C$5:$AU$836,29,)/VLOOKUP($D215,$C$5:$AU$836,3,))*$E215)</f>
        <v>0</v>
      </c>
      <c r="AF215" s="65">
        <f>IF(VLOOKUP($D215,$C$5:$AU$836,3,)=0,0,(VLOOKUP($D215,$C$5:$AU$836,30,)/VLOOKUP($D215,$C$5:$AU$836,3,))*$E215)</f>
        <v>0</v>
      </c>
      <c r="AG215" s="16">
        <f>SUM(F215:AF215)</f>
        <v>0</v>
      </c>
      <c r="AH215" s="14" t="str">
        <f>IF(ABS(E215-AG215)&lt;0.01,"ok","err")</f>
        <v>ok</v>
      </c>
    </row>
    <row r="216" spans="1:34" x14ac:dyDescent="0.25">
      <c r="A216" s="12" t="s">
        <v>223</v>
      </c>
      <c r="C216" s="2" t="s">
        <v>261</v>
      </c>
      <c r="D216" s="2" t="s">
        <v>228</v>
      </c>
      <c r="E216" s="65">
        <f>'Functional Assignment'!AF264</f>
        <v>238632.14527645707</v>
      </c>
      <c r="F216" s="65">
        <f>IF(VLOOKUP($D216,$C$5:$AU$836,3,)=0,0,(VLOOKUP($D216,$C$5:$AU$836,4,)/VLOOKUP($D216,$C$5:$AU$836,3,))*$E216)</f>
        <v>187918.4797335598</v>
      </c>
      <c r="G216" s="65">
        <f>IF(VLOOKUP($D216,$C$5:$AU$836,3,)=0,0,(VLOOKUP($D216,$C$5:$AU$836,5,)/VLOOKUP($D216,$C$5:$AU$836,3,))*$E216)</f>
        <v>21393.751337164169</v>
      </c>
      <c r="H216" s="65">
        <f>IF(VLOOKUP($D216,$C$5:$AU$836,3,)=0,0,(VLOOKUP($D216,$C$5:$AU$836,6,)/VLOOKUP($D216,$C$5:$AU$836,3,))*$E216)</f>
        <v>2675.4880128666064</v>
      </c>
      <c r="I216" s="65">
        <f>IF(VLOOKUP($D216,$C$5:$AU$836,3,)=0,0,(VLOOKUP($D216,$C$5:$AU$836,7,)/VLOOKUP($D216,$C$5:$AU$836,3,))*$E216)</f>
        <v>843.79614293064731</v>
      </c>
      <c r="J216" s="65">
        <f>IF(VLOOKUP($D216,$C$5:$AU$836,3,)=0,0,(VLOOKUP($D216,$C$5:$AU$836,8,)/VLOOKUP($D216,$C$5:$AU$836,3,))*$E216)</f>
        <v>83.191169021331433</v>
      </c>
      <c r="K216" s="65">
        <f>IF(VLOOKUP($D216,$C$5:$AU$836,3,)=0,0,(VLOOKUP($D216,$C$5:$AU$836,9,)/VLOOKUP($D216,$C$5:$AU$836,3,))*$E216)</f>
        <v>1.7792771086967258</v>
      </c>
      <c r="L216" s="65">
        <f>IF(VLOOKUP($D216,$C$5:$AU$836,3,)=0,0,(VLOOKUP($D216,$C$5:$AU$836,10,)/VLOOKUP($D216,$C$5:$AU$836,3,))*$E216)</f>
        <v>3.5585542173934517</v>
      </c>
      <c r="M216" s="65">
        <f>IF(VLOOKUP($D216,$C$5:$AU$836,3,)=0,0,(VLOOKUP($D216,$C$5:$AU$836,11,)/VLOOKUP($D216,$C$5:$AU$836,3,))*$E216)</f>
        <v>14.234216869573807</v>
      </c>
      <c r="N216" s="65">
        <f>IF(VLOOKUP($D216,$C$5:$AU$836,3,)=0,0,(VLOOKUP($D216,$C$5:$AU$836,12,)/VLOOKUP($D216,$C$5:$AU$836,3,))*$E216)</f>
        <v>25697.866832718839</v>
      </c>
      <c r="O216" s="65">
        <f>IF(VLOOKUP($D216,$C$5:$AU$836,3,)=0,0,(VLOOKUP($D216,$C$5:$AU$836,13,)/VLOOKUP($D216,$C$5:$AU$836,3,))*$E216)</f>
        <v>0</v>
      </c>
      <c r="P216" s="65">
        <f>IF(VLOOKUP($D216,$C$5:$AU$836,3,)=0,0,(VLOOKUP($D216,$C$5:$AU$836,14,)/VLOOKUP($D216,$C$5:$AU$836,3,))*$E216)</f>
        <v>0</v>
      </c>
      <c r="Q216" s="65">
        <f>IF(VLOOKUP($D216,$C$5:$AU$836,3,)=0,0,(VLOOKUP($D216,$C$5:$AU$836,15,)/VLOOKUP($D216,$C$5:$AU$836,3,))*$E216)</f>
        <v>0</v>
      </c>
      <c r="R216" s="65">
        <f>IF(VLOOKUP($D216,$C$5:$AU$836,3,)=0,0,(VLOOKUP($D216,$C$5:$AU$836,16,)/VLOOKUP($D216,$C$5:$AU$836,3,))*$E216)</f>
        <v>0</v>
      </c>
      <c r="S216" s="65">
        <f>IF(VLOOKUP($D216,$C$5:$AU$836,3,)=0,0,(VLOOKUP($D216,$C$5:$AU$836,17,)/VLOOKUP($D216,$C$5:$AU$836,3,))*$E216)</f>
        <v>0</v>
      </c>
      <c r="T216" s="65">
        <f>IF(VLOOKUP($D216,$C$5:$AU$836,3,)=0,0,(VLOOKUP($D216,$C$5:$AU$836,18,)/VLOOKUP($D216,$C$5:$AU$836,3,))*$E216)</f>
        <v>0</v>
      </c>
      <c r="U216" s="65">
        <f>IF(VLOOKUP($D216,$C$5:$AU$836,3,)=0,0,(VLOOKUP($D216,$C$5:$AU$836,19,)/VLOOKUP($D216,$C$5:$AU$836,3,))*$E216)</f>
        <v>0</v>
      </c>
      <c r="V216" s="65">
        <f>IF(VLOOKUP($D216,$C$5:$AU$836,3,)=0,0,(VLOOKUP($D216,$C$5:$AU$836,20,)/VLOOKUP($D216,$C$5:$AU$836,3,))*$E216)</f>
        <v>0</v>
      </c>
      <c r="W216" s="65">
        <f>IF(VLOOKUP($D216,$C$5:$AU$836,3,)=0,0,(VLOOKUP($D216,$C$5:$AU$836,21,)/VLOOKUP($D216,$C$5:$AU$836,3,))*$E216)</f>
        <v>0</v>
      </c>
      <c r="X216" s="65">
        <f>IF(VLOOKUP($D216,$C$5:$AU$836,3,)=0,0,(VLOOKUP($D216,$C$5:$AU$836,22,)/VLOOKUP($D216,$C$5:$AU$836,3,))*$E216)</f>
        <v>0</v>
      </c>
      <c r="Y216" s="65">
        <f>IF(VLOOKUP($D216,$C$5:$AU$836,3,)=0,0,(VLOOKUP($D216,$C$5:$AU$836,23,)/VLOOKUP($D216,$C$5:$AU$836,3,))*$E216)</f>
        <v>0</v>
      </c>
      <c r="Z216" s="65">
        <f>IF(VLOOKUP($D216,$C$5:$AU$836,3,)=0,0,(VLOOKUP($D216,$C$5:$AU$836,24,)/VLOOKUP($D216,$C$5:$AU$836,3,))*$E216)</f>
        <v>0</v>
      </c>
      <c r="AA216" s="65">
        <f>IF(VLOOKUP($D216,$C$5:$AU$836,3,)=0,0,(VLOOKUP($D216,$C$5:$AU$836,25,)/VLOOKUP($D216,$C$5:$AU$836,3,))*$E216)</f>
        <v>0</v>
      </c>
      <c r="AB216" s="65">
        <f>IF(VLOOKUP($D216,$C$5:$AU$836,3,)=0,0,(VLOOKUP($D216,$C$5:$AU$836,26,)/VLOOKUP($D216,$C$5:$AU$836,3,))*$E216)</f>
        <v>0</v>
      </c>
      <c r="AC216" s="65">
        <f>IF(VLOOKUP($D216,$C$5:$AU$836,3,)=0,0,(VLOOKUP($D216,$C$5:$AU$836,27,)/VLOOKUP($D216,$C$5:$AU$836,3,))*$E216)</f>
        <v>0</v>
      </c>
      <c r="AD216" s="65">
        <f>IF(VLOOKUP($D216,$C$5:$AU$836,3,)=0,0,(VLOOKUP($D216,$C$5:$AU$836,28,)/VLOOKUP($D216,$C$5:$AU$836,3,))*$E216)</f>
        <v>0</v>
      </c>
      <c r="AE216" s="65">
        <f>IF(VLOOKUP($D216,$C$5:$AU$836,3,)=0,0,(VLOOKUP($D216,$C$5:$AU$836,29,)/VLOOKUP($D216,$C$5:$AU$836,3,))*$E216)</f>
        <v>0</v>
      </c>
      <c r="AF216" s="65">
        <f>IF(VLOOKUP($D216,$C$5:$AU$836,3,)=0,0,(VLOOKUP($D216,$C$5:$AU$836,30,)/VLOOKUP($D216,$C$5:$AU$836,3,))*$E216)</f>
        <v>0</v>
      </c>
      <c r="AG216" s="16">
        <f>SUM(F216:AF216)</f>
        <v>238632.14527645707</v>
      </c>
      <c r="AH216" s="14" t="str">
        <f>IF(ABS(E216-AG216)&lt;0.01,"ok","err")</f>
        <v>ok</v>
      </c>
    </row>
    <row r="217" spans="1:34" x14ac:dyDescent="0.25">
      <c r="A217" s="2" t="s">
        <v>229</v>
      </c>
      <c r="E217" s="65">
        <f t="shared" ref="E217:N217" si="129">E215+E216</f>
        <v>238632.14527645707</v>
      </c>
      <c r="F217" s="65">
        <f t="shared" si="129"/>
        <v>187918.4797335598</v>
      </c>
      <c r="G217" s="65">
        <f t="shared" si="129"/>
        <v>21393.751337164169</v>
      </c>
      <c r="H217" s="65">
        <f t="shared" si="129"/>
        <v>2675.4880128666064</v>
      </c>
      <c r="I217" s="65">
        <f t="shared" si="129"/>
        <v>843.79614293064731</v>
      </c>
      <c r="J217" s="65">
        <f t="shared" si="129"/>
        <v>83.191169021331433</v>
      </c>
      <c r="K217" s="65">
        <f t="shared" si="129"/>
        <v>1.7792771086967258</v>
      </c>
      <c r="L217" s="65">
        <f t="shared" si="129"/>
        <v>3.5585542173934517</v>
      </c>
      <c r="M217" s="65">
        <f t="shared" si="129"/>
        <v>14.234216869573807</v>
      </c>
      <c r="N217" s="65">
        <f t="shared" si="129"/>
        <v>25697.866832718839</v>
      </c>
      <c r="O217" s="65">
        <f t="shared" ref="O217:T217" si="130">O215+O216</f>
        <v>0</v>
      </c>
      <c r="P217" s="65">
        <f t="shared" si="130"/>
        <v>0</v>
      </c>
      <c r="Q217" s="65">
        <f t="shared" si="130"/>
        <v>0</v>
      </c>
      <c r="R217" s="65">
        <f t="shared" si="130"/>
        <v>0</v>
      </c>
      <c r="S217" s="65">
        <f t="shared" si="130"/>
        <v>0</v>
      </c>
      <c r="T217" s="65">
        <f t="shared" si="130"/>
        <v>0</v>
      </c>
      <c r="U217" s="65">
        <f t="shared" ref="U217:AF217" si="131">U215+U216</f>
        <v>0</v>
      </c>
      <c r="V217" s="65">
        <f t="shared" si="131"/>
        <v>0</v>
      </c>
      <c r="W217" s="65">
        <f t="shared" si="131"/>
        <v>0</v>
      </c>
      <c r="X217" s="65">
        <f t="shared" si="131"/>
        <v>0</v>
      </c>
      <c r="Y217" s="65">
        <f t="shared" si="131"/>
        <v>0</v>
      </c>
      <c r="Z217" s="65">
        <f t="shared" si="131"/>
        <v>0</v>
      </c>
      <c r="AA217" s="65">
        <f t="shared" si="131"/>
        <v>0</v>
      </c>
      <c r="AB217" s="65">
        <f t="shared" si="131"/>
        <v>0</v>
      </c>
      <c r="AC217" s="65">
        <f t="shared" si="131"/>
        <v>0</v>
      </c>
      <c r="AD217" s="65">
        <f t="shared" si="131"/>
        <v>0</v>
      </c>
      <c r="AE217" s="65">
        <f t="shared" si="131"/>
        <v>0</v>
      </c>
      <c r="AF217" s="65">
        <f t="shared" si="131"/>
        <v>0</v>
      </c>
      <c r="AG217" s="16">
        <f>SUM(F217:AF217)</f>
        <v>238632.14527645707</v>
      </c>
      <c r="AH217" s="14" t="str">
        <f>IF(ABS(E217-AG217)&lt;0.01,"ok","err")</f>
        <v>ok</v>
      </c>
    </row>
    <row r="218" spans="1:34" x14ac:dyDescent="0.25">
      <c r="E218" s="31"/>
    </row>
    <row r="219" spans="1:34" x14ac:dyDescent="0.25">
      <c r="A219" s="8" t="s">
        <v>6</v>
      </c>
      <c r="E219" s="31"/>
    </row>
    <row r="220" spans="1:34" x14ac:dyDescent="0.25">
      <c r="A220" s="12" t="s">
        <v>223</v>
      </c>
      <c r="C220" s="2" t="s">
        <v>262</v>
      </c>
      <c r="D220" s="2" t="s">
        <v>231</v>
      </c>
      <c r="E220" s="65">
        <f>'Functional Assignment'!AH264</f>
        <v>1998887.2274536041</v>
      </c>
      <c r="F220" s="65">
        <f>IF(VLOOKUP($D220,$C$5:$AU$836,3,)=0,0,(VLOOKUP($D220,$C$5:$AU$836,4,)/VLOOKUP($D220,$C$5:$AU$836,3,))*$E220)</f>
        <v>1323717.6671690072</v>
      </c>
      <c r="G220" s="65">
        <f>IF(VLOOKUP($D220,$C$5:$AU$836,3,)=0,0,(VLOOKUP($D220,$C$5:$AU$836,5,)/VLOOKUP($D220,$C$5:$AU$836,3,))*$E220)</f>
        <v>519450.11885863519</v>
      </c>
      <c r="H220" s="65">
        <f>IF(VLOOKUP($D220,$C$5:$AU$836,3,)=0,0,(VLOOKUP($D220,$C$5:$AU$836,6,)/VLOOKUP($D220,$C$5:$AU$836,3,))*$E220)</f>
        <v>123886.47012840457</v>
      </c>
      <c r="I220" s="65">
        <f>IF(VLOOKUP($D220,$C$5:$AU$836,3,)=0,0,(VLOOKUP($D220,$C$5:$AU$836,7,)/VLOOKUP($D220,$C$5:$AU$836,3,))*$E220)</f>
        <v>14393.009679011642</v>
      </c>
      <c r="J220" s="65">
        <f>IF(VLOOKUP($D220,$C$5:$AU$836,3,)=0,0,(VLOOKUP($D220,$C$5:$AU$836,8,)/VLOOKUP($D220,$C$5:$AU$836,3,))*$E220)</f>
        <v>4684.8829143676048</v>
      </c>
      <c r="K220" s="65">
        <f>IF(VLOOKUP($D220,$C$5:$AU$836,3,)=0,0,(VLOOKUP($D220,$C$5:$AU$836,9,)/VLOOKUP($D220,$C$5:$AU$836,3,))*$E220)</f>
        <v>1294.6724294057105</v>
      </c>
      <c r="L220" s="65">
        <f>IF(VLOOKUP($D220,$C$5:$AU$836,3,)=0,0,(VLOOKUP($D220,$C$5:$AU$836,10,)/VLOOKUP($D220,$C$5:$AU$836,3,))*$E220)</f>
        <v>2589.3448588114211</v>
      </c>
      <c r="M220" s="65">
        <f>IF(VLOOKUP($D220,$C$5:$AU$836,3,)=0,0,(VLOOKUP($D220,$C$5:$AU$836,11,)/VLOOKUP($D220,$C$5:$AU$836,3,))*$E220)</f>
        <v>1844.0564537258967</v>
      </c>
      <c r="N220" s="65">
        <f>IF(VLOOKUP($D220,$C$5:$AU$836,3,)=0,0,(VLOOKUP($D220,$C$5:$AU$836,12,)/VLOOKUP($D220,$C$5:$AU$836,3,))*$E220)</f>
        <v>7027.0049622349416</v>
      </c>
      <c r="O220" s="65">
        <f>IF(VLOOKUP($D220,$C$5:$AU$836,3,)=0,0,(VLOOKUP($D220,$C$5:$AU$836,13,)/VLOOKUP($D220,$C$5:$AU$836,3,))*$E220)</f>
        <v>0</v>
      </c>
      <c r="P220" s="65">
        <f>IF(VLOOKUP($D220,$C$5:$AU$836,3,)=0,0,(VLOOKUP($D220,$C$5:$AU$836,14,)/VLOOKUP($D220,$C$5:$AU$836,3,))*$E220)</f>
        <v>0</v>
      </c>
      <c r="Q220" s="65">
        <f>IF(VLOOKUP($D220,$C$5:$AU$836,3,)=0,0,(VLOOKUP($D220,$C$5:$AU$836,15,)/VLOOKUP($D220,$C$5:$AU$836,3,))*$E220)</f>
        <v>0</v>
      </c>
      <c r="R220" s="65">
        <f>IF(VLOOKUP($D220,$C$5:$AU$836,3,)=0,0,(VLOOKUP($D220,$C$5:$AU$836,16,)/VLOOKUP($D220,$C$5:$AU$836,3,))*$E220)</f>
        <v>0</v>
      </c>
      <c r="S220" s="65">
        <f>IF(VLOOKUP($D220,$C$5:$AU$836,3,)=0,0,(VLOOKUP($D220,$C$5:$AU$836,17,)/VLOOKUP($D220,$C$5:$AU$836,3,))*$E220)</f>
        <v>0</v>
      </c>
      <c r="T220" s="65">
        <f>IF(VLOOKUP($D220,$C$5:$AU$836,3,)=0,0,(VLOOKUP($D220,$C$5:$AU$836,18,)/VLOOKUP($D220,$C$5:$AU$836,3,))*$E220)</f>
        <v>0</v>
      </c>
      <c r="U220" s="65">
        <f>IF(VLOOKUP($D220,$C$5:$AU$836,3,)=0,0,(VLOOKUP($D220,$C$5:$AU$836,19,)/VLOOKUP($D220,$C$5:$AU$836,3,))*$E220)</f>
        <v>0</v>
      </c>
      <c r="V220" s="65">
        <f>IF(VLOOKUP($D220,$C$5:$AU$836,3,)=0,0,(VLOOKUP($D220,$C$5:$AU$836,20,)/VLOOKUP($D220,$C$5:$AU$836,3,))*$E220)</f>
        <v>0</v>
      </c>
      <c r="W220" s="65">
        <f>IF(VLOOKUP($D220,$C$5:$AU$836,3,)=0,0,(VLOOKUP($D220,$C$5:$AU$836,21,)/VLOOKUP($D220,$C$5:$AU$836,3,))*$E220)</f>
        <v>0</v>
      </c>
      <c r="X220" s="65">
        <f>IF(VLOOKUP($D220,$C$5:$AU$836,3,)=0,0,(VLOOKUP($D220,$C$5:$AU$836,22,)/VLOOKUP($D220,$C$5:$AU$836,3,))*$E220)</f>
        <v>0</v>
      </c>
      <c r="Y220" s="65">
        <f>IF(VLOOKUP($D220,$C$5:$AU$836,3,)=0,0,(VLOOKUP($D220,$C$5:$AU$836,23,)/VLOOKUP($D220,$C$5:$AU$836,3,))*$E220)</f>
        <v>0</v>
      </c>
      <c r="Z220" s="65">
        <f>IF(VLOOKUP($D220,$C$5:$AU$836,3,)=0,0,(VLOOKUP($D220,$C$5:$AU$836,24,)/VLOOKUP($D220,$C$5:$AU$836,3,))*$E220)</f>
        <v>0</v>
      </c>
      <c r="AA220" s="65">
        <f>IF(VLOOKUP($D220,$C$5:$AU$836,3,)=0,0,(VLOOKUP($D220,$C$5:$AU$836,25,)/VLOOKUP($D220,$C$5:$AU$836,3,))*$E220)</f>
        <v>0</v>
      </c>
      <c r="AB220" s="65">
        <f>IF(VLOOKUP($D220,$C$5:$AU$836,3,)=0,0,(VLOOKUP($D220,$C$5:$AU$836,26,)/VLOOKUP($D220,$C$5:$AU$836,3,))*$E220)</f>
        <v>0</v>
      </c>
      <c r="AC220" s="65">
        <f>IF(VLOOKUP($D220,$C$5:$AU$836,3,)=0,0,(VLOOKUP($D220,$C$5:$AU$836,27,)/VLOOKUP($D220,$C$5:$AU$836,3,))*$E220)</f>
        <v>0</v>
      </c>
      <c r="AD220" s="65">
        <f>IF(VLOOKUP($D220,$C$5:$AU$836,3,)=0,0,(VLOOKUP($D220,$C$5:$AU$836,28,)/VLOOKUP($D220,$C$5:$AU$836,3,))*$E220)</f>
        <v>0</v>
      </c>
      <c r="AE220" s="65">
        <f>IF(VLOOKUP($D220,$C$5:$AU$836,3,)=0,0,(VLOOKUP($D220,$C$5:$AU$836,29,)/VLOOKUP($D220,$C$5:$AU$836,3,))*$E220)</f>
        <v>0</v>
      </c>
      <c r="AF220" s="65">
        <f>IF(VLOOKUP($D220,$C$5:$AU$836,3,)=0,0,(VLOOKUP($D220,$C$5:$AU$836,30,)/VLOOKUP($D220,$C$5:$AU$836,3,))*$E220)</f>
        <v>0</v>
      </c>
      <c r="AG220" s="16">
        <f>SUM(F220:AF220)</f>
        <v>1998887.2274536041</v>
      </c>
      <c r="AH220" s="14" t="str">
        <f>IF(ABS(E220-AG220)&lt;0.01,"ok","err")</f>
        <v>ok</v>
      </c>
    </row>
    <row r="221" spans="1:34" x14ac:dyDescent="0.25">
      <c r="E221" s="31"/>
    </row>
    <row r="222" spans="1:34" x14ac:dyDescent="0.25">
      <c r="A222" s="8" t="s">
        <v>7</v>
      </c>
      <c r="E222" s="31"/>
    </row>
    <row r="223" spans="1:34" x14ac:dyDescent="0.25">
      <c r="A223" s="12" t="s">
        <v>223</v>
      </c>
      <c r="C223" s="2" t="s">
        <v>263</v>
      </c>
      <c r="D223" s="2" t="s">
        <v>233</v>
      </c>
      <c r="E223" s="65">
        <f>'Functional Assignment'!AJ264</f>
        <v>578448.01714704628</v>
      </c>
      <c r="F223" s="65">
        <f>IF(VLOOKUP($D223,$C$5:$AU$836,3,)=0,0,(VLOOKUP($D223,$C$5:$AU$836,4,)/VLOOKUP($D223,$C$5:$AU$836,3,))*$E223)</f>
        <v>0</v>
      </c>
      <c r="G223" s="65">
        <f>IF(VLOOKUP($D223,$C$5:$AU$836,3,)=0,0,(VLOOKUP($D223,$C$5:$AU$836,5,)/VLOOKUP($D223,$C$5:$AU$836,3,))*$E223)</f>
        <v>0</v>
      </c>
      <c r="H223" s="65">
        <f>IF(VLOOKUP($D223,$C$5:$AU$836,3,)=0,0,(VLOOKUP($D223,$C$5:$AU$836,6,)/VLOOKUP($D223,$C$5:$AU$836,3,))*$E223)</f>
        <v>0</v>
      </c>
      <c r="I223" s="65">
        <f>IF(VLOOKUP($D223,$C$5:$AU$836,3,)=0,0,(VLOOKUP($D223,$C$5:$AU$836,7,)/VLOOKUP($D223,$C$5:$AU$836,3,))*$E223)</f>
        <v>0</v>
      </c>
      <c r="J223" s="65">
        <f>IF(VLOOKUP($D223,$C$5:$AU$836,3,)=0,0,(VLOOKUP($D223,$C$5:$AU$836,8,)/VLOOKUP($D223,$C$5:$AU$836,3,))*$E223)</f>
        <v>0</v>
      </c>
      <c r="K223" s="65">
        <f>IF(VLOOKUP($D223,$C$5:$AU$836,3,)=0,0,(VLOOKUP($D223,$C$5:$AU$836,9,)/VLOOKUP($D223,$C$5:$AU$836,3,))*$E223)</f>
        <v>0</v>
      </c>
      <c r="L223" s="65">
        <f>IF(VLOOKUP($D223,$C$5:$AU$836,3,)=0,0,(VLOOKUP($D223,$C$5:$AU$836,10,)/VLOOKUP($D223,$C$5:$AU$836,3,))*$E223)</f>
        <v>0</v>
      </c>
      <c r="M223" s="65">
        <f>IF(VLOOKUP($D223,$C$5:$AU$836,3,)=0,0,(VLOOKUP($D223,$C$5:$AU$836,11,)/VLOOKUP($D223,$C$5:$AU$836,3,))*$E223)</f>
        <v>0</v>
      </c>
      <c r="N223" s="65">
        <f>IF(VLOOKUP($D223,$C$5:$AU$836,3,)=0,0,(VLOOKUP($D223,$C$5:$AU$836,12,)/VLOOKUP($D223,$C$5:$AU$836,3,))*$E223)</f>
        <v>578448.01714704628</v>
      </c>
      <c r="O223" s="65">
        <f>IF(VLOOKUP($D223,$C$5:$AU$836,3,)=0,0,(VLOOKUP($D223,$C$5:$AU$836,13,)/VLOOKUP($D223,$C$5:$AU$836,3,))*$E223)</f>
        <v>0</v>
      </c>
      <c r="P223" s="65">
        <f>IF(VLOOKUP($D223,$C$5:$AU$836,3,)=0,0,(VLOOKUP($D223,$C$5:$AU$836,14,)/VLOOKUP($D223,$C$5:$AU$836,3,))*$E223)</f>
        <v>0</v>
      </c>
      <c r="Q223" s="65">
        <f>IF(VLOOKUP($D223,$C$5:$AU$836,3,)=0,0,(VLOOKUP($D223,$C$5:$AU$836,15,)/VLOOKUP($D223,$C$5:$AU$836,3,))*$E223)</f>
        <v>0</v>
      </c>
      <c r="R223" s="65">
        <f>IF(VLOOKUP($D223,$C$5:$AU$836,3,)=0,0,(VLOOKUP($D223,$C$5:$AU$836,16,)/VLOOKUP($D223,$C$5:$AU$836,3,))*$E223)</f>
        <v>0</v>
      </c>
      <c r="S223" s="65">
        <f>IF(VLOOKUP($D223,$C$5:$AU$836,3,)=0,0,(VLOOKUP($D223,$C$5:$AU$836,17,)/VLOOKUP($D223,$C$5:$AU$836,3,))*$E223)</f>
        <v>0</v>
      </c>
      <c r="T223" s="65">
        <f>IF(VLOOKUP($D223,$C$5:$AU$836,3,)=0,0,(VLOOKUP($D223,$C$5:$AU$836,18,)/VLOOKUP($D223,$C$5:$AU$836,3,))*$E223)</f>
        <v>0</v>
      </c>
      <c r="U223" s="65">
        <f>IF(VLOOKUP($D223,$C$5:$AU$836,3,)=0,0,(VLOOKUP($D223,$C$5:$AU$836,19,)/VLOOKUP($D223,$C$5:$AU$836,3,))*$E223)</f>
        <v>0</v>
      </c>
      <c r="V223" s="65">
        <f>IF(VLOOKUP($D223,$C$5:$AU$836,3,)=0,0,(VLOOKUP($D223,$C$5:$AU$836,20,)/VLOOKUP($D223,$C$5:$AU$836,3,))*$E223)</f>
        <v>0</v>
      </c>
      <c r="W223" s="65">
        <f>IF(VLOOKUP($D223,$C$5:$AU$836,3,)=0,0,(VLOOKUP($D223,$C$5:$AU$836,21,)/VLOOKUP($D223,$C$5:$AU$836,3,))*$E223)</f>
        <v>0</v>
      </c>
      <c r="X223" s="65">
        <f>IF(VLOOKUP($D223,$C$5:$AU$836,3,)=0,0,(VLOOKUP($D223,$C$5:$AU$836,22,)/VLOOKUP($D223,$C$5:$AU$836,3,))*$E223)</f>
        <v>0</v>
      </c>
      <c r="Y223" s="65">
        <f>IF(VLOOKUP($D223,$C$5:$AU$836,3,)=0,0,(VLOOKUP($D223,$C$5:$AU$836,23,)/VLOOKUP($D223,$C$5:$AU$836,3,))*$E223)</f>
        <v>0</v>
      </c>
      <c r="Z223" s="65">
        <f>IF(VLOOKUP($D223,$C$5:$AU$836,3,)=0,0,(VLOOKUP($D223,$C$5:$AU$836,24,)/VLOOKUP($D223,$C$5:$AU$836,3,))*$E223)</f>
        <v>0</v>
      </c>
      <c r="AA223" s="65">
        <f>IF(VLOOKUP($D223,$C$5:$AU$836,3,)=0,0,(VLOOKUP($D223,$C$5:$AU$836,25,)/VLOOKUP($D223,$C$5:$AU$836,3,))*$E223)</f>
        <v>0</v>
      </c>
      <c r="AB223" s="65">
        <f>IF(VLOOKUP($D223,$C$5:$AU$836,3,)=0,0,(VLOOKUP($D223,$C$5:$AU$836,26,)/VLOOKUP($D223,$C$5:$AU$836,3,))*$E223)</f>
        <v>0</v>
      </c>
      <c r="AC223" s="65">
        <f>IF(VLOOKUP($D223,$C$5:$AU$836,3,)=0,0,(VLOOKUP($D223,$C$5:$AU$836,27,)/VLOOKUP($D223,$C$5:$AU$836,3,))*$E223)</f>
        <v>0</v>
      </c>
      <c r="AD223" s="65">
        <f>IF(VLOOKUP($D223,$C$5:$AU$836,3,)=0,0,(VLOOKUP($D223,$C$5:$AU$836,28,)/VLOOKUP($D223,$C$5:$AU$836,3,))*$E223)</f>
        <v>0</v>
      </c>
      <c r="AE223" s="65">
        <f>IF(VLOOKUP($D223,$C$5:$AU$836,3,)=0,0,(VLOOKUP($D223,$C$5:$AU$836,29,)/VLOOKUP($D223,$C$5:$AU$836,3,))*$E223)</f>
        <v>0</v>
      </c>
      <c r="AF223" s="65">
        <f>IF(VLOOKUP($D223,$C$5:$AU$836,3,)=0,0,(VLOOKUP($D223,$C$5:$AU$836,30,)/VLOOKUP($D223,$C$5:$AU$836,3,))*$E223)</f>
        <v>0</v>
      </c>
      <c r="AG223" s="16">
        <f>SUM(F223:AF223)</f>
        <v>578448.01714704628</v>
      </c>
      <c r="AH223" s="14" t="str">
        <f>IF(ABS(E223-AG223)&lt;0.01,"ok","err")</f>
        <v>ok</v>
      </c>
    </row>
    <row r="224" spans="1:34" x14ac:dyDescent="0.25">
      <c r="E224" s="31"/>
    </row>
    <row r="225" spans="1:34" x14ac:dyDescent="0.25">
      <c r="A225" s="8" t="s">
        <v>534</v>
      </c>
      <c r="E225" s="31"/>
    </row>
    <row r="226" spans="1:34" x14ac:dyDescent="0.25">
      <c r="A226" s="12" t="s">
        <v>223</v>
      </c>
      <c r="C226" s="2" t="s">
        <v>264</v>
      </c>
      <c r="D226" s="2" t="s">
        <v>235</v>
      </c>
      <c r="E226" s="65">
        <f>'Functional Assignment'!AL264</f>
        <v>5320279.8959024306</v>
      </c>
      <c r="F226" s="65">
        <f>IF(VLOOKUP($D226,$C$5:$AU$836,3,)=0,0,(VLOOKUP($D226,$C$5:$AU$836,4,)/VLOOKUP($D226,$C$5:$AU$836,3,))*$E226)</f>
        <v>4878907.9946678486</v>
      </c>
      <c r="G226" s="65">
        <f>IF(VLOOKUP($D226,$C$5:$AU$836,3,)=0,0,(VLOOKUP($D226,$C$5:$AU$836,5,)/VLOOKUP($D226,$C$5:$AU$836,3,))*$E226)</f>
        <v>350051.86762444943</v>
      </c>
      <c r="H226" s="65">
        <f>IF(VLOOKUP($D226,$C$5:$AU$836,3,)=0,0,(VLOOKUP($D226,$C$5:$AU$836,6,)/VLOOKUP($D226,$C$5:$AU$836,3,))*$E226)</f>
        <v>33220.764454123877</v>
      </c>
      <c r="I226" s="65">
        <f>IF(VLOOKUP($D226,$C$5:$AU$836,3,)=0,0,(VLOOKUP($D226,$C$5:$AU$836,7,)/VLOOKUP($D226,$C$5:$AU$836,3,))*$E226)</f>
        <v>12742.211023499569</v>
      </c>
      <c r="J226" s="65">
        <f>IF(VLOOKUP($D226,$C$5:$AU$836,3,)=0,0,(VLOOKUP($D226,$C$5:$AU$836,8,)/VLOOKUP($D226,$C$5:$AU$836,3,))*$E226)</f>
        <v>1256.2743262605206</v>
      </c>
      <c r="K226" s="65">
        <f>IF(VLOOKUP($D226,$C$5:$AU$836,3,)=0,0,(VLOOKUP($D226,$C$5:$AU$836,9,)/VLOOKUP($D226,$C$5:$AU$836,3,))*$E226)</f>
        <v>76.914754669011486</v>
      </c>
      <c r="L226" s="65">
        <f>IF(VLOOKUP($D226,$C$5:$AU$836,3,)=0,0,(VLOOKUP($D226,$C$5:$AU$836,10,)/VLOOKUP($D226,$C$5:$AU$836,3,))*$E226)</f>
        <v>153.82950933802297</v>
      </c>
      <c r="M226" s="65">
        <f>IF(VLOOKUP($D226,$C$5:$AU$836,3,)=0,0,(VLOOKUP($D226,$C$5:$AU$836,11,)/VLOOKUP($D226,$C$5:$AU$836,3,))*$E226)</f>
        <v>615.31803735209189</v>
      </c>
      <c r="N226" s="65">
        <f>IF(VLOOKUP($D226,$C$5:$AU$836,3,)=0,0,(VLOOKUP($D226,$C$5:$AU$836,12,)/VLOOKUP($D226,$C$5:$AU$836,3,))*$E226)</f>
        <v>43254.721504889036</v>
      </c>
      <c r="O226" s="65">
        <f>IF(VLOOKUP($D226,$C$5:$AU$836,3,)=0,0,(VLOOKUP($D226,$C$5:$AU$836,13,)/VLOOKUP($D226,$C$5:$AU$836,3,))*$E226)</f>
        <v>0</v>
      </c>
      <c r="P226" s="65">
        <f>IF(VLOOKUP($D226,$C$5:$AU$836,3,)=0,0,(VLOOKUP($D226,$C$5:$AU$836,14,)/VLOOKUP($D226,$C$5:$AU$836,3,))*$E226)</f>
        <v>0</v>
      </c>
      <c r="Q226" s="65">
        <f>IF(VLOOKUP($D226,$C$5:$AU$836,3,)=0,0,(VLOOKUP($D226,$C$5:$AU$836,15,)/VLOOKUP($D226,$C$5:$AU$836,3,))*$E226)</f>
        <v>0</v>
      </c>
      <c r="R226" s="65">
        <f>IF(VLOOKUP($D226,$C$5:$AU$836,3,)=0,0,(VLOOKUP($D226,$C$5:$AU$836,16,)/VLOOKUP($D226,$C$5:$AU$836,3,))*$E226)</f>
        <v>0</v>
      </c>
      <c r="S226" s="65">
        <f>IF(VLOOKUP($D226,$C$5:$AU$836,3,)=0,0,(VLOOKUP($D226,$C$5:$AU$836,17,)/VLOOKUP($D226,$C$5:$AU$836,3,))*$E226)</f>
        <v>0</v>
      </c>
      <c r="T226" s="65">
        <f>IF(VLOOKUP($D226,$C$5:$AU$836,3,)=0,0,(VLOOKUP($D226,$C$5:$AU$836,18,)/VLOOKUP($D226,$C$5:$AU$836,3,))*$E226)</f>
        <v>0</v>
      </c>
      <c r="U226" s="65">
        <f>IF(VLOOKUP($D226,$C$5:$AU$836,3,)=0,0,(VLOOKUP($D226,$C$5:$AU$836,19,)/VLOOKUP($D226,$C$5:$AU$836,3,))*$E226)</f>
        <v>0</v>
      </c>
      <c r="V226" s="65">
        <f>IF(VLOOKUP($D226,$C$5:$AU$836,3,)=0,0,(VLOOKUP($D226,$C$5:$AU$836,20,)/VLOOKUP($D226,$C$5:$AU$836,3,))*$E226)</f>
        <v>0</v>
      </c>
      <c r="W226" s="65">
        <f>IF(VLOOKUP($D226,$C$5:$AU$836,3,)=0,0,(VLOOKUP($D226,$C$5:$AU$836,21,)/VLOOKUP($D226,$C$5:$AU$836,3,))*$E226)</f>
        <v>0</v>
      </c>
      <c r="X226" s="65">
        <f>IF(VLOOKUP($D226,$C$5:$AU$836,3,)=0,0,(VLOOKUP($D226,$C$5:$AU$836,22,)/VLOOKUP($D226,$C$5:$AU$836,3,))*$E226)</f>
        <v>0</v>
      </c>
      <c r="Y226" s="65">
        <f>IF(VLOOKUP($D226,$C$5:$AU$836,3,)=0,0,(VLOOKUP($D226,$C$5:$AU$836,23,)/VLOOKUP($D226,$C$5:$AU$836,3,))*$E226)</f>
        <v>0</v>
      </c>
      <c r="Z226" s="65">
        <f>IF(VLOOKUP($D226,$C$5:$AU$836,3,)=0,0,(VLOOKUP($D226,$C$5:$AU$836,24,)/VLOOKUP($D226,$C$5:$AU$836,3,))*$E226)</f>
        <v>0</v>
      </c>
      <c r="AA226" s="65">
        <f>IF(VLOOKUP($D226,$C$5:$AU$836,3,)=0,0,(VLOOKUP($D226,$C$5:$AU$836,25,)/VLOOKUP($D226,$C$5:$AU$836,3,))*$E226)</f>
        <v>0</v>
      </c>
      <c r="AB226" s="65">
        <f>IF(VLOOKUP($D226,$C$5:$AU$836,3,)=0,0,(VLOOKUP($D226,$C$5:$AU$836,26,)/VLOOKUP($D226,$C$5:$AU$836,3,))*$E226)</f>
        <v>0</v>
      </c>
      <c r="AC226" s="65">
        <f>IF(VLOOKUP($D226,$C$5:$AU$836,3,)=0,0,(VLOOKUP($D226,$C$5:$AU$836,27,)/VLOOKUP($D226,$C$5:$AU$836,3,))*$E226)</f>
        <v>0</v>
      </c>
      <c r="AD226" s="65">
        <f>IF(VLOOKUP($D226,$C$5:$AU$836,3,)=0,0,(VLOOKUP($D226,$C$5:$AU$836,28,)/VLOOKUP($D226,$C$5:$AU$836,3,))*$E226)</f>
        <v>0</v>
      </c>
      <c r="AE226" s="65">
        <f>IF(VLOOKUP($D226,$C$5:$AU$836,3,)=0,0,(VLOOKUP($D226,$C$5:$AU$836,29,)/VLOOKUP($D226,$C$5:$AU$836,3,))*$E226)</f>
        <v>0</v>
      </c>
      <c r="AF226" s="65">
        <f>IF(VLOOKUP($D226,$C$5:$AU$836,3,)=0,0,(VLOOKUP($D226,$C$5:$AU$836,30,)/VLOOKUP($D226,$C$5:$AU$836,3,))*$E226)</f>
        <v>0</v>
      </c>
      <c r="AG226" s="16">
        <f>SUM(F226:AF226)</f>
        <v>5320279.8959024306</v>
      </c>
      <c r="AH226" s="14" t="str">
        <f>IF(ABS(E226-AG226)&lt;0.01,"ok","err")</f>
        <v>ok</v>
      </c>
    </row>
    <row r="227" spans="1:34" x14ac:dyDescent="0.25">
      <c r="E227" s="31"/>
    </row>
    <row r="228" spans="1:34" x14ac:dyDescent="0.25">
      <c r="A228" s="8" t="s">
        <v>662</v>
      </c>
      <c r="E228" s="31"/>
    </row>
    <row r="229" spans="1:34" x14ac:dyDescent="0.25">
      <c r="A229" s="12" t="s">
        <v>223</v>
      </c>
      <c r="C229" s="2" t="s">
        <v>261</v>
      </c>
      <c r="D229" s="2" t="s">
        <v>236</v>
      </c>
      <c r="E229" s="65">
        <f>'Functional Assignment'!AN264</f>
        <v>223899.84705435007</v>
      </c>
      <c r="F229" s="65">
        <f>IF(VLOOKUP($D229,$C$5:$AU$836,3,)=0,0,(VLOOKUP($D229,$C$5:$AU$836,4,)/VLOOKUP($D229,$C$5:$AU$836,3,))*$E229)</f>
        <v>205325.05341301888</v>
      </c>
      <c r="G229" s="65">
        <f>IF(VLOOKUP($D229,$C$5:$AU$836,3,)=0,0,(VLOOKUP($D229,$C$5:$AU$836,5,)/VLOOKUP($D229,$C$5:$AU$836,3,))*$E229)</f>
        <v>14731.660956892103</v>
      </c>
      <c r="H229" s="65">
        <f>IF(VLOOKUP($D229,$C$5:$AU$836,3,)=0,0,(VLOOKUP($D229,$C$5:$AU$836,6,)/VLOOKUP($D229,$C$5:$AU$836,3,))*$E229)</f>
        <v>1398.0700688389747</v>
      </c>
      <c r="I229" s="65">
        <f>IF(VLOOKUP($D229,$C$5:$AU$836,3,)=0,0,(VLOOKUP($D229,$C$5:$AU$836,7,)/VLOOKUP($D229,$C$5:$AU$836,3,))*$E229)</f>
        <v>536.24605380125058</v>
      </c>
      <c r="J229" s="65">
        <f>IF(VLOOKUP($D229,$C$5:$AU$836,3,)=0,0,(VLOOKUP($D229,$C$5:$AU$836,8,)/VLOOKUP($D229,$C$5:$AU$836,3,))*$E229)</f>
        <v>52.869329248010622</v>
      </c>
      <c r="K229" s="65">
        <f>IF(VLOOKUP($D229,$C$5:$AU$836,3,)=0,0,(VLOOKUP($D229,$C$5:$AU$836,9,)/VLOOKUP($D229,$C$5:$AU$836,3,))*$E229)</f>
        <v>3.2368977090618749</v>
      </c>
      <c r="L229" s="65">
        <f>IF(VLOOKUP($D229,$C$5:$AU$836,3,)=0,0,(VLOOKUP($D229,$C$5:$AU$836,10,)/VLOOKUP($D229,$C$5:$AU$836,3,))*$E229)</f>
        <v>6.4737954181237498</v>
      </c>
      <c r="M229" s="65">
        <f>IF(VLOOKUP($D229,$C$5:$AU$836,3,)=0,0,(VLOOKUP($D229,$C$5:$AU$836,11,)/VLOOKUP($D229,$C$5:$AU$836,3,))*$E229)</f>
        <v>25.895181672494999</v>
      </c>
      <c r="N229" s="65">
        <f>IF(VLOOKUP($D229,$C$5:$AU$836,3,)=0,0,(VLOOKUP($D229,$C$5:$AU$836,12,)/VLOOKUP($D229,$C$5:$AU$836,3,))*$E229)</f>
        <v>1820.3413577511469</v>
      </c>
      <c r="O229" s="65">
        <f>IF(VLOOKUP($D229,$C$5:$AU$836,3,)=0,0,(VLOOKUP($D229,$C$5:$AU$836,13,)/VLOOKUP($D229,$C$5:$AU$836,3,))*$E229)</f>
        <v>0</v>
      </c>
      <c r="P229" s="65">
        <f>IF(VLOOKUP($D229,$C$5:$AU$836,3,)=0,0,(VLOOKUP($D229,$C$5:$AU$836,14,)/VLOOKUP($D229,$C$5:$AU$836,3,))*$E229)</f>
        <v>0</v>
      </c>
      <c r="Q229" s="65">
        <f>IF(VLOOKUP($D229,$C$5:$AU$836,3,)=0,0,(VLOOKUP($D229,$C$5:$AU$836,15,)/VLOOKUP($D229,$C$5:$AU$836,3,))*$E229)</f>
        <v>0</v>
      </c>
      <c r="R229" s="65">
        <f>IF(VLOOKUP($D229,$C$5:$AU$836,3,)=0,0,(VLOOKUP($D229,$C$5:$AU$836,16,)/VLOOKUP($D229,$C$5:$AU$836,3,))*$E229)</f>
        <v>0</v>
      </c>
      <c r="S229" s="65">
        <f>IF(VLOOKUP($D229,$C$5:$AU$836,3,)=0,0,(VLOOKUP($D229,$C$5:$AU$836,17,)/VLOOKUP($D229,$C$5:$AU$836,3,))*$E229)</f>
        <v>0</v>
      </c>
      <c r="T229" s="65">
        <f>IF(VLOOKUP($D229,$C$5:$AU$836,3,)=0,0,(VLOOKUP($D229,$C$5:$AU$836,18,)/VLOOKUP($D229,$C$5:$AU$836,3,))*$E229)</f>
        <v>0</v>
      </c>
      <c r="U229" s="65">
        <f>IF(VLOOKUP($D229,$C$5:$AU$836,3,)=0,0,(VLOOKUP($D229,$C$5:$AU$836,19,)/VLOOKUP($D229,$C$5:$AU$836,3,))*$E229)</f>
        <v>0</v>
      </c>
      <c r="V229" s="65">
        <f>IF(VLOOKUP($D229,$C$5:$AU$836,3,)=0,0,(VLOOKUP($D229,$C$5:$AU$836,20,)/VLOOKUP($D229,$C$5:$AU$836,3,))*$E229)</f>
        <v>0</v>
      </c>
      <c r="W229" s="65">
        <f>IF(VLOOKUP($D229,$C$5:$AU$836,3,)=0,0,(VLOOKUP($D229,$C$5:$AU$836,21,)/VLOOKUP($D229,$C$5:$AU$836,3,))*$E229)</f>
        <v>0</v>
      </c>
      <c r="X229" s="65">
        <f>IF(VLOOKUP($D229,$C$5:$AU$836,3,)=0,0,(VLOOKUP($D229,$C$5:$AU$836,22,)/VLOOKUP($D229,$C$5:$AU$836,3,))*$E229)</f>
        <v>0</v>
      </c>
      <c r="Y229" s="65">
        <f>IF(VLOOKUP($D229,$C$5:$AU$836,3,)=0,0,(VLOOKUP($D229,$C$5:$AU$836,23,)/VLOOKUP($D229,$C$5:$AU$836,3,))*$E229)</f>
        <v>0</v>
      </c>
      <c r="Z229" s="65">
        <f>IF(VLOOKUP($D229,$C$5:$AU$836,3,)=0,0,(VLOOKUP($D229,$C$5:$AU$836,24,)/VLOOKUP($D229,$C$5:$AU$836,3,))*$E229)</f>
        <v>0</v>
      </c>
      <c r="AA229" s="65">
        <f>IF(VLOOKUP($D229,$C$5:$AU$836,3,)=0,0,(VLOOKUP($D229,$C$5:$AU$836,25,)/VLOOKUP($D229,$C$5:$AU$836,3,))*$E229)</f>
        <v>0</v>
      </c>
      <c r="AB229" s="65">
        <f>IF(VLOOKUP($D229,$C$5:$AU$836,3,)=0,0,(VLOOKUP($D229,$C$5:$AU$836,26,)/VLOOKUP($D229,$C$5:$AU$836,3,))*$E229)</f>
        <v>0</v>
      </c>
      <c r="AC229" s="65">
        <f>IF(VLOOKUP($D229,$C$5:$AU$836,3,)=0,0,(VLOOKUP($D229,$C$5:$AU$836,27,)/VLOOKUP($D229,$C$5:$AU$836,3,))*$E229)</f>
        <v>0</v>
      </c>
      <c r="AD229" s="65">
        <f>IF(VLOOKUP($D229,$C$5:$AU$836,3,)=0,0,(VLOOKUP($D229,$C$5:$AU$836,28,)/VLOOKUP($D229,$C$5:$AU$836,3,))*$E229)</f>
        <v>0</v>
      </c>
      <c r="AE229" s="65">
        <f>IF(VLOOKUP($D229,$C$5:$AU$836,3,)=0,0,(VLOOKUP($D229,$C$5:$AU$836,29,)/VLOOKUP($D229,$C$5:$AU$836,3,))*$E229)</f>
        <v>0</v>
      </c>
      <c r="AF229" s="65">
        <f>IF(VLOOKUP($D229,$C$5:$AU$836,3,)=0,0,(VLOOKUP($D229,$C$5:$AU$836,30,)/VLOOKUP($D229,$C$5:$AU$836,3,))*$E229)</f>
        <v>0</v>
      </c>
      <c r="AG229" s="16">
        <f>SUM(F229:AF229)</f>
        <v>223899.84705435002</v>
      </c>
      <c r="AH229" s="14" t="str">
        <f>IF(ABS(E229-AG229)&lt;0.01,"ok","err")</f>
        <v>ok</v>
      </c>
    </row>
    <row r="230" spans="1:34" x14ac:dyDescent="0.25">
      <c r="E230" s="31"/>
    </row>
    <row r="231" spans="1:34" x14ac:dyDescent="0.25">
      <c r="A231" s="2" t="s">
        <v>1</v>
      </c>
      <c r="C231" s="2" t="s">
        <v>265</v>
      </c>
      <c r="E231" s="65">
        <f>E188+E191+E194+E197+E202+E207+E212+E217+E220+E223+E226+E229</f>
        <v>95613399.370000005</v>
      </c>
      <c r="F231" s="65">
        <f t="shared" ref="F231:AF231" si="132">F188+F191+F194+F197+F202+F207+F212+F217+F220+F223+F226+F229</f>
        <v>65671756.901883438</v>
      </c>
      <c r="G231" s="65">
        <f t="shared" si="132"/>
        <v>5640934.4421680849</v>
      </c>
      <c r="H231" s="65">
        <f t="shared" si="132"/>
        <v>12140688.644745143</v>
      </c>
      <c r="I231" s="65">
        <f t="shared" si="132"/>
        <v>1008280.9538661551</v>
      </c>
      <c r="J231" s="65">
        <f t="shared" si="132"/>
        <v>784856.43493063236</v>
      </c>
      <c r="K231" s="65">
        <f t="shared" si="132"/>
        <v>610997.02753062057</v>
      </c>
      <c r="L231" s="65">
        <f t="shared" si="132"/>
        <v>4326273.4099039435</v>
      </c>
      <c r="M231" s="65">
        <f t="shared" si="132"/>
        <v>3838419.1259426433</v>
      </c>
      <c r="N231" s="65">
        <f t="shared" si="132"/>
        <v>1591192.4290293374</v>
      </c>
      <c r="O231" s="65">
        <f t="shared" si="132"/>
        <v>0</v>
      </c>
      <c r="P231" s="65">
        <f t="shared" si="132"/>
        <v>0</v>
      </c>
      <c r="Q231" s="65">
        <f t="shared" si="132"/>
        <v>0</v>
      </c>
      <c r="R231" s="65">
        <f t="shared" si="132"/>
        <v>0</v>
      </c>
      <c r="S231" s="65">
        <f t="shared" si="132"/>
        <v>0</v>
      </c>
      <c r="T231" s="65">
        <f t="shared" si="132"/>
        <v>0</v>
      </c>
      <c r="U231" s="65">
        <f t="shared" si="132"/>
        <v>0</v>
      </c>
      <c r="V231" s="65">
        <f t="shared" si="132"/>
        <v>0</v>
      </c>
      <c r="W231" s="65">
        <f t="shared" si="132"/>
        <v>0</v>
      </c>
      <c r="X231" s="65">
        <f t="shared" si="132"/>
        <v>0</v>
      </c>
      <c r="Y231" s="65">
        <f t="shared" si="132"/>
        <v>0</v>
      </c>
      <c r="Z231" s="65">
        <f t="shared" si="132"/>
        <v>0</v>
      </c>
      <c r="AA231" s="65">
        <f t="shared" si="132"/>
        <v>0</v>
      </c>
      <c r="AB231" s="65">
        <f t="shared" si="132"/>
        <v>0</v>
      </c>
      <c r="AC231" s="65">
        <f t="shared" si="132"/>
        <v>0</v>
      </c>
      <c r="AD231" s="65">
        <f t="shared" si="132"/>
        <v>0</v>
      </c>
      <c r="AE231" s="65">
        <f t="shared" si="132"/>
        <v>0</v>
      </c>
      <c r="AF231" s="65">
        <f t="shared" si="132"/>
        <v>0</v>
      </c>
      <c r="AG231" s="16">
        <f>SUM(F231:AF231)</f>
        <v>95613399.370000005</v>
      </c>
      <c r="AH231" s="14" t="str">
        <f>IF(ABS(E231-AG231)&lt;0.01,"ok","err")</f>
        <v>ok</v>
      </c>
    </row>
    <row r="234" spans="1:34" x14ac:dyDescent="0.25">
      <c r="A234" s="6" t="s">
        <v>188</v>
      </c>
    </row>
    <row r="236" spans="1:34" x14ac:dyDescent="0.25">
      <c r="A236" s="8" t="s">
        <v>2</v>
      </c>
    </row>
    <row r="237" spans="1:34" x14ac:dyDescent="0.25">
      <c r="A237" s="118" t="s">
        <v>214</v>
      </c>
      <c r="C237" s="2" t="s">
        <v>888</v>
      </c>
      <c r="D237" s="9" t="s">
        <v>1072</v>
      </c>
      <c r="E237" s="65">
        <f>'Functional Assignment'!H407</f>
        <v>0</v>
      </c>
      <c r="F237" s="65">
        <f t="shared" ref="F237:F243" si="133">IF(VLOOKUP($D237,$C$5:$AU$836,3,)=0,0,(VLOOKUP($D237,$C$5:$AU$836,4,)/VLOOKUP($D237,$C$5:$AU$836,3,))*$E237)</f>
        <v>0</v>
      </c>
      <c r="G237" s="65">
        <f t="shared" ref="G237:G243" si="134">IF(VLOOKUP($D237,$C$5:$AU$836,3,)=0,0,(VLOOKUP($D237,$C$5:$AU$836,5,)/VLOOKUP($D237,$C$5:$AU$836,3,))*$E237)</f>
        <v>0</v>
      </c>
      <c r="H237" s="65">
        <f t="shared" ref="H237:H243" si="135">IF(VLOOKUP($D237,$C$5:$AU$836,3,)=0,0,(VLOOKUP($D237,$C$5:$AU$836,6,)/VLOOKUP($D237,$C$5:$AU$836,3,))*$E237)</f>
        <v>0</v>
      </c>
      <c r="I237" s="65">
        <f t="shared" ref="I237:I243" si="136">IF(VLOOKUP($D237,$C$5:$AU$836,3,)=0,0,(VLOOKUP($D237,$C$5:$AU$836,7,)/VLOOKUP($D237,$C$5:$AU$836,3,))*$E237)</f>
        <v>0</v>
      </c>
      <c r="J237" s="65">
        <f t="shared" ref="J237:J243" si="137">IF(VLOOKUP($D237,$C$5:$AU$836,3,)=0,0,(VLOOKUP($D237,$C$5:$AU$836,8,)/VLOOKUP($D237,$C$5:$AU$836,3,))*$E237)</f>
        <v>0</v>
      </c>
      <c r="K237" s="65">
        <f t="shared" ref="K237:K243" si="138">IF(VLOOKUP($D237,$C$5:$AU$836,3,)=0,0,(VLOOKUP($D237,$C$5:$AU$836,9,)/VLOOKUP($D237,$C$5:$AU$836,3,))*$E237)</f>
        <v>0</v>
      </c>
      <c r="L237" s="65">
        <f t="shared" ref="L237:L243" si="139">IF(VLOOKUP($D237,$C$5:$AU$836,3,)=0,0,(VLOOKUP($D237,$C$5:$AU$836,10,)/VLOOKUP($D237,$C$5:$AU$836,3,))*$E237)</f>
        <v>0</v>
      </c>
      <c r="M237" s="65">
        <f t="shared" ref="M237:M243" si="140">IF(VLOOKUP($D237,$C$5:$AU$836,3,)=0,0,(VLOOKUP($D237,$C$5:$AU$836,11,)/VLOOKUP($D237,$C$5:$AU$836,3,))*$E237)</f>
        <v>0</v>
      </c>
      <c r="N237" s="65">
        <f t="shared" ref="N237:N243" si="141">IF(VLOOKUP($D237,$C$5:$AU$836,3,)=0,0,(VLOOKUP($D237,$C$5:$AU$836,12,)/VLOOKUP($D237,$C$5:$AU$836,3,))*$E237)</f>
        <v>0</v>
      </c>
      <c r="O237" s="65">
        <f t="shared" ref="O237:O243" si="142">IF(VLOOKUP($D237,$C$5:$AU$836,3,)=0,0,(VLOOKUP($D237,$C$5:$AU$836,13,)/VLOOKUP($D237,$C$5:$AU$836,3,))*$E237)</f>
        <v>0</v>
      </c>
      <c r="P237" s="65">
        <f t="shared" ref="P237:P243" si="143">IF(VLOOKUP($D237,$C$5:$AU$836,3,)=0,0,(VLOOKUP($D237,$C$5:$AU$836,14,)/VLOOKUP($D237,$C$5:$AU$836,3,))*$E237)</f>
        <v>0</v>
      </c>
      <c r="Q237" s="65">
        <f t="shared" ref="Q237:Q243" si="144">IF(VLOOKUP($D237,$C$5:$AU$836,3,)=0,0,(VLOOKUP($D237,$C$5:$AU$836,15,)/VLOOKUP($D237,$C$5:$AU$836,3,))*$E237)</f>
        <v>0</v>
      </c>
      <c r="R237" s="65">
        <f t="shared" ref="R237:R243" si="145">IF(VLOOKUP($D237,$C$5:$AU$836,3,)=0,0,(VLOOKUP($D237,$C$5:$AU$836,16,)/VLOOKUP($D237,$C$5:$AU$836,3,))*$E237)</f>
        <v>0</v>
      </c>
      <c r="S237" s="65">
        <f t="shared" ref="S237:S243" si="146">IF(VLOOKUP($D237,$C$5:$AU$836,3,)=0,0,(VLOOKUP($D237,$C$5:$AU$836,17,)/VLOOKUP($D237,$C$5:$AU$836,3,))*$E237)</f>
        <v>0</v>
      </c>
      <c r="T237" s="65">
        <f t="shared" ref="T237:T243" si="147">IF(VLOOKUP($D237,$C$5:$AU$836,3,)=0,0,(VLOOKUP($D237,$C$5:$AU$836,18,)/VLOOKUP($D237,$C$5:$AU$836,3,))*$E237)</f>
        <v>0</v>
      </c>
      <c r="U237" s="65">
        <f t="shared" ref="U237:U243" si="148">IF(VLOOKUP($D237,$C$5:$AU$836,3,)=0,0,(VLOOKUP($D237,$C$5:$AU$836,19,)/VLOOKUP($D237,$C$5:$AU$836,3,))*$E237)</f>
        <v>0</v>
      </c>
      <c r="V237" s="65">
        <f t="shared" ref="V237:V243" si="149">IF(VLOOKUP($D237,$C$5:$AU$836,3,)=0,0,(VLOOKUP($D237,$C$5:$AU$836,20,)/VLOOKUP($D237,$C$5:$AU$836,3,))*$E237)</f>
        <v>0</v>
      </c>
      <c r="W237" s="65">
        <f t="shared" ref="W237:W243" si="150">IF(VLOOKUP($D237,$C$5:$AU$836,3,)=0,0,(VLOOKUP($D237,$C$5:$AU$836,21,)/VLOOKUP($D237,$C$5:$AU$836,3,))*$E237)</f>
        <v>0</v>
      </c>
      <c r="X237" s="65">
        <f t="shared" ref="X237:X243" si="151">IF(VLOOKUP($D237,$C$5:$AU$836,3,)=0,0,(VLOOKUP($D237,$C$5:$AU$836,22,)/VLOOKUP($D237,$C$5:$AU$836,3,))*$E237)</f>
        <v>0</v>
      </c>
      <c r="Y237" s="65">
        <f t="shared" ref="Y237:Y243" si="152">IF(VLOOKUP($D237,$C$5:$AU$836,3,)=0,0,(VLOOKUP($D237,$C$5:$AU$836,23,)/VLOOKUP($D237,$C$5:$AU$836,3,))*$E237)</f>
        <v>0</v>
      </c>
      <c r="Z237" s="65">
        <f t="shared" ref="Z237:Z243" si="153">IF(VLOOKUP($D237,$C$5:$AU$836,3,)=0,0,(VLOOKUP($D237,$C$5:$AU$836,24,)/VLOOKUP($D237,$C$5:$AU$836,3,))*$E237)</f>
        <v>0</v>
      </c>
      <c r="AA237" s="65">
        <f t="shared" ref="AA237:AA243" si="154">IF(VLOOKUP($D237,$C$5:$AU$836,3,)=0,0,(VLOOKUP($D237,$C$5:$AU$836,25,)/VLOOKUP($D237,$C$5:$AU$836,3,))*$E237)</f>
        <v>0</v>
      </c>
      <c r="AB237" s="65">
        <f t="shared" ref="AB237:AB243" si="155">IF(VLOOKUP($D237,$C$5:$AU$836,3,)=0,0,(VLOOKUP($D237,$C$5:$AU$836,26,)/VLOOKUP($D237,$C$5:$AU$836,3,))*$E237)</f>
        <v>0</v>
      </c>
      <c r="AC237" s="65">
        <f t="shared" ref="AC237:AC243" si="156">IF(VLOOKUP($D237,$C$5:$AU$836,3,)=0,0,(VLOOKUP($D237,$C$5:$AU$836,27,)/VLOOKUP($D237,$C$5:$AU$836,3,))*$E237)</f>
        <v>0</v>
      </c>
      <c r="AD237" s="65">
        <f t="shared" ref="AD237:AD243" si="157">IF(VLOOKUP($D237,$C$5:$AU$836,3,)=0,0,(VLOOKUP($D237,$C$5:$AU$836,28,)/VLOOKUP($D237,$C$5:$AU$836,3,))*$E237)</f>
        <v>0</v>
      </c>
      <c r="AE237" s="65">
        <f t="shared" ref="AE237:AE243" si="158">IF(VLOOKUP($D237,$C$5:$AU$836,3,)=0,0,(VLOOKUP($D237,$C$5:$AU$836,29,)/VLOOKUP($D237,$C$5:$AU$836,3,))*$E237)</f>
        <v>0</v>
      </c>
      <c r="AF237" s="65">
        <f t="shared" ref="AF237:AF243" si="159">IF(VLOOKUP($D237,$C$5:$AU$836,3,)=0,0,(VLOOKUP($D237,$C$5:$AU$836,30,)/VLOOKUP($D237,$C$5:$AU$836,3,))*$E237)</f>
        <v>0</v>
      </c>
      <c r="AG237" s="16">
        <f t="shared" ref="AG237:AG245" si="160">SUM(F237:AF237)</f>
        <v>0</v>
      </c>
      <c r="AH237" s="14" t="str">
        <f t="shared" ref="AH237:AH243" si="161">IF(ABS(E237-AG237)&lt;0.01,"ok","err")</f>
        <v>ok</v>
      </c>
    </row>
    <row r="238" spans="1:34" x14ac:dyDescent="0.25">
      <c r="A238" s="118" t="s">
        <v>1069</v>
      </c>
      <c r="C238" s="2" t="s">
        <v>710</v>
      </c>
      <c r="D238" s="2" t="s">
        <v>839</v>
      </c>
      <c r="E238" s="65">
        <f>'Functional Assignment'!I407</f>
        <v>0</v>
      </c>
      <c r="F238" s="65">
        <f t="shared" si="133"/>
        <v>0</v>
      </c>
      <c r="G238" s="65">
        <f t="shared" si="134"/>
        <v>0</v>
      </c>
      <c r="H238" s="65">
        <f t="shared" si="135"/>
        <v>0</v>
      </c>
      <c r="I238" s="65">
        <f t="shared" si="136"/>
        <v>0</v>
      </c>
      <c r="J238" s="65">
        <f t="shared" si="137"/>
        <v>0</v>
      </c>
      <c r="K238" s="65">
        <f t="shared" si="138"/>
        <v>0</v>
      </c>
      <c r="L238" s="65">
        <f t="shared" si="139"/>
        <v>0</v>
      </c>
      <c r="M238" s="65">
        <f t="shared" si="140"/>
        <v>0</v>
      </c>
      <c r="N238" s="65">
        <f t="shared" si="141"/>
        <v>0</v>
      </c>
      <c r="O238" s="65">
        <f t="shared" si="142"/>
        <v>0</v>
      </c>
      <c r="P238" s="65">
        <f t="shared" si="143"/>
        <v>0</v>
      </c>
      <c r="Q238" s="65">
        <f t="shared" si="144"/>
        <v>0</v>
      </c>
      <c r="R238" s="65">
        <f t="shared" si="145"/>
        <v>0</v>
      </c>
      <c r="S238" s="65">
        <f t="shared" si="146"/>
        <v>0</v>
      </c>
      <c r="T238" s="65">
        <f t="shared" si="147"/>
        <v>0</v>
      </c>
      <c r="U238" s="65">
        <f t="shared" si="148"/>
        <v>0</v>
      </c>
      <c r="V238" s="65">
        <f t="shared" si="149"/>
        <v>0</v>
      </c>
      <c r="W238" s="65">
        <f t="shared" si="150"/>
        <v>0</v>
      </c>
      <c r="X238" s="65">
        <f t="shared" si="151"/>
        <v>0</v>
      </c>
      <c r="Y238" s="65">
        <f t="shared" si="152"/>
        <v>0</v>
      </c>
      <c r="Z238" s="65">
        <f t="shared" si="153"/>
        <v>0</v>
      </c>
      <c r="AA238" s="65">
        <f t="shared" si="154"/>
        <v>0</v>
      </c>
      <c r="AB238" s="65">
        <f t="shared" si="155"/>
        <v>0</v>
      </c>
      <c r="AC238" s="65">
        <f t="shared" si="156"/>
        <v>0</v>
      </c>
      <c r="AD238" s="65">
        <f t="shared" si="157"/>
        <v>0</v>
      </c>
      <c r="AE238" s="65">
        <f t="shared" si="158"/>
        <v>0</v>
      </c>
      <c r="AF238" s="65">
        <f t="shared" si="159"/>
        <v>0</v>
      </c>
      <c r="AG238" s="16">
        <f t="shared" si="160"/>
        <v>0</v>
      </c>
      <c r="AH238" s="14" t="str">
        <f t="shared" si="161"/>
        <v>ok</v>
      </c>
    </row>
    <row r="239" spans="1:34" ht="15" customHeight="1" x14ac:dyDescent="0.25">
      <c r="A239" s="118" t="s">
        <v>1070</v>
      </c>
      <c r="C239" s="2" t="s">
        <v>889</v>
      </c>
      <c r="D239" s="9" t="s">
        <v>1073</v>
      </c>
      <c r="E239" s="65">
        <f>'Functional Assignment'!M407</f>
        <v>0</v>
      </c>
      <c r="F239" s="65">
        <f t="shared" si="133"/>
        <v>0</v>
      </c>
      <c r="G239" s="65">
        <f t="shared" si="134"/>
        <v>0</v>
      </c>
      <c r="H239" s="65">
        <f t="shared" si="135"/>
        <v>0</v>
      </c>
      <c r="I239" s="65">
        <f t="shared" si="136"/>
        <v>0</v>
      </c>
      <c r="J239" s="65">
        <f t="shared" si="137"/>
        <v>0</v>
      </c>
      <c r="K239" s="65">
        <f t="shared" si="138"/>
        <v>0</v>
      </c>
      <c r="L239" s="65">
        <f t="shared" si="139"/>
        <v>0</v>
      </c>
      <c r="M239" s="65">
        <f t="shared" si="140"/>
        <v>0</v>
      </c>
      <c r="N239" s="65">
        <f t="shared" si="141"/>
        <v>0</v>
      </c>
      <c r="O239" s="65">
        <f t="shared" si="142"/>
        <v>0</v>
      </c>
      <c r="P239" s="65">
        <f t="shared" si="143"/>
        <v>0</v>
      </c>
      <c r="Q239" s="65">
        <f t="shared" si="144"/>
        <v>0</v>
      </c>
      <c r="R239" s="65">
        <f t="shared" si="145"/>
        <v>0</v>
      </c>
      <c r="S239" s="65">
        <f t="shared" si="146"/>
        <v>0</v>
      </c>
      <c r="T239" s="65">
        <f t="shared" si="147"/>
        <v>0</v>
      </c>
      <c r="U239" s="65">
        <f t="shared" si="148"/>
        <v>0</v>
      </c>
      <c r="V239" s="65">
        <f t="shared" si="149"/>
        <v>0</v>
      </c>
      <c r="W239" s="65">
        <f t="shared" si="150"/>
        <v>0</v>
      </c>
      <c r="X239" s="65">
        <f t="shared" si="151"/>
        <v>0</v>
      </c>
      <c r="Y239" s="65">
        <f t="shared" si="152"/>
        <v>0</v>
      </c>
      <c r="Z239" s="65">
        <f t="shared" si="153"/>
        <v>0</v>
      </c>
      <c r="AA239" s="65">
        <f t="shared" si="154"/>
        <v>0</v>
      </c>
      <c r="AB239" s="65">
        <f t="shared" si="155"/>
        <v>0</v>
      </c>
      <c r="AC239" s="65">
        <f t="shared" si="156"/>
        <v>0</v>
      </c>
      <c r="AD239" s="65">
        <f t="shared" si="157"/>
        <v>0</v>
      </c>
      <c r="AE239" s="65">
        <f t="shared" si="158"/>
        <v>0</v>
      </c>
      <c r="AF239" s="65">
        <f t="shared" si="159"/>
        <v>0</v>
      </c>
      <c r="AG239" s="16">
        <f t="shared" si="160"/>
        <v>0</v>
      </c>
      <c r="AH239" s="14" t="str">
        <f t="shared" si="161"/>
        <v>ok</v>
      </c>
    </row>
    <row r="240" spans="1:34" x14ac:dyDescent="0.25">
      <c r="A240" s="118" t="s">
        <v>1071</v>
      </c>
      <c r="C240" s="2" t="s">
        <v>890</v>
      </c>
      <c r="D240" s="9" t="s">
        <v>1074</v>
      </c>
      <c r="E240" s="65">
        <f>'Functional Assignment'!M407</f>
        <v>0</v>
      </c>
      <c r="F240" s="65">
        <f t="shared" si="133"/>
        <v>0</v>
      </c>
      <c r="G240" s="65">
        <f t="shared" si="134"/>
        <v>0</v>
      </c>
      <c r="H240" s="65">
        <f t="shared" si="135"/>
        <v>0</v>
      </c>
      <c r="I240" s="65">
        <f t="shared" si="136"/>
        <v>0</v>
      </c>
      <c r="J240" s="65">
        <f t="shared" si="137"/>
        <v>0</v>
      </c>
      <c r="K240" s="65">
        <f t="shared" si="138"/>
        <v>0</v>
      </c>
      <c r="L240" s="65">
        <f t="shared" si="139"/>
        <v>0</v>
      </c>
      <c r="M240" s="65">
        <f t="shared" si="140"/>
        <v>0</v>
      </c>
      <c r="N240" s="65">
        <f t="shared" si="141"/>
        <v>0</v>
      </c>
      <c r="O240" s="65">
        <f t="shared" si="142"/>
        <v>0</v>
      </c>
      <c r="P240" s="65">
        <f t="shared" si="143"/>
        <v>0</v>
      </c>
      <c r="Q240" s="65">
        <f t="shared" si="144"/>
        <v>0</v>
      </c>
      <c r="R240" s="65">
        <f t="shared" si="145"/>
        <v>0</v>
      </c>
      <c r="S240" s="65">
        <f t="shared" si="146"/>
        <v>0</v>
      </c>
      <c r="T240" s="65">
        <f t="shared" si="147"/>
        <v>0</v>
      </c>
      <c r="U240" s="65">
        <f t="shared" si="148"/>
        <v>0</v>
      </c>
      <c r="V240" s="65">
        <f t="shared" si="149"/>
        <v>0</v>
      </c>
      <c r="W240" s="65">
        <f t="shared" si="150"/>
        <v>0</v>
      </c>
      <c r="X240" s="65">
        <f t="shared" si="151"/>
        <v>0</v>
      </c>
      <c r="Y240" s="65">
        <f t="shared" si="152"/>
        <v>0</v>
      </c>
      <c r="Z240" s="65">
        <f t="shared" si="153"/>
        <v>0</v>
      </c>
      <c r="AA240" s="65">
        <f t="shared" si="154"/>
        <v>0</v>
      </c>
      <c r="AB240" s="65">
        <f t="shared" si="155"/>
        <v>0</v>
      </c>
      <c r="AC240" s="65">
        <f t="shared" si="156"/>
        <v>0</v>
      </c>
      <c r="AD240" s="65">
        <f t="shared" si="157"/>
        <v>0</v>
      </c>
      <c r="AE240" s="65">
        <f t="shared" si="158"/>
        <v>0</v>
      </c>
      <c r="AF240" s="65">
        <f t="shared" si="159"/>
        <v>0</v>
      </c>
      <c r="AG240" s="16">
        <f>SUM(F240:AF240)</f>
        <v>0</v>
      </c>
      <c r="AH240" s="14" t="str">
        <f t="shared" si="161"/>
        <v>ok</v>
      </c>
    </row>
    <row r="241" spans="1:34" ht="15" customHeight="1" x14ac:dyDescent="0.25">
      <c r="A241" s="118" t="s">
        <v>1063</v>
      </c>
      <c r="C241" s="2" t="s">
        <v>266</v>
      </c>
      <c r="D241" s="2" t="s">
        <v>918</v>
      </c>
      <c r="E241" s="65">
        <f>'Functional Assignment'!M407</f>
        <v>0</v>
      </c>
      <c r="F241" s="65">
        <f t="shared" si="133"/>
        <v>0</v>
      </c>
      <c r="G241" s="65">
        <f t="shared" si="134"/>
        <v>0</v>
      </c>
      <c r="H241" s="65">
        <f t="shared" si="135"/>
        <v>0</v>
      </c>
      <c r="I241" s="65">
        <f t="shared" si="136"/>
        <v>0</v>
      </c>
      <c r="J241" s="65">
        <f t="shared" si="137"/>
        <v>0</v>
      </c>
      <c r="K241" s="65">
        <f t="shared" si="138"/>
        <v>0</v>
      </c>
      <c r="L241" s="65">
        <f t="shared" si="139"/>
        <v>0</v>
      </c>
      <c r="M241" s="65">
        <f t="shared" si="140"/>
        <v>0</v>
      </c>
      <c r="N241" s="65">
        <f t="shared" si="141"/>
        <v>0</v>
      </c>
      <c r="O241" s="65">
        <f t="shared" si="142"/>
        <v>0</v>
      </c>
      <c r="P241" s="65">
        <f t="shared" si="143"/>
        <v>0</v>
      </c>
      <c r="Q241" s="65">
        <f t="shared" si="144"/>
        <v>0</v>
      </c>
      <c r="R241" s="65">
        <f t="shared" si="145"/>
        <v>0</v>
      </c>
      <c r="S241" s="65">
        <f t="shared" si="146"/>
        <v>0</v>
      </c>
      <c r="T241" s="65">
        <f t="shared" si="147"/>
        <v>0</v>
      </c>
      <c r="U241" s="65">
        <f t="shared" si="148"/>
        <v>0</v>
      </c>
      <c r="V241" s="65">
        <f t="shared" si="149"/>
        <v>0</v>
      </c>
      <c r="W241" s="65">
        <f t="shared" si="150"/>
        <v>0</v>
      </c>
      <c r="X241" s="65">
        <f t="shared" si="151"/>
        <v>0</v>
      </c>
      <c r="Y241" s="65">
        <f t="shared" si="152"/>
        <v>0</v>
      </c>
      <c r="Z241" s="65">
        <f t="shared" si="153"/>
        <v>0</v>
      </c>
      <c r="AA241" s="65">
        <f t="shared" si="154"/>
        <v>0</v>
      </c>
      <c r="AB241" s="65">
        <f t="shared" si="155"/>
        <v>0</v>
      </c>
      <c r="AC241" s="65">
        <f t="shared" si="156"/>
        <v>0</v>
      </c>
      <c r="AD241" s="65">
        <f t="shared" si="157"/>
        <v>0</v>
      </c>
      <c r="AE241" s="65">
        <f t="shared" si="158"/>
        <v>0</v>
      </c>
      <c r="AF241" s="65">
        <f t="shared" si="159"/>
        <v>0</v>
      </c>
      <c r="AG241" s="16">
        <f>SUM(F241:AF241)</f>
        <v>0</v>
      </c>
      <c r="AH241" s="14" t="str">
        <f t="shared" si="161"/>
        <v>ok</v>
      </c>
    </row>
    <row r="242" spans="1:34" ht="15" customHeight="1" x14ac:dyDescent="0.25">
      <c r="A242" s="118" t="s">
        <v>1064</v>
      </c>
      <c r="C242" s="2" t="s">
        <v>891</v>
      </c>
      <c r="D242" s="2" t="s">
        <v>928</v>
      </c>
      <c r="E242" s="65">
        <f>'Functional Assignment'!M407</f>
        <v>0</v>
      </c>
      <c r="F242" s="65">
        <f t="shared" si="133"/>
        <v>0</v>
      </c>
      <c r="G242" s="65">
        <f t="shared" si="134"/>
        <v>0</v>
      </c>
      <c r="H242" s="65">
        <f t="shared" si="135"/>
        <v>0</v>
      </c>
      <c r="I242" s="65">
        <f t="shared" si="136"/>
        <v>0</v>
      </c>
      <c r="J242" s="65">
        <f t="shared" si="137"/>
        <v>0</v>
      </c>
      <c r="K242" s="65">
        <f t="shared" si="138"/>
        <v>0</v>
      </c>
      <c r="L242" s="65">
        <f t="shared" si="139"/>
        <v>0</v>
      </c>
      <c r="M242" s="65">
        <f t="shared" si="140"/>
        <v>0</v>
      </c>
      <c r="N242" s="65">
        <f t="shared" si="141"/>
        <v>0</v>
      </c>
      <c r="O242" s="65">
        <f t="shared" si="142"/>
        <v>0</v>
      </c>
      <c r="P242" s="65">
        <f t="shared" si="143"/>
        <v>0</v>
      </c>
      <c r="Q242" s="65">
        <f t="shared" si="144"/>
        <v>0</v>
      </c>
      <c r="R242" s="65">
        <f t="shared" si="145"/>
        <v>0</v>
      </c>
      <c r="S242" s="65">
        <f t="shared" si="146"/>
        <v>0</v>
      </c>
      <c r="T242" s="65">
        <f t="shared" si="147"/>
        <v>0</v>
      </c>
      <c r="U242" s="65">
        <f t="shared" si="148"/>
        <v>0</v>
      </c>
      <c r="V242" s="65">
        <f t="shared" si="149"/>
        <v>0</v>
      </c>
      <c r="W242" s="65">
        <f t="shared" si="150"/>
        <v>0</v>
      </c>
      <c r="X242" s="65">
        <f t="shared" si="151"/>
        <v>0</v>
      </c>
      <c r="Y242" s="65">
        <f t="shared" si="152"/>
        <v>0</v>
      </c>
      <c r="Z242" s="65">
        <f t="shared" si="153"/>
        <v>0</v>
      </c>
      <c r="AA242" s="65">
        <f t="shared" si="154"/>
        <v>0</v>
      </c>
      <c r="AB242" s="65">
        <f t="shared" si="155"/>
        <v>0</v>
      </c>
      <c r="AC242" s="65">
        <f t="shared" si="156"/>
        <v>0</v>
      </c>
      <c r="AD242" s="65">
        <f t="shared" si="157"/>
        <v>0</v>
      </c>
      <c r="AE242" s="65">
        <f t="shared" si="158"/>
        <v>0</v>
      </c>
      <c r="AF242" s="65">
        <f t="shared" si="159"/>
        <v>0</v>
      </c>
      <c r="AG242" s="16">
        <f>SUM(F242:AF242)</f>
        <v>0</v>
      </c>
      <c r="AH242" s="14" t="str">
        <f t="shared" si="161"/>
        <v>ok</v>
      </c>
    </row>
    <row r="243" spans="1:34" ht="15" customHeight="1" x14ac:dyDescent="0.25">
      <c r="A243" s="118" t="s">
        <v>790</v>
      </c>
      <c r="C243" s="2" t="s">
        <v>892</v>
      </c>
      <c r="D243" s="2" t="s">
        <v>928</v>
      </c>
      <c r="E243" s="65">
        <f>'Functional Assignment'!M407</f>
        <v>0</v>
      </c>
      <c r="F243" s="65">
        <f t="shared" si="133"/>
        <v>0</v>
      </c>
      <c r="G243" s="65">
        <f t="shared" si="134"/>
        <v>0</v>
      </c>
      <c r="H243" s="65">
        <f t="shared" si="135"/>
        <v>0</v>
      </c>
      <c r="I243" s="65">
        <f t="shared" si="136"/>
        <v>0</v>
      </c>
      <c r="J243" s="65">
        <f t="shared" si="137"/>
        <v>0</v>
      </c>
      <c r="K243" s="65">
        <f t="shared" si="138"/>
        <v>0</v>
      </c>
      <c r="L243" s="65">
        <f t="shared" si="139"/>
        <v>0</v>
      </c>
      <c r="M243" s="65">
        <f t="shared" si="140"/>
        <v>0</v>
      </c>
      <c r="N243" s="65">
        <f t="shared" si="141"/>
        <v>0</v>
      </c>
      <c r="O243" s="65">
        <f t="shared" si="142"/>
        <v>0</v>
      </c>
      <c r="P243" s="65">
        <f t="shared" si="143"/>
        <v>0</v>
      </c>
      <c r="Q243" s="65">
        <f t="shared" si="144"/>
        <v>0</v>
      </c>
      <c r="R243" s="65">
        <f t="shared" si="145"/>
        <v>0</v>
      </c>
      <c r="S243" s="65">
        <f t="shared" si="146"/>
        <v>0</v>
      </c>
      <c r="T243" s="65">
        <f t="shared" si="147"/>
        <v>0</v>
      </c>
      <c r="U243" s="65">
        <f t="shared" si="148"/>
        <v>0</v>
      </c>
      <c r="V243" s="65">
        <f t="shared" si="149"/>
        <v>0</v>
      </c>
      <c r="W243" s="65">
        <f t="shared" si="150"/>
        <v>0</v>
      </c>
      <c r="X243" s="65">
        <f t="shared" si="151"/>
        <v>0</v>
      </c>
      <c r="Y243" s="65">
        <f t="shared" si="152"/>
        <v>0</v>
      </c>
      <c r="Z243" s="65">
        <f t="shared" si="153"/>
        <v>0</v>
      </c>
      <c r="AA243" s="65">
        <f t="shared" si="154"/>
        <v>0</v>
      </c>
      <c r="AB243" s="65">
        <f t="shared" si="155"/>
        <v>0</v>
      </c>
      <c r="AC243" s="65">
        <f t="shared" si="156"/>
        <v>0</v>
      </c>
      <c r="AD243" s="65">
        <f t="shared" si="157"/>
        <v>0</v>
      </c>
      <c r="AE243" s="65">
        <f t="shared" si="158"/>
        <v>0</v>
      </c>
      <c r="AF243" s="65">
        <f t="shared" si="159"/>
        <v>0</v>
      </c>
      <c r="AG243" s="16">
        <f>SUM(F243:AF243)</f>
        <v>0</v>
      </c>
      <c r="AH243" s="14" t="str">
        <f t="shared" si="161"/>
        <v>ok</v>
      </c>
    </row>
    <row r="244" spans="1:34" x14ac:dyDescent="0.25">
      <c r="A244" s="12"/>
      <c r="E244" s="31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16"/>
      <c r="AH244" s="14"/>
    </row>
    <row r="245" spans="1:34" x14ac:dyDescent="0.25">
      <c r="A245" s="2" t="s">
        <v>218</v>
      </c>
      <c r="C245" s="2" t="s">
        <v>267</v>
      </c>
      <c r="E245" s="31">
        <f>SUM(E237:E244)</f>
        <v>0</v>
      </c>
      <c r="F245" s="31">
        <f t="shared" ref="F245:AF245" si="162">SUM(F237:F244)</f>
        <v>0</v>
      </c>
      <c r="G245" s="31">
        <f t="shared" si="162"/>
        <v>0</v>
      </c>
      <c r="H245" s="31">
        <f t="shared" si="162"/>
        <v>0</v>
      </c>
      <c r="I245" s="31">
        <f t="shared" si="162"/>
        <v>0</v>
      </c>
      <c r="J245" s="31">
        <f t="shared" si="162"/>
        <v>0</v>
      </c>
      <c r="K245" s="31">
        <f t="shared" si="162"/>
        <v>0</v>
      </c>
      <c r="L245" s="31">
        <f t="shared" si="162"/>
        <v>0</v>
      </c>
      <c r="M245" s="65">
        <f>SUM(M237:M244)</f>
        <v>0</v>
      </c>
      <c r="N245" s="65">
        <f>SUM(N237:N244)</f>
        <v>0</v>
      </c>
      <c r="O245" s="31">
        <f t="shared" si="162"/>
        <v>0</v>
      </c>
      <c r="P245" s="31">
        <f t="shared" si="162"/>
        <v>0</v>
      </c>
      <c r="Q245" s="31">
        <f t="shared" si="162"/>
        <v>0</v>
      </c>
      <c r="R245" s="31">
        <f t="shared" si="162"/>
        <v>0</v>
      </c>
      <c r="S245" s="31">
        <f t="shared" si="162"/>
        <v>0</v>
      </c>
      <c r="T245" s="31">
        <f t="shared" si="162"/>
        <v>0</v>
      </c>
      <c r="U245" s="31">
        <f t="shared" si="162"/>
        <v>0</v>
      </c>
      <c r="V245" s="31">
        <f t="shared" si="162"/>
        <v>0</v>
      </c>
      <c r="W245" s="31">
        <f t="shared" si="162"/>
        <v>0</v>
      </c>
      <c r="X245" s="31">
        <f t="shared" si="162"/>
        <v>0</v>
      </c>
      <c r="Y245" s="31">
        <f t="shared" si="162"/>
        <v>0</v>
      </c>
      <c r="Z245" s="31">
        <f t="shared" si="162"/>
        <v>0</v>
      </c>
      <c r="AA245" s="31">
        <f t="shared" si="162"/>
        <v>0</v>
      </c>
      <c r="AB245" s="31">
        <f t="shared" si="162"/>
        <v>0</v>
      </c>
      <c r="AC245" s="31">
        <f t="shared" si="162"/>
        <v>0</v>
      </c>
      <c r="AD245" s="31">
        <f t="shared" si="162"/>
        <v>0</v>
      </c>
      <c r="AE245" s="31">
        <f t="shared" si="162"/>
        <v>0</v>
      </c>
      <c r="AF245" s="31">
        <f t="shared" si="162"/>
        <v>0</v>
      </c>
      <c r="AG245" s="16">
        <f t="shared" si="160"/>
        <v>0</v>
      </c>
      <c r="AH245" s="14" t="str">
        <f>IF(ABS(E245-AG245)&lt;0.01,"ok","err")</f>
        <v>ok</v>
      </c>
    </row>
    <row r="246" spans="1:34" x14ac:dyDescent="0.25">
      <c r="E246" s="31"/>
      <c r="F246" s="31"/>
    </row>
    <row r="247" spans="1:34" x14ac:dyDescent="0.25">
      <c r="A247" s="7" t="s">
        <v>772</v>
      </c>
      <c r="E247" s="31"/>
      <c r="F247" s="31"/>
    </row>
    <row r="248" spans="1:34" x14ac:dyDescent="0.25">
      <c r="A248" s="12" t="s">
        <v>214</v>
      </c>
      <c r="C248" s="2" t="s">
        <v>811</v>
      </c>
      <c r="D248" s="2" t="s">
        <v>215</v>
      </c>
      <c r="E248" s="65">
        <f>'Functional Assignment'!P409</f>
        <v>0</v>
      </c>
      <c r="F248" s="65">
        <f>IF(VLOOKUP($D248,$C$5:$AU$836,3,)=0,0,(VLOOKUP($D248,$C$5:$AU$836,4,)/VLOOKUP($D248,$C$5:$AU$836,3,))*$E248)</f>
        <v>0</v>
      </c>
      <c r="G248" s="65">
        <f>IF(VLOOKUP($D248,$C$5:$AU$836,3,)=0,0,(VLOOKUP($D248,$C$5:$AU$836,5,)/VLOOKUP($D248,$C$5:$AU$836,3,))*$E248)</f>
        <v>0</v>
      </c>
      <c r="H248" s="65">
        <f>IF(VLOOKUP($D248,$C$5:$AU$836,3,)=0,0,(VLOOKUP($D248,$C$5:$AU$836,6,)/VLOOKUP($D248,$C$5:$AU$836,3,))*$E248)</f>
        <v>0</v>
      </c>
      <c r="I248" s="65">
        <f>IF(VLOOKUP($D248,$C$5:$AU$836,3,)=0,0,(VLOOKUP($D248,$C$5:$AU$836,7,)/VLOOKUP($D248,$C$5:$AU$836,3,))*$E248)</f>
        <v>0</v>
      </c>
      <c r="J248" s="65">
        <f>IF(VLOOKUP($D248,$C$5:$AU$836,3,)=0,0,(VLOOKUP($D248,$C$5:$AU$836,8,)/VLOOKUP($D248,$C$5:$AU$836,3,))*$E248)</f>
        <v>0</v>
      </c>
      <c r="K248" s="65">
        <f>IF(VLOOKUP($D248,$C$5:$AU$836,3,)=0,0,(VLOOKUP($D248,$C$5:$AU$836,9,)/VLOOKUP($D248,$C$5:$AU$836,3,))*$E248)</f>
        <v>0</v>
      </c>
      <c r="L248" s="65">
        <f>IF(VLOOKUP($D248,$C$5:$AU$836,3,)=0,0,(VLOOKUP($D248,$C$5:$AU$836,10,)/VLOOKUP($D248,$C$5:$AU$836,3,))*$E248)</f>
        <v>0</v>
      </c>
      <c r="M248" s="65">
        <f>IF(VLOOKUP($D248,$C$5:$AU$836,3,)=0,0,(VLOOKUP($D248,$C$5:$AU$836,11,)/VLOOKUP($D248,$C$5:$AU$836,3,))*$E248)</f>
        <v>0</v>
      </c>
      <c r="N248" s="65">
        <f>IF(VLOOKUP($D248,$C$5:$AU$836,3,)=0,0,(VLOOKUP($D248,$C$5:$AU$836,12,)/VLOOKUP($D248,$C$5:$AU$836,3,))*$E248)</f>
        <v>0</v>
      </c>
      <c r="O248" s="65">
        <f>IF(VLOOKUP($D248,$C$5:$AU$836,3,)=0,0,(VLOOKUP($D248,$C$5:$AU$836,13,)/VLOOKUP($D248,$C$5:$AU$836,3,))*$E248)</f>
        <v>0</v>
      </c>
      <c r="P248" s="65">
        <f>IF(VLOOKUP($D248,$C$5:$AU$836,3,)=0,0,(VLOOKUP($D248,$C$5:$AU$836,14,)/VLOOKUP($D248,$C$5:$AU$836,3,))*$E248)</f>
        <v>0</v>
      </c>
      <c r="Q248" s="65">
        <f>IF(VLOOKUP($D248,$C$5:$AU$836,3,)=0,0,(VLOOKUP($D248,$C$5:$AU$836,15,)/VLOOKUP($D248,$C$5:$AU$836,3,))*$E248)</f>
        <v>0</v>
      </c>
      <c r="R248" s="65">
        <f>IF(VLOOKUP($D248,$C$5:$AU$836,3,)=0,0,(VLOOKUP($D248,$C$5:$AU$836,16,)/VLOOKUP($D248,$C$5:$AU$836,3,))*$E248)</f>
        <v>0</v>
      </c>
      <c r="S248" s="65">
        <f>IF(VLOOKUP($D248,$C$5:$AU$836,3,)=0,0,(VLOOKUP($D248,$C$5:$AU$836,17,)/VLOOKUP($D248,$C$5:$AU$836,3,))*$E248)</f>
        <v>0</v>
      </c>
      <c r="T248" s="65">
        <f>IF(VLOOKUP($D248,$C$5:$AU$836,3,)=0,0,(VLOOKUP($D248,$C$5:$AU$836,18,)/VLOOKUP($D248,$C$5:$AU$836,3,))*$E248)</f>
        <v>0</v>
      </c>
      <c r="U248" s="65">
        <f>IF(VLOOKUP($D248,$C$5:$AU$836,3,)=0,0,(VLOOKUP($D248,$C$5:$AU$836,19,)/VLOOKUP($D248,$C$5:$AU$836,3,))*$E248)</f>
        <v>0</v>
      </c>
      <c r="V248" s="65">
        <f>IF(VLOOKUP($D248,$C$5:$AU$836,3,)=0,0,(VLOOKUP($D248,$C$5:$AU$836,20,)/VLOOKUP($D248,$C$5:$AU$836,3,))*$E248)</f>
        <v>0</v>
      </c>
      <c r="W248" s="65">
        <f>IF(VLOOKUP($D248,$C$5:$AU$836,3,)=0,0,(VLOOKUP($D248,$C$5:$AU$836,21,)/VLOOKUP($D248,$C$5:$AU$836,3,))*$E248)</f>
        <v>0</v>
      </c>
      <c r="X248" s="65">
        <f>IF(VLOOKUP($D248,$C$5:$AU$836,3,)=0,0,(VLOOKUP($D248,$C$5:$AU$836,22,)/VLOOKUP($D248,$C$5:$AU$836,3,))*$E248)</f>
        <v>0</v>
      </c>
      <c r="Y248" s="65">
        <f>IF(VLOOKUP($D248,$C$5:$AU$836,3,)=0,0,(VLOOKUP($D248,$C$5:$AU$836,23,)/VLOOKUP($D248,$C$5:$AU$836,3,))*$E248)</f>
        <v>0</v>
      </c>
      <c r="Z248" s="65">
        <f>IF(VLOOKUP($D248,$C$5:$AU$836,3,)=0,0,(VLOOKUP($D248,$C$5:$AU$836,24,)/VLOOKUP($D248,$C$5:$AU$836,3,))*$E248)</f>
        <v>0</v>
      </c>
      <c r="AA248" s="65">
        <f>IF(VLOOKUP($D248,$C$5:$AU$836,3,)=0,0,(VLOOKUP($D248,$C$5:$AU$836,25,)/VLOOKUP($D248,$C$5:$AU$836,3,))*$E248)</f>
        <v>0</v>
      </c>
      <c r="AB248" s="65">
        <f>IF(VLOOKUP($D248,$C$5:$AU$836,3,)=0,0,(VLOOKUP($D248,$C$5:$AU$836,26,)/VLOOKUP($D248,$C$5:$AU$836,3,))*$E248)</f>
        <v>0</v>
      </c>
      <c r="AC248" s="65">
        <f>IF(VLOOKUP($D248,$C$5:$AU$836,3,)=0,0,(VLOOKUP($D248,$C$5:$AU$836,27,)/VLOOKUP($D248,$C$5:$AU$836,3,))*$E248)</f>
        <v>0</v>
      </c>
      <c r="AD248" s="65">
        <f>IF(VLOOKUP($D248,$C$5:$AU$836,3,)=0,0,(VLOOKUP($D248,$C$5:$AU$836,28,)/VLOOKUP($D248,$C$5:$AU$836,3,))*$E248)</f>
        <v>0</v>
      </c>
      <c r="AE248" s="65">
        <f>IF(VLOOKUP($D248,$C$5:$AU$836,3,)=0,0,(VLOOKUP($D248,$C$5:$AU$836,29,)/VLOOKUP($D248,$C$5:$AU$836,3,))*$E248)</f>
        <v>0</v>
      </c>
      <c r="AF248" s="65">
        <f>IF(VLOOKUP($D248,$C$5:$AU$836,3,)=0,0,(VLOOKUP($D248,$C$5:$AU$836,30,)/VLOOKUP($D248,$C$5:$AU$836,3,))*$E248)</f>
        <v>0</v>
      </c>
      <c r="AG248" s="16">
        <f>SUM(F248:AF248)</f>
        <v>0</v>
      </c>
      <c r="AH248" s="14" t="str">
        <f>IF(ABS(E248-AG248)&lt;0.01,"ok","err")</f>
        <v>ok</v>
      </c>
    </row>
    <row r="249" spans="1:34" x14ac:dyDescent="0.25">
      <c r="E249" s="31"/>
      <c r="F249" s="31"/>
    </row>
    <row r="250" spans="1:34" x14ac:dyDescent="0.25">
      <c r="A250" s="7" t="s">
        <v>334</v>
      </c>
      <c r="E250" s="31"/>
      <c r="F250" s="31"/>
    </row>
    <row r="251" spans="1:34" x14ac:dyDescent="0.25">
      <c r="A251" s="12" t="s">
        <v>214</v>
      </c>
      <c r="C251" s="2" t="s">
        <v>812</v>
      </c>
      <c r="D251" s="2" t="s">
        <v>617</v>
      </c>
      <c r="E251" s="65">
        <f>'Functional Assignment'!R409</f>
        <v>0</v>
      </c>
      <c r="F251" s="65">
        <f>IF(VLOOKUP($D251,$C$5:$AU$836,3,)=0,0,(VLOOKUP($D251,$C$5:$AU$836,4,)/VLOOKUP($D251,$C$5:$AU$836,3,))*$E251)</f>
        <v>0</v>
      </c>
      <c r="G251" s="65">
        <f>IF(VLOOKUP($D251,$C$5:$AU$836,3,)=0,0,(VLOOKUP($D251,$C$5:$AU$836,5,)/VLOOKUP($D251,$C$5:$AU$836,3,))*$E251)</f>
        <v>0</v>
      </c>
      <c r="H251" s="65">
        <f>IF(VLOOKUP($D251,$C$5:$AU$836,3,)=0,0,(VLOOKUP($D251,$C$5:$AU$836,6,)/VLOOKUP($D251,$C$5:$AU$836,3,))*$E251)</f>
        <v>0</v>
      </c>
      <c r="I251" s="65">
        <f>IF(VLOOKUP($D251,$C$5:$AU$836,3,)=0,0,(VLOOKUP($D251,$C$5:$AU$836,7,)/VLOOKUP($D251,$C$5:$AU$836,3,))*$E251)</f>
        <v>0</v>
      </c>
      <c r="J251" s="65">
        <f>IF(VLOOKUP($D251,$C$5:$AU$836,3,)=0,0,(VLOOKUP($D251,$C$5:$AU$836,8,)/VLOOKUP($D251,$C$5:$AU$836,3,))*$E251)</f>
        <v>0</v>
      </c>
      <c r="K251" s="65">
        <f>IF(VLOOKUP($D251,$C$5:$AU$836,3,)=0,0,(VLOOKUP($D251,$C$5:$AU$836,9,)/VLOOKUP($D251,$C$5:$AU$836,3,))*$E251)</f>
        <v>0</v>
      </c>
      <c r="L251" s="65">
        <f>IF(VLOOKUP($D251,$C$5:$AU$836,3,)=0,0,(VLOOKUP($D251,$C$5:$AU$836,10,)/VLOOKUP($D251,$C$5:$AU$836,3,))*$E251)</f>
        <v>0</v>
      </c>
      <c r="M251" s="65">
        <f>IF(VLOOKUP($D251,$C$5:$AU$836,3,)=0,0,(VLOOKUP($D251,$C$5:$AU$836,11,)/VLOOKUP($D251,$C$5:$AU$836,3,))*$E251)</f>
        <v>0</v>
      </c>
      <c r="N251" s="65">
        <f>IF(VLOOKUP($D251,$C$5:$AU$836,3,)=0,0,(VLOOKUP($D251,$C$5:$AU$836,12,)/VLOOKUP($D251,$C$5:$AU$836,3,))*$E251)</f>
        <v>0</v>
      </c>
      <c r="O251" s="65">
        <f>IF(VLOOKUP($D251,$C$5:$AU$836,3,)=0,0,(VLOOKUP($D251,$C$5:$AU$836,13,)/VLOOKUP($D251,$C$5:$AU$836,3,))*$E251)</f>
        <v>0</v>
      </c>
      <c r="P251" s="65">
        <f>IF(VLOOKUP($D251,$C$5:$AU$836,3,)=0,0,(VLOOKUP($D251,$C$5:$AU$836,14,)/VLOOKUP($D251,$C$5:$AU$836,3,))*$E251)</f>
        <v>0</v>
      </c>
      <c r="Q251" s="65">
        <f>IF(VLOOKUP($D251,$C$5:$AU$836,3,)=0,0,(VLOOKUP($D251,$C$5:$AU$836,15,)/VLOOKUP($D251,$C$5:$AU$836,3,))*$E251)</f>
        <v>0</v>
      </c>
      <c r="R251" s="65">
        <f>IF(VLOOKUP($D251,$C$5:$AU$836,3,)=0,0,(VLOOKUP($D251,$C$5:$AU$836,16,)/VLOOKUP($D251,$C$5:$AU$836,3,))*$E251)</f>
        <v>0</v>
      </c>
      <c r="S251" s="65">
        <f>IF(VLOOKUP($D251,$C$5:$AU$836,3,)=0,0,(VLOOKUP($D251,$C$5:$AU$836,17,)/VLOOKUP($D251,$C$5:$AU$836,3,))*$E251)</f>
        <v>0</v>
      </c>
      <c r="T251" s="65">
        <f>IF(VLOOKUP($D251,$C$5:$AU$836,3,)=0,0,(VLOOKUP($D251,$C$5:$AU$836,18,)/VLOOKUP($D251,$C$5:$AU$836,3,))*$E251)</f>
        <v>0</v>
      </c>
      <c r="U251" s="65">
        <f>IF(VLOOKUP($D251,$C$5:$AU$836,3,)=0,0,(VLOOKUP($D251,$C$5:$AU$836,19,)/VLOOKUP($D251,$C$5:$AU$836,3,))*$E251)</f>
        <v>0</v>
      </c>
      <c r="V251" s="65">
        <f>IF(VLOOKUP($D251,$C$5:$AU$836,3,)=0,0,(VLOOKUP($D251,$C$5:$AU$836,20,)/VLOOKUP($D251,$C$5:$AU$836,3,))*$E251)</f>
        <v>0</v>
      </c>
      <c r="W251" s="65">
        <f>IF(VLOOKUP($D251,$C$5:$AU$836,3,)=0,0,(VLOOKUP($D251,$C$5:$AU$836,21,)/VLOOKUP($D251,$C$5:$AU$836,3,))*$E251)</f>
        <v>0</v>
      </c>
      <c r="X251" s="65">
        <f>IF(VLOOKUP($D251,$C$5:$AU$836,3,)=0,0,(VLOOKUP($D251,$C$5:$AU$836,22,)/VLOOKUP($D251,$C$5:$AU$836,3,))*$E251)</f>
        <v>0</v>
      </c>
      <c r="Y251" s="65">
        <f>IF(VLOOKUP($D251,$C$5:$AU$836,3,)=0,0,(VLOOKUP($D251,$C$5:$AU$836,23,)/VLOOKUP($D251,$C$5:$AU$836,3,))*$E251)</f>
        <v>0</v>
      </c>
      <c r="Z251" s="65">
        <f>IF(VLOOKUP($D251,$C$5:$AU$836,3,)=0,0,(VLOOKUP($D251,$C$5:$AU$836,24,)/VLOOKUP($D251,$C$5:$AU$836,3,))*$E251)</f>
        <v>0</v>
      </c>
      <c r="AA251" s="65">
        <f>IF(VLOOKUP($D251,$C$5:$AU$836,3,)=0,0,(VLOOKUP($D251,$C$5:$AU$836,25,)/VLOOKUP($D251,$C$5:$AU$836,3,))*$E251)</f>
        <v>0</v>
      </c>
      <c r="AB251" s="65">
        <f>IF(VLOOKUP($D251,$C$5:$AU$836,3,)=0,0,(VLOOKUP($D251,$C$5:$AU$836,26,)/VLOOKUP($D251,$C$5:$AU$836,3,))*$E251)</f>
        <v>0</v>
      </c>
      <c r="AC251" s="65">
        <f>IF(VLOOKUP($D251,$C$5:$AU$836,3,)=0,0,(VLOOKUP($D251,$C$5:$AU$836,27,)/VLOOKUP($D251,$C$5:$AU$836,3,))*$E251)</f>
        <v>0</v>
      </c>
      <c r="AD251" s="65">
        <f>IF(VLOOKUP($D251,$C$5:$AU$836,3,)=0,0,(VLOOKUP($D251,$C$5:$AU$836,28,)/VLOOKUP($D251,$C$5:$AU$836,3,))*$E251)</f>
        <v>0</v>
      </c>
      <c r="AE251" s="65">
        <f>IF(VLOOKUP($D251,$C$5:$AU$836,3,)=0,0,(VLOOKUP($D251,$C$5:$AU$836,29,)/VLOOKUP($D251,$C$5:$AU$836,3,))*$E251)</f>
        <v>0</v>
      </c>
      <c r="AF251" s="65">
        <f>IF(VLOOKUP($D251,$C$5:$AU$836,3,)=0,0,(VLOOKUP($D251,$C$5:$AU$836,30,)/VLOOKUP($D251,$C$5:$AU$836,3,))*$E251)</f>
        <v>0</v>
      </c>
      <c r="AG251" s="16">
        <f>SUM(F251:AF251)</f>
        <v>0</v>
      </c>
      <c r="AH251" s="14" t="str">
        <f>IF(ABS(E251-AG251)&lt;0.01,"ok","err")</f>
        <v>ok</v>
      </c>
    </row>
    <row r="252" spans="1:34" x14ac:dyDescent="0.25">
      <c r="E252" s="31"/>
      <c r="F252" s="31"/>
    </row>
    <row r="253" spans="1:34" x14ac:dyDescent="0.25">
      <c r="A253" s="8" t="s">
        <v>3</v>
      </c>
      <c r="E253" s="31"/>
      <c r="F253" s="31"/>
    </row>
    <row r="254" spans="1:34" x14ac:dyDescent="0.25">
      <c r="A254" s="12" t="s">
        <v>214</v>
      </c>
      <c r="C254" s="2" t="s">
        <v>268</v>
      </c>
      <c r="D254" s="2" t="s">
        <v>620</v>
      </c>
      <c r="E254" s="65">
        <f>'Functional Assignment'!T409</f>
        <v>6584.3657876767556</v>
      </c>
      <c r="F254" s="65">
        <f>IF(VLOOKUP($D254,$C$5:$AU$836,3,)=0,0,(VLOOKUP($D254,$C$5:$AU$836,4,)/VLOOKUP($D254,$C$5:$AU$836,3,))*$E254)</f>
        <v>4679.8733405003704</v>
      </c>
      <c r="G254" s="65">
        <f>IF(VLOOKUP($D254,$C$5:$AU$836,3,)=0,0,(VLOOKUP($D254,$C$5:$AU$836,5,)/VLOOKUP($D254,$C$5:$AU$836,3,))*$E254)</f>
        <v>306.27829047532146</v>
      </c>
      <c r="H254" s="65">
        <f>IF(VLOOKUP($D254,$C$5:$AU$836,3,)=0,0,(VLOOKUP($D254,$C$5:$AU$836,6,)/VLOOKUP($D254,$C$5:$AU$836,3,))*$E254)</f>
        <v>777.66252196100334</v>
      </c>
      <c r="I254" s="65">
        <f>IF(VLOOKUP($D254,$C$5:$AU$836,3,)=0,0,(VLOOKUP($D254,$C$5:$AU$836,7,)/VLOOKUP($D254,$C$5:$AU$836,3,))*$E254)</f>
        <v>79.944567433260673</v>
      </c>
      <c r="J254" s="65">
        <f>IF(VLOOKUP($D254,$C$5:$AU$836,3,)=0,0,(VLOOKUP($D254,$C$5:$AU$836,8,)/VLOOKUP($D254,$C$5:$AU$836,3,))*$E254)</f>
        <v>78.411383948239219</v>
      </c>
      <c r="K254" s="65">
        <f>IF(VLOOKUP($D254,$C$5:$AU$836,3,)=0,0,(VLOOKUP($D254,$C$5:$AU$836,9,)/VLOOKUP($D254,$C$5:$AU$836,3,))*$E254)</f>
        <v>43.238163654464309</v>
      </c>
      <c r="L254" s="65">
        <f>IF(VLOOKUP($D254,$C$5:$AU$836,3,)=0,0,(VLOOKUP($D254,$C$5:$AU$836,10,)/VLOOKUP($D254,$C$5:$AU$836,3,))*$E254)</f>
        <v>304.38751683176105</v>
      </c>
      <c r="M254" s="65">
        <f>IF(VLOOKUP($D254,$C$5:$AU$836,3,)=0,0,(VLOOKUP($D254,$C$5:$AU$836,11,)/VLOOKUP($D254,$C$5:$AU$836,3,))*$E254)</f>
        <v>228.66575485719989</v>
      </c>
      <c r="N254" s="65">
        <f>IF(VLOOKUP($D254,$C$5:$AU$836,3,)=0,0,(VLOOKUP($D254,$C$5:$AU$836,12,)/VLOOKUP($D254,$C$5:$AU$836,3,))*$E254)</f>
        <v>85.904248015132765</v>
      </c>
      <c r="O254" s="65">
        <f>IF(VLOOKUP($D254,$C$5:$AU$836,3,)=0,0,(VLOOKUP($D254,$C$5:$AU$836,13,)/VLOOKUP($D254,$C$5:$AU$836,3,))*$E254)</f>
        <v>0</v>
      </c>
      <c r="P254" s="65">
        <f>IF(VLOOKUP($D254,$C$5:$AU$836,3,)=0,0,(VLOOKUP($D254,$C$5:$AU$836,14,)/VLOOKUP($D254,$C$5:$AU$836,3,))*$E254)</f>
        <v>0</v>
      </c>
      <c r="Q254" s="65">
        <f>IF(VLOOKUP($D254,$C$5:$AU$836,3,)=0,0,(VLOOKUP($D254,$C$5:$AU$836,15,)/VLOOKUP($D254,$C$5:$AU$836,3,))*$E254)</f>
        <v>0</v>
      </c>
      <c r="R254" s="65">
        <f>IF(VLOOKUP($D254,$C$5:$AU$836,3,)=0,0,(VLOOKUP($D254,$C$5:$AU$836,16,)/VLOOKUP($D254,$C$5:$AU$836,3,))*$E254)</f>
        <v>0</v>
      </c>
      <c r="S254" s="65">
        <f>IF(VLOOKUP($D254,$C$5:$AU$836,3,)=0,0,(VLOOKUP($D254,$C$5:$AU$836,17,)/VLOOKUP($D254,$C$5:$AU$836,3,))*$E254)</f>
        <v>0</v>
      </c>
      <c r="T254" s="65">
        <f>IF(VLOOKUP($D254,$C$5:$AU$836,3,)=0,0,(VLOOKUP($D254,$C$5:$AU$836,18,)/VLOOKUP($D254,$C$5:$AU$836,3,))*$E254)</f>
        <v>0</v>
      </c>
      <c r="U254" s="65">
        <f>IF(VLOOKUP($D254,$C$5:$AU$836,3,)=0,0,(VLOOKUP($D254,$C$5:$AU$836,19,)/VLOOKUP($D254,$C$5:$AU$836,3,))*$E254)</f>
        <v>0</v>
      </c>
      <c r="V254" s="65">
        <f>IF(VLOOKUP($D254,$C$5:$AU$836,3,)=0,0,(VLOOKUP($D254,$C$5:$AU$836,20,)/VLOOKUP($D254,$C$5:$AU$836,3,))*$E254)</f>
        <v>0</v>
      </c>
      <c r="W254" s="65">
        <f>IF(VLOOKUP($D254,$C$5:$AU$836,3,)=0,0,(VLOOKUP($D254,$C$5:$AU$836,21,)/VLOOKUP($D254,$C$5:$AU$836,3,))*$E254)</f>
        <v>0</v>
      </c>
      <c r="X254" s="65">
        <f>IF(VLOOKUP($D254,$C$5:$AU$836,3,)=0,0,(VLOOKUP($D254,$C$5:$AU$836,22,)/VLOOKUP($D254,$C$5:$AU$836,3,))*$E254)</f>
        <v>0</v>
      </c>
      <c r="Y254" s="65">
        <f>IF(VLOOKUP($D254,$C$5:$AU$836,3,)=0,0,(VLOOKUP($D254,$C$5:$AU$836,23,)/VLOOKUP($D254,$C$5:$AU$836,3,))*$E254)</f>
        <v>0</v>
      </c>
      <c r="Z254" s="65">
        <f>IF(VLOOKUP($D254,$C$5:$AU$836,3,)=0,0,(VLOOKUP($D254,$C$5:$AU$836,24,)/VLOOKUP($D254,$C$5:$AU$836,3,))*$E254)</f>
        <v>0</v>
      </c>
      <c r="AA254" s="65">
        <f>IF(VLOOKUP($D254,$C$5:$AU$836,3,)=0,0,(VLOOKUP($D254,$C$5:$AU$836,25,)/VLOOKUP($D254,$C$5:$AU$836,3,))*$E254)</f>
        <v>0</v>
      </c>
      <c r="AB254" s="65">
        <f>IF(VLOOKUP($D254,$C$5:$AU$836,3,)=0,0,(VLOOKUP($D254,$C$5:$AU$836,26,)/VLOOKUP($D254,$C$5:$AU$836,3,))*$E254)</f>
        <v>0</v>
      </c>
      <c r="AC254" s="65">
        <f>IF(VLOOKUP($D254,$C$5:$AU$836,3,)=0,0,(VLOOKUP($D254,$C$5:$AU$836,27,)/VLOOKUP($D254,$C$5:$AU$836,3,))*$E254)</f>
        <v>0</v>
      </c>
      <c r="AD254" s="65">
        <f>IF(VLOOKUP($D254,$C$5:$AU$836,3,)=0,0,(VLOOKUP($D254,$C$5:$AU$836,28,)/VLOOKUP($D254,$C$5:$AU$836,3,))*$E254)</f>
        <v>0</v>
      </c>
      <c r="AE254" s="65">
        <f>IF(VLOOKUP($D254,$C$5:$AU$836,3,)=0,0,(VLOOKUP($D254,$C$5:$AU$836,29,)/VLOOKUP($D254,$C$5:$AU$836,3,))*$E254)</f>
        <v>0</v>
      </c>
      <c r="AF254" s="65">
        <f>IF(VLOOKUP($D254,$C$5:$AU$836,3,)=0,0,(VLOOKUP($D254,$C$5:$AU$836,30,)/VLOOKUP($D254,$C$5:$AU$836,3,))*$E254)</f>
        <v>0</v>
      </c>
      <c r="AG254" s="16">
        <f>SUM(F254:AF254)</f>
        <v>6584.3657876767529</v>
      </c>
      <c r="AH254" s="14" t="str">
        <f>IF(ABS(E254-AG254)&lt;0.01,"ok","err")</f>
        <v>ok</v>
      </c>
    </row>
    <row r="255" spans="1:34" x14ac:dyDescent="0.25">
      <c r="E255" s="31"/>
    </row>
    <row r="256" spans="1:34" x14ac:dyDescent="0.25">
      <c r="A256" s="8" t="s">
        <v>4</v>
      </c>
      <c r="E256" s="31"/>
    </row>
    <row r="257" spans="1:34" x14ac:dyDescent="0.25">
      <c r="A257" s="12" t="s">
        <v>214</v>
      </c>
      <c r="C257" s="2" t="s">
        <v>813</v>
      </c>
      <c r="D257" s="9" t="s">
        <v>750</v>
      </c>
      <c r="E257" s="65">
        <f>'Functional Assignment'!V409</f>
        <v>2329872.8223501071</v>
      </c>
      <c r="F257" s="65">
        <f>IF(VLOOKUP($D257,$C$5:$AU$836,3,)=0,0,(VLOOKUP($D257,$C$5:$AU$836,4,)/VLOOKUP($D257,$C$5:$AU$836,3,))*$E257)</f>
        <v>1499105.4471317236</v>
      </c>
      <c r="G257" s="65">
        <f>IF(VLOOKUP($D257,$C$5:$AU$836,3,)=0,0,(VLOOKUP($D257,$C$5:$AU$836,5,)/VLOOKUP($D257,$C$5:$AU$836,3,))*$E257)</f>
        <v>129505.50466685597</v>
      </c>
      <c r="H257" s="65">
        <f>IF(VLOOKUP($D257,$C$5:$AU$836,3,)=0,0,(VLOOKUP($D257,$C$5:$AU$836,6,)/VLOOKUP($D257,$C$5:$AU$836,3,))*$E257)</f>
        <v>448396.02873506764</v>
      </c>
      <c r="I257" s="65">
        <f>IF(VLOOKUP($D257,$C$5:$AU$836,3,)=0,0,(VLOOKUP($D257,$C$5:$AU$836,7,)/VLOOKUP($D257,$C$5:$AU$836,3,))*$E257)</f>
        <v>44046.914049891755</v>
      </c>
      <c r="J257" s="65">
        <f>IF(VLOOKUP($D257,$C$5:$AU$836,3,)=0,0,(VLOOKUP($D257,$C$5:$AU$836,8,)/VLOOKUP($D257,$C$5:$AU$836,3,))*$E257)</f>
        <v>45211.582372969489</v>
      </c>
      <c r="K257" s="65">
        <f>IF(VLOOKUP($D257,$C$5:$AU$836,3,)=0,0,(VLOOKUP($D257,$C$5:$AU$836,9,)/VLOOKUP($D257,$C$5:$AU$836,3,))*$E257)</f>
        <v>211.28927506109929</v>
      </c>
      <c r="L257" s="65">
        <f>IF(VLOOKUP($D257,$C$5:$AU$836,3,)=0,0,(VLOOKUP($D257,$C$5:$AU$836,10,)/VLOOKUP($D257,$C$5:$AU$836,3,))*$E257)</f>
        <v>4030.8738818858296</v>
      </c>
      <c r="M257" s="65">
        <f>IF(VLOOKUP($D257,$C$5:$AU$836,3,)=0,0,(VLOOKUP($D257,$C$5:$AU$836,11,)/VLOOKUP($D257,$C$5:$AU$836,3,))*$E257)</f>
        <v>131847.44473363797</v>
      </c>
      <c r="N257" s="65">
        <f>IF(VLOOKUP($D257,$C$5:$AU$836,3,)=0,0,(VLOOKUP($D257,$C$5:$AU$836,12,)/VLOOKUP($D257,$C$5:$AU$836,3,))*$E257)</f>
        <v>27517.73750301349</v>
      </c>
      <c r="O257" s="65">
        <f>IF(VLOOKUP($D257,$C$5:$AU$836,3,)=0,0,(VLOOKUP($D257,$C$5:$AU$836,13,)/VLOOKUP($D257,$C$5:$AU$836,3,))*$E257)</f>
        <v>0</v>
      </c>
      <c r="P257" s="65">
        <f>IF(VLOOKUP($D257,$C$5:$AU$836,3,)=0,0,(VLOOKUP($D257,$C$5:$AU$836,14,)/VLOOKUP($D257,$C$5:$AU$836,3,))*$E257)</f>
        <v>0</v>
      </c>
      <c r="Q257" s="65">
        <f>IF(VLOOKUP($D257,$C$5:$AU$836,3,)=0,0,(VLOOKUP($D257,$C$5:$AU$836,15,)/VLOOKUP($D257,$C$5:$AU$836,3,))*$E257)</f>
        <v>0</v>
      </c>
      <c r="R257" s="65">
        <f>IF(VLOOKUP($D257,$C$5:$AU$836,3,)=0,0,(VLOOKUP($D257,$C$5:$AU$836,16,)/VLOOKUP($D257,$C$5:$AU$836,3,))*$E257)</f>
        <v>0</v>
      </c>
      <c r="S257" s="65">
        <f>IF(VLOOKUP($D257,$C$5:$AU$836,3,)=0,0,(VLOOKUP($D257,$C$5:$AU$836,17,)/VLOOKUP($D257,$C$5:$AU$836,3,))*$E257)</f>
        <v>0</v>
      </c>
      <c r="T257" s="65">
        <f>IF(VLOOKUP($D257,$C$5:$AU$836,3,)=0,0,(VLOOKUP($D257,$C$5:$AU$836,18,)/VLOOKUP($D257,$C$5:$AU$836,3,))*$E257)</f>
        <v>0</v>
      </c>
      <c r="U257" s="65">
        <f>IF(VLOOKUP($D257,$C$5:$AU$836,3,)=0,0,(VLOOKUP($D257,$C$5:$AU$836,19,)/VLOOKUP($D257,$C$5:$AU$836,3,))*$E257)</f>
        <v>0</v>
      </c>
      <c r="V257" s="65">
        <f>IF(VLOOKUP($D257,$C$5:$AU$836,3,)=0,0,(VLOOKUP($D257,$C$5:$AU$836,20,)/VLOOKUP($D257,$C$5:$AU$836,3,))*$E257)</f>
        <v>0</v>
      </c>
      <c r="W257" s="65">
        <f>IF(VLOOKUP($D257,$C$5:$AU$836,3,)=0,0,(VLOOKUP($D257,$C$5:$AU$836,21,)/VLOOKUP($D257,$C$5:$AU$836,3,))*$E257)</f>
        <v>0</v>
      </c>
      <c r="X257" s="65">
        <f>IF(VLOOKUP($D257,$C$5:$AU$836,3,)=0,0,(VLOOKUP($D257,$C$5:$AU$836,22,)/VLOOKUP($D257,$C$5:$AU$836,3,))*$E257)</f>
        <v>0</v>
      </c>
      <c r="Y257" s="65">
        <f>IF(VLOOKUP($D257,$C$5:$AU$836,3,)=0,0,(VLOOKUP($D257,$C$5:$AU$836,23,)/VLOOKUP($D257,$C$5:$AU$836,3,))*$E257)</f>
        <v>0</v>
      </c>
      <c r="Z257" s="65">
        <f>IF(VLOOKUP($D257,$C$5:$AU$836,3,)=0,0,(VLOOKUP($D257,$C$5:$AU$836,24,)/VLOOKUP($D257,$C$5:$AU$836,3,))*$E257)</f>
        <v>0</v>
      </c>
      <c r="AA257" s="65">
        <f>IF(VLOOKUP($D257,$C$5:$AU$836,3,)=0,0,(VLOOKUP($D257,$C$5:$AU$836,25,)/VLOOKUP($D257,$C$5:$AU$836,3,))*$E257)</f>
        <v>0</v>
      </c>
      <c r="AB257" s="65">
        <f>IF(VLOOKUP($D257,$C$5:$AU$836,3,)=0,0,(VLOOKUP($D257,$C$5:$AU$836,26,)/VLOOKUP($D257,$C$5:$AU$836,3,))*$E257)</f>
        <v>0</v>
      </c>
      <c r="AC257" s="65">
        <f>IF(VLOOKUP($D257,$C$5:$AU$836,3,)=0,0,(VLOOKUP($D257,$C$5:$AU$836,27,)/VLOOKUP($D257,$C$5:$AU$836,3,))*$E257)</f>
        <v>0</v>
      </c>
      <c r="AD257" s="65">
        <f>IF(VLOOKUP($D257,$C$5:$AU$836,3,)=0,0,(VLOOKUP($D257,$C$5:$AU$836,28,)/VLOOKUP($D257,$C$5:$AU$836,3,))*$E257)</f>
        <v>0</v>
      </c>
      <c r="AE257" s="65">
        <f>IF(VLOOKUP($D257,$C$5:$AU$836,3,)=0,0,(VLOOKUP($D257,$C$5:$AU$836,29,)/VLOOKUP($D257,$C$5:$AU$836,3,))*$E257)</f>
        <v>0</v>
      </c>
      <c r="AF257" s="65">
        <f>IF(VLOOKUP($D257,$C$5:$AU$836,3,)=0,0,(VLOOKUP($D257,$C$5:$AU$836,30,)/VLOOKUP($D257,$C$5:$AU$836,3,))*$E257)</f>
        <v>0</v>
      </c>
      <c r="AG257" s="16">
        <f>SUM(F257:AF257)</f>
        <v>2329872.8223501067</v>
      </c>
      <c r="AH257" s="14" t="str">
        <f>IF(ABS(E257-AG257)&lt;0.01,"ok","err")</f>
        <v>ok</v>
      </c>
    </row>
    <row r="258" spans="1:34" x14ac:dyDescent="0.25">
      <c r="A258" s="12" t="s">
        <v>223</v>
      </c>
      <c r="C258" s="2" t="s">
        <v>814</v>
      </c>
      <c r="D258" s="9" t="s">
        <v>759</v>
      </c>
      <c r="E258" s="65">
        <f>'Functional Assignment'!W409</f>
        <v>1041815.8683539426</v>
      </c>
      <c r="F258" s="65">
        <f>IF(VLOOKUP($D258,$C$5:$AU$836,3,)=0,0,(VLOOKUP($D258,$C$5:$AU$836,4,)/VLOOKUP($D258,$C$5:$AU$836,3,))*$E258)</f>
        <v>955154.95039134729</v>
      </c>
      <c r="G258" s="65">
        <f>IF(VLOOKUP($D258,$C$5:$AU$836,3,)=0,0,(VLOOKUP($D258,$C$5:$AU$836,5,)/VLOOKUP($D258,$C$5:$AU$836,3,))*$E258)</f>
        <v>68513.543088395149</v>
      </c>
      <c r="H258" s="65">
        <f>IF(VLOOKUP($D258,$C$5:$AU$836,3,)=0,0,(VLOOKUP($D258,$C$5:$AU$836,6,)/VLOOKUP($D258,$C$5:$AU$836,3,))*$E258)</f>
        <v>6694.1992916098479</v>
      </c>
      <c r="I258" s="65">
        <f>IF(VLOOKUP($D258,$C$5:$AU$836,3,)=0,0,(VLOOKUP($D258,$C$5:$AU$836,7,)/VLOOKUP($D258,$C$5:$AU$836,3,))*$E258)</f>
        <v>2523.5469112840738</v>
      </c>
      <c r="J258" s="65">
        <f>IF(VLOOKUP($D258,$C$5:$AU$836,3,)=0,0,(VLOOKUP($D258,$C$5:$AU$836,8,)/VLOOKUP($D258,$C$5:$AU$836,3,))*$E258)</f>
        <v>256.88800893310929</v>
      </c>
      <c r="K258" s="65">
        <f>IF(VLOOKUP($D258,$C$5:$AU$836,3,)=0,0,(VLOOKUP($D258,$C$5:$AU$836,9,)/VLOOKUP($D258,$C$5:$AU$836,3,))*$E258)</f>
        <v>15.111059349006428</v>
      </c>
      <c r="L258" s="65">
        <f>IF(VLOOKUP($D258,$C$5:$AU$836,3,)=0,0,(VLOOKUP($D258,$C$5:$AU$836,10,)/VLOOKUP($D258,$C$5:$AU$836,3,))*$E258)</f>
        <v>30.222118698012856</v>
      </c>
      <c r="M258" s="65">
        <f>IF(VLOOKUP($D258,$C$5:$AU$836,3,)=0,0,(VLOOKUP($D258,$C$5:$AU$836,11,)/VLOOKUP($D258,$C$5:$AU$836,3,))*$E258)</f>
        <v>120.88847479205143</v>
      </c>
      <c r="N258" s="65">
        <f>IF(VLOOKUP($D258,$C$5:$AU$836,3,)=0,0,(VLOOKUP($D258,$C$5:$AU$836,12,)/VLOOKUP($D258,$C$5:$AU$836,3,))*$E258)</f>
        <v>8506.5190095340186</v>
      </c>
      <c r="O258" s="65">
        <f>IF(VLOOKUP($D258,$C$5:$AU$836,3,)=0,0,(VLOOKUP($D258,$C$5:$AU$836,13,)/VLOOKUP($D258,$C$5:$AU$836,3,))*$E258)</f>
        <v>0</v>
      </c>
      <c r="P258" s="65">
        <f>IF(VLOOKUP($D258,$C$5:$AU$836,3,)=0,0,(VLOOKUP($D258,$C$5:$AU$836,14,)/VLOOKUP($D258,$C$5:$AU$836,3,))*$E258)</f>
        <v>0</v>
      </c>
      <c r="Q258" s="65">
        <f>IF(VLOOKUP($D258,$C$5:$AU$836,3,)=0,0,(VLOOKUP($D258,$C$5:$AU$836,15,)/VLOOKUP($D258,$C$5:$AU$836,3,))*$E258)</f>
        <v>0</v>
      </c>
      <c r="R258" s="65">
        <f>IF(VLOOKUP($D258,$C$5:$AU$836,3,)=0,0,(VLOOKUP($D258,$C$5:$AU$836,16,)/VLOOKUP($D258,$C$5:$AU$836,3,))*$E258)</f>
        <v>0</v>
      </c>
      <c r="S258" s="65">
        <f>IF(VLOOKUP($D258,$C$5:$AU$836,3,)=0,0,(VLOOKUP($D258,$C$5:$AU$836,17,)/VLOOKUP($D258,$C$5:$AU$836,3,))*$E258)</f>
        <v>0</v>
      </c>
      <c r="T258" s="65">
        <f>IF(VLOOKUP($D258,$C$5:$AU$836,3,)=0,0,(VLOOKUP($D258,$C$5:$AU$836,18,)/VLOOKUP($D258,$C$5:$AU$836,3,))*$E258)</f>
        <v>0</v>
      </c>
      <c r="U258" s="65">
        <f>IF(VLOOKUP($D258,$C$5:$AU$836,3,)=0,0,(VLOOKUP($D258,$C$5:$AU$836,19,)/VLOOKUP($D258,$C$5:$AU$836,3,))*$E258)</f>
        <v>0</v>
      </c>
      <c r="V258" s="65">
        <f>IF(VLOOKUP($D258,$C$5:$AU$836,3,)=0,0,(VLOOKUP($D258,$C$5:$AU$836,20,)/VLOOKUP($D258,$C$5:$AU$836,3,))*$E258)</f>
        <v>0</v>
      </c>
      <c r="W258" s="65">
        <f>IF(VLOOKUP($D258,$C$5:$AU$836,3,)=0,0,(VLOOKUP($D258,$C$5:$AU$836,21,)/VLOOKUP($D258,$C$5:$AU$836,3,))*$E258)</f>
        <v>0</v>
      </c>
      <c r="X258" s="65">
        <f>IF(VLOOKUP($D258,$C$5:$AU$836,3,)=0,0,(VLOOKUP($D258,$C$5:$AU$836,22,)/VLOOKUP($D258,$C$5:$AU$836,3,))*$E258)</f>
        <v>0</v>
      </c>
      <c r="Y258" s="65">
        <f>IF(VLOOKUP($D258,$C$5:$AU$836,3,)=0,0,(VLOOKUP($D258,$C$5:$AU$836,23,)/VLOOKUP($D258,$C$5:$AU$836,3,))*$E258)</f>
        <v>0</v>
      </c>
      <c r="Z258" s="65">
        <f>IF(VLOOKUP($D258,$C$5:$AU$836,3,)=0,0,(VLOOKUP($D258,$C$5:$AU$836,24,)/VLOOKUP($D258,$C$5:$AU$836,3,))*$E258)</f>
        <v>0</v>
      </c>
      <c r="AA258" s="65">
        <f>IF(VLOOKUP($D258,$C$5:$AU$836,3,)=0,0,(VLOOKUP($D258,$C$5:$AU$836,25,)/VLOOKUP($D258,$C$5:$AU$836,3,))*$E258)</f>
        <v>0</v>
      </c>
      <c r="AB258" s="65">
        <f>IF(VLOOKUP($D258,$C$5:$AU$836,3,)=0,0,(VLOOKUP($D258,$C$5:$AU$836,26,)/VLOOKUP($D258,$C$5:$AU$836,3,))*$E258)</f>
        <v>0</v>
      </c>
      <c r="AC258" s="65">
        <f>IF(VLOOKUP($D258,$C$5:$AU$836,3,)=0,0,(VLOOKUP($D258,$C$5:$AU$836,27,)/VLOOKUP($D258,$C$5:$AU$836,3,))*$E258)</f>
        <v>0</v>
      </c>
      <c r="AD258" s="65">
        <f>IF(VLOOKUP($D258,$C$5:$AU$836,3,)=0,0,(VLOOKUP($D258,$C$5:$AU$836,28,)/VLOOKUP($D258,$C$5:$AU$836,3,))*$E258)</f>
        <v>0</v>
      </c>
      <c r="AE258" s="65">
        <f>IF(VLOOKUP($D258,$C$5:$AU$836,3,)=0,0,(VLOOKUP($D258,$C$5:$AU$836,29,)/VLOOKUP($D258,$C$5:$AU$836,3,))*$E258)</f>
        <v>0</v>
      </c>
      <c r="AF258" s="65">
        <f>IF(VLOOKUP($D258,$C$5:$AU$836,3,)=0,0,(VLOOKUP($D258,$C$5:$AU$836,30,)/VLOOKUP($D258,$C$5:$AU$836,3,))*$E258)</f>
        <v>0</v>
      </c>
      <c r="AG258" s="16">
        <f>SUM(F258:AF258)</f>
        <v>1041815.8683539426</v>
      </c>
      <c r="AH258" s="14" t="str">
        <f>IF(ABS(E258-AG258)&lt;0.01,"ok","err")</f>
        <v>ok</v>
      </c>
    </row>
    <row r="259" spans="1:34" x14ac:dyDescent="0.25">
      <c r="A259" s="2" t="s">
        <v>224</v>
      </c>
      <c r="E259" s="65">
        <f t="shared" ref="E259:N259" si="163">E257+E258</f>
        <v>3371688.6907040495</v>
      </c>
      <c r="F259" s="65">
        <f t="shared" si="163"/>
        <v>2454260.3975230707</v>
      </c>
      <c r="G259" s="65">
        <f t="shared" si="163"/>
        <v>198019.04775525111</v>
      </c>
      <c r="H259" s="65">
        <f t="shared" si="163"/>
        <v>455090.22802667751</v>
      </c>
      <c r="I259" s="65">
        <f t="shared" si="163"/>
        <v>46570.460961175828</v>
      </c>
      <c r="J259" s="65">
        <f t="shared" si="163"/>
        <v>45468.470381902596</v>
      </c>
      <c r="K259" s="65">
        <f t="shared" si="163"/>
        <v>226.40033441010573</v>
      </c>
      <c r="L259" s="65">
        <f t="shared" si="163"/>
        <v>4061.0960005838424</v>
      </c>
      <c r="M259" s="65">
        <f t="shared" si="163"/>
        <v>131968.33320843001</v>
      </c>
      <c r="N259" s="65">
        <f t="shared" si="163"/>
        <v>36024.256512547508</v>
      </c>
      <c r="O259" s="65">
        <f t="shared" ref="O259:T259" si="164">O257+O258</f>
        <v>0</v>
      </c>
      <c r="P259" s="65">
        <f t="shared" si="164"/>
        <v>0</v>
      </c>
      <c r="Q259" s="65">
        <f t="shared" si="164"/>
        <v>0</v>
      </c>
      <c r="R259" s="65">
        <f t="shared" si="164"/>
        <v>0</v>
      </c>
      <c r="S259" s="65">
        <f t="shared" si="164"/>
        <v>0</v>
      </c>
      <c r="T259" s="65">
        <f t="shared" si="164"/>
        <v>0</v>
      </c>
      <c r="U259" s="65">
        <f t="shared" ref="U259:AF259" si="165">U257+U258</f>
        <v>0</v>
      </c>
      <c r="V259" s="65">
        <f t="shared" si="165"/>
        <v>0</v>
      </c>
      <c r="W259" s="65">
        <f t="shared" si="165"/>
        <v>0</v>
      </c>
      <c r="X259" s="65">
        <f t="shared" si="165"/>
        <v>0</v>
      </c>
      <c r="Y259" s="65">
        <f t="shared" si="165"/>
        <v>0</v>
      </c>
      <c r="Z259" s="65">
        <f t="shared" si="165"/>
        <v>0</v>
      </c>
      <c r="AA259" s="65">
        <f t="shared" si="165"/>
        <v>0</v>
      </c>
      <c r="AB259" s="65">
        <f t="shared" si="165"/>
        <v>0</v>
      </c>
      <c r="AC259" s="65">
        <f t="shared" si="165"/>
        <v>0</v>
      </c>
      <c r="AD259" s="65">
        <f t="shared" si="165"/>
        <v>0</v>
      </c>
      <c r="AE259" s="65">
        <f t="shared" si="165"/>
        <v>0</v>
      </c>
      <c r="AF259" s="65">
        <f t="shared" si="165"/>
        <v>0</v>
      </c>
      <c r="AG259" s="16">
        <f>SUM(F259:AF259)</f>
        <v>3371688.6907040486</v>
      </c>
      <c r="AH259" s="14" t="str">
        <f>IF(ABS(E259-AG259)&lt;0.01,"ok","err")</f>
        <v>ok</v>
      </c>
    </row>
    <row r="260" spans="1:34" x14ac:dyDescent="0.2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16"/>
      <c r="AH260" s="14"/>
    </row>
    <row r="261" spans="1:34" x14ac:dyDescent="0.25">
      <c r="A261" s="7" t="s">
        <v>734</v>
      </c>
      <c r="E261" s="31"/>
    </row>
    <row r="262" spans="1:34" x14ac:dyDescent="0.25">
      <c r="A262" s="12" t="s">
        <v>214</v>
      </c>
      <c r="C262" s="2" t="s">
        <v>815</v>
      </c>
      <c r="D262" s="9" t="s">
        <v>756</v>
      </c>
      <c r="E262" s="65">
        <f>'Functional Assignment'!Y409</f>
        <v>258874.75803890085</v>
      </c>
      <c r="F262" s="65">
        <f>IF(VLOOKUP($D262,$C$5:$AU$836,3,)=0,0,(VLOOKUP($D262,$C$5:$AU$836,4,)/VLOOKUP($D262,$C$5:$AU$836,3,))*$E262)</f>
        <v>169494.80796486532</v>
      </c>
      <c r="G262" s="65">
        <f>IF(VLOOKUP($D262,$C$5:$AU$836,3,)=0,0,(VLOOKUP($D262,$C$5:$AU$836,5,)/VLOOKUP($D262,$C$5:$AU$836,3,))*$E262)</f>
        <v>34952.438299165427</v>
      </c>
      <c r="H262" s="65">
        <f>IF(VLOOKUP($D262,$C$5:$AU$836,3,)=0,0,(VLOOKUP($D262,$C$5:$AU$836,6,)/VLOOKUP($D262,$C$5:$AU$836,3,))*$E262)</f>
        <v>36181.600203673886</v>
      </c>
      <c r="I262" s="65">
        <f>IF(VLOOKUP($D262,$C$5:$AU$836,3,)=0,0,(VLOOKUP($D262,$C$5:$AU$836,7,)/VLOOKUP($D262,$C$5:$AU$836,3,))*$E262)</f>
        <v>12451.486675966957</v>
      </c>
      <c r="J262" s="65">
        <f>IF(VLOOKUP($D262,$C$5:$AU$836,3,)=0,0,(VLOOKUP($D262,$C$5:$AU$836,8,)/VLOOKUP($D262,$C$5:$AU$836,3,))*$E262)</f>
        <v>4593.8289880924413</v>
      </c>
      <c r="K262" s="65">
        <f>IF(VLOOKUP($D262,$C$5:$AU$836,3,)=0,0,(VLOOKUP($D262,$C$5:$AU$836,9,)/VLOOKUP($D262,$C$5:$AU$836,3,))*$E262)</f>
        <v>0</v>
      </c>
      <c r="L262" s="65">
        <f>IF(VLOOKUP($D262,$C$5:$AU$836,3,)=0,0,(VLOOKUP($D262,$C$5:$AU$836,10,)/VLOOKUP($D262,$C$5:$AU$836,3,))*$E262)</f>
        <v>0</v>
      </c>
      <c r="M262" s="65">
        <f>IF(VLOOKUP($D262,$C$5:$AU$836,3,)=0,0,(VLOOKUP($D262,$C$5:$AU$836,11,)/VLOOKUP($D262,$C$5:$AU$836,3,))*$E262)</f>
        <v>0</v>
      </c>
      <c r="N262" s="65">
        <f>IF(VLOOKUP($D262,$C$5:$AU$836,3,)=0,0,(VLOOKUP($D262,$C$5:$AU$836,12,)/VLOOKUP($D262,$C$5:$AU$836,3,))*$E262)</f>
        <v>1200.5959071367963</v>
      </c>
      <c r="O262" s="65">
        <f>IF(VLOOKUP($D262,$C$5:$AU$836,3,)=0,0,(VLOOKUP($D262,$C$5:$AU$836,13,)/VLOOKUP($D262,$C$5:$AU$836,3,))*$E262)</f>
        <v>0</v>
      </c>
      <c r="P262" s="65">
        <f>IF(VLOOKUP($D262,$C$5:$AU$836,3,)=0,0,(VLOOKUP($D262,$C$5:$AU$836,14,)/VLOOKUP($D262,$C$5:$AU$836,3,))*$E262)</f>
        <v>0</v>
      </c>
      <c r="Q262" s="65">
        <f>IF(VLOOKUP($D262,$C$5:$AU$836,3,)=0,0,(VLOOKUP($D262,$C$5:$AU$836,15,)/VLOOKUP($D262,$C$5:$AU$836,3,))*$E262)</f>
        <v>0</v>
      </c>
      <c r="R262" s="65">
        <f>IF(VLOOKUP($D262,$C$5:$AU$836,3,)=0,0,(VLOOKUP($D262,$C$5:$AU$836,16,)/VLOOKUP($D262,$C$5:$AU$836,3,))*$E262)</f>
        <v>0</v>
      </c>
      <c r="S262" s="65">
        <f>IF(VLOOKUP($D262,$C$5:$AU$836,3,)=0,0,(VLOOKUP($D262,$C$5:$AU$836,17,)/VLOOKUP($D262,$C$5:$AU$836,3,))*$E262)</f>
        <v>0</v>
      </c>
      <c r="T262" s="65">
        <f>IF(VLOOKUP($D262,$C$5:$AU$836,3,)=0,0,(VLOOKUP($D262,$C$5:$AU$836,18,)/VLOOKUP($D262,$C$5:$AU$836,3,))*$E262)</f>
        <v>0</v>
      </c>
      <c r="U262" s="65">
        <f>IF(VLOOKUP($D262,$C$5:$AU$836,3,)=0,0,(VLOOKUP($D262,$C$5:$AU$836,19,)/VLOOKUP($D262,$C$5:$AU$836,3,))*$E262)</f>
        <v>0</v>
      </c>
      <c r="V262" s="65">
        <f>IF(VLOOKUP($D262,$C$5:$AU$836,3,)=0,0,(VLOOKUP($D262,$C$5:$AU$836,20,)/VLOOKUP($D262,$C$5:$AU$836,3,))*$E262)</f>
        <v>0</v>
      </c>
      <c r="W262" s="65">
        <f>IF(VLOOKUP($D262,$C$5:$AU$836,3,)=0,0,(VLOOKUP($D262,$C$5:$AU$836,21,)/VLOOKUP($D262,$C$5:$AU$836,3,))*$E262)</f>
        <v>0</v>
      </c>
      <c r="X262" s="65">
        <f>IF(VLOOKUP($D262,$C$5:$AU$836,3,)=0,0,(VLOOKUP($D262,$C$5:$AU$836,22,)/VLOOKUP($D262,$C$5:$AU$836,3,))*$E262)</f>
        <v>0</v>
      </c>
      <c r="Y262" s="65">
        <f>IF(VLOOKUP($D262,$C$5:$AU$836,3,)=0,0,(VLOOKUP($D262,$C$5:$AU$836,23,)/VLOOKUP($D262,$C$5:$AU$836,3,))*$E262)</f>
        <v>0</v>
      </c>
      <c r="Z262" s="65">
        <f>IF(VLOOKUP($D262,$C$5:$AU$836,3,)=0,0,(VLOOKUP($D262,$C$5:$AU$836,24,)/VLOOKUP($D262,$C$5:$AU$836,3,))*$E262)</f>
        <v>0</v>
      </c>
      <c r="AA262" s="65">
        <f>IF(VLOOKUP($D262,$C$5:$AU$836,3,)=0,0,(VLOOKUP($D262,$C$5:$AU$836,25,)/VLOOKUP($D262,$C$5:$AU$836,3,))*$E262)</f>
        <v>0</v>
      </c>
      <c r="AB262" s="65">
        <f>IF(VLOOKUP($D262,$C$5:$AU$836,3,)=0,0,(VLOOKUP($D262,$C$5:$AU$836,26,)/VLOOKUP($D262,$C$5:$AU$836,3,))*$E262)</f>
        <v>0</v>
      </c>
      <c r="AC262" s="65">
        <f>IF(VLOOKUP($D262,$C$5:$AU$836,3,)=0,0,(VLOOKUP($D262,$C$5:$AU$836,27,)/VLOOKUP($D262,$C$5:$AU$836,3,))*$E262)</f>
        <v>0</v>
      </c>
      <c r="AD262" s="65">
        <f>IF(VLOOKUP($D262,$C$5:$AU$836,3,)=0,0,(VLOOKUP($D262,$C$5:$AU$836,28,)/VLOOKUP($D262,$C$5:$AU$836,3,))*$E262)</f>
        <v>0</v>
      </c>
      <c r="AE262" s="65">
        <f>IF(VLOOKUP($D262,$C$5:$AU$836,3,)=0,0,(VLOOKUP($D262,$C$5:$AU$836,29,)/VLOOKUP($D262,$C$5:$AU$836,3,))*$E262)</f>
        <v>0</v>
      </c>
      <c r="AF262" s="65">
        <f>IF(VLOOKUP($D262,$C$5:$AU$836,3,)=0,0,(VLOOKUP($D262,$C$5:$AU$836,30,)/VLOOKUP($D262,$C$5:$AU$836,3,))*$E262)</f>
        <v>0</v>
      </c>
      <c r="AG262" s="16">
        <f>SUM(F262:AF262)</f>
        <v>258874.75803890082</v>
      </c>
      <c r="AH262" s="14" t="str">
        <f>IF(ABS(E262-AG262)&lt;0.01,"ok","err")</f>
        <v>ok</v>
      </c>
    </row>
    <row r="263" spans="1:34" x14ac:dyDescent="0.25">
      <c r="A263" s="12" t="s">
        <v>223</v>
      </c>
      <c r="C263" s="2" t="s">
        <v>816</v>
      </c>
      <c r="D263" s="9" t="s">
        <v>760</v>
      </c>
      <c r="E263" s="65">
        <f>'Functional Assignment'!Z409</f>
        <v>115757.31870599365</v>
      </c>
      <c r="F263" s="65">
        <f>IF(VLOOKUP($D263,$C$5:$AU$836,3,)=0,0,(VLOOKUP($D263,$C$5:$AU$836,4,)/VLOOKUP($D263,$C$5:$AU$836,3,))*$E263)</f>
        <v>106146.12731590208</v>
      </c>
      <c r="G263" s="65">
        <f>IF(VLOOKUP($D263,$C$5:$AU$836,3,)=0,0,(VLOOKUP($D263,$C$5:$AU$836,5,)/VLOOKUP($D263,$C$5:$AU$836,3,))*$E263)</f>
        <v>7613.8926616510307</v>
      </c>
      <c r="H263" s="65">
        <f>IF(VLOOKUP($D263,$C$5:$AU$836,3,)=0,0,(VLOOKUP($D263,$C$5:$AU$836,6,)/VLOOKUP($D263,$C$5:$AU$836,3,))*$E263)</f>
        <v>743.92466897031466</v>
      </c>
      <c r="I263" s="65">
        <f>IF(VLOOKUP($D263,$C$5:$AU$836,3,)=0,0,(VLOOKUP($D263,$C$5:$AU$836,7,)/VLOOKUP($D263,$C$5:$AU$836,3,))*$E263)</f>
        <v>280.44112803169878</v>
      </c>
      <c r="J263" s="65">
        <f>IF(VLOOKUP($D263,$C$5:$AU$836,3,)=0,0,(VLOOKUP($D263,$C$5:$AU$836,8,)/VLOOKUP($D263,$C$5:$AU$836,3,))*$E263)</f>
        <v>28.547899260711848</v>
      </c>
      <c r="K263" s="65">
        <f>IF(VLOOKUP($D263,$C$5:$AU$836,3,)=0,0,(VLOOKUP($D263,$C$5:$AU$836,9,)/VLOOKUP($D263,$C$5:$AU$836,3,))*$E263)</f>
        <v>0</v>
      </c>
      <c r="L263" s="65">
        <f>IF(VLOOKUP($D263,$C$5:$AU$836,3,)=0,0,(VLOOKUP($D263,$C$5:$AU$836,10,)/VLOOKUP($D263,$C$5:$AU$836,3,))*$E263)</f>
        <v>0</v>
      </c>
      <c r="M263" s="65">
        <f>IF(VLOOKUP($D263,$C$5:$AU$836,3,)=0,0,(VLOOKUP($D263,$C$5:$AU$836,11,)/VLOOKUP($D263,$C$5:$AU$836,3,))*$E263)</f>
        <v>0</v>
      </c>
      <c r="N263" s="65">
        <f>IF(VLOOKUP($D263,$C$5:$AU$836,3,)=0,0,(VLOOKUP($D263,$C$5:$AU$836,12,)/VLOOKUP($D263,$C$5:$AU$836,3,))*$E263)</f>
        <v>944.3850321778034</v>
      </c>
      <c r="O263" s="65">
        <f>IF(VLOOKUP($D263,$C$5:$AU$836,3,)=0,0,(VLOOKUP($D263,$C$5:$AU$836,13,)/VLOOKUP($D263,$C$5:$AU$836,3,))*$E263)</f>
        <v>0</v>
      </c>
      <c r="P263" s="65">
        <f>IF(VLOOKUP($D263,$C$5:$AU$836,3,)=0,0,(VLOOKUP($D263,$C$5:$AU$836,14,)/VLOOKUP($D263,$C$5:$AU$836,3,))*$E263)</f>
        <v>0</v>
      </c>
      <c r="Q263" s="65">
        <f>IF(VLOOKUP($D263,$C$5:$AU$836,3,)=0,0,(VLOOKUP($D263,$C$5:$AU$836,15,)/VLOOKUP($D263,$C$5:$AU$836,3,))*$E263)</f>
        <v>0</v>
      </c>
      <c r="R263" s="65">
        <f>IF(VLOOKUP($D263,$C$5:$AU$836,3,)=0,0,(VLOOKUP($D263,$C$5:$AU$836,16,)/VLOOKUP($D263,$C$5:$AU$836,3,))*$E263)</f>
        <v>0</v>
      </c>
      <c r="S263" s="65">
        <f>IF(VLOOKUP($D263,$C$5:$AU$836,3,)=0,0,(VLOOKUP($D263,$C$5:$AU$836,17,)/VLOOKUP($D263,$C$5:$AU$836,3,))*$E263)</f>
        <v>0</v>
      </c>
      <c r="T263" s="65">
        <f>IF(VLOOKUP($D263,$C$5:$AU$836,3,)=0,0,(VLOOKUP($D263,$C$5:$AU$836,18,)/VLOOKUP($D263,$C$5:$AU$836,3,))*$E263)</f>
        <v>0</v>
      </c>
      <c r="U263" s="65">
        <f>IF(VLOOKUP($D263,$C$5:$AU$836,3,)=0,0,(VLOOKUP($D263,$C$5:$AU$836,19,)/VLOOKUP($D263,$C$5:$AU$836,3,))*$E263)</f>
        <v>0</v>
      </c>
      <c r="V263" s="65">
        <f>IF(VLOOKUP($D263,$C$5:$AU$836,3,)=0,0,(VLOOKUP($D263,$C$5:$AU$836,20,)/VLOOKUP($D263,$C$5:$AU$836,3,))*$E263)</f>
        <v>0</v>
      </c>
      <c r="W263" s="65">
        <f>IF(VLOOKUP($D263,$C$5:$AU$836,3,)=0,0,(VLOOKUP($D263,$C$5:$AU$836,21,)/VLOOKUP($D263,$C$5:$AU$836,3,))*$E263)</f>
        <v>0</v>
      </c>
      <c r="X263" s="65">
        <f>IF(VLOOKUP($D263,$C$5:$AU$836,3,)=0,0,(VLOOKUP($D263,$C$5:$AU$836,22,)/VLOOKUP($D263,$C$5:$AU$836,3,))*$E263)</f>
        <v>0</v>
      </c>
      <c r="Y263" s="65">
        <f>IF(VLOOKUP($D263,$C$5:$AU$836,3,)=0,0,(VLOOKUP($D263,$C$5:$AU$836,23,)/VLOOKUP($D263,$C$5:$AU$836,3,))*$E263)</f>
        <v>0</v>
      </c>
      <c r="Z263" s="65">
        <f>IF(VLOOKUP($D263,$C$5:$AU$836,3,)=0,0,(VLOOKUP($D263,$C$5:$AU$836,24,)/VLOOKUP($D263,$C$5:$AU$836,3,))*$E263)</f>
        <v>0</v>
      </c>
      <c r="AA263" s="65">
        <f>IF(VLOOKUP($D263,$C$5:$AU$836,3,)=0,0,(VLOOKUP($D263,$C$5:$AU$836,25,)/VLOOKUP($D263,$C$5:$AU$836,3,))*$E263)</f>
        <v>0</v>
      </c>
      <c r="AB263" s="65">
        <f>IF(VLOOKUP($D263,$C$5:$AU$836,3,)=0,0,(VLOOKUP($D263,$C$5:$AU$836,26,)/VLOOKUP($D263,$C$5:$AU$836,3,))*$E263)</f>
        <v>0</v>
      </c>
      <c r="AC263" s="65">
        <f>IF(VLOOKUP($D263,$C$5:$AU$836,3,)=0,0,(VLOOKUP($D263,$C$5:$AU$836,27,)/VLOOKUP($D263,$C$5:$AU$836,3,))*$E263)</f>
        <v>0</v>
      </c>
      <c r="AD263" s="65">
        <f>IF(VLOOKUP($D263,$C$5:$AU$836,3,)=0,0,(VLOOKUP($D263,$C$5:$AU$836,28,)/VLOOKUP($D263,$C$5:$AU$836,3,))*$E263)</f>
        <v>0</v>
      </c>
      <c r="AE263" s="65">
        <f>IF(VLOOKUP($D263,$C$5:$AU$836,3,)=0,0,(VLOOKUP($D263,$C$5:$AU$836,29,)/VLOOKUP($D263,$C$5:$AU$836,3,))*$E263)</f>
        <v>0</v>
      </c>
      <c r="AF263" s="65">
        <f>IF(VLOOKUP($D263,$C$5:$AU$836,3,)=0,0,(VLOOKUP($D263,$C$5:$AU$836,30,)/VLOOKUP($D263,$C$5:$AU$836,3,))*$E263)</f>
        <v>0</v>
      </c>
      <c r="AG263" s="16">
        <f>SUM(F263:AF263)</f>
        <v>115757.31870599363</v>
      </c>
      <c r="AH263" s="14" t="str">
        <f>IF(ABS(E263-AG263)&lt;0.01,"ok","err")</f>
        <v>ok</v>
      </c>
    </row>
    <row r="264" spans="1:34" x14ac:dyDescent="0.25">
      <c r="A264" s="2" t="s">
        <v>224</v>
      </c>
      <c r="E264" s="65">
        <f t="shared" ref="E264:N264" si="166">E262+E263</f>
        <v>374632.0767448945</v>
      </c>
      <c r="F264" s="65">
        <f t="shared" si="166"/>
        <v>275640.93528076739</v>
      </c>
      <c r="G264" s="65">
        <f t="shared" si="166"/>
        <v>42566.330960816456</v>
      </c>
      <c r="H264" s="65">
        <f t="shared" si="166"/>
        <v>36925.524872644201</v>
      </c>
      <c r="I264" s="65">
        <f t="shared" si="166"/>
        <v>12731.927803998655</v>
      </c>
      <c r="J264" s="65">
        <f t="shared" si="166"/>
        <v>4622.3768873531535</v>
      </c>
      <c r="K264" s="65">
        <f t="shared" si="166"/>
        <v>0</v>
      </c>
      <c r="L264" s="65">
        <f t="shared" si="166"/>
        <v>0</v>
      </c>
      <c r="M264" s="65">
        <f t="shared" si="166"/>
        <v>0</v>
      </c>
      <c r="N264" s="65">
        <f t="shared" si="166"/>
        <v>2144.9809393145997</v>
      </c>
      <c r="O264" s="65">
        <f t="shared" ref="O264:AF264" si="167">O262+O263</f>
        <v>0</v>
      </c>
      <c r="P264" s="65">
        <f t="shared" si="167"/>
        <v>0</v>
      </c>
      <c r="Q264" s="65">
        <f t="shared" si="167"/>
        <v>0</v>
      </c>
      <c r="R264" s="65">
        <f t="shared" si="167"/>
        <v>0</v>
      </c>
      <c r="S264" s="65">
        <f t="shared" si="167"/>
        <v>0</v>
      </c>
      <c r="T264" s="65">
        <f t="shared" si="167"/>
        <v>0</v>
      </c>
      <c r="U264" s="65">
        <f t="shared" si="167"/>
        <v>0</v>
      </c>
      <c r="V264" s="65">
        <f t="shared" si="167"/>
        <v>0</v>
      </c>
      <c r="W264" s="65">
        <f t="shared" si="167"/>
        <v>0</v>
      </c>
      <c r="X264" s="65">
        <f t="shared" si="167"/>
        <v>0</v>
      </c>
      <c r="Y264" s="65">
        <f t="shared" si="167"/>
        <v>0</v>
      </c>
      <c r="Z264" s="65">
        <f t="shared" si="167"/>
        <v>0</v>
      </c>
      <c r="AA264" s="65">
        <f t="shared" si="167"/>
        <v>0</v>
      </c>
      <c r="AB264" s="65">
        <f t="shared" si="167"/>
        <v>0</v>
      </c>
      <c r="AC264" s="65">
        <f t="shared" si="167"/>
        <v>0</v>
      </c>
      <c r="AD264" s="65">
        <f t="shared" si="167"/>
        <v>0</v>
      </c>
      <c r="AE264" s="65">
        <f t="shared" si="167"/>
        <v>0</v>
      </c>
      <c r="AF264" s="65">
        <f t="shared" si="167"/>
        <v>0</v>
      </c>
      <c r="AG264" s="16">
        <f>SUM(F264:AF264)</f>
        <v>374632.07674489444</v>
      </c>
      <c r="AH264" s="14" t="str">
        <f>IF(ABS(E264-AG264)&lt;0.01,"ok","err")</f>
        <v>ok</v>
      </c>
    </row>
    <row r="265" spans="1:34" x14ac:dyDescent="0.25">
      <c r="E265" s="31"/>
    </row>
    <row r="266" spans="1:34" x14ac:dyDescent="0.25">
      <c r="A266" s="7" t="s">
        <v>840</v>
      </c>
      <c r="E266" s="31"/>
    </row>
    <row r="267" spans="1:34" x14ac:dyDescent="0.25">
      <c r="A267" s="12" t="s">
        <v>214</v>
      </c>
      <c r="C267" s="2" t="s">
        <v>801</v>
      </c>
      <c r="D267" s="9" t="s">
        <v>851</v>
      </c>
      <c r="E267" s="65">
        <f>'Functional Assignment'!AB409</f>
        <v>58046.128464852532</v>
      </c>
      <c r="F267" s="65">
        <f>IF(VLOOKUP($D267,$C$5:$AU$836,3,)=0,0,(VLOOKUP($D267,$C$5:$AU$836,4,)/VLOOKUP($D267,$C$5:$AU$836,3,))*$E267)</f>
        <v>37583.068063782375</v>
      </c>
      <c r="G267" s="65">
        <f>IF(VLOOKUP($D267,$C$5:$AU$836,3,)=0,0,(VLOOKUP($D267,$C$5:$AU$836,5,)/VLOOKUP($D267,$C$5:$AU$836,3,))*$E267)</f>
        <v>7750.2071205920902</v>
      </c>
      <c r="H267" s="65">
        <f>IF(VLOOKUP($D267,$C$5:$AU$836,3,)=0,0,(VLOOKUP($D267,$C$5:$AU$836,6,)/VLOOKUP($D267,$C$5:$AU$836,3,))*$E267)</f>
        <v>8022.7563276930296</v>
      </c>
      <c r="I267" s="65">
        <f>IF(VLOOKUP($D267,$C$5:$AU$836,3,)=0,0,(VLOOKUP($D267,$C$5:$AU$836,7,)/VLOOKUP($D267,$C$5:$AU$836,3,))*$E267)</f>
        <v>2760.9404491915184</v>
      </c>
      <c r="J267" s="65">
        <f>IF(VLOOKUP($D267,$C$5:$AU$836,3,)=0,0,(VLOOKUP($D267,$C$5:$AU$836,8,)/VLOOKUP($D267,$C$5:$AU$836,3,))*$E267)</f>
        <v>1018.616378907863</v>
      </c>
      <c r="K267" s="65">
        <f>IF(VLOOKUP($D267,$C$5:$AU$836,3,)=0,0,(VLOOKUP($D267,$C$5:$AU$836,9,)/VLOOKUP($D267,$C$5:$AU$836,3,))*$E267)</f>
        <v>0</v>
      </c>
      <c r="L267" s="65">
        <f>IF(VLOOKUP($D267,$C$5:$AU$836,3,)=0,0,(VLOOKUP($D267,$C$5:$AU$836,10,)/VLOOKUP($D267,$C$5:$AU$836,3,))*$E267)</f>
        <v>382.99456331561038</v>
      </c>
      <c r="M267" s="65">
        <f>IF(VLOOKUP($D267,$C$5:$AU$836,3,)=0,0,(VLOOKUP($D267,$C$5:$AU$836,11,)/VLOOKUP($D267,$C$5:$AU$836,3,))*$E267)</f>
        <v>261.33045875536999</v>
      </c>
      <c r="N267" s="65">
        <f>IF(VLOOKUP($D267,$C$5:$AU$836,3,)=0,0,(VLOOKUP($D267,$C$5:$AU$836,12,)/VLOOKUP($D267,$C$5:$AU$836,3,))*$E267)</f>
        <v>266.21510261467205</v>
      </c>
      <c r="O267" s="65">
        <f>IF(VLOOKUP($D267,$C$5:$AU$836,3,)=0,0,(VLOOKUP($D267,$C$5:$AU$836,13,)/VLOOKUP($D267,$C$5:$AU$836,3,))*$E267)</f>
        <v>0</v>
      </c>
      <c r="P267" s="65">
        <f>IF(VLOOKUP($D267,$C$5:$AU$836,3,)=0,0,(VLOOKUP($D267,$C$5:$AU$836,14,)/VLOOKUP($D267,$C$5:$AU$836,3,))*$E267)</f>
        <v>0</v>
      </c>
      <c r="Q267" s="65">
        <f>IF(VLOOKUP($D267,$C$5:$AU$836,3,)=0,0,(VLOOKUP($D267,$C$5:$AU$836,15,)/VLOOKUP($D267,$C$5:$AU$836,3,))*$E267)</f>
        <v>0</v>
      </c>
      <c r="R267" s="65">
        <f>IF(VLOOKUP($D267,$C$5:$AU$836,3,)=0,0,(VLOOKUP($D267,$C$5:$AU$836,16,)/VLOOKUP($D267,$C$5:$AU$836,3,))*$E267)</f>
        <v>0</v>
      </c>
      <c r="S267" s="65">
        <f>IF(VLOOKUP($D267,$C$5:$AU$836,3,)=0,0,(VLOOKUP($D267,$C$5:$AU$836,17,)/VLOOKUP($D267,$C$5:$AU$836,3,))*$E267)</f>
        <v>0</v>
      </c>
      <c r="T267" s="65">
        <f>IF(VLOOKUP($D267,$C$5:$AU$836,3,)=0,0,(VLOOKUP($D267,$C$5:$AU$836,18,)/VLOOKUP($D267,$C$5:$AU$836,3,))*$E267)</f>
        <v>0</v>
      </c>
      <c r="U267" s="65">
        <f>IF(VLOOKUP($D267,$C$5:$AU$836,3,)=0,0,(VLOOKUP($D267,$C$5:$AU$836,19,)/VLOOKUP($D267,$C$5:$AU$836,3,))*$E267)</f>
        <v>0</v>
      </c>
      <c r="V267" s="65">
        <f>IF(VLOOKUP($D267,$C$5:$AU$836,3,)=0,0,(VLOOKUP($D267,$C$5:$AU$836,20,)/VLOOKUP($D267,$C$5:$AU$836,3,))*$E267)</f>
        <v>0</v>
      </c>
      <c r="W267" s="65">
        <f>IF(VLOOKUP($D267,$C$5:$AU$836,3,)=0,0,(VLOOKUP($D267,$C$5:$AU$836,21,)/VLOOKUP($D267,$C$5:$AU$836,3,))*$E267)</f>
        <v>0</v>
      </c>
      <c r="X267" s="65">
        <f>IF(VLOOKUP($D267,$C$5:$AU$836,3,)=0,0,(VLOOKUP($D267,$C$5:$AU$836,22,)/VLOOKUP($D267,$C$5:$AU$836,3,))*$E267)</f>
        <v>0</v>
      </c>
      <c r="Y267" s="65">
        <f>IF(VLOOKUP($D267,$C$5:$AU$836,3,)=0,0,(VLOOKUP($D267,$C$5:$AU$836,23,)/VLOOKUP($D267,$C$5:$AU$836,3,))*$E267)</f>
        <v>0</v>
      </c>
      <c r="Z267" s="65">
        <f>IF(VLOOKUP($D267,$C$5:$AU$836,3,)=0,0,(VLOOKUP($D267,$C$5:$AU$836,24,)/VLOOKUP($D267,$C$5:$AU$836,3,))*$E267)</f>
        <v>0</v>
      </c>
      <c r="AA267" s="65">
        <f>IF(VLOOKUP($D267,$C$5:$AU$836,3,)=0,0,(VLOOKUP($D267,$C$5:$AU$836,25,)/VLOOKUP($D267,$C$5:$AU$836,3,))*$E267)</f>
        <v>0</v>
      </c>
      <c r="AB267" s="65">
        <f>IF(VLOOKUP($D267,$C$5:$AU$836,3,)=0,0,(VLOOKUP($D267,$C$5:$AU$836,26,)/VLOOKUP($D267,$C$5:$AU$836,3,))*$E267)</f>
        <v>0</v>
      </c>
      <c r="AC267" s="65">
        <f>IF(VLOOKUP($D267,$C$5:$AU$836,3,)=0,0,(VLOOKUP($D267,$C$5:$AU$836,27,)/VLOOKUP($D267,$C$5:$AU$836,3,))*$E267)</f>
        <v>0</v>
      </c>
      <c r="AD267" s="65">
        <f>IF(VLOOKUP($D267,$C$5:$AU$836,3,)=0,0,(VLOOKUP($D267,$C$5:$AU$836,28,)/VLOOKUP($D267,$C$5:$AU$836,3,))*$E267)</f>
        <v>0</v>
      </c>
      <c r="AE267" s="65">
        <f>IF(VLOOKUP($D267,$C$5:$AU$836,3,)=0,0,(VLOOKUP($D267,$C$5:$AU$836,29,)/VLOOKUP($D267,$C$5:$AU$836,3,))*$E267)</f>
        <v>0</v>
      </c>
      <c r="AF267" s="65">
        <f>IF(VLOOKUP($D267,$C$5:$AU$836,3,)=0,0,(VLOOKUP($D267,$C$5:$AU$836,30,)/VLOOKUP($D267,$C$5:$AU$836,3,))*$E267)</f>
        <v>0</v>
      </c>
      <c r="AG267" s="16">
        <f>SUM(F267:AF267)</f>
        <v>58046.128464852532</v>
      </c>
      <c r="AH267" s="14" t="str">
        <f>IF(ABS(E267-AG267)&lt;0.01,"ok","err")</f>
        <v>ok</v>
      </c>
    </row>
    <row r="268" spans="1:34" x14ac:dyDescent="0.25">
      <c r="A268" s="12" t="s">
        <v>223</v>
      </c>
      <c r="C268" s="2" t="s">
        <v>802</v>
      </c>
      <c r="D268" s="9" t="s">
        <v>853</v>
      </c>
      <c r="E268" s="65">
        <f>'Functional Assignment'!AC409</f>
        <v>75608.323445929258</v>
      </c>
      <c r="F268" s="65">
        <f>IF(VLOOKUP($D268,$C$5:$AU$836,3,)=0,0,(VLOOKUP($D268,$C$5:$AU$836,4,)/VLOOKUP($D268,$C$5:$AU$836,3,))*$E268)</f>
        <v>69330.654997436184</v>
      </c>
      <c r="G268" s="65">
        <f>IF(VLOOKUP($D268,$C$5:$AU$836,3,)=0,0,(VLOOKUP($D268,$C$5:$AU$836,5,)/VLOOKUP($D268,$C$5:$AU$836,3,))*$E268)</f>
        <v>4973.1080978717528</v>
      </c>
      <c r="H268" s="65">
        <f>IF(VLOOKUP($D268,$C$5:$AU$836,3,)=0,0,(VLOOKUP($D268,$C$5:$AU$836,6,)/VLOOKUP($D268,$C$5:$AU$836,3,))*$E268)</f>
        <v>485.90359227110423</v>
      </c>
      <c r="I268" s="65">
        <f>IF(VLOOKUP($D268,$C$5:$AU$836,3,)=0,0,(VLOOKUP($D268,$C$5:$AU$836,7,)/VLOOKUP($D268,$C$5:$AU$836,3,))*$E268)</f>
        <v>183.17358895998737</v>
      </c>
      <c r="J268" s="65">
        <f>IF(VLOOKUP($D268,$C$5:$AU$836,3,)=0,0,(VLOOKUP($D268,$C$5:$AU$836,8,)/VLOOKUP($D268,$C$5:$AU$836,3,))*$E268)</f>
        <v>18.646413247423865</v>
      </c>
      <c r="K268" s="65">
        <f>IF(VLOOKUP($D268,$C$5:$AU$836,3,)=0,0,(VLOOKUP($D268,$C$5:$AU$836,9,)/VLOOKUP($D268,$C$5:$AU$836,3,))*$E268)</f>
        <v>0</v>
      </c>
      <c r="L268" s="65">
        <f>IF(VLOOKUP($D268,$C$5:$AU$836,3,)=0,0,(VLOOKUP($D268,$C$5:$AU$836,10,)/VLOOKUP($D268,$C$5:$AU$836,3,))*$E268)</f>
        <v>0</v>
      </c>
      <c r="M268" s="65">
        <f>IF(VLOOKUP($D268,$C$5:$AU$836,3,)=0,0,(VLOOKUP($D268,$C$5:$AU$836,11,)/VLOOKUP($D268,$C$5:$AU$836,3,))*$E268)</f>
        <v>0</v>
      </c>
      <c r="N268" s="65">
        <f>IF(VLOOKUP($D268,$C$5:$AU$836,3,)=0,0,(VLOOKUP($D268,$C$5:$AU$836,12,)/VLOOKUP($D268,$C$5:$AU$836,3,))*$E268)</f>
        <v>616.83675614280253</v>
      </c>
      <c r="O268" s="65">
        <f>IF(VLOOKUP($D268,$C$5:$AU$836,3,)=0,0,(VLOOKUP($D268,$C$5:$AU$836,13,)/VLOOKUP($D268,$C$5:$AU$836,3,))*$E268)</f>
        <v>0</v>
      </c>
      <c r="P268" s="65">
        <f>IF(VLOOKUP($D268,$C$5:$AU$836,3,)=0,0,(VLOOKUP($D268,$C$5:$AU$836,14,)/VLOOKUP($D268,$C$5:$AU$836,3,))*$E268)</f>
        <v>0</v>
      </c>
      <c r="Q268" s="65">
        <f>IF(VLOOKUP($D268,$C$5:$AU$836,3,)=0,0,(VLOOKUP($D268,$C$5:$AU$836,15,)/VLOOKUP($D268,$C$5:$AU$836,3,))*$E268)</f>
        <v>0</v>
      </c>
      <c r="R268" s="65">
        <f>IF(VLOOKUP($D268,$C$5:$AU$836,3,)=0,0,(VLOOKUP($D268,$C$5:$AU$836,16,)/VLOOKUP($D268,$C$5:$AU$836,3,))*$E268)</f>
        <v>0</v>
      </c>
      <c r="S268" s="65">
        <f>IF(VLOOKUP($D268,$C$5:$AU$836,3,)=0,0,(VLOOKUP($D268,$C$5:$AU$836,17,)/VLOOKUP($D268,$C$5:$AU$836,3,))*$E268)</f>
        <v>0</v>
      </c>
      <c r="T268" s="65">
        <f>IF(VLOOKUP($D268,$C$5:$AU$836,3,)=0,0,(VLOOKUP($D268,$C$5:$AU$836,18,)/VLOOKUP($D268,$C$5:$AU$836,3,))*$E268)</f>
        <v>0</v>
      </c>
      <c r="U268" s="65">
        <f>IF(VLOOKUP($D268,$C$5:$AU$836,3,)=0,0,(VLOOKUP($D268,$C$5:$AU$836,19,)/VLOOKUP($D268,$C$5:$AU$836,3,))*$E268)</f>
        <v>0</v>
      </c>
      <c r="V268" s="65">
        <f>IF(VLOOKUP($D268,$C$5:$AU$836,3,)=0,0,(VLOOKUP($D268,$C$5:$AU$836,20,)/VLOOKUP($D268,$C$5:$AU$836,3,))*$E268)</f>
        <v>0</v>
      </c>
      <c r="W268" s="65">
        <f>IF(VLOOKUP($D268,$C$5:$AU$836,3,)=0,0,(VLOOKUP($D268,$C$5:$AU$836,21,)/VLOOKUP($D268,$C$5:$AU$836,3,))*$E268)</f>
        <v>0</v>
      </c>
      <c r="X268" s="65">
        <f>IF(VLOOKUP($D268,$C$5:$AU$836,3,)=0,0,(VLOOKUP($D268,$C$5:$AU$836,22,)/VLOOKUP($D268,$C$5:$AU$836,3,))*$E268)</f>
        <v>0</v>
      </c>
      <c r="Y268" s="65">
        <f>IF(VLOOKUP($D268,$C$5:$AU$836,3,)=0,0,(VLOOKUP($D268,$C$5:$AU$836,23,)/VLOOKUP($D268,$C$5:$AU$836,3,))*$E268)</f>
        <v>0</v>
      </c>
      <c r="Z268" s="65">
        <f>IF(VLOOKUP($D268,$C$5:$AU$836,3,)=0,0,(VLOOKUP($D268,$C$5:$AU$836,24,)/VLOOKUP($D268,$C$5:$AU$836,3,))*$E268)</f>
        <v>0</v>
      </c>
      <c r="AA268" s="65">
        <f>IF(VLOOKUP($D268,$C$5:$AU$836,3,)=0,0,(VLOOKUP($D268,$C$5:$AU$836,25,)/VLOOKUP($D268,$C$5:$AU$836,3,))*$E268)</f>
        <v>0</v>
      </c>
      <c r="AB268" s="65">
        <f>IF(VLOOKUP($D268,$C$5:$AU$836,3,)=0,0,(VLOOKUP($D268,$C$5:$AU$836,26,)/VLOOKUP($D268,$C$5:$AU$836,3,))*$E268)</f>
        <v>0</v>
      </c>
      <c r="AC268" s="65">
        <f>IF(VLOOKUP($D268,$C$5:$AU$836,3,)=0,0,(VLOOKUP($D268,$C$5:$AU$836,27,)/VLOOKUP($D268,$C$5:$AU$836,3,))*$E268)</f>
        <v>0</v>
      </c>
      <c r="AD268" s="65">
        <f>IF(VLOOKUP($D268,$C$5:$AU$836,3,)=0,0,(VLOOKUP($D268,$C$5:$AU$836,28,)/VLOOKUP($D268,$C$5:$AU$836,3,))*$E268)</f>
        <v>0</v>
      </c>
      <c r="AE268" s="65">
        <f>IF(VLOOKUP($D268,$C$5:$AU$836,3,)=0,0,(VLOOKUP($D268,$C$5:$AU$836,29,)/VLOOKUP($D268,$C$5:$AU$836,3,))*$E268)</f>
        <v>0</v>
      </c>
      <c r="AF268" s="65">
        <f>IF(VLOOKUP($D268,$C$5:$AU$836,3,)=0,0,(VLOOKUP($D268,$C$5:$AU$836,30,)/VLOOKUP($D268,$C$5:$AU$836,3,))*$E268)</f>
        <v>0</v>
      </c>
      <c r="AG268" s="16">
        <f>SUM(F268:AF268)</f>
        <v>75608.323445929243</v>
      </c>
      <c r="AH268" s="14" t="str">
        <f>IF(ABS(E268-AG268)&lt;0.01,"ok","err")</f>
        <v>ok</v>
      </c>
    </row>
    <row r="269" spans="1:34" x14ac:dyDescent="0.25">
      <c r="A269" s="9" t="s">
        <v>841</v>
      </c>
      <c r="E269" s="65">
        <f t="shared" ref="E269:AF269" si="168">E267+E268</f>
        <v>133654.45191078179</v>
      </c>
      <c r="F269" s="65">
        <f t="shared" si="168"/>
        <v>106913.72306121857</v>
      </c>
      <c r="G269" s="65">
        <f t="shared" si="168"/>
        <v>12723.315218463842</v>
      </c>
      <c r="H269" s="65">
        <f t="shared" si="168"/>
        <v>8508.6599199641332</v>
      </c>
      <c r="I269" s="65">
        <f t="shared" si="168"/>
        <v>2944.1140381515056</v>
      </c>
      <c r="J269" s="65">
        <f t="shared" si="168"/>
        <v>1037.2627921552869</v>
      </c>
      <c r="K269" s="65">
        <f t="shared" si="168"/>
        <v>0</v>
      </c>
      <c r="L269" s="65">
        <f t="shared" si="168"/>
        <v>382.99456331561038</v>
      </c>
      <c r="M269" s="65">
        <f t="shared" si="168"/>
        <v>261.33045875536999</v>
      </c>
      <c r="N269" s="65">
        <f t="shared" si="168"/>
        <v>883.05185875747452</v>
      </c>
      <c r="O269" s="65">
        <f t="shared" si="168"/>
        <v>0</v>
      </c>
      <c r="P269" s="65">
        <f t="shared" si="168"/>
        <v>0</v>
      </c>
      <c r="Q269" s="65">
        <f t="shared" si="168"/>
        <v>0</v>
      </c>
      <c r="R269" s="65">
        <f t="shared" si="168"/>
        <v>0</v>
      </c>
      <c r="S269" s="65">
        <f t="shared" si="168"/>
        <v>0</v>
      </c>
      <c r="T269" s="65">
        <f t="shared" si="168"/>
        <v>0</v>
      </c>
      <c r="U269" s="65">
        <f t="shared" si="168"/>
        <v>0</v>
      </c>
      <c r="V269" s="65">
        <f t="shared" si="168"/>
        <v>0</v>
      </c>
      <c r="W269" s="65">
        <f t="shared" si="168"/>
        <v>0</v>
      </c>
      <c r="X269" s="65">
        <f t="shared" si="168"/>
        <v>0</v>
      </c>
      <c r="Y269" s="65">
        <f t="shared" si="168"/>
        <v>0</v>
      </c>
      <c r="Z269" s="65">
        <f t="shared" si="168"/>
        <v>0</v>
      </c>
      <c r="AA269" s="65">
        <f t="shared" si="168"/>
        <v>0</v>
      </c>
      <c r="AB269" s="65">
        <f t="shared" si="168"/>
        <v>0</v>
      </c>
      <c r="AC269" s="65">
        <f t="shared" si="168"/>
        <v>0</v>
      </c>
      <c r="AD269" s="65">
        <f t="shared" si="168"/>
        <v>0</v>
      </c>
      <c r="AE269" s="65">
        <f t="shared" si="168"/>
        <v>0</v>
      </c>
      <c r="AF269" s="65">
        <f t="shared" si="168"/>
        <v>0</v>
      </c>
      <c r="AG269" s="16">
        <f>SUM(F269:AF269)</f>
        <v>133654.45191078182</v>
      </c>
      <c r="AH269" s="14" t="str">
        <f>IF(ABS(E269-AG269)&lt;0.01,"ok","err")</f>
        <v>ok</v>
      </c>
    </row>
    <row r="270" spans="1:34" x14ac:dyDescent="0.25">
      <c r="E270" s="31"/>
    </row>
    <row r="271" spans="1:34" x14ac:dyDescent="0.25">
      <c r="A271" s="8" t="s">
        <v>5</v>
      </c>
      <c r="E271" s="31"/>
    </row>
    <row r="272" spans="1:34" x14ac:dyDescent="0.25">
      <c r="A272" s="12" t="s">
        <v>214</v>
      </c>
      <c r="C272" s="2" t="s">
        <v>269</v>
      </c>
      <c r="D272" s="2" t="s">
        <v>611</v>
      </c>
      <c r="E272" s="65">
        <f>'Functional Assignment'!AE409</f>
        <v>0</v>
      </c>
      <c r="F272" s="65">
        <f>IF(VLOOKUP($D272,$C$5:$AU$836,3,)=0,0,(VLOOKUP($D272,$C$5:$AU$836,4,)/VLOOKUP($D272,$C$5:$AU$836,3,))*$E272)</f>
        <v>0</v>
      </c>
      <c r="G272" s="65">
        <f>IF(VLOOKUP($D272,$C$5:$AU$836,3,)=0,0,(VLOOKUP($D272,$C$5:$AU$836,5,)/VLOOKUP($D272,$C$5:$AU$836,3,))*$E272)</f>
        <v>0</v>
      </c>
      <c r="H272" s="65">
        <f>IF(VLOOKUP($D272,$C$5:$AU$836,3,)=0,0,(VLOOKUP($D272,$C$5:$AU$836,6,)/VLOOKUP($D272,$C$5:$AU$836,3,))*$E272)</f>
        <v>0</v>
      </c>
      <c r="I272" s="65">
        <f>IF(VLOOKUP($D272,$C$5:$AU$836,3,)=0,0,(VLOOKUP($D272,$C$5:$AU$836,7,)/VLOOKUP($D272,$C$5:$AU$836,3,))*$E272)</f>
        <v>0</v>
      </c>
      <c r="J272" s="65">
        <f>IF(VLOOKUP($D272,$C$5:$AU$836,3,)=0,0,(VLOOKUP($D272,$C$5:$AU$836,8,)/VLOOKUP($D272,$C$5:$AU$836,3,))*$E272)</f>
        <v>0</v>
      </c>
      <c r="K272" s="65">
        <f>IF(VLOOKUP($D272,$C$5:$AU$836,3,)=0,0,(VLOOKUP($D272,$C$5:$AU$836,9,)/VLOOKUP($D272,$C$5:$AU$836,3,))*$E272)</f>
        <v>0</v>
      </c>
      <c r="L272" s="65">
        <f>IF(VLOOKUP($D272,$C$5:$AU$836,3,)=0,0,(VLOOKUP($D272,$C$5:$AU$836,10,)/VLOOKUP($D272,$C$5:$AU$836,3,))*$E272)</f>
        <v>0</v>
      </c>
      <c r="M272" s="65">
        <f>IF(VLOOKUP($D272,$C$5:$AU$836,3,)=0,0,(VLOOKUP($D272,$C$5:$AU$836,11,)/VLOOKUP($D272,$C$5:$AU$836,3,))*$E272)</f>
        <v>0</v>
      </c>
      <c r="N272" s="65">
        <f>IF(VLOOKUP($D272,$C$5:$AU$836,3,)=0,0,(VLOOKUP($D272,$C$5:$AU$836,12,)/VLOOKUP($D272,$C$5:$AU$836,3,))*$E272)</f>
        <v>0</v>
      </c>
      <c r="O272" s="65">
        <f>IF(VLOOKUP($D272,$C$5:$AU$836,3,)=0,0,(VLOOKUP($D272,$C$5:$AU$836,13,)/VLOOKUP($D272,$C$5:$AU$836,3,))*$E272)</f>
        <v>0</v>
      </c>
      <c r="P272" s="65">
        <f>IF(VLOOKUP($D272,$C$5:$AU$836,3,)=0,0,(VLOOKUP($D272,$C$5:$AU$836,14,)/VLOOKUP($D272,$C$5:$AU$836,3,))*$E272)</f>
        <v>0</v>
      </c>
      <c r="Q272" s="65">
        <f>IF(VLOOKUP($D272,$C$5:$AU$836,3,)=0,0,(VLOOKUP($D272,$C$5:$AU$836,15,)/VLOOKUP($D272,$C$5:$AU$836,3,))*$E272)</f>
        <v>0</v>
      </c>
      <c r="R272" s="65">
        <f>IF(VLOOKUP($D272,$C$5:$AU$836,3,)=0,0,(VLOOKUP($D272,$C$5:$AU$836,16,)/VLOOKUP($D272,$C$5:$AU$836,3,))*$E272)</f>
        <v>0</v>
      </c>
      <c r="S272" s="65">
        <f>IF(VLOOKUP($D272,$C$5:$AU$836,3,)=0,0,(VLOOKUP($D272,$C$5:$AU$836,17,)/VLOOKUP($D272,$C$5:$AU$836,3,))*$E272)</f>
        <v>0</v>
      </c>
      <c r="T272" s="65">
        <f>IF(VLOOKUP($D272,$C$5:$AU$836,3,)=0,0,(VLOOKUP($D272,$C$5:$AU$836,18,)/VLOOKUP($D272,$C$5:$AU$836,3,))*$E272)</f>
        <v>0</v>
      </c>
      <c r="U272" s="65">
        <f>IF(VLOOKUP($D272,$C$5:$AU$836,3,)=0,0,(VLOOKUP($D272,$C$5:$AU$836,19,)/VLOOKUP($D272,$C$5:$AU$836,3,))*$E272)</f>
        <v>0</v>
      </c>
      <c r="V272" s="65">
        <f>IF(VLOOKUP($D272,$C$5:$AU$836,3,)=0,0,(VLOOKUP($D272,$C$5:$AU$836,20,)/VLOOKUP($D272,$C$5:$AU$836,3,))*$E272)</f>
        <v>0</v>
      </c>
      <c r="W272" s="65">
        <f>IF(VLOOKUP($D272,$C$5:$AU$836,3,)=0,0,(VLOOKUP($D272,$C$5:$AU$836,21,)/VLOOKUP($D272,$C$5:$AU$836,3,))*$E272)</f>
        <v>0</v>
      </c>
      <c r="X272" s="65">
        <f>IF(VLOOKUP($D272,$C$5:$AU$836,3,)=0,0,(VLOOKUP($D272,$C$5:$AU$836,22,)/VLOOKUP($D272,$C$5:$AU$836,3,))*$E272)</f>
        <v>0</v>
      </c>
      <c r="Y272" s="65">
        <f>IF(VLOOKUP($D272,$C$5:$AU$836,3,)=0,0,(VLOOKUP($D272,$C$5:$AU$836,23,)/VLOOKUP($D272,$C$5:$AU$836,3,))*$E272)</f>
        <v>0</v>
      </c>
      <c r="Z272" s="65">
        <f>IF(VLOOKUP($D272,$C$5:$AU$836,3,)=0,0,(VLOOKUP($D272,$C$5:$AU$836,24,)/VLOOKUP($D272,$C$5:$AU$836,3,))*$E272)</f>
        <v>0</v>
      </c>
      <c r="AA272" s="65">
        <f>IF(VLOOKUP($D272,$C$5:$AU$836,3,)=0,0,(VLOOKUP($D272,$C$5:$AU$836,25,)/VLOOKUP($D272,$C$5:$AU$836,3,))*$E272)</f>
        <v>0</v>
      </c>
      <c r="AB272" s="65">
        <f>IF(VLOOKUP($D272,$C$5:$AU$836,3,)=0,0,(VLOOKUP($D272,$C$5:$AU$836,26,)/VLOOKUP($D272,$C$5:$AU$836,3,))*$E272)</f>
        <v>0</v>
      </c>
      <c r="AC272" s="65">
        <f>IF(VLOOKUP($D272,$C$5:$AU$836,3,)=0,0,(VLOOKUP($D272,$C$5:$AU$836,27,)/VLOOKUP($D272,$C$5:$AU$836,3,))*$E272)</f>
        <v>0</v>
      </c>
      <c r="AD272" s="65">
        <f>IF(VLOOKUP($D272,$C$5:$AU$836,3,)=0,0,(VLOOKUP($D272,$C$5:$AU$836,28,)/VLOOKUP($D272,$C$5:$AU$836,3,))*$E272)</f>
        <v>0</v>
      </c>
      <c r="AE272" s="65">
        <f>IF(VLOOKUP($D272,$C$5:$AU$836,3,)=0,0,(VLOOKUP($D272,$C$5:$AU$836,29,)/VLOOKUP($D272,$C$5:$AU$836,3,))*$E272)</f>
        <v>0</v>
      </c>
      <c r="AF272" s="65">
        <f>IF(VLOOKUP($D272,$C$5:$AU$836,3,)=0,0,(VLOOKUP($D272,$C$5:$AU$836,30,)/VLOOKUP($D272,$C$5:$AU$836,3,))*$E272)</f>
        <v>0</v>
      </c>
      <c r="AG272" s="16">
        <f>SUM(F272:AF272)</f>
        <v>0</v>
      </c>
      <c r="AH272" s="14" t="str">
        <f>IF(ABS(E272-AG272)&lt;0.01,"ok","err")</f>
        <v>ok</v>
      </c>
    </row>
    <row r="273" spans="1:34" x14ac:dyDescent="0.25">
      <c r="A273" s="12" t="s">
        <v>223</v>
      </c>
      <c r="C273" s="2" t="s">
        <v>270</v>
      </c>
      <c r="D273" s="2" t="s">
        <v>228</v>
      </c>
      <c r="E273" s="65">
        <f>'Functional Assignment'!AF409</f>
        <v>90468.488866458938</v>
      </c>
      <c r="F273" s="65">
        <f>IF(VLOOKUP($D273,$C$5:$AU$836,3,)=0,0,(VLOOKUP($D273,$C$5:$AU$836,4,)/VLOOKUP($D273,$C$5:$AU$836,3,))*$E273)</f>
        <v>71242.291653046195</v>
      </c>
      <c r="G273" s="65">
        <f>IF(VLOOKUP($D273,$C$5:$AU$836,3,)=0,0,(VLOOKUP($D273,$C$5:$AU$836,5,)/VLOOKUP($D273,$C$5:$AU$836,3,))*$E273)</f>
        <v>8110.6439051443922</v>
      </c>
      <c r="H273" s="65">
        <f>IF(VLOOKUP($D273,$C$5:$AU$836,3,)=0,0,(VLOOKUP($D273,$C$5:$AU$836,6,)/VLOOKUP($D273,$C$5:$AU$836,3,))*$E273)</f>
        <v>1014.3116185120546</v>
      </c>
      <c r="I273" s="65">
        <f>IF(VLOOKUP($D273,$C$5:$AU$836,3,)=0,0,(VLOOKUP($D273,$C$5:$AU$836,7,)/VLOOKUP($D273,$C$5:$AU$836,3,))*$E273)</f>
        <v>319.89387630004893</v>
      </c>
      <c r="J273" s="65">
        <f>IF(VLOOKUP($D273,$C$5:$AU$836,3,)=0,0,(VLOOKUP($D273,$C$5:$AU$836,8,)/VLOOKUP($D273,$C$5:$AU$836,3,))*$E273)</f>
        <v>31.538832874652712</v>
      </c>
      <c r="K273" s="65">
        <f>IF(VLOOKUP($D273,$C$5:$AU$836,3,)=0,0,(VLOOKUP($D273,$C$5:$AU$836,9,)/VLOOKUP($D273,$C$5:$AU$836,3,))*$E273)</f>
        <v>0.67454663793091163</v>
      </c>
      <c r="L273" s="65">
        <f>IF(VLOOKUP($D273,$C$5:$AU$836,3,)=0,0,(VLOOKUP($D273,$C$5:$AU$836,10,)/VLOOKUP($D273,$C$5:$AU$836,3,))*$E273)</f>
        <v>1.3490932758618233</v>
      </c>
      <c r="M273" s="65">
        <f>IF(VLOOKUP($D273,$C$5:$AU$836,3,)=0,0,(VLOOKUP($D273,$C$5:$AU$836,11,)/VLOOKUP($D273,$C$5:$AU$836,3,))*$E273)</f>
        <v>5.396373103447293</v>
      </c>
      <c r="N273" s="65">
        <f>IF(VLOOKUP($D273,$C$5:$AU$836,3,)=0,0,(VLOOKUP($D273,$C$5:$AU$836,12,)/VLOOKUP($D273,$C$5:$AU$836,3,))*$E273)</f>
        <v>9742.3889675643513</v>
      </c>
      <c r="O273" s="65">
        <f>IF(VLOOKUP($D273,$C$5:$AU$836,3,)=0,0,(VLOOKUP($D273,$C$5:$AU$836,13,)/VLOOKUP($D273,$C$5:$AU$836,3,))*$E273)</f>
        <v>0</v>
      </c>
      <c r="P273" s="65">
        <f>IF(VLOOKUP($D273,$C$5:$AU$836,3,)=0,0,(VLOOKUP($D273,$C$5:$AU$836,14,)/VLOOKUP($D273,$C$5:$AU$836,3,))*$E273)</f>
        <v>0</v>
      </c>
      <c r="Q273" s="65">
        <f>IF(VLOOKUP($D273,$C$5:$AU$836,3,)=0,0,(VLOOKUP($D273,$C$5:$AU$836,15,)/VLOOKUP($D273,$C$5:$AU$836,3,))*$E273)</f>
        <v>0</v>
      </c>
      <c r="R273" s="65">
        <f>IF(VLOOKUP($D273,$C$5:$AU$836,3,)=0,0,(VLOOKUP($D273,$C$5:$AU$836,16,)/VLOOKUP($D273,$C$5:$AU$836,3,))*$E273)</f>
        <v>0</v>
      </c>
      <c r="S273" s="65">
        <f>IF(VLOOKUP($D273,$C$5:$AU$836,3,)=0,0,(VLOOKUP($D273,$C$5:$AU$836,17,)/VLOOKUP($D273,$C$5:$AU$836,3,))*$E273)</f>
        <v>0</v>
      </c>
      <c r="T273" s="65">
        <f>IF(VLOOKUP($D273,$C$5:$AU$836,3,)=0,0,(VLOOKUP($D273,$C$5:$AU$836,18,)/VLOOKUP($D273,$C$5:$AU$836,3,))*$E273)</f>
        <v>0</v>
      </c>
      <c r="U273" s="65">
        <f>IF(VLOOKUP($D273,$C$5:$AU$836,3,)=0,0,(VLOOKUP($D273,$C$5:$AU$836,19,)/VLOOKUP($D273,$C$5:$AU$836,3,))*$E273)</f>
        <v>0</v>
      </c>
      <c r="V273" s="65">
        <f>IF(VLOOKUP($D273,$C$5:$AU$836,3,)=0,0,(VLOOKUP($D273,$C$5:$AU$836,20,)/VLOOKUP($D273,$C$5:$AU$836,3,))*$E273)</f>
        <v>0</v>
      </c>
      <c r="W273" s="65">
        <f>IF(VLOOKUP($D273,$C$5:$AU$836,3,)=0,0,(VLOOKUP($D273,$C$5:$AU$836,21,)/VLOOKUP($D273,$C$5:$AU$836,3,))*$E273)</f>
        <v>0</v>
      </c>
      <c r="X273" s="65">
        <f>IF(VLOOKUP($D273,$C$5:$AU$836,3,)=0,0,(VLOOKUP($D273,$C$5:$AU$836,22,)/VLOOKUP($D273,$C$5:$AU$836,3,))*$E273)</f>
        <v>0</v>
      </c>
      <c r="Y273" s="65">
        <f>IF(VLOOKUP($D273,$C$5:$AU$836,3,)=0,0,(VLOOKUP($D273,$C$5:$AU$836,23,)/VLOOKUP($D273,$C$5:$AU$836,3,))*$E273)</f>
        <v>0</v>
      </c>
      <c r="Z273" s="65">
        <f>IF(VLOOKUP($D273,$C$5:$AU$836,3,)=0,0,(VLOOKUP($D273,$C$5:$AU$836,24,)/VLOOKUP($D273,$C$5:$AU$836,3,))*$E273)</f>
        <v>0</v>
      </c>
      <c r="AA273" s="65">
        <f>IF(VLOOKUP($D273,$C$5:$AU$836,3,)=0,0,(VLOOKUP($D273,$C$5:$AU$836,25,)/VLOOKUP($D273,$C$5:$AU$836,3,))*$E273)</f>
        <v>0</v>
      </c>
      <c r="AB273" s="65">
        <f>IF(VLOOKUP($D273,$C$5:$AU$836,3,)=0,0,(VLOOKUP($D273,$C$5:$AU$836,26,)/VLOOKUP($D273,$C$5:$AU$836,3,))*$E273)</f>
        <v>0</v>
      </c>
      <c r="AC273" s="65">
        <f>IF(VLOOKUP($D273,$C$5:$AU$836,3,)=0,0,(VLOOKUP($D273,$C$5:$AU$836,27,)/VLOOKUP($D273,$C$5:$AU$836,3,))*$E273)</f>
        <v>0</v>
      </c>
      <c r="AD273" s="65">
        <f>IF(VLOOKUP($D273,$C$5:$AU$836,3,)=0,0,(VLOOKUP($D273,$C$5:$AU$836,28,)/VLOOKUP($D273,$C$5:$AU$836,3,))*$E273)</f>
        <v>0</v>
      </c>
      <c r="AE273" s="65">
        <f>IF(VLOOKUP($D273,$C$5:$AU$836,3,)=0,0,(VLOOKUP($D273,$C$5:$AU$836,29,)/VLOOKUP($D273,$C$5:$AU$836,3,))*$E273)</f>
        <v>0</v>
      </c>
      <c r="AF273" s="65">
        <f>IF(VLOOKUP($D273,$C$5:$AU$836,3,)=0,0,(VLOOKUP($D273,$C$5:$AU$836,30,)/VLOOKUP($D273,$C$5:$AU$836,3,))*$E273)</f>
        <v>0</v>
      </c>
      <c r="AG273" s="16">
        <f>SUM(F273:AF273)</f>
        <v>90468.488866458938</v>
      </c>
      <c r="AH273" s="14" t="str">
        <f>IF(ABS(E273-AG273)&lt;0.01,"ok","err")</f>
        <v>ok</v>
      </c>
    </row>
    <row r="274" spans="1:34" x14ac:dyDescent="0.25">
      <c r="A274" s="2" t="s">
        <v>229</v>
      </c>
      <c r="E274" s="65">
        <f t="shared" ref="E274:N274" si="169">E272+E273</f>
        <v>90468.488866458938</v>
      </c>
      <c r="F274" s="65">
        <f t="shared" si="169"/>
        <v>71242.291653046195</v>
      </c>
      <c r="G274" s="65">
        <f t="shared" si="169"/>
        <v>8110.6439051443922</v>
      </c>
      <c r="H274" s="65">
        <f t="shared" si="169"/>
        <v>1014.3116185120546</v>
      </c>
      <c r="I274" s="65">
        <f t="shared" si="169"/>
        <v>319.89387630004893</v>
      </c>
      <c r="J274" s="65">
        <f t="shared" si="169"/>
        <v>31.538832874652712</v>
      </c>
      <c r="K274" s="65">
        <f t="shared" si="169"/>
        <v>0.67454663793091163</v>
      </c>
      <c r="L274" s="65">
        <f t="shared" si="169"/>
        <v>1.3490932758618233</v>
      </c>
      <c r="M274" s="65">
        <f t="shared" si="169"/>
        <v>5.396373103447293</v>
      </c>
      <c r="N274" s="65">
        <f t="shared" si="169"/>
        <v>9742.3889675643513</v>
      </c>
      <c r="O274" s="65">
        <f t="shared" ref="O274:T274" si="170">O272+O273</f>
        <v>0</v>
      </c>
      <c r="P274" s="65">
        <f t="shared" si="170"/>
        <v>0</v>
      </c>
      <c r="Q274" s="65">
        <f t="shared" si="170"/>
        <v>0</v>
      </c>
      <c r="R274" s="65">
        <f t="shared" si="170"/>
        <v>0</v>
      </c>
      <c r="S274" s="65">
        <f t="shared" si="170"/>
        <v>0</v>
      </c>
      <c r="T274" s="65">
        <f t="shared" si="170"/>
        <v>0</v>
      </c>
      <c r="U274" s="65">
        <f t="shared" ref="U274:AF274" si="171">U272+U273</f>
        <v>0</v>
      </c>
      <c r="V274" s="65">
        <f t="shared" si="171"/>
        <v>0</v>
      </c>
      <c r="W274" s="65">
        <f t="shared" si="171"/>
        <v>0</v>
      </c>
      <c r="X274" s="65">
        <f t="shared" si="171"/>
        <v>0</v>
      </c>
      <c r="Y274" s="65">
        <f t="shared" si="171"/>
        <v>0</v>
      </c>
      <c r="Z274" s="65">
        <f t="shared" si="171"/>
        <v>0</v>
      </c>
      <c r="AA274" s="65">
        <f t="shared" si="171"/>
        <v>0</v>
      </c>
      <c r="AB274" s="65">
        <f t="shared" si="171"/>
        <v>0</v>
      </c>
      <c r="AC274" s="65">
        <f t="shared" si="171"/>
        <v>0</v>
      </c>
      <c r="AD274" s="65">
        <f t="shared" si="171"/>
        <v>0</v>
      </c>
      <c r="AE274" s="65">
        <f t="shared" si="171"/>
        <v>0</v>
      </c>
      <c r="AF274" s="65">
        <f t="shared" si="171"/>
        <v>0</v>
      </c>
      <c r="AG274" s="16">
        <f>SUM(F274:AF274)</f>
        <v>90468.488866458938</v>
      </c>
      <c r="AH274" s="14" t="str">
        <f>IF(ABS(E274-AG274)&lt;0.01,"ok","err")</f>
        <v>ok</v>
      </c>
    </row>
    <row r="275" spans="1:34" x14ac:dyDescent="0.25">
      <c r="E275" s="31"/>
    </row>
    <row r="276" spans="1:34" x14ac:dyDescent="0.25">
      <c r="A276" s="8" t="s">
        <v>6</v>
      </c>
      <c r="E276" s="31"/>
    </row>
    <row r="277" spans="1:34" x14ac:dyDescent="0.25">
      <c r="A277" s="12" t="s">
        <v>223</v>
      </c>
      <c r="C277" s="2" t="s">
        <v>271</v>
      </c>
      <c r="D277" s="2" t="s">
        <v>231</v>
      </c>
      <c r="E277" s="65">
        <f>'Functional Assignment'!AH409</f>
        <v>895263.11557866633</v>
      </c>
      <c r="F277" s="65">
        <f>IF(VLOOKUP($D277,$C$5:$AU$836,3,)=0,0,(VLOOKUP($D277,$C$5:$AU$836,4,)/VLOOKUP($D277,$C$5:$AU$836,3,))*$E277)</f>
        <v>592867.66485867498</v>
      </c>
      <c r="G277" s="65">
        <f>IF(VLOOKUP($D277,$C$5:$AU$836,3,)=0,0,(VLOOKUP($D277,$C$5:$AU$836,5,)/VLOOKUP($D277,$C$5:$AU$836,3,))*$E277)</f>
        <v>232651.71011648999</v>
      </c>
      <c r="H277" s="65">
        <f>IF(VLOOKUP($D277,$C$5:$AU$836,3,)=0,0,(VLOOKUP($D277,$C$5:$AU$836,6,)/VLOOKUP($D277,$C$5:$AU$836,3,))*$E277)</f>
        <v>55486.365464693627</v>
      </c>
      <c r="I277" s="65">
        <f>IF(VLOOKUP($D277,$C$5:$AU$836,3,)=0,0,(VLOOKUP($D277,$C$5:$AU$836,7,)/VLOOKUP($D277,$C$5:$AU$836,3,))*$E277)</f>
        <v>6446.3520056610832</v>
      </c>
      <c r="J277" s="65">
        <f>IF(VLOOKUP($D277,$C$5:$AU$836,3,)=0,0,(VLOOKUP($D277,$C$5:$AU$836,8,)/VLOOKUP($D277,$C$5:$AU$836,3,))*$E277)</f>
        <v>2098.2688850241079</v>
      </c>
      <c r="K277" s="65">
        <f>IF(VLOOKUP($D277,$C$5:$AU$836,3,)=0,0,(VLOOKUP($D277,$C$5:$AU$836,9,)/VLOOKUP($D277,$C$5:$AU$836,3,))*$E277)</f>
        <v>579.85886191293923</v>
      </c>
      <c r="L277" s="65">
        <f>IF(VLOOKUP($D277,$C$5:$AU$836,3,)=0,0,(VLOOKUP($D277,$C$5:$AU$836,10,)/VLOOKUP($D277,$C$5:$AU$836,3,))*$E277)</f>
        <v>1159.7177238258785</v>
      </c>
      <c r="M277" s="65">
        <f>IF(VLOOKUP($D277,$C$5:$AU$836,3,)=0,0,(VLOOKUP($D277,$C$5:$AU$836,11,)/VLOOKUP($D277,$C$5:$AU$836,3,))*$E277)</f>
        <v>825.91739213257461</v>
      </c>
      <c r="N277" s="65">
        <f>IF(VLOOKUP($D277,$C$5:$AU$836,3,)=0,0,(VLOOKUP($D277,$C$5:$AU$836,12,)/VLOOKUP($D277,$C$5:$AU$836,3,))*$E277)</f>
        <v>3147.2602702511499</v>
      </c>
      <c r="O277" s="65">
        <f>IF(VLOOKUP($D277,$C$5:$AU$836,3,)=0,0,(VLOOKUP($D277,$C$5:$AU$836,13,)/VLOOKUP($D277,$C$5:$AU$836,3,))*$E277)</f>
        <v>0</v>
      </c>
      <c r="P277" s="65">
        <f>IF(VLOOKUP($D277,$C$5:$AU$836,3,)=0,0,(VLOOKUP($D277,$C$5:$AU$836,14,)/VLOOKUP($D277,$C$5:$AU$836,3,))*$E277)</f>
        <v>0</v>
      </c>
      <c r="Q277" s="65">
        <f>IF(VLOOKUP($D277,$C$5:$AU$836,3,)=0,0,(VLOOKUP($D277,$C$5:$AU$836,15,)/VLOOKUP($D277,$C$5:$AU$836,3,))*$E277)</f>
        <v>0</v>
      </c>
      <c r="R277" s="65">
        <f>IF(VLOOKUP($D277,$C$5:$AU$836,3,)=0,0,(VLOOKUP($D277,$C$5:$AU$836,16,)/VLOOKUP($D277,$C$5:$AU$836,3,))*$E277)</f>
        <v>0</v>
      </c>
      <c r="S277" s="65">
        <f>IF(VLOOKUP($D277,$C$5:$AU$836,3,)=0,0,(VLOOKUP($D277,$C$5:$AU$836,17,)/VLOOKUP($D277,$C$5:$AU$836,3,))*$E277)</f>
        <v>0</v>
      </c>
      <c r="T277" s="65">
        <f>IF(VLOOKUP($D277,$C$5:$AU$836,3,)=0,0,(VLOOKUP($D277,$C$5:$AU$836,18,)/VLOOKUP($D277,$C$5:$AU$836,3,))*$E277)</f>
        <v>0</v>
      </c>
      <c r="U277" s="65">
        <f>IF(VLOOKUP($D277,$C$5:$AU$836,3,)=0,0,(VLOOKUP($D277,$C$5:$AU$836,19,)/VLOOKUP($D277,$C$5:$AU$836,3,))*$E277)</f>
        <v>0</v>
      </c>
      <c r="V277" s="65">
        <f>IF(VLOOKUP($D277,$C$5:$AU$836,3,)=0,0,(VLOOKUP($D277,$C$5:$AU$836,20,)/VLOOKUP($D277,$C$5:$AU$836,3,))*$E277)</f>
        <v>0</v>
      </c>
      <c r="W277" s="65">
        <f>IF(VLOOKUP($D277,$C$5:$AU$836,3,)=0,0,(VLOOKUP($D277,$C$5:$AU$836,21,)/VLOOKUP($D277,$C$5:$AU$836,3,))*$E277)</f>
        <v>0</v>
      </c>
      <c r="X277" s="65">
        <f>IF(VLOOKUP($D277,$C$5:$AU$836,3,)=0,0,(VLOOKUP($D277,$C$5:$AU$836,22,)/VLOOKUP($D277,$C$5:$AU$836,3,))*$E277)</f>
        <v>0</v>
      </c>
      <c r="Y277" s="65">
        <f>IF(VLOOKUP($D277,$C$5:$AU$836,3,)=0,0,(VLOOKUP($D277,$C$5:$AU$836,23,)/VLOOKUP($D277,$C$5:$AU$836,3,))*$E277)</f>
        <v>0</v>
      </c>
      <c r="Z277" s="65">
        <f>IF(VLOOKUP($D277,$C$5:$AU$836,3,)=0,0,(VLOOKUP($D277,$C$5:$AU$836,24,)/VLOOKUP($D277,$C$5:$AU$836,3,))*$E277)</f>
        <v>0</v>
      </c>
      <c r="AA277" s="65">
        <f>IF(VLOOKUP($D277,$C$5:$AU$836,3,)=0,0,(VLOOKUP($D277,$C$5:$AU$836,25,)/VLOOKUP($D277,$C$5:$AU$836,3,))*$E277)</f>
        <v>0</v>
      </c>
      <c r="AB277" s="65">
        <f>IF(VLOOKUP($D277,$C$5:$AU$836,3,)=0,0,(VLOOKUP($D277,$C$5:$AU$836,26,)/VLOOKUP($D277,$C$5:$AU$836,3,))*$E277)</f>
        <v>0</v>
      </c>
      <c r="AC277" s="65">
        <f>IF(VLOOKUP($D277,$C$5:$AU$836,3,)=0,0,(VLOOKUP($D277,$C$5:$AU$836,27,)/VLOOKUP($D277,$C$5:$AU$836,3,))*$E277)</f>
        <v>0</v>
      </c>
      <c r="AD277" s="65">
        <f>IF(VLOOKUP($D277,$C$5:$AU$836,3,)=0,0,(VLOOKUP($D277,$C$5:$AU$836,28,)/VLOOKUP($D277,$C$5:$AU$836,3,))*$E277)</f>
        <v>0</v>
      </c>
      <c r="AE277" s="65">
        <f>IF(VLOOKUP($D277,$C$5:$AU$836,3,)=0,0,(VLOOKUP($D277,$C$5:$AU$836,29,)/VLOOKUP($D277,$C$5:$AU$836,3,))*$E277)</f>
        <v>0</v>
      </c>
      <c r="AF277" s="65">
        <f>IF(VLOOKUP($D277,$C$5:$AU$836,3,)=0,0,(VLOOKUP($D277,$C$5:$AU$836,30,)/VLOOKUP($D277,$C$5:$AU$836,3,))*$E277)</f>
        <v>0</v>
      </c>
      <c r="AG277" s="16">
        <f>SUM(F277:AF277)</f>
        <v>895263.11557866645</v>
      </c>
      <c r="AH277" s="14" t="str">
        <f>IF(ABS(E277-AG277)&lt;0.01,"ok","err")</f>
        <v>ok</v>
      </c>
    </row>
    <row r="278" spans="1:34" x14ac:dyDescent="0.25">
      <c r="E278" s="31"/>
    </row>
    <row r="279" spans="1:34" x14ac:dyDescent="0.25">
      <c r="A279" s="8" t="s">
        <v>7</v>
      </c>
      <c r="E279" s="31"/>
    </row>
    <row r="280" spans="1:34" x14ac:dyDescent="0.25">
      <c r="A280" s="12" t="s">
        <v>223</v>
      </c>
      <c r="C280" s="2" t="s">
        <v>272</v>
      </c>
      <c r="D280" s="2" t="s">
        <v>233</v>
      </c>
      <c r="E280" s="65">
        <f>'Functional Assignment'!AJ409</f>
        <v>61375.191030302929</v>
      </c>
      <c r="F280" s="65">
        <f>IF(VLOOKUP($D280,$C$5:$AU$836,3,)=0,0,(VLOOKUP($D280,$C$5:$AU$836,4,)/VLOOKUP($D280,$C$5:$AU$836,3,))*$E280)</f>
        <v>0</v>
      </c>
      <c r="G280" s="65">
        <f>IF(VLOOKUP($D280,$C$5:$AU$836,3,)=0,0,(VLOOKUP($D280,$C$5:$AU$836,5,)/VLOOKUP($D280,$C$5:$AU$836,3,))*$E280)</f>
        <v>0</v>
      </c>
      <c r="H280" s="65">
        <f>IF(VLOOKUP($D280,$C$5:$AU$836,3,)=0,0,(VLOOKUP($D280,$C$5:$AU$836,6,)/VLOOKUP($D280,$C$5:$AU$836,3,))*$E280)</f>
        <v>0</v>
      </c>
      <c r="I280" s="65">
        <f>IF(VLOOKUP($D280,$C$5:$AU$836,3,)=0,0,(VLOOKUP($D280,$C$5:$AU$836,7,)/VLOOKUP($D280,$C$5:$AU$836,3,))*$E280)</f>
        <v>0</v>
      </c>
      <c r="J280" s="65">
        <f>IF(VLOOKUP($D280,$C$5:$AU$836,3,)=0,0,(VLOOKUP($D280,$C$5:$AU$836,8,)/VLOOKUP($D280,$C$5:$AU$836,3,))*$E280)</f>
        <v>0</v>
      </c>
      <c r="K280" s="65">
        <f>IF(VLOOKUP($D280,$C$5:$AU$836,3,)=0,0,(VLOOKUP($D280,$C$5:$AU$836,9,)/VLOOKUP($D280,$C$5:$AU$836,3,))*$E280)</f>
        <v>0</v>
      </c>
      <c r="L280" s="65">
        <f>IF(VLOOKUP($D280,$C$5:$AU$836,3,)=0,0,(VLOOKUP($D280,$C$5:$AU$836,10,)/VLOOKUP($D280,$C$5:$AU$836,3,))*$E280)</f>
        <v>0</v>
      </c>
      <c r="M280" s="65">
        <f>IF(VLOOKUP($D280,$C$5:$AU$836,3,)=0,0,(VLOOKUP($D280,$C$5:$AU$836,11,)/VLOOKUP($D280,$C$5:$AU$836,3,))*$E280)</f>
        <v>0</v>
      </c>
      <c r="N280" s="65">
        <f>IF(VLOOKUP($D280,$C$5:$AU$836,3,)=0,0,(VLOOKUP($D280,$C$5:$AU$836,12,)/VLOOKUP($D280,$C$5:$AU$836,3,))*$E280)</f>
        <v>61375.191030302929</v>
      </c>
      <c r="O280" s="65">
        <f>IF(VLOOKUP($D280,$C$5:$AU$836,3,)=0,0,(VLOOKUP($D280,$C$5:$AU$836,13,)/VLOOKUP($D280,$C$5:$AU$836,3,))*$E280)</f>
        <v>0</v>
      </c>
      <c r="P280" s="65">
        <f>IF(VLOOKUP($D280,$C$5:$AU$836,3,)=0,0,(VLOOKUP($D280,$C$5:$AU$836,14,)/VLOOKUP($D280,$C$5:$AU$836,3,))*$E280)</f>
        <v>0</v>
      </c>
      <c r="Q280" s="65">
        <f>IF(VLOOKUP($D280,$C$5:$AU$836,3,)=0,0,(VLOOKUP($D280,$C$5:$AU$836,15,)/VLOOKUP($D280,$C$5:$AU$836,3,))*$E280)</f>
        <v>0</v>
      </c>
      <c r="R280" s="65">
        <f>IF(VLOOKUP($D280,$C$5:$AU$836,3,)=0,0,(VLOOKUP($D280,$C$5:$AU$836,16,)/VLOOKUP($D280,$C$5:$AU$836,3,))*$E280)</f>
        <v>0</v>
      </c>
      <c r="S280" s="65">
        <f>IF(VLOOKUP($D280,$C$5:$AU$836,3,)=0,0,(VLOOKUP($D280,$C$5:$AU$836,17,)/VLOOKUP($D280,$C$5:$AU$836,3,))*$E280)</f>
        <v>0</v>
      </c>
      <c r="T280" s="65">
        <f>IF(VLOOKUP($D280,$C$5:$AU$836,3,)=0,0,(VLOOKUP($D280,$C$5:$AU$836,18,)/VLOOKUP($D280,$C$5:$AU$836,3,))*$E280)</f>
        <v>0</v>
      </c>
      <c r="U280" s="65">
        <f>IF(VLOOKUP($D280,$C$5:$AU$836,3,)=0,0,(VLOOKUP($D280,$C$5:$AU$836,19,)/VLOOKUP($D280,$C$5:$AU$836,3,))*$E280)</f>
        <v>0</v>
      </c>
      <c r="V280" s="65">
        <f>IF(VLOOKUP($D280,$C$5:$AU$836,3,)=0,0,(VLOOKUP($D280,$C$5:$AU$836,20,)/VLOOKUP($D280,$C$5:$AU$836,3,))*$E280)</f>
        <v>0</v>
      </c>
      <c r="W280" s="65">
        <f>IF(VLOOKUP($D280,$C$5:$AU$836,3,)=0,0,(VLOOKUP($D280,$C$5:$AU$836,21,)/VLOOKUP($D280,$C$5:$AU$836,3,))*$E280)</f>
        <v>0</v>
      </c>
      <c r="X280" s="65">
        <f>IF(VLOOKUP($D280,$C$5:$AU$836,3,)=0,0,(VLOOKUP($D280,$C$5:$AU$836,22,)/VLOOKUP($D280,$C$5:$AU$836,3,))*$E280)</f>
        <v>0</v>
      </c>
      <c r="Y280" s="65">
        <f>IF(VLOOKUP($D280,$C$5:$AU$836,3,)=0,0,(VLOOKUP($D280,$C$5:$AU$836,23,)/VLOOKUP($D280,$C$5:$AU$836,3,))*$E280)</f>
        <v>0</v>
      </c>
      <c r="Z280" s="65">
        <f>IF(VLOOKUP($D280,$C$5:$AU$836,3,)=0,0,(VLOOKUP($D280,$C$5:$AU$836,24,)/VLOOKUP($D280,$C$5:$AU$836,3,))*$E280)</f>
        <v>0</v>
      </c>
      <c r="AA280" s="65">
        <f>IF(VLOOKUP($D280,$C$5:$AU$836,3,)=0,0,(VLOOKUP($D280,$C$5:$AU$836,25,)/VLOOKUP($D280,$C$5:$AU$836,3,))*$E280)</f>
        <v>0</v>
      </c>
      <c r="AB280" s="65">
        <f>IF(VLOOKUP($D280,$C$5:$AU$836,3,)=0,0,(VLOOKUP($D280,$C$5:$AU$836,26,)/VLOOKUP($D280,$C$5:$AU$836,3,))*$E280)</f>
        <v>0</v>
      </c>
      <c r="AC280" s="65">
        <f>IF(VLOOKUP($D280,$C$5:$AU$836,3,)=0,0,(VLOOKUP($D280,$C$5:$AU$836,27,)/VLOOKUP($D280,$C$5:$AU$836,3,))*$E280)</f>
        <v>0</v>
      </c>
      <c r="AD280" s="65">
        <f>IF(VLOOKUP($D280,$C$5:$AU$836,3,)=0,0,(VLOOKUP($D280,$C$5:$AU$836,28,)/VLOOKUP($D280,$C$5:$AU$836,3,))*$E280)</f>
        <v>0</v>
      </c>
      <c r="AE280" s="65">
        <f>IF(VLOOKUP($D280,$C$5:$AU$836,3,)=0,0,(VLOOKUP($D280,$C$5:$AU$836,29,)/VLOOKUP($D280,$C$5:$AU$836,3,))*$E280)</f>
        <v>0</v>
      </c>
      <c r="AF280" s="65">
        <f>IF(VLOOKUP($D280,$C$5:$AU$836,3,)=0,0,(VLOOKUP($D280,$C$5:$AU$836,30,)/VLOOKUP($D280,$C$5:$AU$836,3,))*$E280)</f>
        <v>0</v>
      </c>
      <c r="AG280" s="16">
        <f>SUM(F280:AF280)</f>
        <v>61375.191030302929</v>
      </c>
      <c r="AH280" s="14" t="str">
        <f>IF(ABS(E280-AG280)&lt;0.01,"ok","err")</f>
        <v>ok</v>
      </c>
    </row>
    <row r="281" spans="1:34" x14ac:dyDescent="0.25">
      <c r="E281" s="31"/>
    </row>
    <row r="282" spans="1:34" x14ac:dyDescent="0.25">
      <c r="A282" s="8" t="s">
        <v>534</v>
      </c>
      <c r="E282" s="31"/>
    </row>
    <row r="283" spans="1:34" x14ac:dyDescent="0.25">
      <c r="A283" s="12" t="s">
        <v>223</v>
      </c>
      <c r="C283" s="2" t="s">
        <v>273</v>
      </c>
      <c r="D283" s="2" t="s">
        <v>235</v>
      </c>
      <c r="E283" s="65">
        <f>'Functional Assignment'!AL409</f>
        <v>2187018.414774064</v>
      </c>
      <c r="F283" s="65">
        <f>IF(VLOOKUP($D283,$C$5:$AU$836,3,)=0,0,(VLOOKUP($D283,$C$5:$AU$836,4,)/VLOOKUP($D283,$C$5:$AU$836,3,))*$E283)</f>
        <v>2005582.7582576999</v>
      </c>
      <c r="G283" s="65">
        <f>IF(VLOOKUP($D283,$C$5:$AU$836,3,)=0,0,(VLOOKUP($D283,$C$5:$AU$836,5,)/VLOOKUP($D283,$C$5:$AU$836,3,))*$E283)</f>
        <v>143896.54221206481</v>
      </c>
      <c r="H283" s="65">
        <f>IF(VLOOKUP($D283,$C$5:$AU$836,3,)=0,0,(VLOOKUP($D283,$C$5:$AU$836,6,)/VLOOKUP($D283,$C$5:$AU$836,3,))*$E283)</f>
        <v>13656.128067622438</v>
      </c>
      <c r="I283" s="65">
        <f>IF(VLOOKUP($D283,$C$5:$AU$836,3,)=0,0,(VLOOKUP($D283,$C$5:$AU$836,7,)/VLOOKUP($D283,$C$5:$AU$836,3,))*$E283)</f>
        <v>5237.9669300469623</v>
      </c>
      <c r="J283" s="65">
        <f>IF(VLOOKUP($D283,$C$5:$AU$836,3,)=0,0,(VLOOKUP($D283,$C$5:$AU$836,8,)/VLOOKUP($D283,$C$5:$AU$836,3,))*$E283)</f>
        <v>516.41927479336243</v>
      </c>
      <c r="K283" s="65">
        <f>IF(VLOOKUP($D283,$C$5:$AU$836,3,)=0,0,(VLOOKUP($D283,$C$5:$AU$836,9,)/VLOOKUP($D283,$C$5:$AU$836,3,))*$E283)</f>
        <v>31.617506620001787</v>
      </c>
      <c r="L283" s="65">
        <f>IF(VLOOKUP($D283,$C$5:$AU$836,3,)=0,0,(VLOOKUP($D283,$C$5:$AU$836,10,)/VLOOKUP($D283,$C$5:$AU$836,3,))*$E283)</f>
        <v>63.235013240003575</v>
      </c>
      <c r="M283" s="65">
        <f>IF(VLOOKUP($D283,$C$5:$AU$836,3,)=0,0,(VLOOKUP($D283,$C$5:$AU$836,11,)/VLOOKUP($D283,$C$5:$AU$836,3,))*$E283)</f>
        <v>252.9400529600143</v>
      </c>
      <c r="N283" s="65">
        <f>IF(VLOOKUP($D283,$C$5:$AU$836,3,)=0,0,(VLOOKUP($D283,$C$5:$AU$836,12,)/VLOOKUP($D283,$C$5:$AU$836,3,))*$E283)</f>
        <v>17780.807459016229</v>
      </c>
      <c r="O283" s="65">
        <f>IF(VLOOKUP($D283,$C$5:$AU$836,3,)=0,0,(VLOOKUP($D283,$C$5:$AU$836,13,)/VLOOKUP($D283,$C$5:$AU$836,3,))*$E283)</f>
        <v>0</v>
      </c>
      <c r="P283" s="65">
        <f>IF(VLOOKUP($D283,$C$5:$AU$836,3,)=0,0,(VLOOKUP($D283,$C$5:$AU$836,14,)/VLOOKUP($D283,$C$5:$AU$836,3,))*$E283)</f>
        <v>0</v>
      </c>
      <c r="Q283" s="65">
        <f>IF(VLOOKUP($D283,$C$5:$AU$836,3,)=0,0,(VLOOKUP($D283,$C$5:$AU$836,15,)/VLOOKUP($D283,$C$5:$AU$836,3,))*$E283)</f>
        <v>0</v>
      </c>
      <c r="R283" s="65">
        <f>IF(VLOOKUP($D283,$C$5:$AU$836,3,)=0,0,(VLOOKUP($D283,$C$5:$AU$836,16,)/VLOOKUP($D283,$C$5:$AU$836,3,))*$E283)</f>
        <v>0</v>
      </c>
      <c r="S283" s="65">
        <f>IF(VLOOKUP($D283,$C$5:$AU$836,3,)=0,0,(VLOOKUP($D283,$C$5:$AU$836,17,)/VLOOKUP($D283,$C$5:$AU$836,3,))*$E283)</f>
        <v>0</v>
      </c>
      <c r="T283" s="65">
        <f>IF(VLOOKUP($D283,$C$5:$AU$836,3,)=0,0,(VLOOKUP($D283,$C$5:$AU$836,18,)/VLOOKUP($D283,$C$5:$AU$836,3,))*$E283)</f>
        <v>0</v>
      </c>
      <c r="U283" s="65">
        <f>IF(VLOOKUP($D283,$C$5:$AU$836,3,)=0,0,(VLOOKUP($D283,$C$5:$AU$836,19,)/VLOOKUP($D283,$C$5:$AU$836,3,))*$E283)</f>
        <v>0</v>
      </c>
      <c r="V283" s="65">
        <f>IF(VLOOKUP($D283,$C$5:$AU$836,3,)=0,0,(VLOOKUP($D283,$C$5:$AU$836,20,)/VLOOKUP($D283,$C$5:$AU$836,3,))*$E283)</f>
        <v>0</v>
      </c>
      <c r="W283" s="65">
        <f>IF(VLOOKUP($D283,$C$5:$AU$836,3,)=0,0,(VLOOKUP($D283,$C$5:$AU$836,21,)/VLOOKUP($D283,$C$5:$AU$836,3,))*$E283)</f>
        <v>0</v>
      </c>
      <c r="X283" s="65">
        <f>IF(VLOOKUP($D283,$C$5:$AU$836,3,)=0,0,(VLOOKUP($D283,$C$5:$AU$836,22,)/VLOOKUP($D283,$C$5:$AU$836,3,))*$E283)</f>
        <v>0</v>
      </c>
      <c r="Y283" s="65">
        <f>IF(VLOOKUP($D283,$C$5:$AU$836,3,)=0,0,(VLOOKUP($D283,$C$5:$AU$836,23,)/VLOOKUP($D283,$C$5:$AU$836,3,))*$E283)</f>
        <v>0</v>
      </c>
      <c r="Z283" s="65">
        <f>IF(VLOOKUP($D283,$C$5:$AU$836,3,)=0,0,(VLOOKUP($D283,$C$5:$AU$836,24,)/VLOOKUP($D283,$C$5:$AU$836,3,))*$E283)</f>
        <v>0</v>
      </c>
      <c r="AA283" s="65">
        <f>IF(VLOOKUP($D283,$C$5:$AU$836,3,)=0,0,(VLOOKUP($D283,$C$5:$AU$836,25,)/VLOOKUP($D283,$C$5:$AU$836,3,))*$E283)</f>
        <v>0</v>
      </c>
      <c r="AB283" s="65">
        <f>IF(VLOOKUP($D283,$C$5:$AU$836,3,)=0,0,(VLOOKUP($D283,$C$5:$AU$836,26,)/VLOOKUP($D283,$C$5:$AU$836,3,))*$E283)</f>
        <v>0</v>
      </c>
      <c r="AC283" s="65">
        <f>IF(VLOOKUP($D283,$C$5:$AU$836,3,)=0,0,(VLOOKUP($D283,$C$5:$AU$836,27,)/VLOOKUP($D283,$C$5:$AU$836,3,))*$E283)</f>
        <v>0</v>
      </c>
      <c r="AD283" s="65">
        <f>IF(VLOOKUP($D283,$C$5:$AU$836,3,)=0,0,(VLOOKUP($D283,$C$5:$AU$836,28,)/VLOOKUP($D283,$C$5:$AU$836,3,))*$E283)</f>
        <v>0</v>
      </c>
      <c r="AE283" s="65">
        <f>IF(VLOOKUP($D283,$C$5:$AU$836,3,)=0,0,(VLOOKUP($D283,$C$5:$AU$836,29,)/VLOOKUP($D283,$C$5:$AU$836,3,))*$E283)</f>
        <v>0</v>
      </c>
      <c r="AF283" s="65">
        <f>IF(VLOOKUP($D283,$C$5:$AU$836,3,)=0,0,(VLOOKUP($D283,$C$5:$AU$836,30,)/VLOOKUP($D283,$C$5:$AU$836,3,))*$E283)</f>
        <v>0</v>
      </c>
      <c r="AG283" s="16">
        <f>SUM(F283:AF283)</f>
        <v>2187018.414774064</v>
      </c>
      <c r="AH283" s="14" t="str">
        <f>IF(ABS(E283-AG283)&lt;0.01,"ok","err")</f>
        <v>ok</v>
      </c>
    </row>
    <row r="284" spans="1:34" x14ac:dyDescent="0.25">
      <c r="E284" s="31"/>
    </row>
    <row r="285" spans="1:34" x14ac:dyDescent="0.25">
      <c r="A285" s="8" t="s">
        <v>662</v>
      </c>
      <c r="E285" s="31"/>
    </row>
    <row r="286" spans="1:34" x14ac:dyDescent="0.25">
      <c r="A286" s="12" t="s">
        <v>223</v>
      </c>
      <c r="C286" s="2" t="s">
        <v>270</v>
      </c>
      <c r="D286" s="2" t="s">
        <v>236</v>
      </c>
      <c r="E286" s="65">
        <f>'Functional Assignment'!AN409</f>
        <v>99163.424603104664</v>
      </c>
      <c r="F286" s="65">
        <f>IF(VLOOKUP($D286,$C$5:$AU$836,3,)=0,0,(VLOOKUP($D286,$C$5:$AU$836,4,)/VLOOKUP($D286,$C$5:$AU$836,3,))*$E286)</f>
        <v>90936.799292711949</v>
      </c>
      <c r="G286" s="65">
        <f>IF(VLOOKUP($D286,$C$5:$AU$836,3,)=0,0,(VLOOKUP($D286,$C$5:$AU$836,5,)/VLOOKUP($D286,$C$5:$AU$836,3,))*$E286)</f>
        <v>6524.5330436633212</v>
      </c>
      <c r="H286" s="65">
        <f>IF(VLOOKUP($D286,$C$5:$AU$836,3,)=0,0,(VLOOKUP($D286,$C$5:$AU$836,6,)/VLOOKUP($D286,$C$5:$AU$836,3,))*$E286)</f>
        <v>619.19388371675745</v>
      </c>
      <c r="I286" s="65">
        <f>IF(VLOOKUP($D286,$C$5:$AU$836,3,)=0,0,(VLOOKUP($D286,$C$5:$AU$836,7,)/VLOOKUP($D286,$C$5:$AU$836,3,))*$E286)</f>
        <v>237.49902389135903</v>
      </c>
      <c r="J286" s="65">
        <f>IF(VLOOKUP($D286,$C$5:$AU$836,3,)=0,0,(VLOOKUP($D286,$C$5:$AU$836,8,)/VLOOKUP($D286,$C$5:$AU$836,3,))*$E286)</f>
        <v>23.415396721683283</v>
      </c>
      <c r="K286" s="65">
        <f>IF(VLOOKUP($D286,$C$5:$AU$836,3,)=0,0,(VLOOKUP($D286,$C$5:$AU$836,9,)/VLOOKUP($D286,$C$5:$AU$836,3,))*$E286)</f>
        <v>1.4335957176540788</v>
      </c>
      <c r="L286" s="65">
        <f>IF(VLOOKUP($D286,$C$5:$AU$836,3,)=0,0,(VLOOKUP($D286,$C$5:$AU$836,10,)/VLOOKUP($D286,$C$5:$AU$836,3,))*$E286)</f>
        <v>2.8671914353081576</v>
      </c>
      <c r="M286" s="65">
        <f>IF(VLOOKUP($D286,$C$5:$AU$836,3,)=0,0,(VLOOKUP($D286,$C$5:$AU$836,11,)/VLOOKUP($D286,$C$5:$AU$836,3,))*$E286)</f>
        <v>11.46876574123263</v>
      </c>
      <c r="N286" s="65">
        <f>IF(VLOOKUP($D286,$C$5:$AU$836,3,)=0,0,(VLOOKUP($D286,$C$5:$AU$836,12,)/VLOOKUP($D286,$C$5:$AU$836,3,))*$E286)</f>
        <v>806.21440950538579</v>
      </c>
      <c r="O286" s="65">
        <f>IF(VLOOKUP($D286,$C$5:$AU$836,3,)=0,0,(VLOOKUP($D286,$C$5:$AU$836,13,)/VLOOKUP($D286,$C$5:$AU$836,3,))*$E286)</f>
        <v>0</v>
      </c>
      <c r="P286" s="65">
        <f>IF(VLOOKUP($D286,$C$5:$AU$836,3,)=0,0,(VLOOKUP($D286,$C$5:$AU$836,14,)/VLOOKUP($D286,$C$5:$AU$836,3,))*$E286)</f>
        <v>0</v>
      </c>
      <c r="Q286" s="65">
        <f>IF(VLOOKUP($D286,$C$5:$AU$836,3,)=0,0,(VLOOKUP($D286,$C$5:$AU$836,15,)/VLOOKUP($D286,$C$5:$AU$836,3,))*$E286)</f>
        <v>0</v>
      </c>
      <c r="R286" s="65">
        <f>IF(VLOOKUP($D286,$C$5:$AU$836,3,)=0,0,(VLOOKUP($D286,$C$5:$AU$836,16,)/VLOOKUP($D286,$C$5:$AU$836,3,))*$E286)</f>
        <v>0</v>
      </c>
      <c r="S286" s="65">
        <f>IF(VLOOKUP($D286,$C$5:$AU$836,3,)=0,0,(VLOOKUP($D286,$C$5:$AU$836,17,)/VLOOKUP($D286,$C$5:$AU$836,3,))*$E286)</f>
        <v>0</v>
      </c>
      <c r="T286" s="65">
        <f>IF(VLOOKUP($D286,$C$5:$AU$836,3,)=0,0,(VLOOKUP($D286,$C$5:$AU$836,18,)/VLOOKUP($D286,$C$5:$AU$836,3,))*$E286)</f>
        <v>0</v>
      </c>
      <c r="U286" s="65">
        <f>IF(VLOOKUP($D286,$C$5:$AU$836,3,)=0,0,(VLOOKUP($D286,$C$5:$AU$836,19,)/VLOOKUP($D286,$C$5:$AU$836,3,))*$E286)</f>
        <v>0</v>
      </c>
      <c r="V286" s="65">
        <f>IF(VLOOKUP($D286,$C$5:$AU$836,3,)=0,0,(VLOOKUP($D286,$C$5:$AU$836,20,)/VLOOKUP($D286,$C$5:$AU$836,3,))*$E286)</f>
        <v>0</v>
      </c>
      <c r="W286" s="65">
        <f>IF(VLOOKUP($D286,$C$5:$AU$836,3,)=0,0,(VLOOKUP($D286,$C$5:$AU$836,21,)/VLOOKUP($D286,$C$5:$AU$836,3,))*$E286)</f>
        <v>0</v>
      </c>
      <c r="X286" s="65">
        <f>IF(VLOOKUP($D286,$C$5:$AU$836,3,)=0,0,(VLOOKUP($D286,$C$5:$AU$836,22,)/VLOOKUP($D286,$C$5:$AU$836,3,))*$E286)</f>
        <v>0</v>
      </c>
      <c r="Y286" s="65">
        <f>IF(VLOOKUP($D286,$C$5:$AU$836,3,)=0,0,(VLOOKUP($D286,$C$5:$AU$836,23,)/VLOOKUP($D286,$C$5:$AU$836,3,))*$E286)</f>
        <v>0</v>
      </c>
      <c r="Z286" s="65">
        <f>IF(VLOOKUP($D286,$C$5:$AU$836,3,)=0,0,(VLOOKUP($D286,$C$5:$AU$836,24,)/VLOOKUP($D286,$C$5:$AU$836,3,))*$E286)</f>
        <v>0</v>
      </c>
      <c r="AA286" s="65">
        <f>IF(VLOOKUP($D286,$C$5:$AU$836,3,)=0,0,(VLOOKUP($D286,$C$5:$AU$836,25,)/VLOOKUP($D286,$C$5:$AU$836,3,))*$E286)</f>
        <v>0</v>
      </c>
      <c r="AB286" s="65">
        <f>IF(VLOOKUP($D286,$C$5:$AU$836,3,)=0,0,(VLOOKUP($D286,$C$5:$AU$836,26,)/VLOOKUP($D286,$C$5:$AU$836,3,))*$E286)</f>
        <v>0</v>
      </c>
      <c r="AC286" s="65">
        <f>IF(VLOOKUP($D286,$C$5:$AU$836,3,)=0,0,(VLOOKUP($D286,$C$5:$AU$836,27,)/VLOOKUP($D286,$C$5:$AU$836,3,))*$E286)</f>
        <v>0</v>
      </c>
      <c r="AD286" s="65">
        <f>IF(VLOOKUP($D286,$C$5:$AU$836,3,)=0,0,(VLOOKUP($D286,$C$5:$AU$836,28,)/VLOOKUP($D286,$C$5:$AU$836,3,))*$E286)</f>
        <v>0</v>
      </c>
      <c r="AE286" s="65">
        <f>IF(VLOOKUP($D286,$C$5:$AU$836,3,)=0,0,(VLOOKUP($D286,$C$5:$AU$836,29,)/VLOOKUP($D286,$C$5:$AU$836,3,))*$E286)</f>
        <v>0</v>
      </c>
      <c r="AF286" s="65">
        <f>IF(VLOOKUP($D286,$C$5:$AU$836,3,)=0,0,(VLOOKUP($D286,$C$5:$AU$836,30,)/VLOOKUP($D286,$C$5:$AU$836,3,))*$E286)</f>
        <v>0</v>
      </c>
      <c r="AG286" s="16">
        <f>SUM(F286:AF286)</f>
        <v>99163.424603104635</v>
      </c>
      <c r="AH286" s="14" t="str">
        <f>IF(ABS(E286-AG286)&lt;0.01,"ok","err")</f>
        <v>ok</v>
      </c>
    </row>
    <row r="287" spans="1:34" x14ac:dyDescent="0.25">
      <c r="E287" s="31"/>
    </row>
    <row r="288" spans="1:34" x14ac:dyDescent="0.25">
      <c r="A288" s="2" t="s">
        <v>1</v>
      </c>
      <c r="C288" s="2" t="s">
        <v>274</v>
      </c>
      <c r="E288" s="65">
        <f>E245+E248+E251+E254+E259+E264+E269+E274+E277+E280+E283+E286</f>
        <v>7219848.2199999988</v>
      </c>
      <c r="F288" s="65">
        <f t="shared" ref="F288:AF288" si="172">F245+F248+F251+F254+F259+F264+F269+F274+F277+F280+F283+F286</f>
        <v>5602124.44326769</v>
      </c>
      <c r="G288" s="65">
        <f t="shared" si="172"/>
        <v>644798.40150236932</v>
      </c>
      <c r="H288" s="65">
        <f t="shared" si="172"/>
        <v>572078.07437579171</v>
      </c>
      <c r="I288" s="65">
        <f t="shared" si="172"/>
        <v>74568.159206658704</v>
      </c>
      <c r="J288" s="65">
        <f t="shared" si="172"/>
        <v>53876.163834773084</v>
      </c>
      <c r="K288" s="65">
        <f t="shared" si="172"/>
        <v>883.22300895309604</v>
      </c>
      <c r="L288" s="65">
        <f t="shared" si="172"/>
        <v>5975.6471025082647</v>
      </c>
      <c r="M288" s="65">
        <f t="shared" si="172"/>
        <v>133554.05200597987</v>
      </c>
      <c r="N288" s="65">
        <f t="shared" si="172"/>
        <v>131990.05569527476</v>
      </c>
      <c r="O288" s="65">
        <f t="shared" si="172"/>
        <v>0</v>
      </c>
      <c r="P288" s="65">
        <f t="shared" si="172"/>
        <v>0</v>
      </c>
      <c r="Q288" s="65">
        <f t="shared" si="172"/>
        <v>0</v>
      </c>
      <c r="R288" s="65">
        <f t="shared" si="172"/>
        <v>0</v>
      </c>
      <c r="S288" s="65">
        <f t="shared" si="172"/>
        <v>0</v>
      </c>
      <c r="T288" s="65">
        <f t="shared" si="172"/>
        <v>0</v>
      </c>
      <c r="U288" s="65">
        <f t="shared" si="172"/>
        <v>0</v>
      </c>
      <c r="V288" s="65">
        <f t="shared" si="172"/>
        <v>0</v>
      </c>
      <c r="W288" s="65">
        <f t="shared" si="172"/>
        <v>0</v>
      </c>
      <c r="X288" s="65">
        <f t="shared" si="172"/>
        <v>0</v>
      </c>
      <c r="Y288" s="65">
        <f t="shared" si="172"/>
        <v>0</v>
      </c>
      <c r="Z288" s="65">
        <f t="shared" si="172"/>
        <v>0</v>
      </c>
      <c r="AA288" s="65">
        <f t="shared" si="172"/>
        <v>0</v>
      </c>
      <c r="AB288" s="65">
        <f t="shared" si="172"/>
        <v>0</v>
      </c>
      <c r="AC288" s="65">
        <f t="shared" si="172"/>
        <v>0</v>
      </c>
      <c r="AD288" s="65">
        <f t="shared" si="172"/>
        <v>0</v>
      </c>
      <c r="AE288" s="65">
        <f t="shared" si="172"/>
        <v>0</v>
      </c>
      <c r="AF288" s="65">
        <f t="shared" si="172"/>
        <v>0</v>
      </c>
      <c r="AG288" s="16">
        <f>SUM(F288:AF288)</f>
        <v>7219848.2199999988</v>
      </c>
      <c r="AH288" s="14" t="str">
        <f>IF(ABS(E288-AG288)&lt;0.01,"ok","err")</f>
        <v>ok</v>
      </c>
    </row>
    <row r="291" spans="1:34" x14ac:dyDescent="0.25">
      <c r="A291" s="6" t="s">
        <v>190</v>
      </c>
    </row>
    <row r="293" spans="1:34" x14ac:dyDescent="0.25">
      <c r="A293" s="8" t="s">
        <v>2</v>
      </c>
    </row>
    <row r="294" spans="1:34" x14ac:dyDescent="0.25">
      <c r="A294" s="118" t="s">
        <v>214</v>
      </c>
      <c r="C294" s="2" t="s">
        <v>893</v>
      </c>
      <c r="D294" s="9" t="s">
        <v>1072</v>
      </c>
      <c r="E294" s="65">
        <f>'Functional Assignment'!H440</f>
        <v>0</v>
      </c>
      <c r="F294" s="65">
        <f t="shared" ref="F294:F300" si="173">IF(VLOOKUP($D294,$C$5:$AU$836,3,)=0,0,(VLOOKUP($D294,$C$5:$AU$836,4,)/VLOOKUP($D294,$C$5:$AU$836,3,))*$E294)</f>
        <v>0</v>
      </c>
      <c r="G294" s="65">
        <f t="shared" ref="G294:G300" si="174">IF(VLOOKUP($D294,$C$5:$AU$836,3,)=0,0,(VLOOKUP($D294,$C$5:$AU$836,5,)/VLOOKUP($D294,$C$5:$AU$836,3,))*$E294)</f>
        <v>0</v>
      </c>
      <c r="H294" s="65">
        <f t="shared" ref="H294:H300" si="175">IF(VLOOKUP($D294,$C$5:$AU$836,3,)=0,0,(VLOOKUP($D294,$C$5:$AU$836,6,)/VLOOKUP($D294,$C$5:$AU$836,3,))*$E294)</f>
        <v>0</v>
      </c>
      <c r="I294" s="65">
        <f t="shared" ref="I294:I300" si="176">IF(VLOOKUP($D294,$C$5:$AU$836,3,)=0,0,(VLOOKUP($D294,$C$5:$AU$836,7,)/VLOOKUP($D294,$C$5:$AU$836,3,))*$E294)</f>
        <v>0</v>
      </c>
      <c r="J294" s="65">
        <f t="shared" ref="J294:J300" si="177">IF(VLOOKUP($D294,$C$5:$AU$836,3,)=0,0,(VLOOKUP($D294,$C$5:$AU$836,8,)/VLOOKUP($D294,$C$5:$AU$836,3,))*$E294)</f>
        <v>0</v>
      </c>
      <c r="K294" s="65">
        <f t="shared" ref="K294:K300" si="178">IF(VLOOKUP($D294,$C$5:$AU$836,3,)=0,0,(VLOOKUP($D294,$C$5:$AU$836,9,)/VLOOKUP($D294,$C$5:$AU$836,3,))*$E294)</f>
        <v>0</v>
      </c>
      <c r="L294" s="65">
        <f t="shared" ref="L294:L300" si="179">IF(VLOOKUP($D294,$C$5:$AU$836,3,)=0,0,(VLOOKUP($D294,$C$5:$AU$836,10,)/VLOOKUP($D294,$C$5:$AU$836,3,))*$E294)</f>
        <v>0</v>
      </c>
      <c r="M294" s="65">
        <f t="shared" ref="M294:M300" si="180">IF(VLOOKUP($D294,$C$5:$AU$836,3,)=0,0,(VLOOKUP($D294,$C$5:$AU$836,11,)/VLOOKUP($D294,$C$5:$AU$836,3,))*$E294)</f>
        <v>0</v>
      </c>
      <c r="N294" s="65">
        <f t="shared" ref="N294:N300" si="181">IF(VLOOKUP($D294,$C$5:$AU$836,3,)=0,0,(VLOOKUP($D294,$C$5:$AU$836,12,)/VLOOKUP($D294,$C$5:$AU$836,3,))*$E294)</f>
        <v>0</v>
      </c>
      <c r="O294" s="65">
        <f t="shared" ref="O294:O300" si="182">IF(VLOOKUP($D294,$C$5:$AU$836,3,)=0,0,(VLOOKUP($D294,$C$5:$AU$836,13,)/VLOOKUP($D294,$C$5:$AU$836,3,))*$E294)</f>
        <v>0</v>
      </c>
      <c r="P294" s="65">
        <f t="shared" ref="P294:P300" si="183">IF(VLOOKUP($D294,$C$5:$AU$836,3,)=0,0,(VLOOKUP($D294,$C$5:$AU$836,14,)/VLOOKUP($D294,$C$5:$AU$836,3,))*$E294)</f>
        <v>0</v>
      </c>
      <c r="Q294" s="65">
        <f t="shared" ref="Q294:Q300" si="184">IF(VLOOKUP($D294,$C$5:$AU$836,3,)=0,0,(VLOOKUP($D294,$C$5:$AU$836,15,)/VLOOKUP($D294,$C$5:$AU$836,3,))*$E294)</f>
        <v>0</v>
      </c>
      <c r="R294" s="65">
        <f t="shared" ref="R294:R300" si="185">IF(VLOOKUP($D294,$C$5:$AU$836,3,)=0,0,(VLOOKUP($D294,$C$5:$AU$836,16,)/VLOOKUP($D294,$C$5:$AU$836,3,))*$E294)</f>
        <v>0</v>
      </c>
      <c r="S294" s="65">
        <f t="shared" ref="S294:S300" si="186">IF(VLOOKUP($D294,$C$5:$AU$836,3,)=0,0,(VLOOKUP($D294,$C$5:$AU$836,17,)/VLOOKUP($D294,$C$5:$AU$836,3,))*$E294)</f>
        <v>0</v>
      </c>
      <c r="T294" s="65">
        <f t="shared" ref="T294:T300" si="187">IF(VLOOKUP($D294,$C$5:$AU$836,3,)=0,0,(VLOOKUP($D294,$C$5:$AU$836,18,)/VLOOKUP($D294,$C$5:$AU$836,3,))*$E294)</f>
        <v>0</v>
      </c>
      <c r="U294" s="65">
        <f t="shared" ref="U294:U300" si="188">IF(VLOOKUP($D294,$C$5:$AU$836,3,)=0,0,(VLOOKUP($D294,$C$5:$AU$836,19,)/VLOOKUP($D294,$C$5:$AU$836,3,))*$E294)</f>
        <v>0</v>
      </c>
      <c r="V294" s="65">
        <f t="shared" ref="V294:V300" si="189">IF(VLOOKUP($D294,$C$5:$AU$836,3,)=0,0,(VLOOKUP($D294,$C$5:$AU$836,20,)/VLOOKUP($D294,$C$5:$AU$836,3,))*$E294)</f>
        <v>0</v>
      </c>
      <c r="W294" s="65">
        <f t="shared" ref="W294:W300" si="190">IF(VLOOKUP($D294,$C$5:$AU$836,3,)=0,0,(VLOOKUP($D294,$C$5:$AU$836,21,)/VLOOKUP($D294,$C$5:$AU$836,3,))*$E294)</f>
        <v>0</v>
      </c>
      <c r="X294" s="65">
        <f t="shared" ref="X294:X300" si="191">IF(VLOOKUP($D294,$C$5:$AU$836,3,)=0,0,(VLOOKUP($D294,$C$5:$AU$836,22,)/VLOOKUP($D294,$C$5:$AU$836,3,))*$E294)</f>
        <v>0</v>
      </c>
      <c r="Y294" s="65">
        <f t="shared" ref="Y294:Y300" si="192">IF(VLOOKUP($D294,$C$5:$AU$836,3,)=0,0,(VLOOKUP($D294,$C$5:$AU$836,23,)/VLOOKUP($D294,$C$5:$AU$836,3,))*$E294)</f>
        <v>0</v>
      </c>
      <c r="Z294" s="65">
        <f t="shared" ref="Z294:Z300" si="193">IF(VLOOKUP($D294,$C$5:$AU$836,3,)=0,0,(VLOOKUP($D294,$C$5:$AU$836,24,)/VLOOKUP($D294,$C$5:$AU$836,3,))*$E294)</f>
        <v>0</v>
      </c>
      <c r="AA294" s="65">
        <f t="shared" ref="AA294:AA300" si="194">IF(VLOOKUP($D294,$C$5:$AU$836,3,)=0,0,(VLOOKUP($D294,$C$5:$AU$836,25,)/VLOOKUP($D294,$C$5:$AU$836,3,))*$E294)</f>
        <v>0</v>
      </c>
      <c r="AB294" s="65">
        <f t="shared" ref="AB294:AB300" si="195">IF(VLOOKUP($D294,$C$5:$AU$836,3,)=0,0,(VLOOKUP($D294,$C$5:$AU$836,26,)/VLOOKUP($D294,$C$5:$AU$836,3,))*$E294)</f>
        <v>0</v>
      </c>
      <c r="AC294" s="65">
        <f t="shared" ref="AC294:AC300" si="196">IF(VLOOKUP($D294,$C$5:$AU$836,3,)=0,0,(VLOOKUP($D294,$C$5:$AU$836,27,)/VLOOKUP($D294,$C$5:$AU$836,3,))*$E294)</f>
        <v>0</v>
      </c>
      <c r="AD294" s="65">
        <f t="shared" ref="AD294:AD300" si="197">IF(VLOOKUP($D294,$C$5:$AU$836,3,)=0,0,(VLOOKUP($D294,$C$5:$AU$836,28,)/VLOOKUP($D294,$C$5:$AU$836,3,))*$E294)</f>
        <v>0</v>
      </c>
      <c r="AE294" s="65">
        <f t="shared" ref="AE294:AE300" si="198">IF(VLOOKUP($D294,$C$5:$AU$836,3,)=0,0,(VLOOKUP($D294,$C$5:$AU$836,29,)/VLOOKUP($D294,$C$5:$AU$836,3,))*$E294)</f>
        <v>0</v>
      </c>
      <c r="AF294" s="65">
        <f t="shared" ref="AF294:AF300" si="199">IF(VLOOKUP($D294,$C$5:$AU$836,3,)=0,0,(VLOOKUP($D294,$C$5:$AU$836,30,)/VLOOKUP($D294,$C$5:$AU$836,3,))*$E294)</f>
        <v>0</v>
      </c>
      <c r="AG294" s="16">
        <f t="shared" ref="AG294:AG302" si="200">SUM(F294:AF294)</f>
        <v>0</v>
      </c>
      <c r="AH294" s="14" t="str">
        <f t="shared" ref="AH294:AH300" si="201">IF(ABS(E294-AG294)&lt;0.01,"ok","err")</f>
        <v>ok</v>
      </c>
    </row>
    <row r="295" spans="1:34" x14ac:dyDescent="0.25">
      <c r="A295" s="118" t="s">
        <v>1069</v>
      </c>
      <c r="C295" s="2" t="s">
        <v>711</v>
      </c>
      <c r="D295" s="2" t="s">
        <v>839</v>
      </c>
      <c r="E295" s="65">
        <f>'Functional Assignment'!I440</f>
        <v>0</v>
      </c>
      <c r="F295" s="65">
        <f t="shared" si="173"/>
        <v>0</v>
      </c>
      <c r="G295" s="65">
        <f t="shared" si="174"/>
        <v>0</v>
      </c>
      <c r="H295" s="65">
        <f t="shared" si="175"/>
        <v>0</v>
      </c>
      <c r="I295" s="65">
        <f t="shared" si="176"/>
        <v>0</v>
      </c>
      <c r="J295" s="65">
        <f t="shared" si="177"/>
        <v>0</v>
      </c>
      <c r="K295" s="65">
        <f t="shared" si="178"/>
        <v>0</v>
      </c>
      <c r="L295" s="65">
        <f t="shared" si="179"/>
        <v>0</v>
      </c>
      <c r="M295" s="65">
        <f t="shared" si="180"/>
        <v>0</v>
      </c>
      <c r="N295" s="65">
        <f t="shared" si="181"/>
        <v>0</v>
      </c>
      <c r="O295" s="65">
        <f t="shared" si="182"/>
        <v>0</v>
      </c>
      <c r="P295" s="65">
        <f t="shared" si="183"/>
        <v>0</v>
      </c>
      <c r="Q295" s="65">
        <f t="shared" si="184"/>
        <v>0</v>
      </c>
      <c r="R295" s="65">
        <f t="shared" si="185"/>
        <v>0</v>
      </c>
      <c r="S295" s="65">
        <f t="shared" si="186"/>
        <v>0</v>
      </c>
      <c r="T295" s="65">
        <f t="shared" si="187"/>
        <v>0</v>
      </c>
      <c r="U295" s="65">
        <f t="shared" si="188"/>
        <v>0</v>
      </c>
      <c r="V295" s="65">
        <f t="shared" si="189"/>
        <v>0</v>
      </c>
      <c r="W295" s="65">
        <f t="shared" si="190"/>
        <v>0</v>
      </c>
      <c r="X295" s="65">
        <f t="shared" si="191"/>
        <v>0</v>
      </c>
      <c r="Y295" s="65">
        <f t="shared" si="192"/>
        <v>0</v>
      </c>
      <c r="Z295" s="65">
        <f t="shared" si="193"/>
        <v>0</v>
      </c>
      <c r="AA295" s="65">
        <f t="shared" si="194"/>
        <v>0</v>
      </c>
      <c r="AB295" s="65">
        <f t="shared" si="195"/>
        <v>0</v>
      </c>
      <c r="AC295" s="65">
        <f t="shared" si="196"/>
        <v>0</v>
      </c>
      <c r="AD295" s="65">
        <f t="shared" si="197"/>
        <v>0</v>
      </c>
      <c r="AE295" s="65">
        <f t="shared" si="198"/>
        <v>0</v>
      </c>
      <c r="AF295" s="65">
        <f t="shared" si="199"/>
        <v>0</v>
      </c>
      <c r="AG295" s="16">
        <f t="shared" si="200"/>
        <v>0</v>
      </c>
      <c r="AH295" s="14" t="str">
        <f t="shared" si="201"/>
        <v>ok</v>
      </c>
    </row>
    <row r="296" spans="1:34" ht="16.5" customHeight="1" x14ac:dyDescent="0.25">
      <c r="A296" s="118" t="s">
        <v>1070</v>
      </c>
      <c r="C296" s="2" t="s">
        <v>894</v>
      </c>
      <c r="D296" s="9" t="s">
        <v>1073</v>
      </c>
      <c r="E296" s="65">
        <f>'Functional Assignment'!M440</f>
        <v>0</v>
      </c>
      <c r="F296" s="65">
        <f t="shared" si="173"/>
        <v>0</v>
      </c>
      <c r="G296" s="65">
        <f t="shared" si="174"/>
        <v>0</v>
      </c>
      <c r="H296" s="65">
        <f t="shared" si="175"/>
        <v>0</v>
      </c>
      <c r="I296" s="65">
        <f t="shared" si="176"/>
        <v>0</v>
      </c>
      <c r="J296" s="65">
        <f t="shared" si="177"/>
        <v>0</v>
      </c>
      <c r="K296" s="65">
        <f t="shared" si="178"/>
        <v>0</v>
      </c>
      <c r="L296" s="65">
        <f t="shared" si="179"/>
        <v>0</v>
      </c>
      <c r="M296" s="65">
        <f t="shared" si="180"/>
        <v>0</v>
      </c>
      <c r="N296" s="65">
        <f t="shared" si="181"/>
        <v>0</v>
      </c>
      <c r="O296" s="65">
        <f t="shared" si="182"/>
        <v>0</v>
      </c>
      <c r="P296" s="65">
        <f t="shared" si="183"/>
        <v>0</v>
      </c>
      <c r="Q296" s="65">
        <f t="shared" si="184"/>
        <v>0</v>
      </c>
      <c r="R296" s="65">
        <f t="shared" si="185"/>
        <v>0</v>
      </c>
      <c r="S296" s="65">
        <f t="shared" si="186"/>
        <v>0</v>
      </c>
      <c r="T296" s="65">
        <f t="shared" si="187"/>
        <v>0</v>
      </c>
      <c r="U296" s="65">
        <f t="shared" si="188"/>
        <v>0</v>
      </c>
      <c r="V296" s="65">
        <f t="shared" si="189"/>
        <v>0</v>
      </c>
      <c r="W296" s="65">
        <f t="shared" si="190"/>
        <v>0</v>
      </c>
      <c r="X296" s="65">
        <f t="shared" si="191"/>
        <v>0</v>
      </c>
      <c r="Y296" s="65">
        <f t="shared" si="192"/>
        <v>0</v>
      </c>
      <c r="Z296" s="65">
        <f t="shared" si="193"/>
        <v>0</v>
      </c>
      <c r="AA296" s="65">
        <f t="shared" si="194"/>
        <v>0</v>
      </c>
      <c r="AB296" s="65">
        <f t="shared" si="195"/>
        <v>0</v>
      </c>
      <c r="AC296" s="65">
        <f t="shared" si="196"/>
        <v>0</v>
      </c>
      <c r="AD296" s="65">
        <f t="shared" si="197"/>
        <v>0</v>
      </c>
      <c r="AE296" s="65">
        <f t="shared" si="198"/>
        <v>0</v>
      </c>
      <c r="AF296" s="65">
        <f t="shared" si="199"/>
        <v>0</v>
      </c>
      <c r="AG296" s="16">
        <f t="shared" si="200"/>
        <v>0</v>
      </c>
      <c r="AH296" s="14" t="str">
        <f t="shared" si="201"/>
        <v>ok</v>
      </c>
    </row>
    <row r="297" spans="1:34" x14ac:dyDescent="0.25">
      <c r="A297" s="118" t="s">
        <v>1071</v>
      </c>
      <c r="C297" s="2" t="s">
        <v>895</v>
      </c>
      <c r="D297" s="9" t="s">
        <v>1074</v>
      </c>
      <c r="E297" s="65">
        <f>'Functional Assignment'!M440</f>
        <v>0</v>
      </c>
      <c r="F297" s="65">
        <f t="shared" si="173"/>
        <v>0</v>
      </c>
      <c r="G297" s="65">
        <f t="shared" si="174"/>
        <v>0</v>
      </c>
      <c r="H297" s="65">
        <f t="shared" si="175"/>
        <v>0</v>
      </c>
      <c r="I297" s="65">
        <f t="shared" si="176"/>
        <v>0</v>
      </c>
      <c r="J297" s="65">
        <f t="shared" si="177"/>
        <v>0</v>
      </c>
      <c r="K297" s="65">
        <f t="shared" si="178"/>
        <v>0</v>
      </c>
      <c r="L297" s="65">
        <f t="shared" si="179"/>
        <v>0</v>
      </c>
      <c r="M297" s="65">
        <f t="shared" si="180"/>
        <v>0</v>
      </c>
      <c r="N297" s="65">
        <f t="shared" si="181"/>
        <v>0</v>
      </c>
      <c r="O297" s="65">
        <f t="shared" si="182"/>
        <v>0</v>
      </c>
      <c r="P297" s="65">
        <f t="shared" si="183"/>
        <v>0</v>
      </c>
      <c r="Q297" s="65">
        <f t="shared" si="184"/>
        <v>0</v>
      </c>
      <c r="R297" s="65">
        <f t="shared" si="185"/>
        <v>0</v>
      </c>
      <c r="S297" s="65">
        <f t="shared" si="186"/>
        <v>0</v>
      </c>
      <c r="T297" s="65">
        <f t="shared" si="187"/>
        <v>0</v>
      </c>
      <c r="U297" s="65">
        <f t="shared" si="188"/>
        <v>0</v>
      </c>
      <c r="V297" s="65">
        <f t="shared" si="189"/>
        <v>0</v>
      </c>
      <c r="W297" s="65">
        <f t="shared" si="190"/>
        <v>0</v>
      </c>
      <c r="X297" s="65">
        <f t="shared" si="191"/>
        <v>0</v>
      </c>
      <c r="Y297" s="65">
        <f t="shared" si="192"/>
        <v>0</v>
      </c>
      <c r="Z297" s="65">
        <f t="shared" si="193"/>
        <v>0</v>
      </c>
      <c r="AA297" s="65">
        <f t="shared" si="194"/>
        <v>0</v>
      </c>
      <c r="AB297" s="65">
        <f t="shared" si="195"/>
        <v>0</v>
      </c>
      <c r="AC297" s="65">
        <f t="shared" si="196"/>
        <v>0</v>
      </c>
      <c r="AD297" s="65">
        <f t="shared" si="197"/>
        <v>0</v>
      </c>
      <c r="AE297" s="65">
        <f t="shared" si="198"/>
        <v>0</v>
      </c>
      <c r="AF297" s="65">
        <f t="shared" si="199"/>
        <v>0</v>
      </c>
      <c r="AG297" s="16">
        <f>SUM(F297:AF297)</f>
        <v>0</v>
      </c>
      <c r="AH297" s="14" t="str">
        <f t="shared" si="201"/>
        <v>ok</v>
      </c>
    </row>
    <row r="298" spans="1:34" ht="15" customHeight="1" x14ac:dyDescent="0.25">
      <c r="A298" s="118" t="s">
        <v>1063</v>
      </c>
      <c r="C298" s="2" t="s">
        <v>275</v>
      </c>
      <c r="D298" s="2" t="s">
        <v>918</v>
      </c>
      <c r="E298" s="65">
        <f>'Functional Assignment'!M440</f>
        <v>0</v>
      </c>
      <c r="F298" s="65">
        <f t="shared" si="173"/>
        <v>0</v>
      </c>
      <c r="G298" s="65">
        <f t="shared" si="174"/>
        <v>0</v>
      </c>
      <c r="H298" s="65">
        <f t="shared" si="175"/>
        <v>0</v>
      </c>
      <c r="I298" s="65">
        <f t="shared" si="176"/>
        <v>0</v>
      </c>
      <c r="J298" s="65">
        <f t="shared" si="177"/>
        <v>0</v>
      </c>
      <c r="K298" s="65">
        <f t="shared" si="178"/>
        <v>0</v>
      </c>
      <c r="L298" s="65">
        <f t="shared" si="179"/>
        <v>0</v>
      </c>
      <c r="M298" s="65">
        <f t="shared" si="180"/>
        <v>0</v>
      </c>
      <c r="N298" s="65">
        <f t="shared" si="181"/>
        <v>0</v>
      </c>
      <c r="O298" s="65">
        <f t="shared" si="182"/>
        <v>0</v>
      </c>
      <c r="P298" s="65">
        <f t="shared" si="183"/>
        <v>0</v>
      </c>
      <c r="Q298" s="65">
        <f t="shared" si="184"/>
        <v>0</v>
      </c>
      <c r="R298" s="65">
        <f t="shared" si="185"/>
        <v>0</v>
      </c>
      <c r="S298" s="65">
        <f t="shared" si="186"/>
        <v>0</v>
      </c>
      <c r="T298" s="65">
        <f t="shared" si="187"/>
        <v>0</v>
      </c>
      <c r="U298" s="65">
        <f t="shared" si="188"/>
        <v>0</v>
      </c>
      <c r="V298" s="65">
        <f t="shared" si="189"/>
        <v>0</v>
      </c>
      <c r="W298" s="65">
        <f t="shared" si="190"/>
        <v>0</v>
      </c>
      <c r="X298" s="65">
        <f t="shared" si="191"/>
        <v>0</v>
      </c>
      <c r="Y298" s="65">
        <f t="shared" si="192"/>
        <v>0</v>
      </c>
      <c r="Z298" s="65">
        <f t="shared" si="193"/>
        <v>0</v>
      </c>
      <c r="AA298" s="65">
        <f t="shared" si="194"/>
        <v>0</v>
      </c>
      <c r="AB298" s="65">
        <f t="shared" si="195"/>
        <v>0</v>
      </c>
      <c r="AC298" s="65">
        <f t="shared" si="196"/>
        <v>0</v>
      </c>
      <c r="AD298" s="65">
        <f t="shared" si="197"/>
        <v>0</v>
      </c>
      <c r="AE298" s="65">
        <f t="shared" si="198"/>
        <v>0</v>
      </c>
      <c r="AF298" s="65">
        <f t="shared" si="199"/>
        <v>0</v>
      </c>
      <c r="AG298" s="16">
        <f>SUM(F298:AF298)</f>
        <v>0</v>
      </c>
      <c r="AH298" s="14" t="str">
        <f t="shared" si="201"/>
        <v>ok</v>
      </c>
    </row>
    <row r="299" spans="1:34" ht="15" customHeight="1" x14ac:dyDescent="0.25">
      <c r="A299" s="118" t="s">
        <v>1064</v>
      </c>
      <c r="C299" s="2" t="s">
        <v>896</v>
      </c>
      <c r="D299" s="2" t="s">
        <v>928</v>
      </c>
      <c r="E299" s="65">
        <f>'Functional Assignment'!M440</f>
        <v>0</v>
      </c>
      <c r="F299" s="65">
        <f t="shared" si="173"/>
        <v>0</v>
      </c>
      <c r="G299" s="65">
        <f t="shared" si="174"/>
        <v>0</v>
      </c>
      <c r="H299" s="65">
        <f t="shared" si="175"/>
        <v>0</v>
      </c>
      <c r="I299" s="65">
        <f t="shared" si="176"/>
        <v>0</v>
      </c>
      <c r="J299" s="65">
        <f t="shared" si="177"/>
        <v>0</v>
      </c>
      <c r="K299" s="65">
        <f t="shared" si="178"/>
        <v>0</v>
      </c>
      <c r="L299" s="65">
        <f t="shared" si="179"/>
        <v>0</v>
      </c>
      <c r="M299" s="65">
        <f t="shared" si="180"/>
        <v>0</v>
      </c>
      <c r="N299" s="65">
        <f t="shared" si="181"/>
        <v>0</v>
      </c>
      <c r="O299" s="65">
        <f t="shared" si="182"/>
        <v>0</v>
      </c>
      <c r="P299" s="65">
        <f t="shared" si="183"/>
        <v>0</v>
      </c>
      <c r="Q299" s="65">
        <f t="shared" si="184"/>
        <v>0</v>
      </c>
      <c r="R299" s="65">
        <f t="shared" si="185"/>
        <v>0</v>
      </c>
      <c r="S299" s="65">
        <f t="shared" si="186"/>
        <v>0</v>
      </c>
      <c r="T299" s="65">
        <f t="shared" si="187"/>
        <v>0</v>
      </c>
      <c r="U299" s="65">
        <f t="shared" si="188"/>
        <v>0</v>
      </c>
      <c r="V299" s="65">
        <f t="shared" si="189"/>
        <v>0</v>
      </c>
      <c r="W299" s="65">
        <f t="shared" si="190"/>
        <v>0</v>
      </c>
      <c r="X299" s="65">
        <f t="shared" si="191"/>
        <v>0</v>
      </c>
      <c r="Y299" s="65">
        <f t="shared" si="192"/>
        <v>0</v>
      </c>
      <c r="Z299" s="65">
        <f t="shared" si="193"/>
        <v>0</v>
      </c>
      <c r="AA299" s="65">
        <f t="shared" si="194"/>
        <v>0</v>
      </c>
      <c r="AB299" s="65">
        <f t="shared" si="195"/>
        <v>0</v>
      </c>
      <c r="AC299" s="65">
        <f t="shared" si="196"/>
        <v>0</v>
      </c>
      <c r="AD299" s="65">
        <f t="shared" si="197"/>
        <v>0</v>
      </c>
      <c r="AE299" s="65">
        <f t="shared" si="198"/>
        <v>0</v>
      </c>
      <c r="AF299" s="65">
        <f t="shared" si="199"/>
        <v>0</v>
      </c>
      <c r="AG299" s="16">
        <f>SUM(F299:AF299)</f>
        <v>0</v>
      </c>
      <c r="AH299" s="14" t="str">
        <f t="shared" si="201"/>
        <v>ok</v>
      </c>
    </row>
    <row r="300" spans="1:34" ht="15" customHeight="1" x14ac:dyDescent="0.25">
      <c r="A300" s="118" t="s">
        <v>790</v>
      </c>
      <c r="C300" s="2" t="s">
        <v>897</v>
      </c>
      <c r="D300" s="2" t="s">
        <v>928</v>
      </c>
      <c r="E300" s="65">
        <f>'Functional Assignment'!M440</f>
        <v>0</v>
      </c>
      <c r="F300" s="65">
        <f t="shared" si="173"/>
        <v>0</v>
      </c>
      <c r="G300" s="65">
        <f t="shared" si="174"/>
        <v>0</v>
      </c>
      <c r="H300" s="65">
        <f t="shared" si="175"/>
        <v>0</v>
      </c>
      <c r="I300" s="65">
        <f t="shared" si="176"/>
        <v>0</v>
      </c>
      <c r="J300" s="65">
        <f t="shared" si="177"/>
        <v>0</v>
      </c>
      <c r="K300" s="65">
        <f t="shared" si="178"/>
        <v>0</v>
      </c>
      <c r="L300" s="65">
        <f t="shared" si="179"/>
        <v>0</v>
      </c>
      <c r="M300" s="65">
        <f t="shared" si="180"/>
        <v>0</v>
      </c>
      <c r="N300" s="65">
        <f t="shared" si="181"/>
        <v>0</v>
      </c>
      <c r="O300" s="65">
        <f t="shared" si="182"/>
        <v>0</v>
      </c>
      <c r="P300" s="65">
        <f t="shared" si="183"/>
        <v>0</v>
      </c>
      <c r="Q300" s="65">
        <f t="shared" si="184"/>
        <v>0</v>
      </c>
      <c r="R300" s="65">
        <f t="shared" si="185"/>
        <v>0</v>
      </c>
      <c r="S300" s="65">
        <f t="shared" si="186"/>
        <v>0</v>
      </c>
      <c r="T300" s="65">
        <f t="shared" si="187"/>
        <v>0</v>
      </c>
      <c r="U300" s="65">
        <f t="shared" si="188"/>
        <v>0</v>
      </c>
      <c r="V300" s="65">
        <f t="shared" si="189"/>
        <v>0</v>
      </c>
      <c r="W300" s="65">
        <f t="shared" si="190"/>
        <v>0</v>
      </c>
      <c r="X300" s="65">
        <f t="shared" si="191"/>
        <v>0</v>
      </c>
      <c r="Y300" s="65">
        <f t="shared" si="192"/>
        <v>0</v>
      </c>
      <c r="Z300" s="65">
        <f t="shared" si="193"/>
        <v>0</v>
      </c>
      <c r="AA300" s="65">
        <f t="shared" si="194"/>
        <v>0</v>
      </c>
      <c r="AB300" s="65">
        <f t="shared" si="195"/>
        <v>0</v>
      </c>
      <c r="AC300" s="65">
        <f t="shared" si="196"/>
        <v>0</v>
      </c>
      <c r="AD300" s="65">
        <f t="shared" si="197"/>
        <v>0</v>
      </c>
      <c r="AE300" s="65">
        <f t="shared" si="198"/>
        <v>0</v>
      </c>
      <c r="AF300" s="65">
        <f t="shared" si="199"/>
        <v>0</v>
      </c>
      <c r="AG300" s="16">
        <f>SUM(F300:AF300)</f>
        <v>0</v>
      </c>
      <c r="AH300" s="14" t="str">
        <f t="shared" si="201"/>
        <v>ok</v>
      </c>
    </row>
    <row r="301" spans="1:34" x14ac:dyDescent="0.25">
      <c r="A301" s="12"/>
      <c r="E301" s="31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16"/>
      <c r="AH301" s="14"/>
    </row>
    <row r="302" spans="1:34" x14ac:dyDescent="0.25">
      <c r="A302" s="2" t="s">
        <v>218</v>
      </c>
      <c r="C302" s="2" t="s">
        <v>276</v>
      </c>
      <c r="E302" s="31">
        <f>SUM(E294:E301)</f>
        <v>0</v>
      </c>
      <c r="F302" s="31">
        <f t="shared" ref="F302:AF302" si="202">SUM(F294:F301)</f>
        <v>0</v>
      </c>
      <c r="G302" s="31">
        <f t="shared" si="202"/>
        <v>0</v>
      </c>
      <c r="H302" s="31">
        <f t="shared" si="202"/>
        <v>0</v>
      </c>
      <c r="I302" s="31">
        <f t="shared" si="202"/>
        <v>0</v>
      </c>
      <c r="J302" s="31">
        <f t="shared" si="202"/>
        <v>0</v>
      </c>
      <c r="K302" s="31">
        <f t="shared" si="202"/>
        <v>0</v>
      </c>
      <c r="L302" s="31">
        <f t="shared" si="202"/>
        <v>0</v>
      </c>
      <c r="M302" s="65">
        <f>SUM(M294:M301)</f>
        <v>0</v>
      </c>
      <c r="N302" s="65">
        <f>SUM(N294:N301)</f>
        <v>0</v>
      </c>
      <c r="O302" s="31">
        <f t="shared" si="202"/>
        <v>0</v>
      </c>
      <c r="P302" s="31">
        <f t="shared" si="202"/>
        <v>0</v>
      </c>
      <c r="Q302" s="31">
        <f t="shared" si="202"/>
        <v>0</v>
      </c>
      <c r="R302" s="31">
        <f t="shared" si="202"/>
        <v>0</v>
      </c>
      <c r="S302" s="31">
        <f t="shared" si="202"/>
        <v>0</v>
      </c>
      <c r="T302" s="31">
        <f t="shared" si="202"/>
        <v>0</v>
      </c>
      <c r="U302" s="31">
        <f t="shared" si="202"/>
        <v>0</v>
      </c>
      <c r="V302" s="31">
        <f t="shared" si="202"/>
        <v>0</v>
      </c>
      <c r="W302" s="31">
        <f t="shared" si="202"/>
        <v>0</v>
      </c>
      <c r="X302" s="31">
        <f t="shared" si="202"/>
        <v>0</v>
      </c>
      <c r="Y302" s="31">
        <f t="shared" si="202"/>
        <v>0</v>
      </c>
      <c r="Z302" s="31">
        <f t="shared" si="202"/>
        <v>0</v>
      </c>
      <c r="AA302" s="31">
        <f t="shared" si="202"/>
        <v>0</v>
      </c>
      <c r="AB302" s="31">
        <f t="shared" si="202"/>
        <v>0</v>
      </c>
      <c r="AC302" s="31">
        <f t="shared" si="202"/>
        <v>0</v>
      </c>
      <c r="AD302" s="31">
        <f t="shared" si="202"/>
        <v>0</v>
      </c>
      <c r="AE302" s="31">
        <f t="shared" si="202"/>
        <v>0</v>
      </c>
      <c r="AF302" s="31">
        <f t="shared" si="202"/>
        <v>0</v>
      </c>
      <c r="AG302" s="16">
        <f t="shared" si="200"/>
        <v>0</v>
      </c>
      <c r="AH302" s="14" t="str">
        <f>IF(ABS(E302-AG302)&lt;0.01,"ok","err")</f>
        <v>ok</v>
      </c>
    </row>
    <row r="303" spans="1:34" x14ac:dyDescent="0.25">
      <c r="E303" s="31"/>
      <c r="F303" s="31"/>
    </row>
    <row r="304" spans="1:34" x14ac:dyDescent="0.25">
      <c r="A304" s="7" t="s">
        <v>772</v>
      </c>
      <c r="E304" s="31"/>
      <c r="F304" s="31"/>
    </row>
    <row r="305" spans="1:34" x14ac:dyDescent="0.25">
      <c r="A305" s="12" t="s">
        <v>214</v>
      </c>
      <c r="C305" s="2" t="s">
        <v>817</v>
      </c>
      <c r="D305" s="2" t="s">
        <v>215</v>
      </c>
      <c r="E305" s="65">
        <f>'Functional Assignment'!P440</f>
        <v>0</v>
      </c>
      <c r="F305" s="65">
        <f>IF(VLOOKUP($D305,$C$5:$AU$836,3,)=0,0,(VLOOKUP($D305,$C$5:$AU$836,4,)/VLOOKUP($D305,$C$5:$AU$836,3,))*$E305)</f>
        <v>0</v>
      </c>
      <c r="G305" s="65">
        <f>IF(VLOOKUP($D305,$C$5:$AU$836,3,)=0,0,(VLOOKUP($D305,$C$5:$AU$836,5,)/VLOOKUP($D305,$C$5:$AU$836,3,))*$E305)</f>
        <v>0</v>
      </c>
      <c r="H305" s="65">
        <f>IF(VLOOKUP($D305,$C$5:$AU$836,3,)=0,0,(VLOOKUP($D305,$C$5:$AU$836,6,)/VLOOKUP($D305,$C$5:$AU$836,3,))*$E305)</f>
        <v>0</v>
      </c>
      <c r="I305" s="65">
        <f>IF(VLOOKUP($D305,$C$5:$AU$836,3,)=0,0,(VLOOKUP($D305,$C$5:$AU$836,7,)/VLOOKUP($D305,$C$5:$AU$836,3,))*$E305)</f>
        <v>0</v>
      </c>
      <c r="J305" s="65">
        <f>IF(VLOOKUP($D305,$C$5:$AU$836,3,)=0,0,(VLOOKUP($D305,$C$5:$AU$836,8,)/VLOOKUP($D305,$C$5:$AU$836,3,))*$E305)</f>
        <v>0</v>
      </c>
      <c r="K305" s="65">
        <f>IF(VLOOKUP($D305,$C$5:$AU$836,3,)=0,0,(VLOOKUP($D305,$C$5:$AU$836,9,)/VLOOKUP($D305,$C$5:$AU$836,3,))*$E305)</f>
        <v>0</v>
      </c>
      <c r="L305" s="65">
        <f>IF(VLOOKUP($D305,$C$5:$AU$836,3,)=0,0,(VLOOKUP($D305,$C$5:$AU$836,10,)/VLOOKUP($D305,$C$5:$AU$836,3,))*$E305)</f>
        <v>0</v>
      </c>
      <c r="M305" s="65">
        <f>IF(VLOOKUP($D305,$C$5:$AU$836,3,)=0,0,(VLOOKUP($D305,$C$5:$AU$836,11,)/VLOOKUP($D305,$C$5:$AU$836,3,))*$E305)</f>
        <v>0</v>
      </c>
      <c r="N305" s="65">
        <f>IF(VLOOKUP($D305,$C$5:$AU$836,3,)=0,0,(VLOOKUP($D305,$C$5:$AU$836,12,)/VLOOKUP($D305,$C$5:$AU$836,3,))*$E305)</f>
        <v>0</v>
      </c>
      <c r="O305" s="65">
        <f>IF(VLOOKUP($D305,$C$5:$AU$836,3,)=0,0,(VLOOKUP($D305,$C$5:$AU$836,13,)/VLOOKUP($D305,$C$5:$AU$836,3,))*$E305)</f>
        <v>0</v>
      </c>
      <c r="P305" s="65">
        <f>IF(VLOOKUP($D305,$C$5:$AU$836,3,)=0,0,(VLOOKUP($D305,$C$5:$AU$836,14,)/VLOOKUP($D305,$C$5:$AU$836,3,))*$E305)</f>
        <v>0</v>
      </c>
      <c r="Q305" s="65">
        <f>IF(VLOOKUP($D305,$C$5:$AU$836,3,)=0,0,(VLOOKUP($D305,$C$5:$AU$836,15,)/VLOOKUP($D305,$C$5:$AU$836,3,))*$E305)</f>
        <v>0</v>
      </c>
      <c r="R305" s="65">
        <f>IF(VLOOKUP($D305,$C$5:$AU$836,3,)=0,0,(VLOOKUP($D305,$C$5:$AU$836,16,)/VLOOKUP($D305,$C$5:$AU$836,3,))*$E305)</f>
        <v>0</v>
      </c>
      <c r="S305" s="65">
        <f>IF(VLOOKUP($D305,$C$5:$AU$836,3,)=0,0,(VLOOKUP($D305,$C$5:$AU$836,17,)/VLOOKUP($D305,$C$5:$AU$836,3,))*$E305)</f>
        <v>0</v>
      </c>
      <c r="T305" s="65">
        <f>IF(VLOOKUP($D305,$C$5:$AU$836,3,)=0,0,(VLOOKUP($D305,$C$5:$AU$836,18,)/VLOOKUP($D305,$C$5:$AU$836,3,))*$E305)</f>
        <v>0</v>
      </c>
      <c r="U305" s="65">
        <f>IF(VLOOKUP($D305,$C$5:$AU$836,3,)=0,0,(VLOOKUP($D305,$C$5:$AU$836,19,)/VLOOKUP($D305,$C$5:$AU$836,3,))*$E305)</f>
        <v>0</v>
      </c>
      <c r="V305" s="65">
        <f>IF(VLOOKUP($D305,$C$5:$AU$836,3,)=0,0,(VLOOKUP($D305,$C$5:$AU$836,20,)/VLOOKUP($D305,$C$5:$AU$836,3,))*$E305)</f>
        <v>0</v>
      </c>
      <c r="W305" s="65">
        <f>IF(VLOOKUP($D305,$C$5:$AU$836,3,)=0,0,(VLOOKUP($D305,$C$5:$AU$836,21,)/VLOOKUP($D305,$C$5:$AU$836,3,))*$E305)</f>
        <v>0</v>
      </c>
      <c r="X305" s="65">
        <f>IF(VLOOKUP($D305,$C$5:$AU$836,3,)=0,0,(VLOOKUP($D305,$C$5:$AU$836,22,)/VLOOKUP($D305,$C$5:$AU$836,3,))*$E305)</f>
        <v>0</v>
      </c>
      <c r="Y305" s="65">
        <f>IF(VLOOKUP($D305,$C$5:$AU$836,3,)=0,0,(VLOOKUP($D305,$C$5:$AU$836,23,)/VLOOKUP($D305,$C$5:$AU$836,3,))*$E305)</f>
        <v>0</v>
      </c>
      <c r="Z305" s="65">
        <f>IF(VLOOKUP($D305,$C$5:$AU$836,3,)=0,0,(VLOOKUP($D305,$C$5:$AU$836,24,)/VLOOKUP($D305,$C$5:$AU$836,3,))*$E305)</f>
        <v>0</v>
      </c>
      <c r="AA305" s="65">
        <f>IF(VLOOKUP($D305,$C$5:$AU$836,3,)=0,0,(VLOOKUP($D305,$C$5:$AU$836,25,)/VLOOKUP($D305,$C$5:$AU$836,3,))*$E305)</f>
        <v>0</v>
      </c>
      <c r="AB305" s="65">
        <f>IF(VLOOKUP($D305,$C$5:$AU$836,3,)=0,0,(VLOOKUP($D305,$C$5:$AU$836,26,)/VLOOKUP($D305,$C$5:$AU$836,3,))*$E305)</f>
        <v>0</v>
      </c>
      <c r="AC305" s="65">
        <f>IF(VLOOKUP($D305,$C$5:$AU$836,3,)=0,0,(VLOOKUP($D305,$C$5:$AU$836,27,)/VLOOKUP($D305,$C$5:$AU$836,3,))*$E305)</f>
        <v>0</v>
      </c>
      <c r="AD305" s="65">
        <f>IF(VLOOKUP($D305,$C$5:$AU$836,3,)=0,0,(VLOOKUP($D305,$C$5:$AU$836,28,)/VLOOKUP($D305,$C$5:$AU$836,3,))*$E305)</f>
        <v>0</v>
      </c>
      <c r="AE305" s="65">
        <f>IF(VLOOKUP($D305,$C$5:$AU$836,3,)=0,0,(VLOOKUP($D305,$C$5:$AU$836,29,)/VLOOKUP($D305,$C$5:$AU$836,3,))*$E305)</f>
        <v>0</v>
      </c>
      <c r="AF305" s="65">
        <f>IF(VLOOKUP($D305,$C$5:$AU$836,3,)=0,0,(VLOOKUP($D305,$C$5:$AU$836,30,)/VLOOKUP($D305,$C$5:$AU$836,3,))*$E305)</f>
        <v>0</v>
      </c>
      <c r="AG305" s="16">
        <f>SUM(F305:AF305)</f>
        <v>0</v>
      </c>
      <c r="AH305" s="14" t="str">
        <f>IF(ABS(E305-AG305)&lt;0.01,"ok","err")</f>
        <v>ok</v>
      </c>
    </row>
    <row r="306" spans="1:34" x14ac:dyDescent="0.25">
      <c r="E306" s="31"/>
      <c r="F306" s="31"/>
    </row>
    <row r="307" spans="1:34" x14ac:dyDescent="0.25">
      <c r="A307" s="7" t="s">
        <v>334</v>
      </c>
      <c r="E307" s="31"/>
      <c r="F307" s="31"/>
    </row>
    <row r="308" spans="1:34" x14ac:dyDescent="0.25">
      <c r="A308" s="12" t="s">
        <v>214</v>
      </c>
      <c r="C308" s="2" t="s">
        <v>459</v>
      </c>
      <c r="D308" s="2" t="s">
        <v>601</v>
      </c>
      <c r="E308" s="65">
        <f>'Functional Assignment'!R440</f>
        <v>0</v>
      </c>
      <c r="F308" s="65">
        <f>IF(VLOOKUP($D308,$C$5:$AU$836,3,)=0,0,(VLOOKUP($D308,$C$5:$AU$836,4,)/VLOOKUP($D308,$C$5:$AU$836,3,))*$E308)</f>
        <v>0</v>
      </c>
      <c r="G308" s="65">
        <f>IF(VLOOKUP($D308,$C$5:$AU$836,3,)=0,0,(VLOOKUP($D308,$C$5:$AU$836,5,)/VLOOKUP($D308,$C$5:$AU$836,3,))*$E308)</f>
        <v>0</v>
      </c>
      <c r="H308" s="65">
        <f>IF(VLOOKUP($D308,$C$5:$AU$836,3,)=0,0,(VLOOKUP($D308,$C$5:$AU$836,6,)/VLOOKUP($D308,$C$5:$AU$836,3,))*$E308)</f>
        <v>0</v>
      </c>
      <c r="I308" s="65">
        <f>IF(VLOOKUP($D308,$C$5:$AU$836,3,)=0,0,(VLOOKUP($D308,$C$5:$AU$836,7,)/VLOOKUP($D308,$C$5:$AU$836,3,))*$E308)</f>
        <v>0</v>
      </c>
      <c r="J308" s="65">
        <f>IF(VLOOKUP($D308,$C$5:$AU$836,3,)=0,0,(VLOOKUP($D308,$C$5:$AU$836,8,)/VLOOKUP($D308,$C$5:$AU$836,3,))*$E308)</f>
        <v>0</v>
      </c>
      <c r="K308" s="65">
        <f>IF(VLOOKUP($D308,$C$5:$AU$836,3,)=0,0,(VLOOKUP($D308,$C$5:$AU$836,9,)/VLOOKUP($D308,$C$5:$AU$836,3,))*$E308)</f>
        <v>0</v>
      </c>
      <c r="L308" s="65">
        <f>IF(VLOOKUP($D308,$C$5:$AU$836,3,)=0,0,(VLOOKUP($D308,$C$5:$AU$836,10,)/VLOOKUP($D308,$C$5:$AU$836,3,))*$E308)</f>
        <v>0</v>
      </c>
      <c r="M308" s="65">
        <f>IF(VLOOKUP($D308,$C$5:$AU$836,3,)=0,0,(VLOOKUP($D308,$C$5:$AU$836,11,)/VLOOKUP($D308,$C$5:$AU$836,3,))*$E308)</f>
        <v>0</v>
      </c>
      <c r="N308" s="65">
        <f>IF(VLOOKUP($D308,$C$5:$AU$836,3,)=0,0,(VLOOKUP($D308,$C$5:$AU$836,12,)/VLOOKUP($D308,$C$5:$AU$836,3,))*$E308)</f>
        <v>0</v>
      </c>
      <c r="O308" s="65">
        <f>IF(VLOOKUP($D308,$C$5:$AU$836,3,)=0,0,(VLOOKUP($D308,$C$5:$AU$836,13,)/VLOOKUP($D308,$C$5:$AU$836,3,))*$E308)</f>
        <v>0</v>
      </c>
      <c r="P308" s="65">
        <f>IF(VLOOKUP($D308,$C$5:$AU$836,3,)=0,0,(VLOOKUP($D308,$C$5:$AU$836,14,)/VLOOKUP($D308,$C$5:$AU$836,3,))*$E308)</f>
        <v>0</v>
      </c>
      <c r="Q308" s="65">
        <f>IF(VLOOKUP($D308,$C$5:$AU$836,3,)=0,0,(VLOOKUP($D308,$C$5:$AU$836,15,)/VLOOKUP($D308,$C$5:$AU$836,3,))*$E308)</f>
        <v>0</v>
      </c>
      <c r="R308" s="65">
        <f>IF(VLOOKUP($D308,$C$5:$AU$836,3,)=0,0,(VLOOKUP($D308,$C$5:$AU$836,16,)/VLOOKUP($D308,$C$5:$AU$836,3,))*$E308)</f>
        <v>0</v>
      </c>
      <c r="S308" s="65">
        <f>IF(VLOOKUP($D308,$C$5:$AU$836,3,)=0,0,(VLOOKUP($D308,$C$5:$AU$836,17,)/VLOOKUP($D308,$C$5:$AU$836,3,))*$E308)</f>
        <v>0</v>
      </c>
      <c r="T308" s="65">
        <f>IF(VLOOKUP($D308,$C$5:$AU$836,3,)=0,0,(VLOOKUP($D308,$C$5:$AU$836,18,)/VLOOKUP($D308,$C$5:$AU$836,3,))*$E308)</f>
        <v>0</v>
      </c>
      <c r="U308" s="65">
        <f>IF(VLOOKUP($D308,$C$5:$AU$836,3,)=0,0,(VLOOKUP($D308,$C$5:$AU$836,19,)/VLOOKUP($D308,$C$5:$AU$836,3,))*$E308)</f>
        <v>0</v>
      </c>
      <c r="V308" s="65">
        <f>IF(VLOOKUP($D308,$C$5:$AU$836,3,)=0,0,(VLOOKUP($D308,$C$5:$AU$836,20,)/VLOOKUP($D308,$C$5:$AU$836,3,))*$E308)</f>
        <v>0</v>
      </c>
      <c r="W308" s="65">
        <f>IF(VLOOKUP($D308,$C$5:$AU$836,3,)=0,0,(VLOOKUP($D308,$C$5:$AU$836,21,)/VLOOKUP($D308,$C$5:$AU$836,3,))*$E308)</f>
        <v>0</v>
      </c>
      <c r="X308" s="65">
        <f>IF(VLOOKUP($D308,$C$5:$AU$836,3,)=0,0,(VLOOKUP($D308,$C$5:$AU$836,22,)/VLOOKUP($D308,$C$5:$AU$836,3,))*$E308)</f>
        <v>0</v>
      </c>
      <c r="Y308" s="65">
        <f>IF(VLOOKUP($D308,$C$5:$AU$836,3,)=0,0,(VLOOKUP($D308,$C$5:$AU$836,23,)/VLOOKUP($D308,$C$5:$AU$836,3,))*$E308)</f>
        <v>0</v>
      </c>
      <c r="Z308" s="65">
        <f>IF(VLOOKUP($D308,$C$5:$AU$836,3,)=0,0,(VLOOKUP($D308,$C$5:$AU$836,24,)/VLOOKUP($D308,$C$5:$AU$836,3,))*$E308)</f>
        <v>0</v>
      </c>
      <c r="AA308" s="65">
        <f>IF(VLOOKUP($D308,$C$5:$AU$836,3,)=0,0,(VLOOKUP($D308,$C$5:$AU$836,25,)/VLOOKUP($D308,$C$5:$AU$836,3,))*$E308)</f>
        <v>0</v>
      </c>
      <c r="AB308" s="65">
        <f>IF(VLOOKUP($D308,$C$5:$AU$836,3,)=0,0,(VLOOKUP($D308,$C$5:$AU$836,26,)/VLOOKUP($D308,$C$5:$AU$836,3,))*$E308)</f>
        <v>0</v>
      </c>
      <c r="AC308" s="65">
        <f>IF(VLOOKUP($D308,$C$5:$AU$836,3,)=0,0,(VLOOKUP($D308,$C$5:$AU$836,27,)/VLOOKUP($D308,$C$5:$AU$836,3,))*$E308)</f>
        <v>0</v>
      </c>
      <c r="AD308" s="65">
        <f>IF(VLOOKUP($D308,$C$5:$AU$836,3,)=0,0,(VLOOKUP($D308,$C$5:$AU$836,28,)/VLOOKUP($D308,$C$5:$AU$836,3,))*$E308)</f>
        <v>0</v>
      </c>
      <c r="AE308" s="65">
        <f>IF(VLOOKUP($D308,$C$5:$AU$836,3,)=0,0,(VLOOKUP($D308,$C$5:$AU$836,29,)/VLOOKUP($D308,$C$5:$AU$836,3,))*$E308)</f>
        <v>0</v>
      </c>
      <c r="AF308" s="65">
        <f>IF(VLOOKUP($D308,$C$5:$AU$836,3,)=0,0,(VLOOKUP($D308,$C$5:$AU$836,30,)/VLOOKUP($D308,$C$5:$AU$836,3,))*$E308)</f>
        <v>0</v>
      </c>
      <c r="AG308" s="16">
        <f>SUM(F308:AF308)</f>
        <v>0</v>
      </c>
      <c r="AH308" s="14" t="str">
        <f>IF(ABS(E308-AG308)&lt;0.01,"ok","err")</f>
        <v>ok</v>
      </c>
    </row>
    <row r="309" spans="1:34" x14ac:dyDescent="0.25">
      <c r="E309" s="31"/>
      <c r="F309" s="31"/>
    </row>
    <row r="310" spans="1:34" x14ac:dyDescent="0.25">
      <c r="A310" s="8" t="s">
        <v>3</v>
      </c>
      <c r="E310" s="31"/>
      <c r="F310" s="31"/>
    </row>
    <row r="311" spans="1:34" x14ac:dyDescent="0.25">
      <c r="A311" s="12" t="s">
        <v>214</v>
      </c>
      <c r="C311" s="2" t="s">
        <v>277</v>
      </c>
      <c r="D311" s="2" t="s">
        <v>608</v>
      </c>
      <c r="E311" s="65">
        <f>'Functional Assignment'!T440</f>
        <v>32735.932394540487</v>
      </c>
      <c r="F311" s="65">
        <f>IF(VLOOKUP($D311,$C$5:$AU$836,3,)=0,0,(VLOOKUP($D311,$C$5:$AU$836,4,)/VLOOKUP($D311,$C$5:$AU$836,3,))*$E311)</f>
        <v>23267.239735732841</v>
      </c>
      <c r="G311" s="65">
        <f>IF(VLOOKUP($D311,$C$5:$AU$836,3,)=0,0,(VLOOKUP($D311,$C$5:$AU$836,5,)/VLOOKUP($D311,$C$5:$AU$836,3,))*$E311)</f>
        <v>1522.7442906772746</v>
      </c>
      <c r="H311" s="65">
        <f>IF(VLOOKUP($D311,$C$5:$AU$836,3,)=0,0,(VLOOKUP($D311,$C$5:$AU$836,6,)/VLOOKUP($D311,$C$5:$AU$836,3,))*$E311)</f>
        <v>3866.356846748904</v>
      </c>
      <c r="I311" s="65">
        <f>IF(VLOOKUP($D311,$C$5:$AU$836,3,)=0,0,(VLOOKUP($D311,$C$5:$AU$836,7,)/VLOOKUP($D311,$C$5:$AU$836,3,))*$E311)</f>
        <v>397.46576043877639</v>
      </c>
      <c r="J311" s="65">
        <f>IF(VLOOKUP($D311,$C$5:$AU$836,3,)=0,0,(VLOOKUP($D311,$C$5:$AU$836,8,)/VLOOKUP($D311,$C$5:$AU$836,3,))*$E311)</f>
        <v>389.8431294166628</v>
      </c>
      <c r="K311" s="65">
        <f>IF(VLOOKUP($D311,$C$5:$AU$836,3,)=0,0,(VLOOKUP($D311,$C$5:$AU$836,9,)/VLOOKUP($D311,$C$5:$AU$836,3,))*$E311)</f>
        <v>214.97007424857077</v>
      </c>
      <c r="L311" s="65">
        <f>IF(VLOOKUP($D311,$C$5:$AU$836,3,)=0,0,(VLOOKUP($D311,$C$5:$AU$836,10,)/VLOOKUP($D311,$C$5:$AU$836,3,))*$E311)</f>
        <v>1513.3438047132634</v>
      </c>
      <c r="M311" s="65">
        <f>IF(VLOOKUP($D311,$C$5:$AU$836,3,)=0,0,(VLOOKUP($D311,$C$5:$AU$836,11,)/VLOOKUP($D311,$C$5:$AU$836,3,))*$E311)</f>
        <v>1136.8728490087572</v>
      </c>
      <c r="N311" s="65">
        <f>IF(VLOOKUP($D311,$C$5:$AU$836,3,)=0,0,(VLOOKUP($D311,$C$5:$AU$836,12,)/VLOOKUP($D311,$C$5:$AU$836,3,))*$E311)</f>
        <v>427.09590355542394</v>
      </c>
      <c r="O311" s="65">
        <f>IF(VLOOKUP($D311,$C$5:$AU$836,3,)=0,0,(VLOOKUP($D311,$C$5:$AU$836,13,)/VLOOKUP($D311,$C$5:$AU$836,3,))*$E311)</f>
        <v>0</v>
      </c>
      <c r="P311" s="65">
        <f>IF(VLOOKUP($D311,$C$5:$AU$836,3,)=0,0,(VLOOKUP($D311,$C$5:$AU$836,14,)/VLOOKUP($D311,$C$5:$AU$836,3,))*$E311)</f>
        <v>0</v>
      </c>
      <c r="Q311" s="65">
        <f>IF(VLOOKUP($D311,$C$5:$AU$836,3,)=0,0,(VLOOKUP($D311,$C$5:$AU$836,15,)/VLOOKUP($D311,$C$5:$AU$836,3,))*$E311)</f>
        <v>0</v>
      </c>
      <c r="R311" s="65">
        <f>IF(VLOOKUP($D311,$C$5:$AU$836,3,)=0,0,(VLOOKUP($D311,$C$5:$AU$836,16,)/VLOOKUP($D311,$C$5:$AU$836,3,))*$E311)</f>
        <v>0</v>
      </c>
      <c r="S311" s="65">
        <f>IF(VLOOKUP($D311,$C$5:$AU$836,3,)=0,0,(VLOOKUP($D311,$C$5:$AU$836,17,)/VLOOKUP($D311,$C$5:$AU$836,3,))*$E311)</f>
        <v>0</v>
      </c>
      <c r="T311" s="65">
        <f>IF(VLOOKUP($D311,$C$5:$AU$836,3,)=0,0,(VLOOKUP($D311,$C$5:$AU$836,18,)/VLOOKUP($D311,$C$5:$AU$836,3,))*$E311)</f>
        <v>0</v>
      </c>
      <c r="U311" s="65">
        <f>IF(VLOOKUP($D311,$C$5:$AU$836,3,)=0,0,(VLOOKUP($D311,$C$5:$AU$836,19,)/VLOOKUP($D311,$C$5:$AU$836,3,))*$E311)</f>
        <v>0</v>
      </c>
      <c r="V311" s="65">
        <f>IF(VLOOKUP($D311,$C$5:$AU$836,3,)=0,0,(VLOOKUP($D311,$C$5:$AU$836,20,)/VLOOKUP($D311,$C$5:$AU$836,3,))*$E311)</f>
        <v>0</v>
      </c>
      <c r="W311" s="65">
        <f>IF(VLOOKUP($D311,$C$5:$AU$836,3,)=0,0,(VLOOKUP($D311,$C$5:$AU$836,21,)/VLOOKUP($D311,$C$5:$AU$836,3,))*$E311)</f>
        <v>0</v>
      </c>
      <c r="X311" s="65">
        <f>IF(VLOOKUP($D311,$C$5:$AU$836,3,)=0,0,(VLOOKUP($D311,$C$5:$AU$836,22,)/VLOOKUP($D311,$C$5:$AU$836,3,))*$E311)</f>
        <v>0</v>
      </c>
      <c r="Y311" s="65">
        <f>IF(VLOOKUP($D311,$C$5:$AU$836,3,)=0,0,(VLOOKUP($D311,$C$5:$AU$836,23,)/VLOOKUP($D311,$C$5:$AU$836,3,))*$E311)</f>
        <v>0</v>
      </c>
      <c r="Z311" s="65">
        <f>IF(VLOOKUP($D311,$C$5:$AU$836,3,)=0,0,(VLOOKUP($D311,$C$5:$AU$836,24,)/VLOOKUP($D311,$C$5:$AU$836,3,))*$E311)</f>
        <v>0</v>
      </c>
      <c r="AA311" s="65">
        <f>IF(VLOOKUP($D311,$C$5:$AU$836,3,)=0,0,(VLOOKUP($D311,$C$5:$AU$836,25,)/VLOOKUP($D311,$C$5:$AU$836,3,))*$E311)</f>
        <v>0</v>
      </c>
      <c r="AB311" s="65">
        <f>IF(VLOOKUP($D311,$C$5:$AU$836,3,)=0,0,(VLOOKUP($D311,$C$5:$AU$836,26,)/VLOOKUP($D311,$C$5:$AU$836,3,))*$E311)</f>
        <v>0</v>
      </c>
      <c r="AC311" s="65">
        <f>IF(VLOOKUP($D311,$C$5:$AU$836,3,)=0,0,(VLOOKUP($D311,$C$5:$AU$836,27,)/VLOOKUP($D311,$C$5:$AU$836,3,))*$E311)</f>
        <v>0</v>
      </c>
      <c r="AD311" s="65">
        <f>IF(VLOOKUP($D311,$C$5:$AU$836,3,)=0,0,(VLOOKUP($D311,$C$5:$AU$836,28,)/VLOOKUP($D311,$C$5:$AU$836,3,))*$E311)</f>
        <v>0</v>
      </c>
      <c r="AE311" s="65">
        <f>IF(VLOOKUP($D311,$C$5:$AU$836,3,)=0,0,(VLOOKUP($D311,$C$5:$AU$836,29,)/VLOOKUP($D311,$C$5:$AU$836,3,))*$E311)</f>
        <v>0</v>
      </c>
      <c r="AF311" s="65">
        <f>IF(VLOOKUP($D311,$C$5:$AU$836,3,)=0,0,(VLOOKUP($D311,$C$5:$AU$836,30,)/VLOOKUP($D311,$C$5:$AU$836,3,))*$E311)</f>
        <v>0</v>
      </c>
      <c r="AG311" s="16">
        <f>SUM(F311:AF311)</f>
        <v>32735.932394540465</v>
      </c>
      <c r="AH311" s="14" t="str">
        <f>IF(ABS(E311-AG311)&lt;0.01,"ok","err")</f>
        <v>ok</v>
      </c>
    </row>
    <row r="312" spans="1:34" x14ac:dyDescent="0.25">
      <c r="E312" s="31"/>
    </row>
    <row r="313" spans="1:34" x14ac:dyDescent="0.25">
      <c r="A313" s="8" t="s">
        <v>4</v>
      </c>
      <c r="E313" s="31"/>
    </row>
    <row r="314" spans="1:34" x14ac:dyDescent="0.25">
      <c r="A314" s="12" t="s">
        <v>214</v>
      </c>
      <c r="C314" s="2" t="s">
        <v>818</v>
      </c>
      <c r="D314" s="9" t="s">
        <v>750</v>
      </c>
      <c r="E314" s="65">
        <f>'Functional Assignment'!V440</f>
        <v>3170527.7429524721</v>
      </c>
      <c r="F314" s="65">
        <f>IF(VLOOKUP($D314,$C$5:$AU$836,3,)=0,0,(VLOOKUP($D314,$C$5:$AU$836,4,)/VLOOKUP($D314,$C$5:$AU$836,3,))*$E314)</f>
        <v>2040006.3746604272</v>
      </c>
      <c r="G314" s="65">
        <f>IF(VLOOKUP($D314,$C$5:$AU$836,3,)=0,0,(VLOOKUP($D314,$C$5:$AU$836,5,)/VLOOKUP($D314,$C$5:$AU$836,3,))*$E314)</f>
        <v>176233.13662123453</v>
      </c>
      <c r="H314" s="65">
        <f>IF(VLOOKUP($D314,$C$5:$AU$836,3,)=0,0,(VLOOKUP($D314,$C$5:$AU$836,6,)/VLOOKUP($D314,$C$5:$AU$836,3,))*$E314)</f>
        <v>610184.39946445113</v>
      </c>
      <c r="I314" s="65">
        <f>IF(VLOOKUP($D314,$C$5:$AU$836,3,)=0,0,(VLOOKUP($D314,$C$5:$AU$836,7,)/VLOOKUP($D314,$C$5:$AU$836,3,))*$E314)</f>
        <v>59939.736472723016</v>
      </c>
      <c r="J314" s="65">
        <f>IF(VLOOKUP($D314,$C$5:$AU$836,3,)=0,0,(VLOOKUP($D314,$C$5:$AU$836,8,)/VLOOKUP($D314,$C$5:$AU$836,3,))*$E314)</f>
        <v>61524.635525681289</v>
      </c>
      <c r="K314" s="65">
        <f>IF(VLOOKUP($D314,$C$5:$AU$836,3,)=0,0,(VLOOKUP($D314,$C$5:$AU$836,9,)/VLOOKUP($D314,$C$5:$AU$836,3,))*$E314)</f>
        <v>287.52578335748592</v>
      </c>
      <c r="L314" s="65">
        <f>IF(VLOOKUP($D314,$C$5:$AU$836,3,)=0,0,(VLOOKUP($D314,$C$5:$AU$836,10,)/VLOOKUP($D314,$C$5:$AU$836,3,))*$E314)</f>
        <v>5485.276856429683</v>
      </c>
      <c r="M314" s="65">
        <f>IF(VLOOKUP($D314,$C$5:$AU$836,3,)=0,0,(VLOOKUP($D314,$C$5:$AU$836,11,)/VLOOKUP($D314,$C$5:$AU$836,3,))*$E314)</f>
        <v>179420.08566104289</v>
      </c>
      <c r="N314" s="65">
        <f>IF(VLOOKUP($D314,$C$5:$AU$836,3,)=0,0,(VLOOKUP($D314,$C$5:$AU$836,12,)/VLOOKUP($D314,$C$5:$AU$836,3,))*$E314)</f>
        <v>37446.571907124315</v>
      </c>
      <c r="O314" s="65">
        <f>IF(VLOOKUP($D314,$C$5:$AU$836,3,)=0,0,(VLOOKUP($D314,$C$5:$AU$836,13,)/VLOOKUP($D314,$C$5:$AU$836,3,))*$E314)</f>
        <v>0</v>
      </c>
      <c r="P314" s="65">
        <f>IF(VLOOKUP($D314,$C$5:$AU$836,3,)=0,0,(VLOOKUP($D314,$C$5:$AU$836,14,)/VLOOKUP($D314,$C$5:$AU$836,3,))*$E314)</f>
        <v>0</v>
      </c>
      <c r="Q314" s="65">
        <f>IF(VLOOKUP($D314,$C$5:$AU$836,3,)=0,0,(VLOOKUP($D314,$C$5:$AU$836,15,)/VLOOKUP($D314,$C$5:$AU$836,3,))*$E314)</f>
        <v>0</v>
      </c>
      <c r="R314" s="65">
        <f>IF(VLOOKUP($D314,$C$5:$AU$836,3,)=0,0,(VLOOKUP($D314,$C$5:$AU$836,16,)/VLOOKUP($D314,$C$5:$AU$836,3,))*$E314)</f>
        <v>0</v>
      </c>
      <c r="S314" s="65">
        <f>IF(VLOOKUP($D314,$C$5:$AU$836,3,)=0,0,(VLOOKUP($D314,$C$5:$AU$836,17,)/VLOOKUP($D314,$C$5:$AU$836,3,))*$E314)</f>
        <v>0</v>
      </c>
      <c r="T314" s="65">
        <f>IF(VLOOKUP($D314,$C$5:$AU$836,3,)=0,0,(VLOOKUP($D314,$C$5:$AU$836,18,)/VLOOKUP($D314,$C$5:$AU$836,3,))*$E314)</f>
        <v>0</v>
      </c>
      <c r="U314" s="65">
        <f>IF(VLOOKUP($D314,$C$5:$AU$836,3,)=0,0,(VLOOKUP($D314,$C$5:$AU$836,19,)/VLOOKUP($D314,$C$5:$AU$836,3,))*$E314)</f>
        <v>0</v>
      </c>
      <c r="V314" s="65">
        <f>IF(VLOOKUP($D314,$C$5:$AU$836,3,)=0,0,(VLOOKUP($D314,$C$5:$AU$836,20,)/VLOOKUP($D314,$C$5:$AU$836,3,))*$E314)</f>
        <v>0</v>
      </c>
      <c r="W314" s="65">
        <f>IF(VLOOKUP($D314,$C$5:$AU$836,3,)=0,0,(VLOOKUP($D314,$C$5:$AU$836,21,)/VLOOKUP($D314,$C$5:$AU$836,3,))*$E314)</f>
        <v>0</v>
      </c>
      <c r="X314" s="65">
        <f>IF(VLOOKUP($D314,$C$5:$AU$836,3,)=0,0,(VLOOKUP($D314,$C$5:$AU$836,22,)/VLOOKUP($D314,$C$5:$AU$836,3,))*$E314)</f>
        <v>0</v>
      </c>
      <c r="Y314" s="65">
        <f>IF(VLOOKUP($D314,$C$5:$AU$836,3,)=0,0,(VLOOKUP($D314,$C$5:$AU$836,23,)/VLOOKUP($D314,$C$5:$AU$836,3,))*$E314)</f>
        <v>0</v>
      </c>
      <c r="Z314" s="65">
        <f>IF(VLOOKUP($D314,$C$5:$AU$836,3,)=0,0,(VLOOKUP($D314,$C$5:$AU$836,24,)/VLOOKUP($D314,$C$5:$AU$836,3,))*$E314)</f>
        <v>0</v>
      </c>
      <c r="AA314" s="65">
        <f>IF(VLOOKUP($D314,$C$5:$AU$836,3,)=0,0,(VLOOKUP($D314,$C$5:$AU$836,25,)/VLOOKUP($D314,$C$5:$AU$836,3,))*$E314)</f>
        <v>0</v>
      </c>
      <c r="AB314" s="65">
        <f>IF(VLOOKUP($D314,$C$5:$AU$836,3,)=0,0,(VLOOKUP($D314,$C$5:$AU$836,26,)/VLOOKUP($D314,$C$5:$AU$836,3,))*$E314)</f>
        <v>0</v>
      </c>
      <c r="AC314" s="65">
        <f>IF(VLOOKUP($D314,$C$5:$AU$836,3,)=0,0,(VLOOKUP($D314,$C$5:$AU$836,27,)/VLOOKUP($D314,$C$5:$AU$836,3,))*$E314)</f>
        <v>0</v>
      </c>
      <c r="AD314" s="65">
        <f>IF(VLOOKUP($D314,$C$5:$AU$836,3,)=0,0,(VLOOKUP($D314,$C$5:$AU$836,28,)/VLOOKUP($D314,$C$5:$AU$836,3,))*$E314)</f>
        <v>0</v>
      </c>
      <c r="AE314" s="65">
        <f>IF(VLOOKUP($D314,$C$5:$AU$836,3,)=0,0,(VLOOKUP($D314,$C$5:$AU$836,29,)/VLOOKUP($D314,$C$5:$AU$836,3,))*$E314)</f>
        <v>0</v>
      </c>
      <c r="AF314" s="65">
        <f>IF(VLOOKUP($D314,$C$5:$AU$836,3,)=0,0,(VLOOKUP($D314,$C$5:$AU$836,30,)/VLOOKUP($D314,$C$5:$AU$836,3,))*$E314)</f>
        <v>0</v>
      </c>
      <c r="AG314" s="16">
        <f>SUM(F314:AF314)</f>
        <v>3170527.7429524721</v>
      </c>
      <c r="AH314" s="14" t="str">
        <f>IF(ABS(E314-AG314)&lt;0.01,"ok","err")</f>
        <v>ok</v>
      </c>
    </row>
    <row r="315" spans="1:34" x14ac:dyDescent="0.25">
      <c r="A315" s="12" t="s">
        <v>223</v>
      </c>
      <c r="C315" s="2" t="s">
        <v>819</v>
      </c>
      <c r="D315" s="9" t="s">
        <v>759</v>
      </c>
      <c r="E315" s="65">
        <f>'Functional Assignment'!W440</f>
        <v>1561012.4549129561</v>
      </c>
      <c r="F315" s="65">
        <f>IF(VLOOKUP($D315,$C$5:$AU$836,3,)=0,0,(VLOOKUP($D315,$C$5:$AU$836,4,)/VLOOKUP($D315,$C$5:$AU$836,3,))*$E315)</f>
        <v>1431163.4322564476</v>
      </c>
      <c r="G315" s="65">
        <f>IF(VLOOKUP($D315,$C$5:$AU$836,3,)=0,0,(VLOOKUP($D315,$C$5:$AU$836,5,)/VLOOKUP($D315,$C$5:$AU$836,3,))*$E315)</f>
        <v>102657.77028351555</v>
      </c>
      <c r="H315" s="65">
        <f>IF(VLOOKUP($D315,$C$5:$AU$836,3,)=0,0,(VLOOKUP($D315,$C$5:$AU$836,6,)/VLOOKUP($D315,$C$5:$AU$836,3,))*$E315)</f>
        <v>10030.302654520818</v>
      </c>
      <c r="I315" s="65">
        <f>IF(VLOOKUP($D315,$C$5:$AU$836,3,)=0,0,(VLOOKUP($D315,$C$5:$AU$836,7,)/VLOOKUP($D315,$C$5:$AU$836,3,))*$E315)</f>
        <v>3781.1750413204886</v>
      </c>
      <c r="J315" s="65">
        <f>IF(VLOOKUP($D315,$C$5:$AU$836,3,)=0,0,(VLOOKUP($D315,$C$5:$AU$836,8,)/VLOOKUP($D315,$C$5:$AU$836,3,))*$E315)</f>
        <v>384.91003414639698</v>
      </c>
      <c r="K315" s="65">
        <f>IF(VLOOKUP($D315,$C$5:$AU$836,3,)=0,0,(VLOOKUP($D315,$C$5:$AU$836,9,)/VLOOKUP($D315,$C$5:$AU$836,3,))*$E315)</f>
        <v>22.641766714493944</v>
      </c>
      <c r="L315" s="65">
        <f>IF(VLOOKUP($D315,$C$5:$AU$836,3,)=0,0,(VLOOKUP($D315,$C$5:$AU$836,10,)/VLOOKUP($D315,$C$5:$AU$836,3,))*$E315)</f>
        <v>45.283533428987887</v>
      </c>
      <c r="M315" s="65">
        <f>IF(VLOOKUP($D315,$C$5:$AU$836,3,)=0,0,(VLOOKUP($D315,$C$5:$AU$836,11,)/VLOOKUP($D315,$C$5:$AU$836,3,))*$E315)</f>
        <v>181.13413371595155</v>
      </c>
      <c r="N315" s="65">
        <f>IF(VLOOKUP($D315,$C$5:$AU$836,3,)=0,0,(VLOOKUP($D315,$C$5:$AU$836,12,)/VLOOKUP($D315,$C$5:$AU$836,3,))*$E315)</f>
        <v>12745.80520914579</v>
      </c>
      <c r="O315" s="65">
        <f>IF(VLOOKUP($D315,$C$5:$AU$836,3,)=0,0,(VLOOKUP($D315,$C$5:$AU$836,13,)/VLOOKUP($D315,$C$5:$AU$836,3,))*$E315)</f>
        <v>0</v>
      </c>
      <c r="P315" s="65">
        <f>IF(VLOOKUP($D315,$C$5:$AU$836,3,)=0,0,(VLOOKUP($D315,$C$5:$AU$836,14,)/VLOOKUP($D315,$C$5:$AU$836,3,))*$E315)</f>
        <v>0</v>
      </c>
      <c r="Q315" s="65">
        <f>IF(VLOOKUP($D315,$C$5:$AU$836,3,)=0,0,(VLOOKUP($D315,$C$5:$AU$836,15,)/VLOOKUP($D315,$C$5:$AU$836,3,))*$E315)</f>
        <v>0</v>
      </c>
      <c r="R315" s="65">
        <f>IF(VLOOKUP($D315,$C$5:$AU$836,3,)=0,0,(VLOOKUP($D315,$C$5:$AU$836,16,)/VLOOKUP($D315,$C$5:$AU$836,3,))*$E315)</f>
        <v>0</v>
      </c>
      <c r="S315" s="65">
        <f>IF(VLOOKUP($D315,$C$5:$AU$836,3,)=0,0,(VLOOKUP($D315,$C$5:$AU$836,17,)/VLOOKUP($D315,$C$5:$AU$836,3,))*$E315)</f>
        <v>0</v>
      </c>
      <c r="T315" s="65">
        <f>IF(VLOOKUP($D315,$C$5:$AU$836,3,)=0,0,(VLOOKUP($D315,$C$5:$AU$836,18,)/VLOOKUP($D315,$C$5:$AU$836,3,))*$E315)</f>
        <v>0</v>
      </c>
      <c r="U315" s="65">
        <f>IF(VLOOKUP($D315,$C$5:$AU$836,3,)=0,0,(VLOOKUP($D315,$C$5:$AU$836,19,)/VLOOKUP($D315,$C$5:$AU$836,3,))*$E315)</f>
        <v>0</v>
      </c>
      <c r="V315" s="65">
        <f>IF(VLOOKUP($D315,$C$5:$AU$836,3,)=0,0,(VLOOKUP($D315,$C$5:$AU$836,20,)/VLOOKUP($D315,$C$5:$AU$836,3,))*$E315)</f>
        <v>0</v>
      </c>
      <c r="W315" s="65">
        <f>IF(VLOOKUP($D315,$C$5:$AU$836,3,)=0,0,(VLOOKUP($D315,$C$5:$AU$836,21,)/VLOOKUP($D315,$C$5:$AU$836,3,))*$E315)</f>
        <v>0</v>
      </c>
      <c r="X315" s="65">
        <f>IF(VLOOKUP($D315,$C$5:$AU$836,3,)=0,0,(VLOOKUP($D315,$C$5:$AU$836,22,)/VLOOKUP($D315,$C$5:$AU$836,3,))*$E315)</f>
        <v>0</v>
      </c>
      <c r="Y315" s="65">
        <f>IF(VLOOKUP($D315,$C$5:$AU$836,3,)=0,0,(VLOOKUP($D315,$C$5:$AU$836,23,)/VLOOKUP($D315,$C$5:$AU$836,3,))*$E315)</f>
        <v>0</v>
      </c>
      <c r="Z315" s="65">
        <f>IF(VLOOKUP($D315,$C$5:$AU$836,3,)=0,0,(VLOOKUP($D315,$C$5:$AU$836,24,)/VLOOKUP($D315,$C$5:$AU$836,3,))*$E315)</f>
        <v>0</v>
      </c>
      <c r="AA315" s="65">
        <f>IF(VLOOKUP($D315,$C$5:$AU$836,3,)=0,0,(VLOOKUP($D315,$C$5:$AU$836,25,)/VLOOKUP($D315,$C$5:$AU$836,3,))*$E315)</f>
        <v>0</v>
      </c>
      <c r="AB315" s="65">
        <f>IF(VLOOKUP($D315,$C$5:$AU$836,3,)=0,0,(VLOOKUP($D315,$C$5:$AU$836,26,)/VLOOKUP($D315,$C$5:$AU$836,3,))*$E315)</f>
        <v>0</v>
      </c>
      <c r="AC315" s="65">
        <f>IF(VLOOKUP($D315,$C$5:$AU$836,3,)=0,0,(VLOOKUP($D315,$C$5:$AU$836,27,)/VLOOKUP($D315,$C$5:$AU$836,3,))*$E315)</f>
        <v>0</v>
      </c>
      <c r="AD315" s="65">
        <f>IF(VLOOKUP($D315,$C$5:$AU$836,3,)=0,0,(VLOOKUP($D315,$C$5:$AU$836,28,)/VLOOKUP($D315,$C$5:$AU$836,3,))*$E315)</f>
        <v>0</v>
      </c>
      <c r="AE315" s="65">
        <f>IF(VLOOKUP($D315,$C$5:$AU$836,3,)=0,0,(VLOOKUP($D315,$C$5:$AU$836,29,)/VLOOKUP($D315,$C$5:$AU$836,3,))*$E315)</f>
        <v>0</v>
      </c>
      <c r="AF315" s="65">
        <f>IF(VLOOKUP($D315,$C$5:$AU$836,3,)=0,0,(VLOOKUP($D315,$C$5:$AU$836,30,)/VLOOKUP($D315,$C$5:$AU$836,3,))*$E315)</f>
        <v>0</v>
      </c>
      <c r="AG315" s="16">
        <f>SUM(F315:AF315)</f>
        <v>1561012.4549129561</v>
      </c>
      <c r="AH315" s="14" t="str">
        <f>IF(ABS(E315-AG315)&lt;0.01,"ok","err")</f>
        <v>ok</v>
      </c>
    </row>
    <row r="316" spans="1:34" x14ac:dyDescent="0.25">
      <c r="A316" s="2" t="s">
        <v>224</v>
      </c>
      <c r="E316" s="65">
        <f t="shared" ref="E316:N316" si="203">E314+E315</f>
        <v>4731540.1978654284</v>
      </c>
      <c r="F316" s="65">
        <f t="shared" si="203"/>
        <v>3471169.8069168748</v>
      </c>
      <c r="G316" s="65">
        <f t="shared" si="203"/>
        <v>278890.9069047501</v>
      </c>
      <c r="H316" s="65">
        <f t="shared" si="203"/>
        <v>620214.70211897197</v>
      </c>
      <c r="I316" s="65">
        <f t="shared" si="203"/>
        <v>63720.911514043502</v>
      </c>
      <c r="J316" s="65">
        <f t="shared" si="203"/>
        <v>61909.545559827689</v>
      </c>
      <c r="K316" s="65">
        <f t="shared" si="203"/>
        <v>310.16755007197986</v>
      </c>
      <c r="L316" s="65">
        <f t="shared" si="203"/>
        <v>5530.5603898586705</v>
      </c>
      <c r="M316" s="65">
        <f t="shared" si="203"/>
        <v>179601.21979475883</v>
      </c>
      <c r="N316" s="65">
        <f t="shared" si="203"/>
        <v>50192.377116270101</v>
      </c>
      <c r="O316" s="65">
        <f t="shared" ref="O316:T316" si="204">O314+O315</f>
        <v>0</v>
      </c>
      <c r="P316" s="65">
        <f t="shared" si="204"/>
        <v>0</v>
      </c>
      <c r="Q316" s="65">
        <f t="shared" si="204"/>
        <v>0</v>
      </c>
      <c r="R316" s="65">
        <f t="shared" si="204"/>
        <v>0</v>
      </c>
      <c r="S316" s="65">
        <f t="shared" si="204"/>
        <v>0</v>
      </c>
      <c r="T316" s="65">
        <f t="shared" si="204"/>
        <v>0</v>
      </c>
      <c r="U316" s="65">
        <f t="shared" ref="U316:AF316" si="205">U314+U315</f>
        <v>0</v>
      </c>
      <c r="V316" s="65">
        <f t="shared" si="205"/>
        <v>0</v>
      </c>
      <c r="W316" s="65">
        <f t="shared" si="205"/>
        <v>0</v>
      </c>
      <c r="X316" s="65">
        <f t="shared" si="205"/>
        <v>0</v>
      </c>
      <c r="Y316" s="65">
        <f t="shared" si="205"/>
        <v>0</v>
      </c>
      <c r="Z316" s="65">
        <f t="shared" si="205"/>
        <v>0</v>
      </c>
      <c r="AA316" s="65">
        <f t="shared" si="205"/>
        <v>0</v>
      </c>
      <c r="AB316" s="65">
        <f t="shared" si="205"/>
        <v>0</v>
      </c>
      <c r="AC316" s="65">
        <f t="shared" si="205"/>
        <v>0</v>
      </c>
      <c r="AD316" s="65">
        <f t="shared" si="205"/>
        <v>0</v>
      </c>
      <c r="AE316" s="65">
        <f t="shared" si="205"/>
        <v>0</v>
      </c>
      <c r="AF316" s="65">
        <f t="shared" si="205"/>
        <v>0</v>
      </c>
      <c r="AG316" s="16">
        <f>SUM(F316:AF316)</f>
        <v>4731540.1978654275</v>
      </c>
      <c r="AH316" s="14" t="str">
        <f>IF(ABS(E316-AG316)&lt;0.01,"ok","err")</f>
        <v>ok</v>
      </c>
    </row>
    <row r="317" spans="1:34" x14ac:dyDescent="0.2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16"/>
      <c r="AH317" s="14"/>
    </row>
    <row r="318" spans="1:34" x14ac:dyDescent="0.25">
      <c r="A318" s="7" t="s">
        <v>734</v>
      </c>
      <c r="E318" s="31"/>
    </row>
    <row r="319" spans="1:34" x14ac:dyDescent="0.25">
      <c r="A319" s="12" t="s">
        <v>214</v>
      </c>
      <c r="C319" s="2" t="s">
        <v>820</v>
      </c>
      <c r="D319" s="9" t="s">
        <v>756</v>
      </c>
      <c r="E319" s="65">
        <f>'Functional Assignment'!Y440</f>
        <v>352280.86032805243</v>
      </c>
      <c r="F319" s="65">
        <f>IF(VLOOKUP($D319,$C$5:$AU$836,3,)=0,0,(VLOOKUP($D319,$C$5:$AU$836,4,)/VLOOKUP($D319,$C$5:$AU$836,3,))*$E319)</f>
        <v>230651.21228245922</v>
      </c>
      <c r="G319" s="65">
        <f>IF(VLOOKUP($D319,$C$5:$AU$836,3,)=0,0,(VLOOKUP($D319,$C$5:$AU$836,5,)/VLOOKUP($D319,$C$5:$AU$836,3,))*$E319)</f>
        <v>47563.830200636607</v>
      </c>
      <c r="H319" s="65">
        <f>IF(VLOOKUP($D319,$C$5:$AU$836,3,)=0,0,(VLOOKUP($D319,$C$5:$AU$836,6,)/VLOOKUP($D319,$C$5:$AU$836,3,))*$E319)</f>
        <v>49236.493138046826</v>
      </c>
      <c r="I319" s="65">
        <f>IF(VLOOKUP($D319,$C$5:$AU$836,3,)=0,0,(VLOOKUP($D319,$C$5:$AU$836,7,)/VLOOKUP($D319,$C$5:$AU$836,3,))*$E319)</f>
        <v>16944.179771724896</v>
      </c>
      <c r="J319" s="65">
        <f>IF(VLOOKUP($D319,$C$5:$AU$836,3,)=0,0,(VLOOKUP($D319,$C$5:$AU$836,8,)/VLOOKUP($D319,$C$5:$AU$836,3,))*$E319)</f>
        <v>6251.3550582709522</v>
      </c>
      <c r="K319" s="65">
        <f>IF(VLOOKUP($D319,$C$5:$AU$836,3,)=0,0,(VLOOKUP($D319,$C$5:$AU$836,9,)/VLOOKUP($D319,$C$5:$AU$836,3,))*$E319)</f>
        <v>0</v>
      </c>
      <c r="L319" s="65">
        <f>IF(VLOOKUP($D319,$C$5:$AU$836,3,)=0,0,(VLOOKUP($D319,$C$5:$AU$836,10,)/VLOOKUP($D319,$C$5:$AU$836,3,))*$E319)</f>
        <v>0</v>
      </c>
      <c r="M319" s="65">
        <f>IF(VLOOKUP($D319,$C$5:$AU$836,3,)=0,0,(VLOOKUP($D319,$C$5:$AU$836,11,)/VLOOKUP($D319,$C$5:$AU$836,3,))*$E319)</f>
        <v>0</v>
      </c>
      <c r="N319" s="65">
        <f>IF(VLOOKUP($D319,$C$5:$AU$836,3,)=0,0,(VLOOKUP($D319,$C$5:$AU$836,12,)/VLOOKUP($D319,$C$5:$AU$836,3,))*$E319)</f>
        <v>1633.789876913891</v>
      </c>
      <c r="O319" s="65">
        <f>IF(VLOOKUP($D319,$C$5:$AU$836,3,)=0,0,(VLOOKUP($D319,$C$5:$AU$836,13,)/VLOOKUP($D319,$C$5:$AU$836,3,))*$E319)</f>
        <v>0</v>
      </c>
      <c r="P319" s="65">
        <f>IF(VLOOKUP($D319,$C$5:$AU$836,3,)=0,0,(VLOOKUP($D319,$C$5:$AU$836,14,)/VLOOKUP($D319,$C$5:$AU$836,3,))*$E319)</f>
        <v>0</v>
      </c>
      <c r="Q319" s="65">
        <f>IF(VLOOKUP($D319,$C$5:$AU$836,3,)=0,0,(VLOOKUP($D319,$C$5:$AU$836,15,)/VLOOKUP($D319,$C$5:$AU$836,3,))*$E319)</f>
        <v>0</v>
      </c>
      <c r="R319" s="65">
        <f>IF(VLOOKUP($D319,$C$5:$AU$836,3,)=0,0,(VLOOKUP($D319,$C$5:$AU$836,16,)/VLOOKUP($D319,$C$5:$AU$836,3,))*$E319)</f>
        <v>0</v>
      </c>
      <c r="S319" s="65">
        <f>IF(VLOOKUP($D319,$C$5:$AU$836,3,)=0,0,(VLOOKUP($D319,$C$5:$AU$836,17,)/VLOOKUP($D319,$C$5:$AU$836,3,))*$E319)</f>
        <v>0</v>
      </c>
      <c r="T319" s="65">
        <f>IF(VLOOKUP($D319,$C$5:$AU$836,3,)=0,0,(VLOOKUP($D319,$C$5:$AU$836,18,)/VLOOKUP($D319,$C$5:$AU$836,3,))*$E319)</f>
        <v>0</v>
      </c>
      <c r="U319" s="65">
        <f>IF(VLOOKUP($D319,$C$5:$AU$836,3,)=0,0,(VLOOKUP($D319,$C$5:$AU$836,19,)/VLOOKUP($D319,$C$5:$AU$836,3,))*$E319)</f>
        <v>0</v>
      </c>
      <c r="V319" s="65">
        <f>IF(VLOOKUP($D319,$C$5:$AU$836,3,)=0,0,(VLOOKUP($D319,$C$5:$AU$836,20,)/VLOOKUP($D319,$C$5:$AU$836,3,))*$E319)</f>
        <v>0</v>
      </c>
      <c r="W319" s="65">
        <f>IF(VLOOKUP($D319,$C$5:$AU$836,3,)=0,0,(VLOOKUP($D319,$C$5:$AU$836,21,)/VLOOKUP($D319,$C$5:$AU$836,3,))*$E319)</f>
        <v>0</v>
      </c>
      <c r="X319" s="65">
        <f>IF(VLOOKUP($D319,$C$5:$AU$836,3,)=0,0,(VLOOKUP($D319,$C$5:$AU$836,22,)/VLOOKUP($D319,$C$5:$AU$836,3,))*$E319)</f>
        <v>0</v>
      </c>
      <c r="Y319" s="65">
        <f>IF(VLOOKUP($D319,$C$5:$AU$836,3,)=0,0,(VLOOKUP($D319,$C$5:$AU$836,23,)/VLOOKUP($D319,$C$5:$AU$836,3,))*$E319)</f>
        <v>0</v>
      </c>
      <c r="Z319" s="65">
        <f>IF(VLOOKUP($D319,$C$5:$AU$836,3,)=0,0,(VLOOKUP($D319,$C$5:$AU$836,24,)/VLOOKUP($D319,$C$5:$AU$836,3,))*$E319)</f>
        <v>0</v>
      </c>
      <c r="AA319" s="65">
        <f>IF(VLOOKUP($D319,$C$5:$AU$836,3,)=0,0,(VLOOKUP($D319,$C$5:$AU$836,25,)/VLOOKUP($D319,$C$5:$AU$836,3,))*$E319)</f>
        <v>0</v>
      </c>
      <c r="AB319" s="65">
        <f>IF(VLOOKUP($D319,$C$5:$AU$836,3,)=0,0,(VLOOKUP($D319,$C$5:$AU$836,26,)/VLOOKUP($D319,$C$5:$AU$836,3,))*$E319)</f>
        <v>0</v>
      </c>
      <c r="AC319" s="65">
        <f>IF(VLOOKUP($D319,$C$5:$AU$836,3,)=0,0,(VLOOKUP($D319,$C$5:$AU$836,27,)/VLOOKUP($D319,$C$5:$AU$836,3,))*$E319)</f>
        <v>0</v>
      </c>
      <c r="AD319" s="65">
        <f>IF(VLOOKUP($D319,$C$5:$AU$836,3,)=0,0,(VLOOKUP($D319,$C$5:$AU$836,28,)/VLOOKUP($D319,$C$5:$AU$836,3,))*$E319)</f>
        <v>0</v>
      </c>
      <c r="AE319" s="65">
        <f>IF(VLOOKUP($D319,$C$5:$AU$836,3,)=0,0,(VLOOKUP($D319,$C$5:$AU$836,29,)/VLOOKUP($D319,$C$5:$AU$836,3,))*$E319)</f>
        <v>0</v>
      </c>
      <c r="AF319" s="65">
        <f>IF(VLOOKUP($D319,$C$5:$AU$836,3,)=0,0,(VLOOKUP($D319,$C$5:$AU$836,30,)/VLOOKUP($D319,$C$5:$AU$836,3,))*$E319)</f>
        <v>0</v>
      </c>
      <c r="AG319" s="16">
        <f>SUM(F319:AF319)</f>
        <v>352280.86032805243</v>
      </c>
      <c r="AH319" s="14" t="str">
        <f>IF(ABS(E319-AG319)&lt;0.01,"ok","err")</f>
        <v>ok</v>
      </c>
    </row>
    <row r="320" spans="1:34" x14ac:dyDescent="0.25">
      <c r="A320" s="12" t="s">
        <v>223</v>
      </c>
      <c r="C320" s="2" t="s">
        <v>821</v>
      </c>
      <c r="D320" s="9" t="s">
        <v>760</v>
      </c>
      <c r="E320" s="65">
        <f>'Functional Assignment'!Z440</f>
        <v>173445.82832366176</v>
      </c>
      <c r="F320" s="65">
        <f>IF(VLOOKUP($D320,$C$5:$AU$836,3,)=0,0,(VLOOKUP($D320,$C$5:$AU$836,4,)/VLOOKUP($D320,$C$5:$AU$836,3,))*$E320)</f>
        <v>159044.82914307722</v>
      </c>
      <c r="G320" s="65">
        <f>IF(VLOOKUP($D320,$C$5:$AU$836,3,)=0,0,(VLOOKUP($D320,$C$5:$AU$836,5,)/VLOOKUP($D320,$C$5:$AU$836,3,))*$E320)</f>
        <v>11408.331967515893</v>
      </c>
      <c r="H320" s="65">
        <f>IF(VLOOKUP($D320,$C$5:$AU$836,3,)=0,0,(VLOOKUP($D320,$C$5:$AU$836,6,)/VLOOKUP($D320,$C$5:$AU$836,3,))*$E320)</f>
        <v>1114.6649893272036</v>
      </c>
      <c r="I320" s="65">
        <f>IF(VLOOKUP($D320,$C$5:$AU$836,3,)=0,0,(VLOOKUP($D320,$C$5:$AU$836,7,)/VLOOKUP($D320,$C$5:$AU$836,3,))*$E320)</f>
        <v>420.20102306465685</v>
      </c>
      <c r="J320" s="65">
        <f>IF(VLOOKUP($D320,$C$5:$AU$836,3,)=0,0,(VLOOKUP($D320,$C$5:$AU$836,8,)/VLOOKUP($D320,$C$5:$AU$836,3,))*$E320)</f>
        <v>42.774954443707585</v>
      </c>
      <c r="K320" s="65">
        <f>IF(VLOOKUP($D320,$C$5:$AU$836,3,)=0,0,(VLOOKUP($D320,$C$5:$AU$836,9,)/VLOOKUP($D320,$C$5:$AU$836,3,))*$E320)</f>
        <v>0</v>
      </c>
      <c r="L320" s="65">
        <f>IF(VLOOKUP($D320,$C$5:$AU$836,3,)=0,0,(VLOOKUP($D320,$C$5:$AU$836,10,)/VLOOKUP($D320,$C$5:$AU$836,3,))*$E320)</f>
        <v>0</v>
      </c>
      <c r="M320" s="65">
        <f>IF(VLOOKUP($D320,$C$5:$AU$836,3,)=0,0,(VLOOKUP($D320,$C$5:$AU$836,11,)/VLOOKUP($D320,$C$5:$AU$836,3,))*$E320)</f>
        <v>0</v>
      </c>
      <c r="N320" s="65">
        <f>IF(VLOOKUP($D320,$C$5:$AU$836,3,)=0,0,(VLOOKUP($D320,$C$5:$AU$836,12,)/VLOOKUP($D320,$C$5:$AU$836,3,))*$E320)</f>
        <v>1415.0262462330679</v>
      </c>
      <c r="O320" s="65">
        <f>IF(VLOOKUP($D320,$C$5:$AU$836,3,)=0,0,(VLOOKUP($D320,$C$5:$AU$836,13,)/VLOOKUP($D320,$C$5:$AU$836,3,))*$E320)</f>
        <v>0</v>
      </c>
      <c r="P320" s="65">
        <f>IF(VLOOKUP($D320,$C$5:$AU$836,3,)=0,0,(VLOOKUP($D320,$C$5:$AU$836,14,)/VLOOKUP($D320,$C$5:$AU$836,3,))*$E320)</f>
        <v>0</v>
      </c>
      <c r="Q320" s="65">
        <f>IF(VLOOKUP($D320,$C$5:$AU$836,3,)=0,0,(VLOOKUP($D320,$C$5:$AU$836,15,)/VLOOKUP($D320,$C$5:$AU$836,3,))*$E320)</f>
        <v>0</v>
      </c>
      <c r="R320" s="65">
        <f>IF(VLOOKUP($D320,$C$5:$AU$836,3,)=0,0,(VLOOKUP($D320,$C$5:$AU$836,16,)/VLOOKUP($D320,$C$5:$AU$836,3,))*$E320)</f>
        <v>0</v>
      </c>
      <c r="S320" s="65">
        <f>IF(VLOOKUP($D320,$C$5:$AU$836,3,)=0,0,(VLOOKUP($D320,$C$5:$AU$836,17,)/VLOOKUP($D320,$C$5:$AU$836,3,))*$E320)</f>
        <v>0</v>
      </c>
      <c r="T320" s="65">
        <f>IF(VLOOKUP($D320,$C$5:$AU$836,3,)=0,0,(VLOOKUP($D320,$C$5:$AU$836,18,)/VLOOKUP($D320,$C$5:$AU$836,3,))*$E320)</f>
        <v>0</v>
      </c>
      <c r="U320" s="65">
        <f>IF(VLOOKUP($D320,$C$5:$AU$836,3,)=0,0,(VLOOKUP($D320,$C$5:$AU$836,19,)/VLOOKUP($D320,$C$5:$AU$836,3,))*$E320)</f>
        <v>0</v>
      </c>
      <c r="V320" s="65">
        <f>IF(VLOOKUP($D320,$C$5:$AU$836,3,)=0,0,(VLOOKUP($D320,$C$5:$AU$836,20,)/VLOOKUP($D320,$C$5:$AU$836,3,))*$E320)</f>
        <v>0</v>
      </c>
      <c r="W320" s="65">
        <f>IF(VLOOKUP($D320,$C$5:$AU$836,3,)=0,0,(VLOOKUP($D320,$C$5:$AU$836,21,)/VLOOKUP($D320,$C$5:$AU$836,3,))*$E320)</f>
        <v>0</v>
      </c>
      <c r="X320" s="65">
        <f>IF(VLOOKUP($D320,$C$5:$AU$836,3,)=0,0,(VLOOKUP($D320,$C$5:$AU$836,22,)/VLOOKUP($D320,$C$5:$AU$836,3,))*$E320)</f>
        <v>0</v>
      </c>
      <c r="Y320" s="65">
        <f>IF(VLOOKUP($D320,$C$5:$AU$836,3,)=0,0,(VLOOKUP($D320,$C$5:$AU$836,23,)/VLOOKUP($D320,$C$5:$AU$836,3,))*$E320)</f>
        <v>0</v>
      </c>
      <c r="Z320" s="65">
        <f>IF(VLOOKUP($D320,$C$5:$AU$836,3,)=0,0,(VLOOKUP($D320,$C$5:$AU$836,24,)/VLOOKUP($D320,$C$5:$AU$836,3,))*$E320)</f>
        <v>0</v>
      </c>
      <c r="AA320" s="65">
        <f>IF(VLOOKUP($D320,$C$5:$AU$836,3,)=0,0,(VLOOKUP($D320,$C$5:$AU$836,25,)/VLOOKUP($D320,$C$5:$AU$836,3,))*$E320)</f>
        <v>0</v>
      </c>
      <c r="AB320" s="65">
        <f>IF(VLOOKUP($D320,$C$5:$AU$836,3,)=0,0,(VLOOKUP($D320,$C$5:$AU$836,26,)/VLOOKUP($D320,$C$5:$AU$836,3,))*$E320)</f>
        <v>0</v>
      </c>
      <c r="AC320" s="65">
        <f>IF(VLOOKUP($D320,$C$5:$AU$836,3,)=0,0,(VLOOKUP($D320,$C$5:$AU$836,27,)/VLOOKUP($D320,$C$5:$AU$836,3,))*$E320)</f>
        <v>0</v>
      </c>
      <c r="AD320" s="65">
        <f>IF(VLOOKUP($D320,$C$5:$AU$836,3,)=0,0,(VLOOKUP($D320,$C$5:$AU$836,28,)/VLOOKUP($D320,$C$5:$AU$836,3,))*$E320)</f>
        <v>0</v>
      </c>
      <c r="AE320" s="65">
        <f>IF(VLOOKUP($D320,$C$5:$AU$836,3,)=0,0,(VLOOKUP($D320,$C$5:$AU$836,29,)/VLOOKUP($D320,$C$5:$AU$836,3,))*$E320)</f>
        <v>0</v>
      </c>
      <c r="AF320" s="65">
        <f>IF(VLOOKUP($D320,$C$5:$AU$836,3,)=0,0,(VLOOKUP($D320,$C$5:$AU$836,30,)/VLOOKUP($D320,$C$5:$AU$836,3,))*$E320)</f>
        <v>0</v>
      </c>
      <c r="AG320" s="16">
        <f>SUM(F320:AF320)</f>
        <v>173445.82832366176</v>
      </c>
      <c r="AH320" s="14" t="str">
        <f>IF(ABS(E320-AG320)&lt;0.01,"ok","err")</f>
        <v>ok</v>
      </c>
    </row>
    <row r="321" spans="1:34" x14ac:dyDescent="0.25">
      <c r="A321" s="2" t="s">
        <v>224</v>
      </c>
      <c r="E321" s="65">
        <f t="shared" ref="E321:N321" si="206">E319+E320</f>
        <v>525726.68865171424</v>
      </c>
      <c r="F321" s="65">
        <f t="shared" si="206"/>
        <v>389696.04142553644</v>
      </c>
      <c r="G321" s="65">
        <f t="shared" si="206"/>
        <v>58972.162168152499</v>
      </c>
      <c r="H321" s="65">
        <f t="shared" si="206"/>
        <v>50351.15812737403</v>
      </c>
      <c r="I321" s="65">
        <f t="shared" si="206"/>
        <v>17364.380794789551</v>
      </c>
      <c r="J321" s="65">
        <f t="shared" si="206"/>
        <v>6294.1300127146596</v>
      </c>
      <c r="K321" s="65">
        <f t="shared" si="206"/>
        <v>0</v>
      </c>
      <c r="L321" s="65">
        <f t="shared" si="206"/>
        <v>0</v>
      </c>
      <c r="M321" s="65">
        <f t="shared" si="206"/>
        <v>0</v>
      </c>
      <c r="N321" s="65">
        <f t="shared" si="206"/>
        <v>3048.8161231469589</v>
      </c>
      <c r="O321" s="65">
        <f t="shared" ref="O321:AF321" si="207">O319+O320</f>
        <v>0</v>
      </c>
      <c r="P321" s="65">
        <f t="shared" si="207"/>
        <v>0</v>
      </c>
      <c r="Q321" s="65">
        <f t="shared" si="207"/>
        <v>0</v>
      </c>
      <c r="R321" s="65">
        <f t="shared" si="207"/>
        <v>0</v>
      </c>
      <c r="S321" s="65">
        <f t="shared" si="207"/>
        <v>0</v>
      </c>
      <c r="T321" s="65">
        <f t="shared" si="207"/>
        <v>0</v>
      </c>
      <c r="U321" s="65">
        <f t="shared" si="207"/>
        <v>0</v>
      </c>
      <c r="V321" s="65">
        <f t="shared" si="207"/>
        <v>0</v>
      </c>
      <c r="W321" s="65">
        <f t="shared" si="207"/>
        <v>0</v>
      </c>
      <c r="X321" s="65">
        <f t="shared" si="207"/>
        <v>0</v>
      </c>
      <c r="Y321" s="65">
        <f t="shared" si="207"/>
        <v>0</v>
      </c>
      <c r="Z321" s="65">
        <f t="shared" si="207"/>
        <v>0</v>
      </c>
      <c r="AA321" s="65">
        <f t="shared" si="207"/>
        <v>0</v>
      </c>
      <c r="AB321" s="65">
        <f t="shared" si="207"/>
        <v>0</v>
      </c>
      <c r="AC321" s="65">
        <f t="shared" si="207"/>
        <v>0</v>
      </c>
      <c r="AD321" s="65">
        <f t="shared" si="207"/>
        <v>0</v>
      </c>
      <c r="AE321" s="65">
        <f t="shared" si="207"/>
        <v>0</v>
      </c>
      <c r="AF321" s="65">
        <f t="shared" si="207"/>
        <v>0</v>
      </c>
      <c r="AG321" s="16">
        <f>SUM(F321:AF321)</f>
        <v>525726.68865171412</v>
      </c>
      <c r="AH321" s="14" t="str">
        <f>IF(ABS(E321-AG321)&lt;0.01,"ok","err")</f>
        <v>ok</v>
      </c>
    </row>
    <row r="322" spans="1:34" x14ac:dyDescent="0.25">
      <c r="E322" s="31"/>
    </row>
    <row r="323" spans="1:34" x14ac:dyDescent="0.25">
      <c r="A323" s="7" t="s">
        <v>840</v>
      </c>
      <c r="E323" s="31"/>
    </row>
    <row r="324" spans="1:34" x14ac:dyDescent="0.25">
      <c r="A324" s="12" t="s">
        <v>214</v>
      </c>
      <c r="C324" s="2" t="s">
        <v>801</v>
      </c>
      <c r="D324" s="9" t="s">
        <v>851</v>
      </c>
      <c r="E324" s="65">
        <f>'Functional Assignment'!AB440</f>
        <v>689730.72571407724</v>
      </c>
      <c r="F324" s="65">
        <f>IF(VLOOKUP($D324,$C$5:$AU$836,3,)=0,0,(VLOOKUP($D324,$C$5:$AU$836,4,)/VLOOKUP($D324,$C$5:$AU$836,3,))*$E324)</f>
        <v>446579.25508141867</v>
      </c>
      <c r="G324" s="65">
        <f>IF(VLOOKUP($D324,$C$5:$AU$836,3,)=0,0,(VLOOKUP($D324,$C$5:$AU$836,5,)/VLOOKUP($D324,$C$5:$AU$836,3,))*$E324)</f>
        <v>92091.516231908128</v>
      </c>
      <c r="H324" s="65">
        <f>IF(VLOOKUP($D324,$C$5:$AU$836,3,)=0,0,(VLOOKUP($D324,$C$5:$AU$836,6,)/VLOOKUP($D324,$C$5:$AU$836,3,))*$E324)</f>
        <v>95330.070936212898</v>
      </c>
      <c r="I324" s="65">
        <f>IF(VLOOKUP($D324,$C$5:$AU$836,3,)=0,0,(VLOOKUP($D324,$C$5:$AU$836,7,)/VLOOKUP($D324,$C$5:$AU$836,3,))*$E324)</f>
        <v>32806.760933716549</v>
      </c>
      <c r="J324" s="65">
        <f>IF(VLOOKUP($D324,$C$5:$AU$836,3,)=0,0,(VLOOKUP($D324,$C$5:$AU$836,8,)/VLOOKUP($D324,$C$5:$AU$836,3,))*$E324)</f>
        <v>12103.667080463068</v>
      </c>
      <c r="K324" s="65">
        <f>IF(VLOOKUP($D324,$C$5:$AU$836,3,)=0,0,(VLOOKUP($D324,$C$5:$AU$836,9,)/VLOOKUP($D324,$C$5:$AU$836,3,))*$E324)</f>
        <v>0</v>
      </c>
      <c r="L324" s="65">
        <f>IF(VLOOKUP($D324,$C$5:$AU$836,3,)=0,0,(VLOOKUP($D324,$C$5:$AU$836,10,)/VLOOKUP($D324,$C$5:$AU$836,3,))*$E324)</f>
        <v>4550.9170910541479</v>
      </c>
      <c r="M324" s="65">
        <f>IF(VLOOKUP($D324,$C$5:$AU$836,3,)=0,0,(VLOOKUP($D324,$C$5:$AU$836,11,)/VLOOKUP($D324,$C$5:$AU$836,3,))*$E324)</f>
        <v>3105.2483901260648</v>
      </c>
      <c r="N324" s="65">
        <f>IF(VLOOKUP($D324,$C$5:$AU$836,3,)=0,0,(VLOOKUP($D324,$C$5:$AU$836,12,)/VLOOKUP($D324,$C$5:$AU$836,3,))*$E324)</f>
        <v>3163.2899691776502</v>
      </c>
      <c r="O324" s="65">
        <f>IF(VLOOKUP($D324,$C$5:$AU$836,3,)=0,0,(VLOOKUP($D324,$C$5:$AU$836,13,)/VLOOKUP($D324,$C$5:$AU$836,3,))*$E324)</f>
        <v>0</v>
      </c>
      <c r="P324" s="65">
        <f>IF(VLOOKUP($D324,$C$5:$AU$836,3,)=0,0,(VLOOKUP($D324,$C$5:$AU$836,14,)/VLOOKUP($D324,$C$5:$AU$836,3,))*$E324)</f>
        <v>0</v>
      </c>
      <c r="Q324" s="65">
        <f>IF(VLOOKUP($D324,$C$5:$AU$836,3,)=0,0,(VLOOKUP($D324,$C$5:$AU$836,15,)/VLOOKUP($D324,$C$5:$AU$836,3,))*$E324)</f>
        <v>0</v>
      </c>
      <c r="R324" s="65">
        <f>IF(VLOOKUP($D324,$C$5:$AU$836,3,)=0,0,(VLOOKUP($D324,$C$5:$AU$836,16,)/VLOOKUP($D324,$C$5:$AU$836,3,))*$E324)</f>
        <v>0</v>
      </c>
      <c r="S324" s="65">
        <f>IF(VLOOKUP($D324,$C$5:$AU$836,3,)=0,0,(VLOOKUP($D324,$C$5:$AU$836,17,)/VLOOKUP($D324,$C$5:$AU$836,3,))*$E324)</f>
        <v>0</v>
      </c>
      <c r="T324" s="65">
        <f>IF(VLOOKUP($D324,$C$5:$AU$836,3,)=0,0,(VLOOKUP($D324,$C$5:$AU$836,18,)/VLOOKUP($D324,$C$5:$AU$836,3,))*$E324)</f>
        <v>0</v>
      </c>
      <c r="U324" s="65">
        <f>IF(VLOOKUP($D324,$C$5:$AU$836,3,)=0,0,(VLOOKUP($D324,$C$5:$AU$836,19,)/VLOOKUP($D324,$C$5:$AU$836,3,))*$E324)</f>
        <v>0</v>
      </c>
      <c r="V324" s="65">
        <f>IF(VLOOKUP($D324,$C$5:$AU$836,3,)=0,0,(VLOOKUP($D324,$C$5:$AU$836,20,)/VLOOKUP($D324,$C$5:$AU$836,3,))*$E324)</f>
        <v>0</v>
      </c>
      <c r="W324" s="65">
        <f>IF(VLOOKUP($D324,$C$5:$AU$836,3,)=0,0,(VLOOKUP($D324,$C$5:$AU$836,21,)/VLOOKUP($D324,$C$5:$AU$836,3,))*$E324)</f>
        <v>0</v>
      </c>
      <c r="X324" s="65">
        <f>IF(VLOOKUP($D324,$C$5:$AU$836,3,)=0,0,(VLOOKUP($D324,$C$5:$AU$836,22,)/VLOOKUP($D324,$C$5:$AU$836,3,))*$E324)</f>
        <v>0</v>
      </c>
      <c r="Y324" s="65">
        <f>IF(VLOOKUP($D324,$C$5:$AU$836,3,)=0,0,(VLOOKUP($D324,$C$5:$AU$836,23,)/VLOOKUP($D324,$C$5:$AU$836,3,))*$E324)</f>
        <v>0</v>
      </c>
      <c r="Z324" s="65">
        <f>IF(VLOOKUP($D324,$C$5:$AU$836,3,)=0,0,(VLOOKUP($D324,$C$5:$AU$836,24,)/VLOOKUP($D324,$C$5:$AU$836,3,))*$E324)</f>
        <v>0</v>
      </c>
      <c r="AA324" s="65">
        <f>IF(VLOOKUP($D324,$C$5:$AU$836,3,)=0,0,(VLOOKUP($D324,$C$5:$AU$836,25,)/VLOOKUP($D324,$C$5:$AU$836,3,))*$E324)</f>
        <v>0</v>
      </c>
      <c r="AB324" s="65">
        <f>IF(VLOOKUP($D324,$C$5:$AU$836,3,)=0,0,(VLOOKUP($D324,$C$5:$AU$836,26,)/VLOOKUP($D324,$C$5:$AU$836,3,))*$E324)</f>
        <v>0</v>
      </c>
      <c r="AC324" s="65">
        <f>IF(VLOOKUP($D324,$C$5:$AU$836,3,)=0,0,(VLOOKUP($D324,$C$5:$AU$836,27,)/VLOOKUP($D324,$C$5:$AU$836,3,))*$E324)</f>
        <v>0</v>
      </c>
      <c r="AD324" s="65">
        <f>IF(VLOOKUP($D324,$C$5:$AU$836,3,)=0,0,(VLOOKUP($D324,$C$5:$AU$836,28,)/VLOOKUP($D324,$C$5:$AU$836,3,))*$E324)</f>
        <v>0</v>
      </c>
      <c r="AE324" s="65">
        <f>IF(VLOOKUP($D324,$C$5:$AU$836,3,)=0,0,(VLOOKUP($D324,$C$5:$AU$836,29,)/VLOOKUP($D324,$C$5:$AU$836,3,))*$E324)</f>
        <v>0</v>
      </c>
      <c r="AF324" s="65">
        <f>IF(VLOOKUP($D324,$C$5:$AU$836,3,)=0,0,(VLOOKUP($D324,$C$5:$AU$836,30,)/VLOOKUP($D324,$C$5:$AU$836,3,))*$E324)</f>
        <v>0</v>
      </c>
      <c r="AG324" s="16">
        <f>SUM(F324:AF324)</f>
        <v>689730.72571407713</v>
      </c>
      <c r="AH324" s="14" t="str">
        <f>IF(ABS(E324-AG324)&lt;0.01,"ok","err")</f>
        <v>ok</v>
      </c>
    </row>
    <row r="325" spans="1:34" x14ac:dyDescent="0.25">
      <c r="A325" s="12" t="s">
        <v>223</v>
      </c>
      <c r="C325" s="2" t="s">
        <v>802</v>
      </c>
      <c r="D325" s="9" t="s">
        <v>853</v>
      </c>
      <c r="E325" s="65">
        <f>'Functional Assignment'!AC440</f>
        <v>898412.78272266511</v>
      </c>
      <c r="F325" s="65">
        <f>IF(VLOOKUP($D325,$C$5:$AU$836,3,)=0,0,(VLOOKUP($D325,$C$5:$AU$836,4,)/VLOOKUP($D325,$C$5:$AU$836,3,))*$E325)</f>
        <v>823818.64648508141</v>
      </c>
      <c r="G325" s="65">
        <f>IF(VLOOKUP($D325,$C$5:$AU$836,3,)=0,0,(VLOOKUP($D325,$C$5:$AU$836,5,)/VLOOKUP($D325,$C$5:$AU$836,3,))*$E325)</f>
        <v>59092.751715157006</v>
      </c>
      <c r="H325" s="65">
        <f>IF(VLOOKUP($D325,$C$5:$AU$836,3,)=0,0,(VLOOKUP($D325,$C$5:$AU$836,6,)/VLOOKUP($D325,$C$5:$AU$836,3,))*$E325)</f>
        <v>5773.7293801972992</v>
      </c>
      <c r="I325" s="65">
        <f>IF(VLOOKUP($D325,$C$5:$AU$836,3,)=0,0,(VLOOKUP($D325,$C$5:$AU$836,7,)/VLOOKUP($D325,$C$5:$AU$836,3,))*$E325)</f>
        <v>2176.5526105935642</v>
      </c>
      <c r="J325" s="65">
        <f>IF(VLOOKUP($D325,$C$5:$AU$836,3,)=0,0,(VLOOKUP($D325,$C$5:$AU$836,8,)/VLOOKUP($D325,$C$5:$AU$836,3,))*$E325)</f>
        <v>221.56523580892568</v>
      </c>
      <c r="K325" s="65">
        <f>IF(VLOOKUP($D325,$C$5:$AU$836,3,)=0,0,(VLOOKUP($D325,$C$5:$AU$836,9,)/VLOOKUP($D325,$C$5:$AU$836,3,))*$E325)</f>
        <v>0</v>
      </c>
      <c r="L325" s="65">
        <f>IF(VLOOKUP($D325,$C$5:$AU$836,3,)=0,0,(VLOOKUP($D325,$C$5:$AU$836,10,)/VLOOKUP($D325,$C$5:$AU$836,3,))*$E325)</f>
        <v>0</v>
      </c>
      <c r="M325" s="65">
        <f>IF(VLOOKUP($D325,$C$5:$AU$836,3,)=0,0,(VLOOKUP($D325,$C$5:$AU$836,11,)/VLOOKUP($D325,$C$5:$AU$836,3,))*$E325)</f>
        <v>0</v>
      </c>
      <c r="N325" s="65">
        <f>IF(VLOOKUP($D325,$C$5:$AU$836,3,)=0,0,(VLOOKUP($D325,$C$5:$AU$836,12,)/VLOOKUP($D325,$C$5:$AU$836,3,))*$E325)</f>
        <v>7329.5372958268372</v>
      </c>
      <c r="O325" s="65">
        <f>IF(VLOOKUP($D325,$C$5:$AU$836,3,)=0,0,(VLOOKUP($D325,$C$5:$AU$836,13,)/VLOOKUP($D325,$C$5:$AU$836,3,))*$E325)</f>
        <v>0</v>
      </c>
      <c r="P325" s="65">
        <f>IF(VLOOKUP($D325,$C$5:$AU$836,3,)=0,0,(VLOOKUP($D325,$C$5:$AU$836,14,)/VLOOKUP($D325,$C$5:$AU$836,3,))*$E325)</f>
        <v>0</v>
      </c>
      <c r="Q325" s="65">
        <f>IF(VLOOKUP($D325,$C$5:$AU$836,3,)=0,0,(VLOOKUP($D325,$C$5:$AU$836,15,)/VLOOKUP($D325,$C$5:$AU$836,3,))*$E325)</f>
        <v>0</v>
      </c>
      <c r="R325" s="65">
        <f>IF(VLOOKUP($D325,$C$5:$AU$836,3,)=0,0,(VLOOKUP($D325,$C$5:$AU$836,16,)/VLOOKUP($D325,$C$5:$AU$836,3,))*$E325)</f>
        <v>0</v>
      </c>
      <c r="S325" s="65">
        <f>IF(VLOOKUP($D325,$C$5:$AU$836,3,)=0,0,(VLOOKUP($D325,$C$5:$AU$836,17,)/VLOOKUP($D325,$C$5:$AU$836,3,))*$E325)</f>
        <v>0</v>
      </c>
      <c r="T325" s="65">
        <f>IF(VLOOKUP($D325,$C$5:$AU$836,3,)=0,0,(VLOOKUP($D325,$C$5:$AU$836,18,)/VLOOKUP($D325,$C$5:$AU$836,3,))*$E325)</f>
        <v>0</v>
      </c>
      <c r="U325" s="65">
        <f>IF(VLOOKUP($D325,$C$5:$AU$836,3,)=0,0,(VLOOKUP($D325,$C$5:$AU$836,19,)/VLOOKUP($D325,$C$5:$AU$836,3,))*$E325)</f>
        <v>0</v>
      </c>
      <c r="V325" s="65">
        <f>IF(VLOOKUP($D325,$C$5:$AU$836,3,)=0,0,(VLOOKUP($D325,$C$5:$AU$836,20,)/VLOOKUP($D325,$C$5:$AU$836,3,))*$E325)</f>
        <v>0</v>
      </c>
      <c r="W325" s="65">
        <f>IF(VLOOKUP($D325,$C$5:$AU$836,3,)=0,0,(VLOOKUP($D325,$C$5:$AU$836,21,)/VLOOKUP($D325,$C$5:$AU$836,3,))*$E325)</f>
        <v>0</v>
      </c>
      <c r="X325" s="65">
        <f>IF(VLOOKUP($D325,$C$5:$AU$836,3,)=0,0,(VLOOKUP($D325,$C$5:$AU$836,22,)/VLOOKUP($D325,$C$5:$AU$836,3,))*$E325)</f>
        <v>0</v>
      </c>
      <c r="Y325" s="65">
        <f>IF(VLOOKUP($D325,$C$5:$AU$836,3,)=0,0,(VLOOKUP($D325,$C$5:$AU$836,23,)/VLOOKUP($D325,$C$5:$AU$836,3,))*$E325)</f>
        <v>0</v>
      </c>
      <c r="Z325" s="65">
        <f>IF(VLOOKUP($D325,$C$5:$AU$836,3,)=0,0,(VLOOKUP($D325,$C$5:$AU$836,24,)/VLOOKUP($D325,$C$5:$AU$836,3,))*$E325)</f>
        <v>0</v>
      </c>
      <c r="AA325" s="65">
        <f>IF(VLOOKUP($D325,$C$5:$AU$836,3,)=0,0,(VLOOKUP($D325,$C$5:$AU$836,25,)/VLOOKUP($D325,$C$5:$AU$836,3,))*$E325)</f>
        <v>0</v>
      </c>
      <c r="AB325" s="65">
        <f>IF(VLOOKUP($D325,$C$5:$AU$836,3,)=0,0,(VLOOKUP($D325,$C$5:$AU$836,26,)/VLOOKUP($D325,$C$5:$AU$836,3,))*$E325)</f>
        <v>0</v>
      </c>
      <c r="AC325" s="65">
        <f>IF(VLOOKUP($D325,$C$5:$AU$836,3,)=0,0,(VLOOKUP($D325,$C$5:$AU$836,27,)/VLOOKUP($D325,$C$5:$AU$836,3,))*$E325)</f>
        <v>0</v>
      </c>
      <c r="AD325" s="65">
        <f>IF(VLOOKUP($D325,$C$5:$AU$836,3,)=0,0,(VLOOKUP($D325,$C$5:$AU$836,28,)/VLOOKUP($D325,$C$5:$AU$836,3,))*$E325)</f>
        <v>0</v>
      </c>
      <c r="AE325" s="65">
        <f>IF(VLOOKUP($D325,$C$5:$AU$836,3,)=0,0,(VLOOKUP($D325,$C$5:$AU$836,29,)/VLOOKUP($D325,$C$5:$AU$836,3,))*$E325)</f>
        <v>0</v>
      </c>
      <c r="AF325" s="65">
        <f>IF(VLOOKUP($D325,$C$5:$AU$836,3,)=0,0,(VLOOKUP($D325,$C$5:$AU$836,30,)/VLOOKUP($D325,$C$5:$AU$836,3,))*$E325)</f>
        <v>0</v>
      </c>
      <c r="AG325" s="16">
        <f>SUM(F325:AF325)</f>
        <v>898412.78272266511</v>
      </c>
      <c r="AH325" s="14" t="str">
        <f>IF(ABS(E325-AG325)&lt;0.01,"ok","err")</f>
        <v>ok</v>
      </c>
    </row>
    <row r="326" spans="1:34" x14ac:dyDescent="0.25">
      <c r="A326" s="9" t="s">
        <v>841</v>
      </c>
      <c r="E326" s="65">
        <f t="shared" ref="E326:AF326" si="208">E324+E325</f>
        <v>1588143.5084367422</v>
      </c>
      <c r="F326" s="65">
        <f t="shared" si="208"/>
        <v>1270397.9015665001</v>
      </c>
      <c r="G326" s="65">
        <f t="shared" si="208"/>
        <v>151184.26794706512</v>
      </c>
      <c r="H326" s="65">
        <f t="shared" si="208"/>
        <v>101103.8003164102</v>
      </c>
      <c r="I326" s="65">
        <f t="shared" si="208"/>
        <v>34983.313544310113</v>
      </c>
      <c r="J326" s="65">
        <f t="shared" si="208"/>
        <v>12325.232316271995</v>
      </c>
      <c r="K326" s="65">
        <f t="shared" si="208"/>
        <v>0</v>
      </c>
      <c r="L326" s="65">
        <f t="shared" si="208"/>
        <v>4550.9170910541479</v>
      </c>
      <c r="M326" s="65">
        <f t="shared" si="208"/>
        <v>3105.2483901260648</v>
      </c>
      <c r="N326" s="65">
        <f t="shared" si="208"/>
        <v>10492.827265004487</v>
      </c>
      <c r="O326" s="65">
        <f t="shared" si="208"/>
        <v>0</v>
      </c>
      <c r="P326" s="65">
        <f t="shared" si="208"/>
        <v>0</v>
      </c>
      <c r="Q326" s="65">
        <f t="shared" si="208"/>
        <v>0</v>
      </c>
      <c r="R326" s="65">
        <f t="shared" si="208"/>
        <v>0</v>
      </c>
      <c r="S326" s="65">
        <f t="shared" si="208"/>
        <v>0</v>
      </c>
      <c r="T326" s="65">
        <f t="shared" si="208"/>
        <v>0</v>
      </c>
      <c r="U326" s="65">
        <f t="shared" si="208"/>
        <v>0</v>
      </c>
      <c r="V326" s="65">
        <f t="shared" si="208"/>
        <v>0</v>
      </c>
      <c r="W326" s="65">
        <f t="shared" si="208"/>
        <v>0</v>
      </c>
      <c r="X326" s="65">
        <f t="shared" si="208"/>
        <v>0</v>
      </c>
      <c r="Y326" s="65">
        <f t="shared" si="208"/>
        <v>0</v>
      </c>
      <c r="Z326" s="65">
        <f t="shared" si="208"/>
        <v>0</v>
      </c>
      <c r="AA326" s="65">
        <f t="shared" si="208"/>
        <v>0</v>
      </c>
      <c r="AB326" s="65">
        <f t="shared" si="208"/>
        <v>0</v>
      </c>
      <c r="AC326" s="65">
        <f t="shared" si="208"/>
        <v>0</v>
      </c>
      <c r="AD326" s="65">
        <f t="shared" si="208"/>
        <v>0</v>
      </c>
      <c r="AE326" s="65">
        <f t="shared" si="208"/>
        <v>0</v>
      </c>
      <c r="AF326" s="65">
        <f t="shared" si="208"/>
        <v>0</v>
      </c>
      <c r="AG326" s="16">
        <f>SUM(F326:AF326)</f>
        <v>1588143.5084367422</v>
      </c>
      <c r="AH326" s="14" t="str">
        <f>IF(ABS(E326-AG326)&lt;0.01,"ok","err")</f>
        <v>ok</v>
      </c>
    </row>
    <row r="327" spans="1:34" x14ac:dyDescent="0.25">
      <c r="E327" s="31"/>
    </row>
    <row r="328" spans="1:34" x14ac:dyDescent="0.25">
      <c r="A328" s="8" t="s">
        <v>5</v>
      </c>
      <c r="E328" s="31"/>
    </row>
    <row r="329" spans="1:34" x14ac:dyDescent="0.25">
      <c r="A329" s="12" t="s">
        <v>214</v>
      </c>
      <c r="C329" s="2" t="s">
        <v>278</v>
      </c>
      <c r="D329" s="2" t="s">
        <v>611</v>
      </c>
      <c r="E329" s="65">
        <f>'Functional Assignment'!AE440</f>
        <v>0</v>
      </c>
      <c r="F329" s="65">
        <f>IF(VLOOKUP($D329,$C$5:$AU$836,3,)=0,0,(VLOOKUP($D329,$C$5:$AU$836,4,)/VLOOKUP($D329,$C$5:$AU$836,3,))*$E329)</f>
        <v>0</v>
      </c>
      <c r="G329" s="65">
        <f>IF(VLOOKUP($D329,$C$5:$AU$836,3,)=0,0,(VLOOKUP($D329,$C$5:$AU$836,5,)/VLOOKUP($D329,$C$5:$AU$836,3,))*$E329)</f>
        <v>0</v>
      </c>
      <c r="H329" s="65">
        <f>IF(VLOOKUP($D329,$C$5:$AU$836,3,)=0,0,(VLOOKUP($D329,$C$5:$AU$836,6,)/VLOOKUP($D329,$C$5:$AU$836,3,))*$E329)</f>
        <v>0</v>
      </c>
      <c r="I329" s="65">
        <f>IF(VLOOKUP($D329,$C$5:$AU$836,3,)=0,0,(VLOOKUP($D329,$C$5:$AU$836,7,)/VLOOKUP($D329,$C$5:$AU$836,3,))*$E329)</f>
        <v>0</v>
      </c>
      <c r="J329" s="65">
        <f>IF(VLOOKUP($D329,$C$5:$AU$836,3,)=0,0,(VLOOKUP($D329,$C$5:$AU$836,8,)/VLOOKUP($D329,$C$5:$AU$836,3,))*$E329)</f>
        <v>0</v>
      </c>
      <c r="K329" s="65">
        <f>IF(VLOOKUP($D329,$C$5:$AU$836,3,)=0,0,(VLOOKUP($D329,$C$5:$AU$836,9,)/VLOOKUP($D329,$C$5:$AU$836,3,))*$E329)</f>
        <v>0</v>
      </c>
      <c r="L329" s="65">
        <f>IF(VLOOKUP($D329,$C$5:$AU$836,3,)=0,0,(VLOOKUP($D329,$C$5:$AU$836,10,)/VLOOKUP($D329,$C$5:$AU$836,3,))*$E329)</f>
        <v>0</v>
      </c>
      <c r="M329" s="65">
        <f>IF(VLOOKUP($D329,$C$5:$AU$836,3,)=0,0,(VLOOKUP($D329,$C$5:$AU$836,11,)/VLOOKUP($D329,$C$5:$AU$836,3,))*$E329)</f>
        <v>0</v>
      </c>
      <c r="N329" s="65">
        <f>IF(VLOOKUP($D329,$C$5:$AU$836,3,)=0,0,(VLOOKUP($D329,$C$5:$AU$836,12,)/VLOOKUP($D329,$C$5:$AU$836,3,))*$E329)</f>
        <v>0</v>
      </c>
      <c r="O329" s="65">
        <f>IF(VLOOKUP($D329,$C$5:$AU$836,3,)=0,0,(VLOOKUP($D329,$C$5:$AU$836,13,)/VLOOKUP($D329,$C$5:$AU$836,3,))*$E329)</f>
        <v>0</v>
      </c>
      <c r="P329" s="65">
        <f>IF(VLOOKUP($D329,$C$5:$AU$836,3,)=0,0,(VLOOKUP($D329,$C$5:$AU$836,14,)/VLOOKUP($D329,$C$5:$AU$836,3,))*$E329)</f>
        <v>0</v>
      </c>
      <c r="Q329" s="65">
        <f>IF(VLOOKUP($D329,$C$5:$AU$836,3,)=0,0,(VLOOKUP($D329,$C$5:$AU$836,15,)/VLOOKUP($D329,$C$5:$AU$836,3,))*$E329)</f>
        <v>0</v>
      </c>
      <c r="R329" s="65">
        <f>IF(VLOOKUP($D329,$C$5:$AU$836,3,)=0,0,(VLOOKUP($D329,$C$5:$AU$836,16,)/VLOOKUP($D329,$C$5:$AU$836,3,))*$E329)</f>
        <v>0</v>
      </c>
      <c r="S329" s="65">
        <f>IF(VLOOKUP($D329,$C$5:$AU$836,3,)=0,0,(VLOOKUP($D329,$C$5:$AU$836,17,)/VLOOKUP($D329,$C$5:$AU$836,3,))*$E329)</f>
        <v>0</v>
      </c>
      <c r="T329" s="65">
        <f>IF(VLOOKUP($D329,$C$5:$AU$836,3,)=0,0,(VLOOKUP($D329,$C$5:$AU$836,18,)/VLOOKUP($D329,$C$5:$AU$836,3,))*$E329)</f>
        <v>0</v>
      </c>
      <c r="U329" s="65">
        <f>IF(VLOOKUP($D329,$C$5:$AU$836,3,)=0,0,(VLOOKUP($D329,$C$5:$AU$836,19,)/VLOOKUP($D329,$C$5:$AU$836,3,))*$E329)</f>
        <v>0</v>
      </c>
      <c r="V329" s="65">
        <f>IF(VLOOKUP($D329,$C$5:$AU$836,3,)=0,0,(VLOOKUP($D329,$C$5:$AU$836,20,)/VLOOKUP($D329,$C$5:$AU$836,3,))*$E329)</f>
        <v>0</v>
      </c>
      <c r="W329" s="65">
        <f>IF(VLOOKUP($D329,$C$5:$AU$836,3,)=0,0,(VLOOKUP($D329,$C$5:$AU$836,21,)/VLOOKUP($D329,$C$5:$AU$836,3,))*$E329)</f>
        <v>0</v>
      </c>
      <c r="X329" s="65">
        <f>IF(VLOOKUP($D329,$C$5:$AU$836,3,)=0,0,(VLOOKUP($D329,$C$5:$AU$836,22,)/VLOOKUP($D329,$C$5:$AU$836,3,))*$E329)</f>
        <v>0</v>
      </c>
      <c r="Y329" s="65">
        <f>IF(VLOOKUP($D329,$C$5:$AU$836,3,)=0,0,(VLOOKUP($D329,$C$5:$AU$836,23,)/VLOOKUP($D329,$C$5:$AU$836,3,))*$E329)</f>
        <v>0</v>
      </c>
      <c r="Z329" s="65">
        <f>IF(VLOOKUP($D329,$C$5:$AU$836,3,)=0,0,(VLOOKUP($D329,$C$5:$AU$836,24,)/VLOOKUP($D329,$C$5:$AU$836,3,))*$E329)</f>
        <v>0</v>
      </c>
      <c r="AA329" s="65">
        <f>IF(VLOOKUP($D329,$C$5:$AU$836,3,)=0,0,(VLOOKUP($D329,$C$5:$AU$836,25,)/VLOOKUP($D329,$C$5:$AU$836,3,))*$E329)</f>
        <v>0</v>
      </c>
      <c r="AB329" s="65">
        <f>IF(VLOOKUP($D329,$C$5:$AU$836,3,)=0,0,(VLOOKUP($D329,$C$5:$AU$836,26,)/VLOOKUP($D329,$C$5:$AU$836,3,))*$E329)</f>
        <v>0</v>
      </c>
      <c r="AC329" s="65">
        <f>IF(VLOOKUP($D329,$C$5:$AU$836,3,)=0,0,(VLOOKUP($D329,$C$5:$AU$836,27,)/VLOOKUP($D329,$C$5:$AU$836,3,))*$E329)</f>
        <v>0</v>
      </c>
      <c r="AD329" s="65">
        <f>IF(VLOOKUP($D329,$C$5:$AU$836,3,)=0,0,(VLOOKUP($D329,$C$5:$AU$836,28,)/VLOOKUP($D329,$C$5:$AU$836,3,))*$E329)</f>
        <v>0</v>
      </c>
      <c r="AE329" s="65">
        <f>IF(VLOOKUP($D329,$C$5:$AU$836,3,)=0,0,(VLOOKUP($D329,$C$5:$AU$836,29,)/VLOOKUP($D329,$C$5:$AU$836,3,))*$E329)</f>
        <v>0</v>
      </c>
      <c r="AF329" s="65">
        <f>IF(VLOOKUP($D329,$C$5:$AU$836,3,)=0,0,(VLOOKUP($D329,$C$5:$AU$836,30,)/VLOOKUP($D329,$C$5:$AU$836,3,))*$E329)</f>
        <v>0</v>
      </c>
      <c r="AG329" s="16">
        <f>SUM(F329:AF329)</f>
        <v>0</v>
      </c>
      <c r="AH329" s="14" t="str">
        <f>IF(ABS(E329-AG329)&lt;0.01,"ok","err")</f>
        <v>ok</v>
      </c>
    </row>
    <row r="330" spans="1:34" x14ac:dyDescent="0.25">
      <c r="A330" s="12" t="s">
        <v>223</v>
      </c>
      <c r="C330" s="2" t="s">
        <v>279</v>
      </c>
      <c r="D330" s="2" t="s">
        <v>228</v>
      </c>
      <c r="E330" s="65">
        <f>'Functional Assignment'!AF440</f>
        <v>1120162.2292426035</v>
      </c>
      <c r="F330" s="65">
        <f>IF(VLOOKUP($D330,$C$5:$AU$836,3,)=0,0,(VLOOKUP($D330,$C$5:$AU$836,4,)/VLOOKUP($D330,$C$5:$AU$836,3,))*$E330)</f>
        <v>882107.40816313971</v>
      </c>
      <c r="G330" s="65">
        <f>IF(VLOOKUP($D330,$C$5:$AU$836,3,)=0,0,(VLOOKUP($D330,$C$5:$AU$836,5,)/VLOOKUP($D330,$C$5:$AU$836,3,))*$E330)</f>
        <v>100424.32532271263</v>
      </c>
      <c r="H330" s="65">
        <f>IF(VLOOKUP($D330,$C$5:$AU$836,3,)=0,0,(VLOOKUP($D330,$C$5:$AU$836,6,)/VLOOKUP($D330,$C$5:$AU$836,3,))*$E330)</f>
        <v>12558.997922649933</v>
      </c>
      <c r="I330" s="65">
        <f>IF(VLOOKUP($D330,$C$5:$AU$836,3,)=0,0,(VLOOKUP($D330,$C$5:$AU$836,7,)/VLOOKUP($D330,$C$5:$AU$836,3,))*$E330)</f>
        <v>3960.8602076492948</v>
      </c>
      <c r="J330" s="65">
        <f>IF(VLOOKUP($D330,$C$5:$AU$836,3,)=0,0,(VLOOKUP($D330,$C$5:$AU$836,8,)/VLOOKUP($D330,$C$5:$AU$836,3,))*$E330)</f>
        <v>390.50734441612764</v>
      </c>
      <c r="K330" s="65">
        <f>IF(VLOOKUP($D330,$C$5:$AU$836,3,)=0,0,(VLOOKUP($D330,$C$5:$AU$836,9,)/VLOOKUP($D330,$C$5:$AU$836,3,))*$E330)</f>
        <v>8.3520977871990461</v>
      </c>
      <c r="L330" s="65">
        <f>IF(VLOOKUP($D330,$C$5:$AU$836,3,)=0,0,(VLOOKUP($D330,$C$5:$AU$836,10,)/VLOOKUP($D330,$C$5:$AU$836,3,))*$E330)</f>
        <v>16.704195574398092</v>
      </c>
      <c r="M330" s="65">
        <f>IF(VLOOKUP($D330,$C$5:$AU$836,3,)=0,0,(VLOOKUP($D330,$C$5:$AU$836,11,)/VLOOKUP($D330,$C$5:$AU$836,3,))*$E330)</f>
        <v>66.816782297592368</v>
      </c>
      <c r="N330" s="65">
        <f>IF(VLOOKUP($D330,$C$5:$AU$836,3,)=0,0,(VLOOKUP($D330,$C$5:$AU$836,12,)/VLOOKUP($D330,$C$5:$AU$836,3,))*$E330)</f>
        <v>120628.25720637663</v>
      </c>
      <c r="O330" s="65">
        <f>IF(VLOOKUP($D330,$C$5:$AU$836,3,)=0,0,(VLOOKUP($D330,$C$5:$AU$836,13,)/VLOOKUP($D330,$C$5:$AU$836,3,))*$E330)</f>
        <v>0</v>
      </c>
      <c r="P330" s="65">
        <f>IF(VLOOKUP($D330,$C$5:$AU$836,3,)=0,0,(VLOOKUP($D330,$C$5:$AU$836,14,)/VLOOKUP($D330,$C$5:$AU$836,3,))*$E330)</f>
        <v>0</v>
      </c>
      <c r="Q330" s="65">
        <f>IF(VLOOKUP($D330,$C$5:$AU$836,3,)=0,0,(VLOOKUP($D330,$C$5:$AU$836,15,)/VLOOKUP($D330,$C$5:$AU$836,3,))*$E330)</f>
        <v>0</v>
      </c>
      <c r="R330" s="65">
        <f>IF(VLOOKUP($D330,$C$5:$AU$836,3,)=0,0,(VLOOKUP($D330,$C$5:$AU$836,16,)/VLOOKUP($D330,$C$5:$AU$836,3,))*$E330)</f>
        <v>0</v>
      </c>
      <c r="S330" s="65">
        <f>IF(VLOOKUP($D330,$C$5:$AU$836,3,)=0,0,(VLOOKUP($D330,$C$5:$AU$836,17,)/VLOOKUP($D330,$C$5:$AU$836,3,))*$E330)</f>
        <v>0</v>
      </c>
      <c r="T330" s="65">
        <f>IF(VLOOKUP($D330,$C$5:$AU$836,3,)=0,0,(VLOOKUP($D330,$C$5:$AU$836,18,)/VLOOKUP($D330,$C$5:$AU$836,3,))*$E330)</f>
        <v>0</v>
      </c>
      <c r="U330" s="65">
        <f>IF(VLOOKUP($D330,$C$5:$AU$836,3,)=0,0,(VLOOKUP($D330,$C$5:$AU$836,19,)/VLOOKUP($D330,$C$5:$AU$836,3,))*$E330)</f>
        <v>0</v>
      </c>
      <c r="V330" s="65">
        <f>IF(VLOOKUP($D330,$C$5:$AU$836,3,)=0,0,(VLOOKUP($D330,$C$5:$AU$836,20,)/VLOOKUP($D330,$C$5:$AU$836,3,))*$E330)</f>
        <v>0</v>
      </c>
      <c r="W330" s="65">
        <f>IF(VLOOKUP($D330,$C$5:$AU$836,3,)=0,0,(VLOOKUP($D330,$C$5:$AU$836,21,)/VLOOKUP($D330,$C$5:$AU$836,3,))*$E330)</f>
        <v>0</v>
      </c>
      <c r="X330" s="65">
        <f>IF(VLOOKUP($D330,$C$5:$AU$836,3,)=0,0,(VLOOKUP($D330,$C$5:$AU$836,22,)/VLOOKUP($D330,$C$5:$AU$836,3,))*$E330)</f>
        <v>0</v>
      </c>
      <c r="Y330" s="65">
        <f>IF(VLOOKUP($D330,$C$5:$AU$836,3,)=0,0,(VLOOKUP($D330,$C$5:$AU$836,23,)/VLOOKUP($D330,$C$5:$AU$836,3,))*$E330)</f>
        <v>0</v>
      </c>
      <c r="Z330" s="65">
        <f>IF(VLOOKUP($D330,$C$5:$AU$836,3,)=0,0,(VLOOKUP($D330,$C$5:$AU$836,24,)/VLOOKUP($D330,$C$5:$AU$836,3,))*$E330)</f>
        <v>0</v>
      </c>
      <c r="AA330" s="65">
        <f>IF(VLOOKUP($D330,$C$5:$AU$836,3,)=0,0,(VLOOKUP($D330,$C$5:$AU$836,25,)/VLOOKUP($D330,$C$5:$AU$836,3,))*$E330)</f>
        <v>0</v>
      </c>
      <c r="AB330" s="65">
        <f>IF(VLOOKUP($D330,$C$5:$AU$836,3,)=0,0,(VLOOKUP($D330,$C$5:$AU$836,26,)/VLOOKUP($D330,$C$5:$AU$836,3,))*$E330)</f>
        <v>0</v>
      </c>
      <c r="AC330" s="65">
        <f>IF(VLOOKUP($D330,$C$5:$AU$836,3,)=0,0,(VLOOKUP($D330,$C$5:$AU$836,27,)/VLOOKUP($D330,$C$5:$AU$836,3,))*$E330)</f>
        <v>0</v>
      </c>
      <c r="AD330" s="65">
        <f>IF(VLOOKUP($D330,$C$5:$AU$836,3,)=0,0,(VLOOKUP($D330,$C$5:$AU$836,28,)/VLOOKUP($D330,$C$5:$AU$836,3,))*$E330)</f>
        <v>0</v>
      </c>
      <c r="AE330" s="65">
        <f>IF(VLOOKUP($D330,$C$5:$AU$836,3,)=0,0,(VLOOKUP($D330,$C$5:$AU$836,29,)/VLOOKUP($D330,$C$5:$AU$836,3,))*$E330)</f>
        <v>0</v>
      </c>
      <c r="AF330" s="65">
        <f>IF(VLOOKUP($D330,$C$5:$AU$836,3,)=0,0,(VLOOKUP($D330,$C$5:$AU$836,30,)/VLOOKUP($D330,$C$5:$AU$836,3,))*$E330)</f>
        <v>0</v>
      </c>
      <c r="AG330" s="16">
        <f>SUM(F330:AF330)</f>
        <v>1120162.2292426035</v>
      </c>
      <c r="AH330" s="14" t="str">
        <f>IF(ABS(E330-AG330)&lt;0.01,"ok","err")</f>
        <v>ok</v>
      </c>
    </row>
    <row r="331" spans="1:34" x14ac:dyDescent="0.25">
      <c r="A331" s="2" t="s">
        <v>229</v>
      </c>
      <c r="E331" s="65">
        <f t="shared" ref="E331:N331" si="209">E329+E330</f>
        <v>1120162.2292426035</v>
      </c>
      <c r="F331" s="65">
        <f t="shared" si="209"/>
        <v>882107.40816313971</v>
      </c>
      <c r="G331" s="65">
        <f t="shared" si="209"/>
        <v>100424.32532271263</v>
      </c>
      <c r="H331" s="65">
        <f t="shared" si="209"/>
        <v>12558.997922649933</v>
      </c>
      <c r="I331" s="65">
        <f t="shared" si="209"/>
        <v>3960.8602076492948</v>
      </c>
      <c r="J331" s="65">
        <f t="shared" si="209"/>
        <v>390.50734441612764</v>
      </c>
      <c r="K331" s="65">
        <f t="shared" si="209"/>
        <v>8.3520977871990461</v>
      </c>
      <c r="L331" s="65">
        <f t="shared" si="209"/>
        <v>16.704195574398092</v>
      </c>
      <c r="M331" s="65">
        <f t="shared" si="209"/>
        <v>66.816782297592368</v>
      </c>
      <c r="N331" s="65">
        <f t="shared" si="209"/>
        <v>120628.25720637663</v>
      </c>
      <c r="O331" s="65">
        <f t="shared" ref="O331:T331" si="210">O329+O330</f>
        <v>0</v>
      </c>
      <c r="P331" s="65">
        <f t="shared" si="210"/>
        <v>0</v>
      </c>
      <c r="Q331" s="65">
        <f t="shared" si="210"/>
        <v>0</v>
      </c>
      <c r="R331" s="65">
        <f t="shared" si="210"/>
        <v>0</v>
      </c>
      <c r="S331" s="65">
        <f t="shared" si="210"/>
        <v>0</v>
      </c>
      <c r="T331" s="65">
        <f t="shared" si="210"/>
        <v>0</v>
      </c>
      <c r="U331" s="65">
        <f t="shared" ref="U331:AF331" si="211">U329+U330</f>
        <v>0</v>
      </c>
      <c r="V331" s="65">
        <f t="shared" si="211"/>
        <v>0</v>
      </c>
      <c r="W331" s="65">
        <f t="shared" si="211"/>
        <v>0</v>
      </c>
      <c r="X331" s="65">
        <f t="shared" si="211"/>
        <v>0</v>
      </c>
      <c r="Y331" s="65">
        <f t="shared" si="211"/>
        <v>0</v>
      </c>
      <c r="Z331" s="65">
        <f t="shared" si="211"/>
        <v>0</v>
      </c>
      <c r="AA331" s="65">
        <f t="shared" si="211"/>
        <v>0</v>
      </c>
      <c r="AB331" s="65">
        <f t="shared" si="211"/>
        <v>0</v>
      </c>
      <c r="AC331" s="65">
        <f t="shared" si="211"/>
        <v>0</v>
      </c>
      <c r="AD331" s="65">
        <f t="shared" si="211"/>
        <v>0</v>
      </c>
      <c r="AE331" s="65">
        <f t="shared" si="211"/>
        <v>0</v>
      </c>
      <c r="AF331" s="65">
        <f t="shared" si="211"/>
        <v>0</v>
      </c>
      <c r="AG331" s="16">
        <f>SUM(F331:AF331)</f>
        <v>1120162.2292426035</v>
      </c>
      <c r="AH331" s="14" t="str">
        <f>IF(ABS(E331-AG331)&lt;0.01,"ok","err")</f>
        <v>ok</v>
      </c>
    </row>
    <row r="332" spans="1:34" x14ac:dyDescent="0.25">
      <c r="E332" s="31"/>
    </row>
    <row r="333" spans="1:34" x14ac:dyDescent="0.25">
      <c r="A333" s="8" t="s">
        <v>6</v>
      </c>
      <c r="E333" s="31"/>
    </row>
    <row r="334" spans="1:34" x14ac:dyDescent="0.25">
      <c r="A334" s="12" t="s">
        <v>223</v>
      </c>
      <c r="C334" s="2" t="s">
        <v>280</v>
      </c>
      <c r="D334" s="2" t="s">
        <v>231</v>
      </c>
      <c r="E334" s="65">
        <f>'Functional Assignment'!AH440</f>
        <v>616127.781895858</v>
      </c>
      <c r="F334" s="65">
        <f>IF(VLOOKUP($D334,$C$5:$AU$836,3,)=0,0,(VLOOKUP($D334,$C$5:$AU$836,4,)/VLOOKUP($D334,$C$5:$AU$836,3,))*$E334)</f>
        <v>408016.62991672219</v>
      </c>
      <c r="G334" s="65">
        <f>IF(VLOOKUP($D334,$C$5:$AU$836,3,)=0,0,(VLOOKUP($D334,$C$5:$AU$836,5,)/VLOOKUP($D334,$C$5:$AU$836,3,))*$E334)</f>
        <v>160112.90939390392</v>
      </c>
      <c r="H334" s="65">
        <f>IF(VLOOKUP($D334,$C$5:$AU$836,3,)=0,0,(VLOOKUP($D334,$C$5:$AU$836,6,)/VLOOKUP($D334,$C$5:$AU$836,3,))*$E334)</f>
        <v>38186.194297893708</v>
      </c>
      <c r="I334" s="65">
        <f>IF(VLOOKUP($D334,$C$5:$AU$836,3,)=0,0,(VLOOKUP($D334,$C$5:$AU$836,7,)/VLOOKUP($D334,$C$5:$AU$836,3,))*$E334)</f>
        <v>4436.4349356676703</v>
      </c>
      <c r="J334" s="65">
        <f>IF(VLOOKUP($D334,$C$5:$AU$836,3,)=0,0,(VLOOKUP($D334,$C$5:$AU$836,8,)/VLOOKUP($D334,$C$5:$AU$836,3,))*$E334)</f>
        <v>1444.0467070011898</v>
      </c>
      <c r="K334" s="65">
        <f>IF(VLOOKUP($D334,$C$5:$AU$836,3,)=0,0,(VLOOKUP($D334,$C$5:$AU$836,9,)/VLOOKUP($D334,$C$5:$AU$836,3,))*$E334)</f>
        <v>399.06385975943067</v>
      </c>
      <c r="L334" s="65">
        <f>IF(VLOOKUP($D334,$C$5:$AU$836,3,)=0,0,(VLOOKUP($D334,$C$5:$AU$836,10,)/VLOOKUP($D334,$C$5:$AU$836,3,))*$E334)</f>
        <v>798.12771951886134</v>
      </c>
      <c r="M334" s="65">
        <f>IF(VLOOKUP($D334,$C$5:$AU$836,3,)=0,0,(VLOOKUP($D334,$C$5:$AU$836,11,)/VLOOKUP($D334,$C$5:$AU$836,3,))*$E334)</f>
        <v>568.40345814418902</v>
      </c>
      <c r="N334" s="65">
        <f>IF(VLOOKUP($D334,$C$5:$AU$836,3,)=0,0,(VLOOKUP($D334,$C$5:$AU$836,12,)/VLOOKUP($D334,$C$5:$AU$836,3,))*$E334)</f>
        <v>2165.9716072469096</v>
      </c>
      <c r="O334" s="65">
        <f>IF(VLOOKUP($D334,$C$5:$AU$836,3,)=0,0,(VLOOKUP($D334,$C$5:$AU$836,13,)/VLOOKUP($D334,$C$5:$AU$836,3,))*$E334)</f>
        <v>0</v>
      </c>
      <c r="P334" s="65">
        <f>IF(VLOOKUP($D334,$C$5:$AU$836,3,)=0,0,(VLOOKUP($D334,$C$5:$AU$836,14,)/VLOOKUP($D334,$C$5:$AU$836,3,))*$E334)</f>
        <v>0</v>
      </c>
      <c r="Q334" s="65">
        <f>IF(VLOOKUP($D334,$C$5:$AU$836,3,)=0,0,(VLOOKUP($D334,$C$5:$AU$836,15,)/VLOOKUP($D334,$C$5:$AU$836,3,))*$E334)</f>
        <v>0</v>
      </c>
      <c r="R334" s="65">
        <f>IF(VLOOKUP($D334,$C$5:$AU$836,3,)=0,0,(VLOOKUP($D334,$C$5:$AU$836,16,)/VLOOKUP($D334,$C$5:$AU$836,3,))*$E334)</f>
        <v>0</v>
      </c>
      <c r="S334" s="65">
        <f>IF(VLOOKUP($D334,$C$5:$AU$836,3,)=0,0,(VLOOKUP($D334,$C$5:$AU$836,17,)/VLOOKUP($D334,$C$5:$AU$836,3,))*$E334)</f>
        <v>0</v>
      </c>
      <c r="T334" s="65">
        <f>IF(VLOOKUP($D334,$C$5:$AU$836,3,)=0,0,(VLOOKUP($D334,$C$5:$AU$836,18,)/VLOOKUP($D334,$C$5:$AU$836,3,))*$E334)</f>
        <v>0</v>
      </c>
      <c r="U334" s="65">
        <f>IF(VLOOKUP($D334,$C$5:$AU$836,3,)=0,0,(VLOOKUP($D334,$C$5:$AU$836,19,)/VLOOKUP($D334,$C$5:$AU$836,3,))*$E334)</f>
        <v>0</v>
      </c>
      <c r="V334" s="65">
        <f>IF(VLOOKUP($D334,$C$5:$AU$836,3,)=0,0,(VLOOKUP($D334,$C$5:$AU$836,20,)/VLOOKUP($D334,$C$5:$AU$836,3,))*$E334)</f>
        <v>0</v>
      </c>
      <c r="W334" s="65">
        <f>IF(VLOOKUP($D334,$C$5:$AU$836,3,)=0,0,(VLOOKUP($D334,$C$5:$AU$836,21,)/VLOOKUP($D334,$C$5:$AU$836,3,))*$E334)</f>
        <v>0</v>
      </c>
      <c r="X334" s="65">
        <f>IF(VLOOKUP($D334,$C$5:$AU$836,3,)=0,0,(VLOOKUP($D334,$C$5:$AU$836,22,)/VLOOKUP($D334,$C$5:$AU$836,3,))*$E334)</f>
        <v>0</v>
      </c>
      <c r="Y334" s="65">
        <f>IF(VLOOKUP($D334,$C$5:$AU$836,3,)=0,0,(VLOOKUP($D334,$C$5:$AU$836,23,)/VLOOKUP($D334,$C$5:$AU$836,3,))*$E334)</f>
        <v>0</v>
      </c>
      <c r="Z334" s="65">
        <f>IF(VLOOKUP($D334,$C$5:$AU$836,3,)=0,0,(VLOOKUP($D334,$C$5:$AU$836,24,)/VLOOKUP($D334,$C$5:$AU$836,3,))*$E334)</f>
        <v>0</v>
      </c>
      <c r="AA334" s="65">
        <f>IF(VLOOKUP($D334,$C$5:$AU$836,3,)=0,0,(VLOOKUP($D334,$C$5:$AU$836,25,)/VLOOKUP($D334,$C$5:$AU$836,3,))*$E334)</f>
        <v>0</v>
      </c>
      <c r="AB334" s="65">
        <f>IF(VLOOKUP($D334,$C$5:$AU$836,3,)=0,0,(VLOOKUP($D334,$C$5:$AU$836,26,)/VLOOKUP($D334,$C$5:$AU$836,3,))*$E334)</f>
        <v>0</v>
      </c>
      <c r="AC334" s="65">
        <f>IF(VLOOKUP($D334,$C$5:$AU$836,3,)=0,0,(VLOOKUP($D334,$C$5:$AU$836,27,)/VLOOKUP($D334,$C$5:$AU$836,3,))*$E334)</f>
        <v>0</v>
      </c>
      <c r="AD334" s="65">
        <f>IF(VLOOKUP($D334,$C$5:$AU$836,3,)=0,0,(VLOOKUP($D334,$C$5:$AU$836,28,)/VLOOKUP($D334,$C$5:$AU$836,3,))*$E334)</f>
        <v>0</v>
      </c>
      <c r="AE334" s="65">
        <f>IF(VLOOKUP($D334,$C$5:$AU$836,3,)=0,0,(VLOOKUP($D334,$C$5:$AU$836,29,)/VLOOKUP($D334,$C$5:$AU$836,3,))*$E334)</f>
        <v>0</v>
      </c>
      <c r="AF334" s="65">
        <f>IF(VLOOKUP($D334,$C$5:$AU$836,3,)=0,0,(VLOOKUP($D334,$C$5:$AU$836,30,)/VLOOKUP($D334,$C$5:$AU$836,3,))*$E334)</f>
        <v>0</v>
      </c>
      <c r="AG334" s="16">
        <f>SUM(F334:AF334)</f>
        <v>616127.781895858</v>
      </c>
      <c r="AH334" s="14" t="str">
        <f>IF(ABS(E334-AG334)&lt;0.01,"ok","err")</f>
        <v>ok</v>
      </c>
    </row>
    <row r="335" spans="1:34" x14ac:dyDescent="0.25">
      <c r="E335" s="31"/>
    </row>
    <row r="336" spans="1:34" x14ac:dyDescent="0.25">
      <c r="A336" s="8" t="s">
        <v>7</v>
      </c>
      <c r="E336" s="31"/>
    </row>
    <row r="337" spans="1:34" x14ac:dyDescent="0.25">
      <c r="A337" s="12" t="s">
        <v>223</v>
      </c>
      <c r="C337" s="2" t="s">
        <v>281</v>
      </c>
      <c r="D337" s="2" t="s">
        <v>233</v>
      </c>
      <c r="E337" s="65">
        <f>'Functional Assignment'!AJ440</f>
        <v>463778.05151311512</v>
      </c>
      <c r="F337" s="65">
        <f>IF(VLOOKUP($D337,$C$5:$AU$836,3,)=0,0,(VLOOKUP($D337,$C$5:$AU$836,4,)/VLOOKUP($D337,$C$5:$AU$836,3,))*$E337)</f>
        <v>0</v>
      </c>
      <c r="G337" s="65">
        <f>IF(VLOOKUP($D337,$C$5:$AU$836,3,)=0,0,(VLOOKUP($D337,$C$5:$AU$836,5,)/VLOOKUP($D337,$C$5:$AU$836,3,))*$E337)</f>
        <v>0</v>
      </c>
      <c r="H337" s="65">
        <f>IF(VLOOKUP($D337,$C$5:$AU$836,3,)=0,0,(VLOOKUP($D337,$C$5:$AU$836,6,)/VLOOKUP($D337,$C$5:$AU$836,3,))*$E337)</f>
        <v>0</v>
      </c>
      <c r="I337" s="65">
        <f>IF(VLOOKUP($D337,$C$5:$AU$836,3,)=0,0,(VLOOKUP($D337,$C$5:$AU$836,7,)/VLOOKUP($D337,$C$5:$AU$836,3,))*$E337)</f>
        <v>0</v>
      </c>
      <c r="J337" s="65">
        <f>IF(VLOOKUP($D337,$C$5:$AU$836,3,)=0,0,(VLOOKUP($D337,$C$5:$AU$836,8,)/VLOOKUP($D337,$C$5:$AU$836,3,))*$E337)</f>
        <v>0</v>
      </c>
      <c r="K337" s="65">
        <f>IF(VLOOKUP($D337,$C$5:$AU$836,3,)=0,0,(VLOOKUP($D337,$C$5:$AU$836,9,)/VLOOKUP($D337,$C$5:$AU$836,3,))*$E337)</f>
        <v>0</v>
      </c>
      <c r="L337" s="65">
        <f>IF(VLOOKUP($D337,$C$5:$AU$836,3,)=0,0,(VLOOKUP($D337,$C$5:$AU$836,10,)/VLOOKUP($D337,$C$5:$AU$836,3,))*$E337)</f>
        <v>0</v>
      </c>
      <c r="M337" s="65">
        <f>IF(VLOOKUP($D337,$C$5:$AU$836,3,)=0,0,(VLOOKUP($D337,$C$5:$AU$836,11,)/VLOOKUP($D337,$C$5:$AU$836,3,))*$E337)</f>
        <v>0</v>
      </c>
      <c r="N337" s="65">
        <f>IF(VLOOKUP($D337,$C$5:$AU$836,3,)=0,0,(VLOOKUP($D337,$C$5:$AU$836,12,)/VLOOKUP($D337,$C$5:$AU$836,3,))*$E337)</f>
        <v>463778.05151311512</v>
      </c>
      <c r="O337" s="65">
        <f>IF(VLOOKUP($D337,$C$5:$AU$836,3,)=0,0,(VLOOKUP($D337,$C$5:$AU$836,13,)/VLOOKUP($D337,$C$5:$AU$836,3,))*$E337)</f>
        <v>0</v>
      </c>
      <c r="P337" s="65">
        <f>IF(VLOOKUP($D337,$C$5:$AU$836,3,)=0,0,(VLOOKUP($D337,$C$5:$AU$836,14,)/VLOOKUP($D337,$C$5:$AU$836,3,))*$E337)</f>
        <v>0</v>
      </c>
      <c r="Q337" s="65">
        <f>IF(VLOOKUP($D337,$C$5:$AU$836,3,)=0,0,(VLOOKUP($D337,$C$5:$AU$836,15,)/VLOOKUP($D337,$C$5:$AU$836,3,))*$E337)</f>
        <v>0</v>
      </c>
      <c r="R337" s="65">
        <f>IF(VLOOKUP($D337,$C$5:$AU$836,3,)=0,0,(VLOOKUP($D337,$C$5:$AU$836,16,)/VLOOKUP($D337,$C$5:$AU$836,3,))*$E337)</f>
        <v>0</v>
      </c>
      <c r="S337" s="65">
        <f>IF(VLOOKUP($D337,$C$5:$AU$836,3,)=0,0,(VLOOKUP($D337,$C$5:$AU$836,17,)/VLOOKUP($D337,$C$5:$AU$836,3,))*$E337)</f>
        <v>0</v>
      </c>
      <c r="T337" s="65">
        <f>IF(VLOOKUP($D337,$C$5:$AU$836,3,)=0,0,(VLOOKUP($D337,$C$5:$AU$836,18,)/VLOOKUP($D337,$C$5:$AU$836,3,))*$E337)</f>
        <v>0</v>
      </c>
      <c r="U337" s="65">
        <f>IF(VLOOKUP($D337,$C$5:$AU$836,3,)=0,0,(VLOOKUP($D337,$C$5:$AU$836,19,)/VLOOKUP($D337,$C$5:$AU$836,3,))*$E337)</f>
        <v>0</v>
      </c>
      <c r="V337" s="65">
        <f>IF(VLOOKUP($D337,$C$5:$AU$836,3,)=0,0,(VLOOKUP($D337,$C$5:$AU$836,20,)/VLOOKUP($D337,$C$5:$AU$836,3,))*$E337)</f>
        <v>0</v>
      </c>
      <c r="W337" s="65">
        <f>IF(VLOOKUP($D337,$C$5:$AU$836,3,)=0,0,(VLOOKUP($D337,$C$5:$AU$836,21,)/VLOOKUP($D337,$C$5:$AU$836,3,))*$E337)</f>
        <v>0</v>
      </c>
      <c r="X337" s="65">
        <f>IF(VLOOKUP($D337,$C$5:$AU$836,3,)=0,0,(VLOOKUP($D337,$C$5:$AU$836,22,)/VLOOKUP($D337,$C$5:$AU$836,3,))*$E337)</f>
        <v>0</v>
      </c>
      <c r="Y337" s="65">
        <f>IF(VLOOKUP($D337,$C$5:$AU$836,3,)=0,0,(VLOOKUP($D337,$C$5:$AU$836,23,)/VLOOKUP($D337,$C$5:$AU$836,3,))*$E337)</f>
        <v>0</v>
      </c>
      <c r="Z337" s="65">
        <f>IF(VLOOKUP($D337,$C$5:$AU$836,3,)=0,0,(VLOOKUP($D337,$C$5:$AU$836,24,)/VLOOKUP($D337,$C$5:$AU$836,3,))*$E337)</f>
        <v>0</v>
      </c>
      <c r="AA337" s="65">
        <f>IF(VLOOKUP($D337,$C$5:$AU$836,3,)=0,0,(VLOOKUP($D337,$C$5:$AU$836,25,)/VLOOKUP($D337,$C$5:$AU$836,3,))*$E337)</f>
        <v>0</v>
      </c>
      <c r="AB337" s="65">
        <f>IF(VLOOKUP($D337,$C$5:$AU$836,3,)=0,0,(VLOOKUP($D337,$C$5:$AU$836,26,)/VLOOKUP($D337,$C$5:$AU$836,3,))*$E337)</f>
        <v>0</v>
      </c>
      <c r="AC337" s="65">
        <f>IF(VLOOKUP($D337,$C$5:$AU$836,3,)=0,0,(VLOOKUP($D337,$C$5:$AU$836,27,)/VLOOKUP($D337,$C$5:$AU$836,3,))*$E337)</f>
        <v>0</v>
      </c>
      <c r="AD337" s="65">
        <f>IF(VLOOKUP($D337,$C$5:$AU$836,3,)=0,0,(VLOOKUP($D337,$C$5:$AU$836,28,)/VLOOKUP($D337,$C$5:$AU$836,3,))*$E337)</f>
        <v>0</v>
      </c>
      <c r="AE337" s="65">
        <f>IF(VLOOKUP($D337,$C$5:$AU$836,3,)=0,0,(VLOOKUP($D337,$C$5:$AU$836,29,)/VLOOKUP($D337,$C$5:$AU$836,3,))*$E337)</f>
        <v>0</v>
      </c>
      <c r="AF337" s="65">
        <f>IF(VLOOKUP($D337,$C$5:$AU$836,3,)=0,0,(VLOOKUP($D337,$C$5:$AU$836,30,)/VLOOKUP($D337,$C$5:$AU$836,3,))*$E337)</f>
        <v>0</v>
      </c>
      <c r="AG337" s="16">
        <f>SUM(F337:AF337)</f>
        <v>463778.05151311512</v>
      </c>
      <c r="AH337" s="14" t="str">
        <f>IF(ABS(E337-AG337)&lt;0.01,"ok","err")</f>
        <v>ok</v>
      </c>
    </row>
    <row r="338" spans="1:34" x14ac:dyDescent="0.25">
      <c r="E338" s="31"/>
    </row>
    <row r="339" spans="1:34" x14ac:dyDescent="0.25">
      <c r="A339" s="8" t="s">
        <v>534</v>
      </c>
      <c r="E339" s="31"/>
    </row>
    <row r="340" spans="1:34" x14ac:dyDescent="0.25">
      <c r="A340" s="12" t="s">
        <v>223</v>
      </c>
      <c r="C340" s="2" t="s">
        <v>282</v>
      </c>
      <c r="D340" s="2" t="s">
        <v>235</v>
      </c>
      <c r="E340" s="65">
        <f>'Functional Assignment'!AL440</f>
        <v>0</v>
      </c>
      <c r="F340" s="65">
        <f>IF(VLOOKUP($D340,$C$5:$AU$836,3,)=0,0,(VLOOKUP($D340,$C$5:$AU$836,4,)/VLOOKUP($D340,$C$5:$AU$836,3,))*$E340)</f>
        <v>0</v>
      </c>
      <c r="G340" s="65">
        <f>IF(VLOOKUP($D340,$C$5:$AU$836,3,)=0,0,(VLOOKUP($D340,$C$5:$AU$836,5,)/VLOOKUP($D340,$C$5:$AU$836,3,))*$E340)</f>
        <v>0</v>
      </c>
      <c r="H340" s="65">
        <f>IF(VLOOKUP($D340,$C$5:$AU$836,3,)=0,0,(VLOOKUP($D340,$C$5:$AU$836,6,)/VLOOKUP($D340,$C$5:$AU$836,3,))*$E340)</f>
        <v>0</v>
      </c>
      <c r="I340" s="65">
        <f>IF(VLOOKUP($D340,$C$5:$AU$836,3,)=0,0,(VLOOKUP($D340,$C$5:$AU$836,7,)/VLOOKUP($D340,$C$5:$AU$836,3,))*$E340)</f>
        <v>0</v>
      </c>
      <c r="J340" s="65">
        <f>IF(VLOOKUP($D340,$C$5:$AU$836,3,)=0,0,(VLOOKUP($D340,$C$5:$AU$836,8,)/VLOOKUP($D340,$C$5:$AU$836,3,))*$E340)</f>
        <v>0</v>
      </c>
      <c r="K340" s="65">
        <f>IF(VLOOKUP($D340,$C$5:$AU$836,3,)=0,0,(VLOOKUP($D340,$C$5:$AU$836,9,)/VLOOKUP($D340,$C$5:$AU$836,3,))*$E340)</f>
        <v>0</v>
      </c>
      <c r="L340" s="65">
        <f>IF(VLOOKUP($D340,$C$5:$AU$836,3,)=0,0,(VLOOKUP($D340,$C$5:$AU$836,10,)/VLOOKUP($D340,$C$5:$AU$836,3,))*$E340)</f>
        <v>0</v>
      </c>
      <c r="M340" s="65">
        <f>IF(VLOOKUP($D340,$C$5:$AU$836,3,)=0,0,(VLOOKUP($D340,$C$5:$AU$836,11,)/VLOOKUP($D340,$C$5:$AU$836,3,))*$E340)</f>
        <v>0</v>
      </c>
      <c r="N340" s="65">
        <f>IF(VLOOKUP($D340,$C$5:$AU$836,3,)=0,0,(VLOOKUP($D340,$C$5:$AU$836,12,)/VLOOKUP($D340,$C$5:$AU$836,3,))*$E340)</f>
        <v>0</v>
      </c>
      <c r="O340" s="65">
        <f>IF(VLOOKUP($D340,$C$5:$AU$836,3,)=0,0,(VLOOKUP($D340,$C$5:$AU$836,13,)/VLOOKUP($D340,$C$5:$AU$836,3,))*$E340)</f>
        <v>0</v>
      </c>
      <c r="P340" s="65">
        <f>IF(VLOOKUP($D340,$C$5:$AU$836,3,)=0,0,(VLOOKUP($D340,$C$5:$AU$836,14,)/VLOOKUP($D340,$C$5:$AU$836,3,))*$E340)</f>
        <v>0</v>
      </c>
      <c r="Q340" s="65">
        <f>IF(VLOOKUP($D340,$C$5:$AU$836,3,)=0,0,(VLOOKUP($D340,$C$5:$AU$836,15,)/VLOOKUP($D340,$C$5:$AU$836,3,))*$E340)</f>
        <v>0</v>
      </c>
      <c r="R340" s="65">
        <f>IF(VLOOKUP($D340,$C$5:$AU$836,3,)=0,0,(VLOOKUP($D340,$C$5:$AU$836,16,)/VLOOKUP($D340,$C$5:$AU$836,3,))*$E340)</f>
        <v>0</v>
      </c>
      <c r="S340" s="65">
        <f>IF(VLOOKUP($D340,$C$5:$AU$836,3,)=0,0,(VLOOKUP($D340,$C$5:$AU$836,17,)/VLOOKUP($D340,$C$5:$AU$836,3,))*$E340)</f>
        <v>0</v>
      </c>
      <c r="T340" s="65">
        <f>IF(VLOOKUP($D340,$C$5:$AU$836,3,)=0,0,(VLOOKUP($D340,$C$5:$AU$836,18,)/VLOOKUP($D340,$C$5:$AU$836,3,))*$E340)</f>
        <v>0</v>
      </c>
      <c r="U340" s="65">
        <f>IF(VLOOKUP($D340,$C$5:$AU$836,3,)=0,0,(VLOOKUP($D340,$C$5:$AU$836,19,)/VLOOKUP($D340,$C$5:$AU$836,3,))*$E340)</f>
        <v>0</v>
      </c>
      <c r="V340" s="65">
        <f>IF(VLOOKUP($D340,$C$5:$AU$836,3,)=0,0,(VLOOKUP($D340,$C$5:$AU$836,20,)/VLOOKUP($D340,$C$5:$AU$836,3,))*$E340)</f>
        <v>0</v>
      </c>
      <c r="W340" s="65">
        <f>IF(VLOOKUP($D340,$C$5:$AU$836,3,)=0,0,(VLOOKUP($D340,$C$5:$AU$836,21,)/VLOOKUP($D340,$C$5:$AU$836,3,))*$E340)</f>
        <v>0</v>
      </c>
      <c r="X340" s="65">
        <f>IF(VLOOKUP($D340,$C$5:$AU$836,3,)=0,0,(VLOOKUP($D340,$C$5:$AU$836,22,)/VLOOKUP($D340,$C$5:$AU$836,3,))*$E340)</f>
        <v>0</v>
      </c>
      <c r="Y340" s="65">
        <f>IF(VLOOKUP($D340,$C$5:$AU$836,3,)=0,0,(VLOOKUP($D340,$C$5:$AU$836,23,)/VLOOKUP($D340,$C$5:$AU$836,3,))*$E340)</f>
        <v>0</v>
      </c>
      <c r="Z340" s="65">
        <f>IF(VLOOKUP($D340,$C$5:$AU$836,3,)=0,0,(VLOOKUP($D340,$C$5:$AU$836,24,)/VLOOKUP($D340,$C$5:$AU$836,3,))*$E340)</f>
        <v>0</v>
      </c>
      <c r="AA340" s="65">
        <f>IF(VLOOKUP($D340,$C$5:$AU$836,3,)=0,0,(VLOOKUP($D340,$C$5:$AU$836,25,)/VLOOKUP($D340,$C$5:$AU$836,3,))*$E340)</f>
        <v>0</v>
      </c>
      <c r="AB340" s="65">
        <f>IF(VLOOKUP($D340,$C$5:$AU$836,3,)=0,0,(VLOOKUP($D340,$C$5:$AU$836,26,)/VLOOKUP($D340,$C$5:$AU$836,3,))*$E340)</f>
        <v>0</v>
      </c>
      <c r="AC340" s="65">
        <f>IF(VLOOKUP($D340,$C$5:$AU$836,3,)=0,0,(VLOOKUP($D340,$C$5:$AU$836,27,)/VLOOKUP($D340,$C$5:$AU$836,3,))*$E340)</f>
        <v>0</v>
      </c>
      <c r="AD340" s="65">
        <f>IF(VLOOKUP($D340,$C$5:$AU$836,3,)=0,0,(VLOOKUP($D340,$C$5:$AU$836,28,)/VLOOKUP($D340,$C$5:$AU$836,3,))*$E340)</f>
        <v>0</v>
      </c>
      <c r="AE340" s="65">
        <f>IF(VLOOKUP($D340,$C$5:$AU$836,3,)=0,0,(VLOOKUP($D340,$C$5:$AU$836,29,)/VLOOKUP($D340,$C$5:$AU$836,3,))*$E340)</f>
        <v>0</v>
      </c>
      <c r="AF340" s="65">
        <f>IF(VLOOKUP($D340,$C$5:$AU$836,3,)=0,0,(VLOOKUP($D340,$C$5:$AU$836,30,)/VLOOKUP($D340,$C$5:$AU$836,3,))*$E340)</f>
        <v>0</v>
      </c>
      <c r="AG340" s="16">
        <f>SUM(F340:AF340)</f>
        <v>0</v>
      </c>
      <c r="AH340" s="14" t="str">
        <f>IF(ABS(E340-AG340)&lt;0.01,"ok","err")</f>
        <v>ok</v>
      </c>
    </row>
    <row r="341" spans="1:34" x14ac:dyDescent="0.25">
      <c r="E341" s="31"/>
    </row>
    <row r="342" spans="1:34" x14ac:dyDescent="0.25">
      <c r="A342" s="8" t="s">
        <v>662</v>
      </c>
      <c r="E342" s="31"/>
    </row>
    <row r="343" spans="1:34" x14ac:dyDescent="0.25">
      <c r="A343" s="12" t="s">
        <v>223</v>
      </c>
      <c r="C343" s="2" t="s">
        <v>279</v>
      </c>
      <c r="D343" s="2" t="s">
        <v>236</v>
      </c>
      <c r="E343" s="65">
        <f>'Functional Assignment'!AN440</f>
        <v>0</v>
      </c>
      <c r="F343" s="65">
        <f>IF(VLOOKUP($D343,$C$5:$AU$836,3,)=0,0,(VLOOKUP($D343,$C$5:$AU$836,4,)/VLOOKUP($D343,$C$5:$AU$836,3,))*$E343)</f>
        <v>0</v>
      </c>
      <c r="G343" s="65">
        <f>IF(VLOOKUP($D343,$C$5:$AU$836,3,)=0,0,(VLOOKUP($D343,$C$5:$AU$836,5,)/VLOOKUP($D343,$C$5:$AU$836,3,))*$E343)</f>
        <v>0</v>
      </c>
      <c r="H343" s="65">
        <f>IF(VLOOKUP($D343,$C$5:$AU$836,3,)=0,0,(VLOOKUP($D343,$C$5:$AU$836,6,)/VLOOKUP($D343,$C$5:$AU$836,3,))*$E343)</f>
        <v>0</v>
      </c>
      <c r="I343" s="65">
        <f>IF(VLOOKUP($D343,$C$5:$AU$836,3,)=0,0,(VLOOKUP($D343,$C$5:$AU$836,7,)/VLOOKUP($D343,$C$5:$AU$836,3,))*$E343)</f>
        <v>0</v>
      </c>
      <c r="J343" s="65">
        <f>IF(VLOOKUP($D343,$C$5:$AU$836,3,)=0,0,(VLOOKUP($D343,$C$5:$AU$836,8,)/VLOOKUP($D343,$C$5:$AU$836,3,))*$E343)</f>
        <v>0</v>
      </c>
      <c r="K343" s="65">
        <f>IF(VLOOKUP($D343,$C$5:$AU$836,3,)=0,0,(VLOOKUP($D343,$C$5:$AU$836,9,)/VLOOKUP($D343,$C$5:$AU$836,3,))*$E343)</f>
        <v>0</v>
      </c>
      <c r="L343" s="65">
        <f>IF(VLOOKUP($D343,$C$5:$AU$836,3,)=0,0,(VLOOKUP($D343,$C$5:$AU$836,10,)/VLOOKUP($D343,$C$5:$AU$836,3,))*$E343)</f>
        <v>0</v>
      </c>
      <c r="M343" s="65">
        <f>IF(VLOOKUP($D343,$C$5:$AU$836,3,)=0,0,(VLOOKUP($D343,$C$5:$AU$836,11,)/VLOOKUP($D343,$C$5:$AU$836,3,))*$E343)</f>
        <v>0</v>
      </c>
      <c r="N343" s="65">
        <f>IF(VLOOKUP($D343,$C$5:$AU$836,3,)=0,0,(VLOOKUP($D343,$C$5:$AU$836,12,)/VLOOKUP($D343,$C$5:$AU$836,3,))*$E343)</f>
        <v>0</v>
      </c>
      <c r="O343" s="65">
        <f>IF(VLOOKUP($D343,$C$5:$AU$836,3,)=0,0,(VLOOKUP($D343,$C$5:$AU$836,13,)/VLOOKUP($D343,$C$5:$AU$836,3,))*$E343)</f>
        <v>0</v>
      </c>
      <c r="P343" s="65">
        <f>IF(VLOOKUP($D343,$C$5:$AU$836,3,)=0,0,(VLOOKUP($D343,$C$5:$AU$836,14,)/VLOOKUP($D343,$C$5:$AU$836,3,))*$E343)</f>
        <v>0</v>
      </c>
      <c r="Q343" s="65">
        <f>IF(VLOOKUP($D343,$C$5:$AU$836,3,)=0,0,(VLOOKUP($D343,$C$5:$AU$836,15,)/VLOOKUP($D343,$C$5:$AU$836,3,))*$E343)</f>
        <v>0</v>
      </c>
      <c r="R343" s="65">
        <f>IF(VLOOKUP($D343,$C$5:$AU$836,3,)=0,0,(VLOOKUP($D343,$C$5:$AU$836,16,)/VLOOKUP($D343,$C$5:$AU$836,3,))*$E343)</f>
        <v>0</v>
      </c>
      <c r="S343" s="65">
        <f>IF(VLOOKUP($D343,$C$5:$AU$836,3,)=0,0,(VLOOKUP($D343,$C$5:$AU$836,17,)/VLOOKUP($D343,$C$5:$AU$836,3,))*$E343)</f>
        <v>0</v>
      </c>
      <c r="T343" s="65">
        <f>IF(VLOOKUP($D343,$C$5:$AU$836,3,)=0,0,(VLOOKUP($D343,$C$5:$AU$836,18,)/VLOOKUP($D343,$C$5:$AU$836,3,))*$E343)</f>
        <v>0</v>
      </c>
      <c r="U343" s="65">
        <f>IF(VLOOKUP($D343,$C$5:$AU$836,3,)=0,0,(VLOOKUP($D343,$C$5:$AU$836,19,)/VLOOKUP($D343,$C$5:$AU$836,3,))*$E343)</f>
        <v>0</v>
      </c>
      <c r="V343" s="65">
        <f>IF(VLOOKUP($D343,$C$5:$AU$836,3,)=0,0,(VLOOKUP($D343,$C$5:$AU$836,20,)/VLOOKUP($D343,$C$5:$AU$836,3,))*$E343)</f>
        <v>0</v>
      </c>
      <c r="W343" s="65">
        <f>IF(VLOOKUP($D343,$C$5:$AU$836,3,)=0,0,(VLOOKUP($D343,$C$5:$AU$836,21,)/VLOOKUP($D343,$C$5:$AU$836,3,))*$E343)</f>
        <v>0</v>
      </c>
      <c r="X343" s="65">
        <f>IF(VLOOKUP($D343,$C$5:$AU$836,3,)=0,0,(VLOOKUP($D343,$C$5:$AU$836,22,)/VLOOKUP($D343,$C$5:$AU$836,3,))*$E343)</f>
        <v>0</v>
      </c>
      <c r="Y343" s="65">
        <f>IF(VLOOKUP($D343,$C$5:$AU$836,3,)=0,0,(VLOOKUP($D343,$C$5:$AU$836,23,)/VLOOKUP($D343,$C$5:$AU$836,3,))*$E343)</f>
        <v>0</v>
      </c>
      <c r="Z343" s="65">
        <f>IF(VLOOKUP($D343,$C$5:$AU$836,3,)=0,0,(VLOOKUP($D343,$C$5:$AU$836,24,)/VLOOKUP($D343,$C$5:$AU$836,3,))*$E343)</f>
        <v>0</v>
      </c>
      <c r="AA343" s="65">
        <f>IF(VLOOKUP($D343,$C$5:$AU$836,3,)=0,0,(VLOOKUP($D343,$C$5:$AU$836,25,)/VLOOKUP($D343,$C$5:$AU$836,3,))*$E343)</f>
        <v>0</v>
      </c>
      <c r="AB343" s="65">
        <f>IF(VLOOKUP($D343,$C$5:$AU$836,3,)=0,0,(VLOOKUP($D343,$C$5:$AU$836,26,)/VLOOKUP($D343,$C$5:$AU$836,3,))*$E343)</f>
        <v>0</v>
      </c>
      <c r="AC343" s="65">
        <f>IF(VLOOKUP($D343,$C$5:$AU$836,3,)=0,0,(VLOOKUP($D343,$C$5:$AU$836,27,)/VLOOKUP($D343,$C$5:$AU$836,3,))*$E343)</f>
        <v>0</v>
      </c>
      <c r="AD343" s="65">
        <f>IF(VLOOKUP($D343,$C$5:$AU$836,3,)=0,0,(VLOOKUP($D343,$C$5:$AU$836,28,)/VLOOKUP($D343,$C$5:$AU$836,3,))*$E343)</f>
        <v>0</v>
      </c>
      <c r="AE343" s="65">
        <f>IF(VLOOKUP($D343,$C$5:$AU$836,3,)=0,0,(VLOOKUP($D343,$C$5:$AU$836,29,)/VLOOKUP($D343,$C$5:$AU$836,3,))*$E343)</f>
        <v>0</v>
      </c>
      <c r="AF343" s="65">
        <f>IF(VLOOKUP($D343,$C$5:$AU$836,3,)=0,0,(VLOOKUP($D343,$C$5:$AU$836,30,)/VLOOKUP($D343,$C$5:$AU$836,3,))*$E343)</f>
        <v>0</v>
      </c>
      <c r="AG343" s="16">
        <f>SUM(F343:AF343)</f>
        <v>0</v>
      </c>
      <c r="AH343" s="14" t="str">
        <f>IF(ABS(E343-AG343)&lt;0.01,"ok","err")</f>
        <v>ok</v>
      </c>
    </row>
    <row r="344" spans="1:34" x14ac:dyDescent="0.25">
      <c r="E344" s="31"/>
    </row>
    <row r="345" spans="1:34" x14ac:dyDescent="0.25">
      <c r="A345" s="2" t="s">
        <v>1</v>
      </c>
      <c r="C345" s="2" t="s">
        <v>283</v>
      </c>
      <c r="E345" s="65">
        <f>E302+E305+E308+E311+E316+E321+E326+E331+E334+E337+E340+E343</f>
        <v>9078214.3900000025</v>
      </c>
      <c r="F345" s="65">
        <f t="shared" ref="F345:AF345" si="212">F302+F305+F308+F311+F316+F321+F326+F331+F334+F337+F340+F343</f>
        <v>6444655.0277245054</v>
      </c>
      <c r="G345" s="65">
        <f t="shared" si="212"/>
        <v>751107.31602726155</v>
      </c>
      <c r="H345" s="65">
        <f t="shared" si="212"/>
        <v>826281.20963004872</v>
      </c>
      <c r="I345" s="65">
        <f t="shared" si="212"/>
        <v>124863.3667568989</v>
      </c>
      <c r="J345" s="65">
        <f t="shared" si="212"/>
        <v>82753.305069648326</v>
      </c>
      <c r="K345" s="65">
        <f t="shared" si="212"/>
        <v>932.55358186718036</v>
      </c>
      <c r="L345" s="65">
        <f t="shared" si="212"/>
        <v>12409.653200719342</v>
      </c>
      <c r="M345" s="65">
        <f t="shared" si="212"/>
        <v>184478.56127433546</v>
      </c>
      <c r="N345" s="65">
        <f t="shared" si="212"/>
        <v>650733.39673471567</v>
      </c>
      <c r="O345" s="65">
        <f t="shared" si="212"/>
        <v>0</v>
      </c>
      <c r="P345" s="65">
        <f t="shared" si="212"/>
        <v>0</v>
      </c>
      <c r="Q345" s="65">
        <f t="shared" si="212"/>
        <v>0</v>
      </c>
      <c r="R345" s="65">
        <f t="shared" si="212"/>
        <v>0</v>
      </c>
      <c r="S345" s="65">
        <f t="shared" si="212"/>
        <v>0</v>
      </c>
      <c r="T345" s="65">
        <f t="shared" si="212"/>
        <v>0</v>
      </c>
      <c r="U345" s="65">
        <f t="shared" si="212"/>
        <v>0</v>
      </c>
      <c r="V345" s="65">
        <f t="shared" si="212"/>
        <v>0</v>
      </c>
      <c r="W345" s="65">
        <f t="shared" si="212"/>
        <v>0</v>
      </c>
      <c r="X345" s="65">
        <f t="shared" si="212"/>
        <v>0</v>
      </c>
      <c r="Y345" s="65">
        <f t="shared" si="212"/>
        <v>0</v>
      </c>
      <c r="Z345" s="65">
        <f t="shared" si="212"/>
        <v>0</v>
      </c>
      <c r="AA345" s="65">
        <f t="shared" si="212"/>
        <v>0</v>
      </c>
      <c r="AB345" s="65">
        <f t="shared" si="212"/>
        <v>0</v>
      </c>
      <c r="AC345" s="65">
        <f t="shared" si="212"/>
        <v>0</v>
      </c>
      <c r="AD345" s="65">
        <f t="shared" si="212"/>
        <v>0</v>
      </c>
      <c r="AE345" s="65">
        <f t="shared" si="212"/>
        <v>0</v>
      </c>
      <c r="AF345" s="65">
        <f t="shared" si="212"/>
        <v>0</v>
      </c>
      <c r="AG345" s="16">
        <f>SUM(F345:AF345)</f>
        <v>9078214.3900000025</v>
      </c>
      <c r="AH345" s="14" t="str">
        <f>IF(ABS(E345-AG345)&lt;0.01,"ok","err")</f>
        <v>ok</v>
      </c>
    </row>
    <row r="348" spans="1:34" x14ac:dyDescent="0.25">
      <c r="A348" s="6" t="s">
        <v>193</v>
      </c>
    </row>
    <row r="350" spans="1:34" x14ac:dyDescent="0.25">
      <c r="A350" s="8" t="s">
        <v>2</v>
      </c>
    </row>
    <row r="351" spans="1:34" x14ac:dyDescent="0.25">
      <c r="A351" s="118" t="s">
        <v>214</v>
      </c>
      <c r="C351" s="2" t="s">
        <v>898</v>
      </c>
      <c r="D351" s="9" t="s">
        <v>1072</v>
      </c>
      <c r="E351" s="65">
        <f>'Functional Assignment'!H442</f>
        <v>0</v>
      </c>
      <c r="F351" s="65">
        <f t="shared" ref="F351:F357" si="213">IF(VLOOKUP($D351,$C$5:$AU$836,3,)=0,0,(VLOOKUP($D351,$C$5:$AU$836,4,)/VLOOKUP($D351,$C$5:$AU$836,3,))*$E351)</f>
        <v>0</v>
      </c>
      <c r="G351" s="65">
        <f t="shared" ref="G351:G357" si="214">IF(VLOOKUP($D351,$C$5:$AU$836,3,)=0,0,(VLOOKUP($D351,$C$5:$AU$836,5,)/VLOOKUP($D351,$C$5:$AU$836,3,))*$E351)</f>
        <v>0</v>
      </c>
      <c r="H351" s="65">
        <f t="shared" ref="H351:H357" si="215">IF(VLOOKUP($D351,$C$5:$AU$836,3,)=0,0,(VLOOKUP($D351,$C$5:$AU$836,6,)/VLOOKUP($D351,$C$5:$AU$836,3,))*$E351)</f>
        <v>0</v>
      </c>
      <c r="I351" s="65">
        <f t="shared" ref="I351:I357" si="216">IF(VLOOKUP($D351,$C$5:$AU$836,3,)=0,0,(VLOOKUP($D351,$C$5:$AU$836,7,)/VLOOKUP($D351,$C$5:$AU$836,3,))*$E351)</f>
        <v>0</v>
      </c>
      <c r="J351" s="65">
        <f t="shared" ref="J351:J357" si="217">IF(VLOOKUP($D351,$C$5:$AU$836,3,)=0,0,(VLOOKUP($D351,$C$5:$AU$836,8,)/VLOOKUP($D351,$C$5:$AU$836,3,))*$E351)</f>
        <v>0</v>
      </c>
      <c r="K351" s="65">
        <f t="shared" ref="K351:K357" si="218">IF(VLOOKUP($D351,$C$5:$AU$836,3,)=0,0,(VLOOKUP($D351,$C$5:$AU$836,9,)/VLOOKUP($D351,$C$5:$AU$836,3,))*$E351)</f>
        <v>0</v>
      </c>
      <c r="L351" s="65">
        <f t="shared" ref="L351:L357" si="219">IF(VLOOKUP($D351,$C$5:$AU$836,3,)=0,0,(VLOOKUP($D351,$C$5:$AU$836,10,)/VLOOKUP($D351,$C$5:$AU$836,3,))*$E351)</f>
        <v>0</v>
      </c>
      <c r="M351" s="65">
        <f t="shared" ref="M351:M357" si="220">IF(VLOOKUP($D351,$C$5:$AU$836,3,)=0,0,(VLOOKUP($D351,$C$5:$AU$836,11,)/VLOOKUP($D351,$C$5:$AU$836,3,))*$E351)</f>
        <v>0</v>
      </c>
      <c r="N351" s="65">
        <f t="shared" ref="N351:N357" si="221">IF(VLOOKUP($D351,$C$5:$AU$836,3,)=0,0,(VLOOKUP($D351,$C$5:$AU$836,12,)/VLOOKUP($D351,$C$5:$AU$836,3,))*$E351)</f>
        <v>0</v>
      </c>
      <c r="O351" s="65">
        <f t="shared" ref="O351:O357" si="222">IF(VLOOKUP($D351,$C$5:$AU$836,3,)=0,0,(VLOOKUP($D351,$C$5:$AU$836,13,)/VLOOKUP($D351,$C$5:$AU$836,3,))*$E351)</f>
        <v>0</v>
      </c>
      <c r="P351" s="65">
        <f t="shared" ref="P351:P357" si="223">IF(VLOOKUP($D351,$C$5:$AU$836,3,)=0,0,(VLOOKUP($D351,$C$5:$AU$836,14,)/VLOOKUP($D351,$C$5:$AU$836,3,))*$E351)</f>
        <v>0</v>
      </c>
      <c r="Q351" s="65">
        <f t="shared" ref="Q351:Q357" si="224">IF(VLOOKUP($D351,$C$5:$AU$836,3,)=0,0,(VLOOKUP($D351,$C$5:$AU$836,15,)/VLOOKUP($D351,$C$5:$AU$836,3,))*$E351)</f>
        <v>0</v>
      </c>
      <c r="R351" s="65">
        <f t="shared" ref="R351:R357" si="225">IF(VLOOKUP($D351,$C$5:$AU$836,3,)=0,0,(VLOOKUP($D351,$C$5:$AU$836,16,)/VLOOKUP($D351,$C$5:$AU$836,3,))*$E351)</f>
        <v>0</v>
      </c>
      <c r="S351" s="65">
        <f t="shared" ref="S351:S357" si="226">IF(VLOOKUP($D351,$C$5:$AU$836,3,)=0,0,(VLOOKUP($D351,$C$5:$AU$836,17,)/VLOOKUP($D351,$C$5:$AU$836,3,))*$E351)</f>
        <v>0</v>
      </c>
      <c r="T351" s="65">
        <f t="shared" ref="T351:T357" si="227">IF(VLOOKUP($D351,$C$5:$AU$836,3,)=0,0,(VLOOKUP($D351,$C$5:$AU$836,18,)/VLOOKUP($D351,$C$5:$AU$836,3,))*$E351)</f>
        <v>0</v>
      </c>
      <c r="U351" s="65">
        <f t="shared" ref="U351:U357" si="228">IF(VLOOKUP($D351,$C$5:$AU$836,3,)=0,0,(VLOOKUP($D351,$C$5:$AU$836,19,)/VLOOKUP($D351,$C$5:$AU$836,3,))*$E351)</f>
        <v>0</v>
      </c>
      <c r="V351" s="65">
        <f t="shared" ref="V351:V357" si="229">IF(VLOOKUP($D351,$C$5:$AU$836,3,)=0,0,(VLOOKUP($D351,$C$5:$AU$836,20,)/VLOOKUP($D351,$C$5:$AU$836,3,))*$E351)</f>
        <v>0</v>
      </c>
      <c r="W351" s="65">
        <f t="shared" ref="W351:W357" si="230">IF(VLOOKUP($D351,$C$5:$AU$836,3,)=0,0,(VLOOKUP($D351,$C$5:$AU$836,21,)/VLOOKUP($D351,$C$5:$AU$836,3,))*$E351)</f>
        <v>0</v>
      </c>
      <c r="X351" s="65">
        <f t="shared" ref="X351:X357" si="231">IF(VLOOKUP($D351,$C$5:$AU$836,3,)=0,0,(VLOOKUP($D351,$C$5:$AU$836,22,)/VLOOKUP($D351,$C$5:$AU$836,3,))*$E351)</f>
        <v>0</v>
      </c>
      <c r="Y351" s="65">
        <f t="shared" ref="Y351:Y357" si="232">IF(VLOOKUP($D351,$C$5:$AU$836,3,)=0,0,(VLOOKUP($D351,$C$5:$AU$836,23,)/VLOOKUP($D351,$C$5:$AU$836,3,))*$E351)</f>
        <v>0</v>
      </c>
      <c r="Z351" s="65">
        <f t="shared" ref="Z351:Z357" si="233">IF(VLOOKUP($D351,$C$5:$AU$836,3,)=0,0,(VLOOKUP($D351,$C$5:$AU$836,24,)/VLOOKUP($D351,$C$5:$AU$836,3,))*$E351)</f>
        <v>0</v>
      </c>
      <c r="AA351" s="65">
        <f t="shared" ref="AA351:AA357" si="234">IF(VLOOKUP($D351,$C$5:$AU$836,3,)=0,0,(VLOOKUP($D351,$C$5:$AU$836,25,)/VLOOKUP($D351,$C$5:$AU$836,3,))*$E351)</f>
        <v>0</v>
      </c>
      <c r="AB351" s="65">
        <f t="shared" ref="AB351:AB357" si="235">IF(VLOOKUP($D351,$C$5:$AU$836,3,)=0,0,(VLOOKUP($D351,$C$5:$AU$836,26,)/VLOOKUP($D351,$C$5:$AU$836,3,))*$E351)</f>
        <v>0</v>
      </c>
      <c r="AC351" s="65">
        <f t="shared" ref="AC351:AC357" si="236">IF(VLOOKUP($D351,$C$5:$AU$836,3,)=0,0,(VLOOKUP($D351,$C$5:$AU$836,27,)/VLOOKUP($D351,$C$5:$AU$836,3,))*$E351)</f>
        <v>0</v>
      </c>
      <c r="AD351" s="65">
        <f t="shared" ref="AD351:AD357" si="237">IF(VLOOKUP($D351,$C$5:$AU$836,3,)=0,0,(VLOOKUP($D351,$C$5:$AU$836,28,)/VLOOKUP($D351,$C$5:$AU$836,3,))*$E351)</f>
        <v>0</v>
      </c>
      <c r="AE351" s="65">
        <f t="shared" ref="AE351:AE357" si="238">IF(VLOOKUP($D351,$C$5:$AU$836,3,)=0,0,(VLOOKUP($D351,$C$5:$AU$836,29,)/VLOOKUP($D351,$C$5:$AU$836,3,))*$E351)</f>
        <v>0</v>
      </c>
      <c r="AF351" s="65">
        <f t="shared" ref="AF351:AF357" si="239">IF(VLOOKUP($D351,$C$5:$AU$836,3,)=0,0,(VLOOKUP($D351,$C$5:$AU$836,30,)/VLOOKUP($D351,$C$5:$AU$836,3,))*$E351)</f>
        <v>0</v>
      </c>
      <c r="AG351" s="16">
        <f t="shared" ref="AG351:AG359" si="240">SUM(F351:AF351)</f>
        <v>0</v>
      </c>
      <c r="AH351" s="14" t="str">
        <f t="shared" ref="AH351:AH357" si="241">IF(ABS(E351-AG351)&lt;0.01,"ok","err")</f>
        <v>ok</v>
      </c>
    </row>
    <row r="352" spans="1:34" x14ac:dyDescent="0.25">
      <c r="A352" s="118" t="s">
        <v>1069</v>
      </c>
      <c r="C352" s="2" t="s">
        <v>822</v>
      </c>
      <c r="D352" s="2" t="s">
        <v>839</v>
      </c>
      <c r="E352" s="65">
        <f>'Functional Assignment'!I442</f>
        <v>0</v>
      </c>
      <c r="F352" s="65">
        <f t="shared" si="213"/>
        <v>0</v>
      </c>
      <c r="G352" s="65">
        <f t="shared" si="214"/>
        <v>0</v>
      </c>
      <c r="H352" s="65">
        <f t="shared" si="215"/>
        <v>0</v>
      </c>
      <c r="I352" s="65">
        <f t="shared" si="216"/>
        <v>0</v>
      </c>
      <c r="J352" s="65">
        <f t="shared" si="217"/>
        <v>0</v>
      </c>
      <c r="K352" s="65">
        <f t="shared" si="218"/>
        <v>0</v>
      </c>
      <c r="L352" s="65">
        <f t="shared" si="219"/>
        <v>0</v>
      </c>
      <c r="M352" s="65">
        <f t="shared" si="220"/>
        <v>0</v>
      </c>
      <c r="N352" s="65">
        <f t="shared" si="221"/>
        <v>0</v>
      </c>
      <c r="O352" s="65">
        <f t="shared" si="222"/>
        <v>0</v>
      </c>
      <c r="P352" s="65">
        <f t="shared" si="223"/>
        <v>0</v>
      </c>
      <c r="Q352" s="65">
        <f t="shared" si="224"/>
        <v>0</v>
      </c>
      <c r="R352" s="65">
        <f t="shared" si="225"/>
        <v>0</v>
      </c>
      <c r="S352" s="65">
        <f t="shared" si="226"/>
        <v>0</v>
      </c>
      <c r="T352" s="65">
        <f t="shared" si="227"/>
        <v>0</v>
      </c>
      <c r="U352" s="65">
        <f t="shared" si="228"/>
        <v>0</v>
      </c>
      <c r="V352" s="65">
        <f t="shared" si="229"/>
        <v>0</v>
      </c>
      <c r="W352" s="65">
        <f t="shared" si="230"/>
        <v>0</v>
      </c>
      <c r="X352" s="65">
        <f t="shared" si="231"/>
        <v>0</v>
      </c>
      <c r="Y352" s="65">
        <f t="shared" si="232"/>
        <v>0</v>
      </c>
      <c r="Z352" s="65">
        <f t="shared" si="233"/>
        <v>0</v>
      </c>
      <c r="AA352" s="65">
        <f t="shared" si="234"/>
        <v>0</v>
      </c>
      <c r="AB352" s="65">
        <f t="shared" si="235"/>
        <v>0</v>
      </c>
      <c r="AC352" s="65">
        <f t="shared" si="236"/>
        <v>0</v>
      </c>
      <c r="AD352" s="65">
        <f t="shared" si="237"/>
        <v>0</v>
      </c>
      <c r="AE352" s="65">
        <f t="shared" si="238"/>
        <v>0</v>
      </c>
      <c r="AF352" s="65">
        <f t="shared" si="239"/>
        <v>0</v>
      </c>
      <c r="AG352" s="16">
        <f t="shared" si="240"/>
        <v>0</v>
      </c>
      <c r="AH352" s="14" t="str">
        <f t="shared" si="241"/>
        <v>ok</v>
      </c>
    </row>
    <row r="353" spans="1:34" ht="15" customHeight="1" x14ac:dyDescent="0.25">
      <c r="A353" s="118" t="s">
        <v>1070</v>
      </c>
      <c r="C353" s="2" t="s">
        <v>899</v>
      </c>
      <c r="D353" s="9" t="s">
        <v>1073</v>
      </c>
      <c r="E353" s="65">
        <f>'Functional Assignment'!M442</f>
        <v>0</v>
      </c>
      <c r="F353" s="65">
        <f t="shared" si="213"/>
        <v>0</v>
      </c>
      <c r="G353" s="65">
        <f t="shared" si="214"/>
        <v>0</v>
      </c>
      <c r="H353" s="65">
        <f t="shared" si="215"/>
        <v>0</v>
      </c>
      <c r="I353" s="65">
        <f t="shared" si="216"/>
        <v>0</v>
      </c>
      <c r="J353" s="65">
        <f t="shared" si="217"/>
        <v>0</v>
      </c>
      <c r="K353" s="65">
        <f t="shared" si="218"/>
        <v>0</v>
      </c>
      <c r="L353" s="65">
        <f t="shared" si="219"/>
        <v>0</v>
      </c>
      <c r="M353" s="65">
        <f t="shared" si="220"/>
        <v>0</v>
      </c>
      <c r="N353" s="65">
        <f t="shared" si="221"/>
        <v>0</v>
      </c>
      <c r="O353" s="65">
        <f t="shared" si="222"/>
        <v>0</v>
      </c>
      <c r="P353" s="65">
        <f t="shared" si="223"/>
        <v>0</v>
      </c>
      <c r="Q353" s="65">
        <f t="shared" si="224"/>
        <v>0</v>
      </c>
      <c r="R353" s="65">
        <f t="shared" si="225"/>
        <v>0</v>
      </c>
      <c r="S353" s="65">
        <f t="shared" si="226"/>
        <v>0</v>
      </c>
      <c r="T353" s="65">
        <f t="shared" si="227"/>
        <v>0</v>
      </c>
      <c r="U353" s="65">
        <f t="shared" si="228"/>
        <v>0</v>
      </c>
      <c r="V353" s="65">
        <f t="shared" si="229"/>
        <v>0</v>
      </c>
      <c r="W353" s="65">
        <f t="shared" si="230"/>
        <v>0</v>
      </c>
      <c r="X353" s="65">
        <f t="shared" si="231"/>
        <v>0</v>
      </c>
      <c r="Y353" s="65">
        <f t="shared" si="232"/>
        <v>0</v>
      </c>
      <c r="Z353" s="65">
        <f t="shared" si="233"/>
        <v>0</v>
      </c>
      <c r="AA353" s="65">
        <f t="shared" si="234"/>
        <v>0</v>
      </c>
      <c r="AB353" s="65">
        <f t="shared" si="235"/>
        <v>0</v>
      </c>
      <c r="AC353" s="65">
        <f t="shared" si="236"/>
        <v>0</v>
      </c>
      <c r="AD353" s="65">
        <f t="shared" si="237"/>
        <v>0</v>
      </c>
      <c r="AE353" s="65">
        <f t="shared" si="238"/>
        <v>0</v>
      </c>
      <c r="AF353" s="65">
        <f t="shared" si="239"/>
        <v>0</v>
      </c>
      <c r="AG353" s="16">
        <f t="shared" si="240"/>
        <v>0</v>
      </c>
      <c r="AH353" s="14" t="str">
        <f t="shared" si="241"/>
        <v>ok</v>
      </c>
    </row>
    <row r="354" spans="1:34" x14ac:dyDescent="0.25">
      <c r="A354" s="118" t="s">
        <v>1071</v>
      </c>
      <c r="C354" s="2" t="s">
        <v>900</v>
      </c>
      <c r="D354" s="9" t="s">
        <v>1074</v>
      </c>
      <c r="E354" s="65">
        <f>'Functional Assignment'!M442</f>
        <v>0</v>
      </c>
      <c r="F354" s="65">
        <f t="shared" si="213"/>
        <v>0</v>
      </c>
      <c r="G354" s="65">
        <f t="shared" si="214"/>
        <v>0</v>
      </c>
      <c r="H354" s="65">
        <f t="shared" si="215"/>
        <v>0</v>
      </c>
      <c r="I354" s="65">
        <f t="shared" si="216"/>
        <v>0</v>
      </c>
      <c r="J354" s="65">
        <f t="shared" si="217"/>
        <v>0</v>
      </c>
      <c r="K354" s="65">
        <f t="shared" si="218"/>
        <v>0</v>
      </c>
      <c r="L354" s="65">
        <f t="shared" si="219"/>
        <v>0</v>
      </c>
      <c r="M354" s="65">
        <f t="shared" si="220"/>
        <v>0</v>
      </c>
      <c r="N354" s="65">
        <f t="shared" si="221"/>
        <v>0</v>
      </c>
      <c r="O354" s="65">
        <f t="shared" si="222"/>
        <v>0</v>
      </c>
      <c r="P354" s="65">
        <f t="shared" si="223"/>
        <v>0</v>
      </c>
      <c r="Q354" s="65">
        <f t="shared" si="224"/>
        <v>0</v>
      </c>
      <c r="R354" s="65">
        <f t="shared" si="225"/>
        <v>0</v>
      </c>
      <c r="S354" s="65">
        <f t="shared" si="226"/>
        <v>0</v>
      </c>
      <c r="T354" s="65">
        <f t="shared" si="227"/>
        <v>0</v>
      </c>
      <c r="U354" s="65">
        <f t="shared" si="228"/>
        <v>0</v>
      </c>
      <c r="V354" s="65">
        <f t="shared" si="229"/>
        <v>0</v>
      </c>
      <c r="W354" s="65">
        <f t="shared" si="230"/>
        <v>0</v>
      </c>
      <c r="X354" s="65">
        <f t="shared" si="231"/>
        <v>0</v>
      </c>
      <c r="Y354" s="65">
        <f t="shared" si="232"/>
        <v>0</v>
      </c>
      <c r="Z354" s="65">
        <f t="shared" si="233"/>
        <v>0</v>
      </c>
      <c r="AA354" s="65">
        <f t="shared" si="234"/>
        <v>0</v>
      </c>
      <c r="AB354" s="65">
        <f t="shared" si="235"/>
        <v>0</v>
      </c>
      <c r="AC354" s="65">
        <f t="shared" si="236"/>
        <v>0</v>
      </c>
      <c r="AD354" s="65">
        <f t="shared" si="237"/>
        <v>0</v>
      </c>
      <c r="AE354" s="65">
        <f t="shared" si="238"/>
        <v>0</v>
      </c>
      <c r="AF354" s="65">
        <f t="shared" si="239"/>
        <v>0</v>
      </c>
      <c r="AG354" s="16">
        <f>SUM(F354:AF354)</f>
        <v>0</v>
      </c>
      <c r="AH354" s="14" t="str">
        <f t="shared" si="241"/>
        <v>ok</v>
      </c>
    </row>
    <row r="355" spans="1:34" ht="15" customHeight="1" x14ac:dyDescent="0.25">
      <c r="A355" s="118" t="s">
        <v>1063</v>
      </c>
      <c r="C355" s="2" t="s">
        <v>823</v>
      </c>
      <c r="D355" s="2" t="s">
        <v>918</v>
      </c>
      <c r="E355" s="65">
        <f>'Functional Assignment'!M442</f>
        <v>0</v>
      </c>
      <c r="F355" s="65">
        <f t="shared" si="213"/>
        <v>0</v>
      </c>
      <c r="G355" s="65">
        <f t="shared" si="214"/>
        <v>0</v>
      </c>
      <c r="H355" s="65">
        <f t="shared" si="215"/>
        <v>0</v>
      </c>
      <c r="I355" s="65">
        <f t="shared" si="216"/>
        <v>0</v>
      </c>
      <c r="J355" s="65">
        <f t="shared" si="217"/>
        <v>0</v>
      </c>
      <c r="K355" s="65">
        <f t="shared" si="218"/>
        <v>0</v>
      </c>
      <c r="L355" s="65">
        <f t="shared" si="219"/>
        <v>0</v>
      </c>
      <c r="M355" s="65">
        <f t="shared" si="220"/>
        <v>0</v>
      </c>
      <c r="N355" s="65">
        <f t="shared" si="221"/>
        <v>0</v>
      </c>
      <c r="O355" s="65">
        <f t="shared" si="222"/>
        <v>0</v>
      </c>
      <c r="P355" s="65">
        <f t="shared" si="223"/>
        <v>0</v>
      </c>
      <c r="Q355" s="65">
        <f t="shared" si="224"/>
        <v>0</v>
      </c>
      <c r="R355" s="65">
        <f t="shared" si="225"/>
        <v>0</v>
      </c>
      <c r="S355" s="65">
        <f t="shared" si="226"/>
        <v>0</v>
      </c>
      <c r="T355" s="65">
        <f t="shared" si="227"/>
        <v>0</v>
      </c>
      <c r="U355" s="65">
        <f t="shared" si="228"/>
        <v>0</v>
      </c>
      <c r="V355" s="65">
        <f t="shared" si="229"/>
        <v>0</v>
      </c>
      <c r="W355" s="65">
        <f t="shared" si="230"/>
        <v>0</v>
      </c>
      <c r="X355" s="65">
        <f t="shared" si="231"/>
        <v>0</v>
      </c>
      <c r="Y355" s="65">
        <f t="shared" si="232"/>
        <v>0</v>
      </c>
      <c r="Z355" s="65">
        <f t="shared" si="233"/>
        <v>0</v>
      </c>
      <c r="AA355" s="65">
        <f t="shared" si="234"/>
        <v>0</v>
      </c>
      <c r="AB355" s="65">
        <f t="shared" si="235"/>
        <v>0</v>
      </c>
      <c r="AC355" s="65">
        <f t="shared" si="236"/>
        <v>0</v>
      </c>
      <c r="AD355" s="65">
        <f t="shared" si="237"/>
        <v>0</v>
      </c>
      <c r="AE355" s="65">
        <f t="shared" si="238"/>
        <v>0</v>
      </c>
      <c r="AF355" s="65">
        <f t="shared" si="239"/>
        <v>0</v>
      </c>
      <c r="AG355" s="16">
        <f>SUM(F355:AF355)</f>
        <v>0</v>
      </c>
      <c r="AH355" s="14" t="str">
        <f t="shared" si="241"/>
        <v>ok</v>
      </c>
    </row>
    <row r="356" spans="1:34" ht="15" customHeight="1" x14ac:dyDescent="0.25">
      <c r="A356" s="118" t="s">
        <v>1064</v>
      </c>
      <c r="C356" s="2" t="s">
        <v>901</v>
      </c>
      <c r="D356" s="2" t="s">
        <v>928</v>
      </c>
      <c r="E356" s="65">
        <f>'Functional Assignment'!M442</f>
        <v>0</v>
      </c>
      <c r="F356" s="65">
        <f t="shared" si="213"/>
        <v>0</v>
      </c>
      <c r="G356" s="65">
        <f t="shared" si="214"/>
        <v>0</v>
      </c>
      <c r="H356" s="65">
        <f t="shared" si="215"/>
        <v>0</v>
      </c>
      <c r="I356" s="65">
        <f t="shared" si="216"/>
        <v>0</v>
      </c>
      <c r="J356" s="65">
        <f t="shared" si="217"/>
        <v>0</v>
      </c>
      <c r="K356" s="65">
        <f t="shared" si="218"/>
        <v>0</v>
      </c>
      <c r="L356" s="65">
        <f t="shared" si="219"/>
        <v>0</v>
      </c>
      <c r="M356" s="65">
        <f t="shared" si="220"/>
        <v>0</v>
      </c>
      <c r="N356" s="65">
        <f t="shared" si="221"/>
        <v>0</v>
      </c>
      <c r="O356" s="65">
        <f t="shared" si="222"/>
        <v>0</v>
      </c>
      <c r="P356" s="65">
        <f t="shared" si="223"/>
        <v>0</v>
      </c>
      <c r="Q356" s="65">
        <f t="shared" si="224"/>
        <v>0</v>
      </c>
      <c r="R356" s="65">
        <f t="shared" si="225"/>
        <v>0</v>
      </c>
      <c r="S356" s="65">
        <f t="shared" si="226"/>
        <v>0</v>
      </c>
      <c r="T356" s="65">
        <f t="shared" si="227"/>
        <v>0</v>
      </c>
      <c r="U356" s="65">
        <f t="shared" si="228"/>
        <v>0</v>
      </c>
      <c r="V356" s="65">
        <f t="shared" si="229"/>
        <v>0</v>
      </c>
      <c r="W356" s="65">
        <f t="shared" si="230"/>
        <v>0</v>
      </c>
      <c r="X356" s="65">
        <f t="shared" si="231"/>
        <v>0</v>
      </c>
      <c r="Y356" s="65">
        <f t="shared" si="232"/>
        <v>0</v>
      </c>
      <c r="Z356" s="65">
        <f t="shared" si="233"/>
        <v>0</v>
      </c>
      <c r="AA356" s="65">
        <f t="shared" si="234"/>
        <v>0</v>
      </c>
      <c r="AB356" s="65">
        <f t="shared" si="235"/>
        <v>0</v>
      </c>
      <c r="AC356" s="65">
        <f t="shared" si="236"/>
        <v>0</v>
      </c>
      <c r="AD356" s="65">
        <f t="shared" si="237"/>
        <v>0</v>
      </c>
      <c r="AE356" s="65">
        <f t="shared" si="238"/>
        <v>0</v>
      </c>
      <c r="AF356" s="65">
        <f t="shared" si="239"/>
        <v>0</v>
      </c>
      <c r="AG356" s="16">
        <f>SUM(F356:AF356)</f>
        <v>0</v>
      </c>
      <c r="AH356" s="14" t="str">
        <f t="shared" si="241"/>
        <v>ok</v>
      </c>
    </row>
    <row r="357" spans="1:34" ht="15" customHeight="1" x14ac:dyDescent="0.25">
      <c r="A357" s="118" t="s">
        <v>790</v>
      </c>
      <c r="C357" s="2" t="s">
        <v>902</v>
      </c>
      <c r="D357" s="2" t="s">
        <v>928</v>
      </c>
      <c r="E357" s="65">
        <f>'Functional Assignment'!M442</f>
        <v>0</v>
      </c>
      <c r="F357" s="65">
        <f t="shared" si="213"/>
        <v>0</v>
      </c>
      <c r="G357" s="65">
        <f t="shared" si="214"/>
        <v>0</v>
      </c>
      <c r="H357" s="65">
        <f t="shared" si="215"/>
        <v>0</v>
      </c>
      <c r="I357" s="65">
        <f t="shared" si="216"/>
        <v>0</v>
      </c>
      <c r="J357" s="65">
        <f t="shared" si="217"/>
        <v>0</v>
      </c>
      <c r="K357" s="65">
        <f t="shared" si="218"/>
        <v>0</v>
      </c>
      <c r="L357" s="65">
        <f t="shared" si="219"/>
        <v>0</v>
      </c>
      <c r="M357" s="65">
        <f t="shared" si="220"/>
        <v>0</v>
      </c>
      <c r="N357" s="65">
        <f t="shared" si="221"/>
        <v>0</v>
      </c>
      <c r="O357" s="65">
        <f t="shared" si="222"/>
        <v>0</v>
      </c>
      <c r="P357" s="65">
        <f t="shared" si="223"/>
        <v>0</v>
      </c>
      <c r="Q357" s="65">
        <f t="shared" si="224"/>
        <v>0</v>
      </c>
      <c r="R357" s="65">
        <f t="shared" si="225"/>
        <v>0</v>
      </c>
      <c r="S357" s="65">
        <f t="shared" si="226"/>
        <v>0</v>
      </c>
      <c r="T357" s="65">
        <f t="shared" si="227"/>
        <v>0</v>
      </c>
      <c r="U357" s="65">
        <f t="shared" si="228"/>
        <v>0</v>
      </c>
      <c r="V357" s="65">
        <f t="shared" si="229"/>
        <v>0</v>
      </c>
      <c r="W357" s="65">
        <f t="shared" si="230"/>
        <v>0</v>
      </c>
      <c r="X357" s="65">
        <f t="shared" si="231"/>
        <v>0</v>
      </c>
      <c r="Y357" s="65">
        <f t="shared" si="232"/>
        <v>0</v>
      </c>
      <c r="Z357" s="65">
        <f t="shared" si="233"/>
        <v>0</v>
      </c>
      <c r="AA357" s="65">
        <f t="shared" si="234"/>
        <v>0</v>
      </c>
      <c r="AB357" s="65">
        <f t="shared" si="235"/>
        <v>0</v>
      </c>
      <c r="AC357" s="65">
        <f t="shared" si="236"/>
        <v>0</v>
      </c>
      <c r="AD357" s="65">
        <f t="shared" si="237"/>
        <v>0</v>
      </c>
      <c r="AE357" s="65">
        <f t="shared" si="238"/>
        <v>0</v>
      </c>
      <c r="AF357" s="65">
        <f t="shared" si="239"/>
        <v>0</v>
      </c>
      <c r="AG357" s="16">
        <f>SUM(F357:AF357)</f>
        <v>0</v>
      </c>
      <c r="AH357" s="14" t="str">
        <f t="shared" si="241"/>
        <v>ok</v>
      </c>
    </row>
    <row r="358" spans="1:34" x14ac:dyDescent="0.25">
      <c r="A358" s="12"/>
      <c r="E358" s="31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16"/>
      <c r="AH358" s="14"/>
    </row>
    <row r="359" spans="1:34" x14ac:dyDescent="0.25">
      <c r="A359" s="2" t="s">
        <v>218</v>
      </c>
      <c r="C359" s="2" t="s">
        <v>824</v>
      </c>
      <c r="E359" s="31">
        <f>SUM(E351:E358)</f>
        <v>0</v>
      </c>
      <c r="F359" s="31">
        <f t="shared" ref="F359:AF359" si="242">SUM(F351:F358)</f>
        <v>0</v>
      </c>
      <c r="G359" s="31">
        <f t="shared" si="242"/>
        <v>0</v>
      </c>
      <c r="H359" s="31">
        <f t="shared" si="242"/>
        <v>0</v>
      </c>
      <c r="I359" s="31">
        <f t="shared" si="242"/>
        <v>0</v>
      </c>
      <c r="J359" s="31">
        <f t="shared" si="242"/>
        <v>0</v>
      </c>
      <c r="K359" s="31">
        <f t="shared" si="242"/>
        <v>0</v>
      </c>
      <c r="L359" s="31">
        <f t="shared" si="242"/>
        <v>0</v>
      </c>
      <c r="M359" s="65">
        <f>SUM(M351:M358)</f>
        <v>0</v>
      </c>
      <c r="N359" s="65">
        <f>SUM(N351:N358)</f>
        <v>0</v>
      </c>
      <c r="O359" s="31">
        <f t="shared" si="242"/>
        <v>0</v>
      </c>
      <c r="P359" s="31">
        <f t="shared" si="242"/>
        <v>0</v>
      </c>
      <c r="Q359" s="31">
        <f t="shared" si="242"/>
        <v>0</v>
      </c>
      <c r="R359" s="31">
        <f t="shared" si="242"/>
        <v>0</v>
      </c>
      <c r="S359" s="31">
        <f t="shared" si="242"/>
        <v>0</v>
      </c>
      <c r="T359" s="31">
        <f t="shared" si="242"/>
        <v>0</v>
      </c>
      <c r="U359" s="31">
        <f t="shared" si="242"/>
        <v>0</v>
      </c>
      <c r="V359" s="31">
        <f t="shared" si="242"/>
        <v>0</v>
      </c>
      <c r="W359" s="31">
        <f t="shared" si="242"/>
        <v>0</v>
      </c>
      <c r="X359" s="31">
        <f t="shared" si="242"/>
        <v>0</v>
      </c>
      <c r="Y359" s="31">
        <f t="shared" si="242"/>
        <v>0</v>
      </c>
      <c r="Z359" s="31">
        <f t="shared" si="242"/>
        <v>0</v>
      </c>
      <c r="AA359" s="31">
        <f t="shared" si="242"/>
        <v>0</v>
      </c>
      <c r="AB359" s="31">
        <f t="shared" si="242"/>
        <v>0</v>
      </c>
      <c r="AC359" s="31">
        <f t="shared" si="242"/>
        <v>0</v>
      </c>
      <c r="AD359" s="31">
        <f t="shared" si="242"/>
        <v>0</v>
      </c>
      <c r="AE359" s="31">
        <f t="shared" si="242"/>
        <v>0</v>
      </c>
      <c r="AF359" s="31">
        <f t="shared" si="242"/>
        <v>0</v>
      </c>
      <c r="AG359" s="16">
        <f t="shared" si="240"/>
        <v>0</v>
      </c>
      <c r="AH359" s="14" t="str">
        <f>IF(ABS(E359-AG359)&lt;0.01,"ok","err")</f>
        <v>ok</v>
      </c>
    </row>
    <row r="360" spans="1:34" x14ac:dyDescent="0.25">
      <c r="E360" s="31"/>
      <c r="F360" s="31"/>
    </row>
    <row r="361" spans="1:34" x14ac:dyDescent="0.25">
      <c r="A361" s="7" t="s">
        <v>772</v>
      </c>
      <c r="E361" s="31"/>
      <c r="F361" s="31"/>
    </row>
    <row r="362" spans="1:34" x14ac:dyDescent="0.25">
      <c r="A362" s="12" t="s">
        <v>214</v>
      </c>
      <c r="C362" s="2" t="s">
        <v>825</v>
      </c>
      <c r="D362" s="2" t="s">
        <v>215</v>
      </c>
      <c r="E362" s="65">
        <f>'Functional Assignment'!P442</f>
        <v>0</v>
      </c>
      <c r="F362" s="65">
        <f>IF(VLOOKUP($D362,$C$5:$AU$836,3,)=0,0,(VLOOKUP($D362,$C$5:$AU$836,4,)/VLOOKUP($D362,$C$5:$AU$836,3,))*$E362)</f>
        <v>0</v>
      </c>
      <c r="G362" s="65">
        <f>IF(VLOOKUP($D362,$C$5:$AU$836,3,)=0,0,(VLOOKUP($D362,$C$5:$AU$836,5,)/VLOOKUP($D362,$C$5:$AU$836,3,))*$E362)</f>
        <v>0</v>
      </c>
      <c r="H362" s="65">
        <f>IF(VLOOKUP($D362,$C$5:$AU$836,3,)=0,0,(VLOOKUP($D362,$C$5:$AU$836,6,)/VLOOKUP($D362,$C$5:$AU$836,3,))*$E362)</f>
        <v>0</v>
      </c>
      <c r="I362" s="65">
        <f>IF(VLOOKUP($D362,$C$5:$AU$836,3,)=0,0,(VLOOKUP($D362,$C$5:$AU$836,7,)/VLOOKUP($D362,$C$5:$AU$836,3,))*$E362)</f>
        <v>0</v>
      </c>
      <c r="J362" s="65">
        <f>IF(VLOOKUP($D362,$C$5:$AU$836,3,)=0,0,(VLOOKUP($D362,$C$5:$AU$836,8,)/VLOOKUP($D362,$C$5:$AU$836,3,))*$E362)</f>
        <v>0</v>
      </c>
      <c r="K362" s="65">
        <f>IF(VLOOKUP($D362,$C$5:$AU$836,3,)=0,0,(VLOOKUP($D362,$C$5:$AU$836,9,)/VLOOKUP($D362,$C$5:$AU$836,3,))*$E362)</f>
        <v>0</v>
      </c>
      <c r="L362" s="65">
        <f>IF(VLOOKUP($D362,$C$5:$AU$836,3,)=0,0,(VLOOKUP($D362,$C$5:$AU$836,10,)/VLOOKUP($D362,$C$5:$AU$836,3,))*$E362)</f>
        <v>0</v>
      </c>
      <c r="M362" s="65">
        <f>IF(VLOOKUP($D362,$C$5:$AU$836,3,)=0,0,(VLOOKUP($D362,$C$5:$AU$836,11,)/VLOOKUP($D362,$C$5:$AU$836,3,))*$E362)</f>
        <v>0</v>
      </c>
      <c r="N362" s="65">
        <f>IF(VLOOKUP($D362,$C$5:$AU$836,3,)=0,0,(VLOOKUP($D362,$C$5:$AU$836,12,)/VLOOKUP($D362,$C$5:$AU$836,3,))*$E362)</f>
        <v>0</v>
      </c>
      <c r="O362" s="65">
        <f>IF(VLOOKUP($D362,$C$5:$AU$836,3,)=0,0,(VLOOKUP($D362,$C$5:$AU$836,13,)/VLOOKUP($D362,$C$5:$AU$836,3,))*$E362)</f>
        <v>0</v>
      </c>
      <c r="P362" s="65">
        <f>IF(VLOOKUP($D362,$C$5:$AU$836,3,)=0,0,(VLOOKUP($D362,$C$5:$AU$836,14,)/VLOOKUP($D362,$C$5:$AU$836,3,))*$E362)</f>
        <v>0</v>
      </c>
      <c r="Q362" s="65">
        <f>IF(VLOOKUP($D362,$C$5:$AU$836,3,)=0,0,(VLOOKUP($D362,$C$5:$AU$836,15,)/VLOOKUP($D362,$C$5:$AU$836,3,))*$E362)</f>
        <v>0</v>
      </c>
      <c r="R362" s="65">
        <f>IF(VLOOKUP($D362,$C$5:$AU$836,3,)=0,0,(VLOOKUP($D362,$C$5:$AU$836,16,)/VLOOKUP($D362,$C$5:$AU$836,3,))*$E362)</f>
        <v>0</v>
      </c>
      <c r="S362" s="65">
        <f>IF(VLOOKUP($D362,$C$5:$AU$836,3,)=0,0,(VLOOKUP($D362,$C$5:$AU$836,17,)/VLOOKUP($D362,$C$5:$AU$836,3,))*$E362)</f>
        <v>0</v>
      </c>
      <c r="T362" s="65">
        <f>IF(VLOOKUP($D362,$C$5:$AU$836,3,)=0,0,(VLOOKUP($D362,$C$5:$AU$836,18,)/VLOOKUP($D362,$C$5:$AU$836,3,))*$E362)</f>
        <v>0</v>
      </c>
      <c r="U362" s="65">
        <f>IF(VLOOKUP($D362,$C$5:$AU$836,3,)=0,0,(VLOOKUP($D362,$C$5:$AU$836,19,)/VLOOKUP($D362,$C$5:$AU$836,3,))*$E362)</f>
        <v>0</v>
      </c>
      <c r="V362" s="65">
        <f>IF(VLOOKUP($D362,$C$5:$AU$836,3,)=0,0,(VLOOKUP($D362,$C$5:$AU$836,20,)/VLOOKUP($D362,$C$5:$AU$836,3,))*$E362)</f>
        <v>0</v>
      </c>
      <c r="W362" s="65">
        <f>IF(VLOOKUP($D362,$C$5:$AU$836,3,)=0,0,(VLOOKUP($D362,$C$5:$AU$836,21,)/VLOOKUP($D362,$C$5:$AU$836,3,))*$E362)</f>
        <v>0</v>
      </c>
      <c r="X362" s="65">
        <f>IF(VLOOKUP($D362,$C$5:$AU$836,3,)=0,0,(VLOOKUP($D362,$C$5:$AU$836,22,)/VLOOKUP($D362,$C$5:$AU$836,3,))*$E362)</f>
        <v>0</v>
      </c>
      <c r="Y362" s="65">
        <f>IF(VLOOKUP($D362,$C$5:$AU$836,3,)=0,0,(VLOOKUP($D362,$C$5:$AU$836,23,)/VLOOKUP($D362,$C$5:$AU$836,3,))*$E362)</f>
        <v>0</v>
      </c>
      <c r="Z362" s="65">
        <f>IF(VLOOKUP($D362,$C$5:$AU$836,3,)=0,0,(VLOOKUP($D362,$C$5:$AU$836,24,)/VLOOKUP($D362,$C$5:$AU$836,3,))*$E362)</f>
        <v>0</v>
      </c>
      <c r="AA362" s="65">
        <f>IF(VLOOKUP($D362,$C$5:$AU$836,3,)=0,0,(VLOOKUP($D362,$C$5:$AU$836,25,)/VLOOKUP($D362,$C$5:$AU$836,3,))*$E362)</f>
        <v>0</v>
      </c>
      <c r="AB362" s="65">
        <f>IF(VLOOKUP($D362,$C$5:$AU$836,3,)=0,0,(VLOOKUP($D362,$C$5:$AU$836,26,)/VLOOKUP($D362,$C$5:$AU$836,3,))*$E362)</f>
        <v>0</v>
      </c>
      <c r="AC362" s="65">
        <f>IF(VLOOKUP($D362,$C$5:$AU$836,3,)=0,0,(VLOOKUP($D362,$C$5:$AU$836,27,)/VLOOKUP($D362,$C$5:$AU$836,3,))*$E362)</f>
        <v>0</v>
      </c>
      <c r="AD362" s="65">
        <f>IF(VLOOKUP($D362,$C$5:$AU$836,3,)=0,0,(VLOOKUP($D362,$C$5:$AU$836,28,)/VLOOKUP($D362,$C$5:$AU$836,3,))*$E362)</f>
        <v>0</v>
      </c>
      <c r="AE362" s="65">
        <f>IF(VLOOKUP($D362,$C$5:$AU$836,3,)=0,0,(VLOOKUP($D362,$C$5:$AU$836,29,)/VLOOKUP($D362,$C$5:$AU$836,3,))*$E362)</f>
        <v>0</v>
      </c>
      <c r="AF362" s="65">
        <f>IF(VLOOKUP($D362,$C$5:$AU$836,3,)=0,0,(VLOOKUP($D362,$C$5:$AU$836,30,)/VLOOKUP($D362,$C$5:$AU$836,3,))*$E362)</f>
        <v>0</v>
      </c>
      <c r="AG362" s="16">
        <f>SUM(F362:AF362)</f>
        <v>0</v>
      </c>
      <c r="AH362" s="14" t="str">
        <f>IF(ABS(E362-AG362)&lt;0.01,"ok","err")</f>
        <v>ok</v>
      </c>
    </row>
    <row r="363" spans="1:34" x14ac:dyDescent="0.25">
      <c r="E363" s="31"/>
      <c r="F363" s="31"/>
    </row>
    <row r="364" spans="1:34" x14ac:dyDescent="0.25">
      <c r="A364" s="7" t="s">
        <v>334</v>
      </c>
      <c r="E364" s="31"/>
      <c r="F364" s="31"/>
    </row>
    <row r="365" spans="1:34" x14ac:dyDescent="0.25">
      <c r="A365" s="12" t="s">
        <v>214</v>
      </c>
      <c r="C365" s="2" t="s">
        <v>460</v>
      </c>
      <c r="D365" s="2" t="s">
        <v>551</v>
      </c>
      <c r="E365" s="65">
        <f>'Functional Assignment'!R442</f>
        <v>0</v>
      </c>
      <c r="F365" s="65">
        <f>IF(VLOOKUP($D365,$C$5:$AU$836,3,)=0,0,(VLOOKUP($D365,$C$5:$AU$836,4,)/VLOOKUP($D365,$C$5:$AU$836,3,))*$E365)</f>
        <v>0</v>
      </c>
      <c r="G365" s="65">
        <f>IF(VLOOKUP($D365,$C$5:$AU$836,3,)=0,0,(VLOOKUP($D365,$C$5:$AU$836,5,)/VLOOKUP($D365,$C$5:$AU$836,3,))*$E365)</f>
        <v>0</v>
      </c>
      <c r="H365" s="65">
        <f>IF(VLOOKUP($D365,$C$5:$AU$836,3,)=0,0,(VLOOKUP($D365,$C$5:$AU$836,6,)/VLOOKUP($D365,$C$5:$AU$836,3,))*$E365)</f>
        <v>0</v>
      </c>
      <c r="I365" s="65">
        <f>IF(VLOOKUP($D365,$C$5:$AU$836,3,)=0,0,(VLOOKUP($D365,$C$5:$AU$836,7,)/VLOOKUP($D365,$C$5:$AU$836,3,))*$E365)</f>
        <v>0</v>
      </c>
      <c r="J365" s="65">
        <f>IF(VLOOKUP($D365,$C$5:$AU$836,3,)=0,0,(VLOOKUP($D365,$C$5:$AU$836,8,)/VLOOKUP($D365,$C$5:$AU$836,3,))*$E365)</f>
        <v>0</v>
      </c>
      <c r="K365" s="65">
        <f>IF(VLOOKUP($D365,$C$5:$AU$836,3,)=0,0,(VLOOKUP($D365,$C$5:$AU$836,9,)/VLOOKUP($D365,$C$5:$AU$836,3,))*$E365)</f>
        <v>0</v>
      </c>
      <c r="L365" s="65">
        <f>IF(VLOOKUP($D365,$C$5:$AU$836,3,)=0,0,(VLOOKUP($D365,$C$5:$AU$836,10,)/VLOOKUP($D365,$C$5:$AU$836,3,))*$E365)</f>
        <v>0</v>
      </c>
      <c r="M365" s="65">
        <f>IF(VLOOKUP($D365,$C$5:$AU$836,3,)=0,0,(VLOOKUP($D365,$C$5:$AU$836,11,)/VLOOKUP($D365,$C$5:$AU$836,3,))*$E365)</f>
        <v>0</v>
      </c>
      <c r="N365" s="65">
        <f>IF(VLOOKUP($D365,$C$5:$AU$836,3,)=0,0,(VLOOKUP($D365,$C$5:$AU$836,12,)/VLOOKUP($D365,$C$5:$AU$836,3,))*$E365)</f>
        <v>0</v>
      </c>
      <c r="O365" s="65">
        <f>IF(VLOOKUP($D365,$C$5:$AU$836,3,)=0,0,(VLOOKUP($D365,$C$5:$AU$836,13,)/VLOOKUP($D365,$C$5:$AU$836,3,))*$E365)</f>
        <v>0</v>
      </c>
      <c r="P365" s="65">
        <f>IF(VLOOKUP($D365,$C$5:$AU$836,3,)=0,0,(VLOOKUP($D365,$C$5:$AU$836,14,)/VLOOKUP($D365,$C$5:$AU$836,3,))*$E365)</f>
        <v>0</v>
      </c>
      <c r="Q365" s="65">
        <f>IF(VLOOKUP($D365,$C$5:$AU$836,3,)=0,0,(VLOOKUP($D365,$C$5:$AU$836,15,)/VLOOKUP($D365,$C$5:$AU$836,3,))*$E365)</f>
        <v>0</v>
      </c>
      <c r="R365" s="65">
        <f>IF(VLOOKUP($D365,$C$5:$AU$836,3,)=0,0,(VLOOKUP($D365,$C$5:$AU$836,16,)/VLOOKUP($D365,$C$5:$AU$836,3,))*$E365)</f>
        <v>0</v>
      </c>
      <c r="S365" s="65">
        <f>IF(VLOOKUP($D365,$C$5:$AU$836,3,)=0,0,(VLOOKUP($D365,$C$5:$AU$836,17,)/VLOOKUP($D365,$C$5:$AU$836,3,))*$E365)</f>
        <v>0</v>
      </c>
      <c r="T365" s="65">
        <f>IF(VLOOKUP($D365,$C$5:$AU$836,3,)=0,0,(VLOOKUP($D365,$C$5:$AU$836,18,)/VLOOKUP($D365,$C$5:$AU$836,3,))*$E365)</f>
        <v>0</v>
      </c>
      <c r="U365" s="65">
        <f>IF(VLOOKUP($D365,$C$5:$AU$836,3,)=0,0,(VLOOKUP($D365,$C$5:$AU$836,19,)/VLOOKUP($D365,$C$5:$AU$836,3,))*$E365)</f>
        <v>0</v>
      </c>
      <c r="V365" s="65">
        <f>IF(VLOOKUP($D365,$C$5:$AU$836,3,)=0,0,(VLOOKUP($D365,$C$5:$AU$836,20,)/VLOOKUP($D365,$C$5:$AU$836,3,))*$E365)</f>
        <v>0</v>
      </c>
      <c r="W365" s="65">
        <f>IF(VLOOKUP($D365,$C$5:$AU$836,3,)=0,0,(VLOOKUP($D365,$C$5:$AU$836,21,)/VLOOKUP($D365,$C$5:$AU$836,3,))*$E365)</f>
        <v>0</v>
      </c>
      <c r="X365" s="65">
        <f>IF(VLOOKUP($D365,$C$5:$AU$836,3,)=0,0,(VLOOKUP($D365,$C$5:$AU$836,22,)/VLOOKUP($D365,$C$5:$AU$836,3,))*$E365)</f>
        <v>0</v>
      </c>
      <c r="Y365" s="65">
        <f>IF(VLOOKUP($D365,$C$5:$AU$836,3,)=0,0,(VLOOKUP($D365,$C$5:$AU$836,23,)/VLOOKUP($D365,$C$5:$AU$836,3,))*$E365)</f>
        <v>0</v>
      </c>
      <c r="Z365" s="65">
        <f>IF(VLOOKUP($D365,$C$5:$AU$836,3,)=0,0,(VLOOKUP($D365,$C$5:$AU$836,24,)/VLOOKUP($D365,$C$5:$AU$836,3,))*$E365)</f>
        <v>0</v>
      </c>
      <c r="AA365" s="65">
        <f>IF(VLOOKUP($D365,$C$5:$AU$836,3,)=0,0,(VLOOKUP($D365,$C$5:$AU$836,25,)/VLOOKUP($D365,$C$5:$AU$836,3,))*$E365)</f>
        <v>0</v>
      </c>
      <c r="AB365" s="65">
        <f>IF(VLOOKUP($D365,$C$5:$AU$836,3,)=0,0,(VLOOKUP($D365,$C$5:$AU$836,26,)/VLOOKUP($D365,$C$5:$AU$836,3,))*$E365)</f>
        <v>0</v>
      </c>
      <c r="AC365" s="65">
        <f>IF(VLOOKUP($D365,$C$5:$AU$836,3,)=0,0,(VLOOKUP($D365,$C$5:$AU$836,27,)/VLOOKUP($D365,$C$5:$AU$836,3,))*$E365)</f>
        <v>0</v>
      </c>
      <c r="AD365" s="65">
        <f>IF(VLOOKUP($D365,$C$5:$AU$836,3,)=0,0,(VLOOKUP($D365,$C$5:$AU$836,28,)/VLOOKUP($D365,$C$5:$AU$836,3,))*$E365)</f>
        <v>0</v>
      </c>
      <c r="AE365" s="65">
        <f>IF(VLOOKUP($D365,$C$5:$AU$836,3,)=0,0,(VLOOKUP($D365,$C$5:$AU$836,29,)/VLOOKUP($D365,$C$5:$AU$836,3,))*$E365)</f>
        <v>0</v>
      </c>
      <c r="AF365" s="65">
        <f>IF(VLOOKUP($D365,$C$5:$AU$836,3,)=0,0,(VLOOKUP($D365,$C$5:$AU$836,30,)/VLOOKUP($D365,$C$5:$AU$836,3,))*$E365)</f>
        <v>0</v>
      </c>
      <c r="AG365" s="16">
        <f>SUM(F365:AF365)</f>
        <v>0</v>
      </c>
      <c r="AH365" s="14" t="str">
        <f>IF(ABS(E365-AG365)&lt;0.01,"ok","err")</f>
        <v>ok</v>
      </c>
    </row>
    <row r="366" spans="1:34" x14ac:dyDescent="0.25">
      <c r="E366" s="31"/>
      <c r="F366" s="31"/>
    </row>
    <row r="367" spans="1:34" x14ac:dyDescent="0.25">
      <c r="A367" s="8" t="s">
        <v>3</v>
      </c>
      <c r="E367" s="31"/>
      <c r="F367" s="31"/>
    </row>
    <row r="368" spans="1:34" x14ac:dyDescent="0.25">
      <c r="A368" s="12" t="s">
        <v>214</v>
      </c>
      <c r="C368" s="2" t="s">
        <v>284</v>
      </c>
      <c r="D368" s="2" t="s">
        <v>620</v>
      </c>
      <c r="E368" s="65">
        <f>'Functional Assignment'!T442</f>
        <v>617.54546718996096</v>
      </c>
      <c r="F368" s="65">
        <f>IF(VLOOKUP($D368,$C$5:$AU$836,3,)=0,0,(VLOOKUP($D368,$C$5:$AU$836,4,)/VLOOKUP($D368,$C$5:$AU$836,3,))*$E368)</f>
        <v>438.92375691795695</v>
      </c>
      <c r="G368" s="65">
        <f>IF(VLOOKUP($D368,$C$5:$AU$836,3,)=0,0,(VLOOKUP($D368,$C$5:$AU$836,5,)/VLOOKUP($D368,$C$5:$AU$836,3,))*$E368)</f>
        <v>28.725738526817455</v>
      </c>
      <c r="H368" s="65">
        <f>IF(VLOOKUP($D368,$C$5:$AU$836,3,)=0,0,(VLOOKUP($D368,$C$5:$AU$836,6,)/VLOOKUP($D368,$C$5:$AU$836,3,))*$E368)</f>
        <v>72.936708094095863</v>
      </c>
      <c r="I368" s="65">
        <f>IF(VLOOKUP($D368,$C$5:$AU$836,3,)=0,0,(VLOOKUP($D368,$C$5:$AU$836,7,)/VLOOKUP($D368,$C$5:$AU$836,3,))*$E368)</f>
        <v>7.4979742676616885</v>
      </c>
      <c r="J368" s="65">
        <f>IF(VLOOKUP($D368,$C$5:$AU$836,3,)=0,0,(VLOOKUP($D368,$C$5:$AU$836,8,)/VLOOKUP($D368,$C$5:$AU$836,3,))*$E368)</f>
        <v>7.3541775008846146</v>
      </c>
      <c r="K368" s="65">
        <f>IF(VLOOKUP($D368,$C$5:$AU$836,3,)=0,0,(VLOOKUP($D368,$C$5:$AU$836,9,)/VLOOKUP($D368,$C$5:$AU$836,3,))*$E368)</f>
        <v>4.0552929219707865</v>
      </c>
      <c r="L368" s="65">
        <f>IF(VLOOKUP($D368,$C$5:$AU$836,3,)=0,0,(VLOOKUP($D368,$C$5:$AU$836,10,)/VLOOKUP($D368,$C$5:$AU$836,3,))*$E368)</f>
        <v>28.54840349855273</v>
      </c>
      <c r="M368" s="65">
        <f>IF(VLOOKUP($D368,$C$5:$AU$836,3,)=0,0,(VLOOKUP($D368,$C$5:$AU$836,11,)/VLOOKUP($D368,$C$5:$AU$836,3,))*$E368)</f>
        <v>21.44648474389513</v>
      </c>
      <c r="N368" s="65">
        <f>IF(VLOOKUP($D368,$C$5:$AU$836,3,)=0,0,(VLOOKUP($D368,$C$5:$AU$836,12,)/VLOOKUP($D368,$C$5:$AU$836,3,))*$E368)</f>
        <v>8.0569307181254963</v>
      </c>
      <c r="O368" s="65">
        <f>IF(VLOOKUP($D368,$C$5:$AU$836,3,)=0,0,(VLOOKUP($D368,$C$5:$AU$836,13,)/VLOOKUP($D368,$C$5:$AU$836,3,))*$E368)</f>
        <v>0</v>
      </c>
      <c r="P368" s="65">
        <f>IF(VLOOKUP($D368,$C$5:$AU$836,3,)=0,0,(VLOOKUP($D368,$C$5:$AU$836,14,)/VLOOKUP($D368,$C$5:$AU$836,3,))*$E368)</f>
        <v>0</v>
      </c>
      <c r="Q368" s="65">
        <f>IF(VLOOKUP($D368,$C$5:$AU$836,3,)=0,0,(VLOOKUP($D368,$C$5:$AU$836,15,)/VLOOKUP($D368,$C$5:$AU$836,3,))*$E368)</f>
        <v>0</v>
      </c>
      <c r="R368" s="65">
        <f>IF(VLOOKUP($D368,$C$5:$AU$836,3,)=0,0,(VLOOKUP($D368,$C$5:$AU$836,16,)/VLOOKUP($D368,$C$5:$AU$836,3,))*$E368)</f>
        <v>0</v>
      </c>
      <c r="S368" s="65">
        <f>IF(VLOOKUP($D368,$C$5:$AU$836,3,)=0,0,(VLOOKUP($D368,$C$5:$AU$836,17,)/VLOOKUP($D368,$C$5:$AU$836,3,))*$E368)</f>
        <v>0</v>
      </c>
      <c r="T368" s="65">
        <f>IF(VLOOKUP($D368,$C$5:$AU$836,3,)=0,0,(VLOOKUP($D368,$C$5:$AU$836,18,)/VLOOKUP($D368,$C$5:$AU$836,3,))*$E368)</f>
        <v>0</v>
      </c>
      <c r="U368" s="65">
        <f>IF(VLOOKUP($D368,$C$5:$AU$836,3,)=0,0,(VLOOKUP($D368,$C$5:$AU$836,19,)/VLOOKUP($D368,$C$5:$AU$836,3,))*$E368)</f>
        <v>0</v>
      </c>
      <c r="V368" s="65">
        <f>IF(VLOOKUP($D368,$C$5:$AU$836,3,)=0,0,(VLOOKUP($D368,$C$5:$AU$836,20,)/VLOOKUP($D368,$C$5:$AU$836,3,))*$E368)</f>
        <v>0</v>
      </c>
      <c r="W368" s="65">
        <f>IF(VLOOKUP($D368,$C$5:$AU$836,3,)=0,0,(VLOOKUP($D368,$C$5:$AU$836,21,)/VLOOKUP($D368,$C$5:$AU$836,3,))*$E368)</f>
        <v>0</v>
      </c>
      <c r="X368" s="65">
        <f>IF(VLOOKUP($D368,$C$5:$AU$836,3,)=0,0,(VLOOKUP($D368,$C$5:$AU$836,22,)/VLOOKUP($D368,$C$5:$AU$836,3,))*$E368)</f>
        <v>0</v>
      </c>
      <c r="Y368" s="65">
        <f>IF(VLOOKUP($D368,$C$5:$AU$836,3,)=0,0,(VLOOKUP($D368,$C$5:$AU$836,23,)/VLOOKUP($D368,$C$5:$AU$836,3,))*$E368)</f>
        <v>0</v>
      </c>
      <c r="Z368" s="65">
        <f>IF(VLOOKUP($D368,$C$5:$AU$836,3,)=0,0,(VLOOKUP($D368,$C$5:$AU$836,24,)/VLOOKUP($D368,$C$5:$AU$836,3,))*$E368)</f>
        <v>0</v>
      </c>
      <c r="AA368" s="65">
        <f>IF(VLOOKUP($D368,$C$5:$AU$836,3,)=0,0,(VLOOKUP($D368,$C$5:$AU$836,25,)/VLOOKUP($D368,$C$5:$AU$836,3,))*$E368)</f>
        <v>0</v>
      </c>
      <c r="AB368" s="65">
        <f>IF(VLOOKUP($D368,$C$5:$AU$836,3,)=0,0,(VLOOKUP($D368,$C$5:$AU$836,26,)/VLOOKUP($D368,$C$5:$AU$836,3,))*$E368)</f>
        <v>0</v>
      </c>
      <c r="AC368" s="65">
        <f>IF(VLOOKUP($D368,$C$5:$AU$836,3,)=0,0,(VLOOKUP($D368,$C$5:$AU$836,27,)/VLOOKUP($D368,$C$5:$AU$836,3,))*$E368)</f>
        <v>0</v>
      </c>
      <c r="AD368" s="65">
        <f>IF(VLOOKUP($D368,$C$5:$AU$836,3,)=0,0,(VLOOKUP($D368,$C$5:$AU$836,28,)/VLOOKUP($D368,$C$5:$AU$836,3,))*$E368)</f>
        <v>0</v>
      </c>
      <c r="AE368" s="65">
        <f>IF(VLOOKUP($D368,$C$5:$AU$836,3,)=0,0,(VLOOKUP($D368,$C$5:$AU$836,29,)/VLOOKUP($D368,$C$5:$AU$836,3,))*$E368)</f>
        <v>0</v>
      </c>
      <c r="AF368" s="65">
        <f>IF(VLOOKUP($D368,$C$5:$AU$836,3,)=0,0,(VLOOKUP($D368,$C$5:$AU$836,30,)/VLOOKUP($D368,$C$5:$AU$836,3,))*$E368)</f>
        <v>0</v>
      </c>
      <c r="AG368" s="16">
        <f>SUM(F368:AF368)</f>
        <v>617.54546718996062</v>
      </c>
      <c r="AH368" s="14" t="str">
        <f>IF(ABS(E368-AG368)&lt;0.01,"ok","err")</f>
        <v>ok</v>
      </c>
    </row>
    <row r="369" spans="1:34" x14ac:dyDescent="0.25">
      <c r="E369" s="31"/>
    </row>
    <row r="370" spans="1:34" x14ac:dyDescent="0.25">
      <c r="A370" s="8" t="s">
        <v>4</v>
      </c>
      <c r="E370" s="31"/>
    </row>
    <row r="371" spans="1:34" x14ac:dyDescent="0.25">
      <c r="A371" s="12" t="s">
        <v>214</v>
      </c>
      <c r="C371" s="2" t="s">
        <v>826</v>
      </c>
      <c r="D371" s="9" t="s">
        <v>750</v>
      </c>
      <c r="E371" s="65">
        <f>'Functional Assignment'!V442</f>
        <v>59810.272475600897</v>
      </c>
      <c r="F371" s="65">
        <f>IF(VLOOKUP($D371,$C$5:$AU$836,3,)=0,0,(VLOOKUP($D371,$C$5:$AU$836,4,)/VLOOKUP($D371,$C$5:$AU$836,3,))*$E371)</f>
        <v>38483.604942936458</v>
      </c>
      <c r="G371" s="65">
        <f>IF(VLOOKUP($D371,$C$5:$AU$836,3,)=0,0,(VLOOKUP($D371,$C$5:$AU$836,5,)/VLOOKUP($D371,$C$5:$AU$836,3,))*$E371)</f>
        <v>3324.5417719417965</v>
      </c>
      <c r="H371" s="65">
        <f>IF(VLOOKUP($D371,$C$5:$AU$836,3,)=0,0,(VLOOKUP($D371,$C$5:$AU$836,6,)/VLOOKUP($D371,$C$5:$AU$836,3,))*$E371)</f>
        <v>11510.795095060237</v>
      </c>
      <c r="I371" s="65">
        <f>IF(VLOOKUP($D371,$C$5:$AU$836,3,)=0,0,(VLOOKUP($D371,$C$5:$AU$836,7,)/VLOOKUP($D371,$C$5:$AU$836,3,))*$E371)</f>
        <v>1130.7303582244724</v>
      </c>
      <c r="J371" s="65">
        <f>IF(VLOOKUP($D371,$C$5:$AU$836,3,)=0,0,(VLOOKUP($D371,$C$5:$AU$836,8,)/VLOOKUP($D371,$C$5:$AU$836,3,))*$E371)</f>
        <v>1160.6286123603857</v>
      </c>
      <c r="K371" s="65">
        <f>IF(VLOOKUP($D371,$C$5:$AU$836,3,)=0,0,(VLOOKUP($D371,$C$5:$AU$836,9,)/VLOOKUP($D371,$C$5:$AU$836,3,))*$E371)</f>
        <v>5.4240167065554736</v>
      </c>
      <c r="L371" s="65">
        <f>IF(VLOOKUP($D371,$C$5:$AU$836,3,)=0,0,(VLOOKUP($D371,$C$5:$AU$836,10,)/VLOOKUP($D371,$C$5:$AU$836,3,))*$E371)</f>
        <v>103.47674897859581</v>
      </c>
      <c r="M371" s="65">
        <f>IF(VLOOKUP($D371,$C$5:$AU$836,3,)=0,0,(VLOOKUP($D371,$C$5:$AU$836,11,)/VLOOKUP($D371,$C$5:$AU$836,3,))*$E371)</f>
        <v>3384.6618232047103</v>
      </c>
      <c r="N371" s="65">
        <f>IF(VLOOKUP($D371,$C$5:$AU$836,3,)=0,0,(VLOOKUP($D371,$C$5:$AU$836,12,)/VLOOKUP($D371,$C$5:$AU$836,3,))*$E371)</f>
        <v>706.40910618767657</v>
      </c>
      <c r="O371" s="65">
        <f>IF(VLOOKUP($D371,$C$5:$AU$836,3,)=0,0,(VLOOKUP($D371,$C$5:$AU$836,13,)/VLOOKUP($D371,$C$5:$AU$836,3,))*$E371)</f>
        <v>0</v>
      </c>
      <c r="P371" s="65">
        <f>IF(VLOOKUP($D371,$C$5:$AU$836,3,)=0,0,(VLOOKUP($D371,$C$5:$AU$836,14,)/VLOOKUP($D371,$C$5:$AU$836,3,))*$E371)</f>
        <v>0</v>
      </c>
      <c r="Q371" s="65">
        <f>IF(VLOOKUP($D371,$C$5:$AU$836,3,)=0,0,(VLOOKUP($D371,$C$5:$AU$836,15,)/VLOOKUP($D371,$C$5:$AU$836,3,))*$E371)</f>
        <v>0</v>
      </c>
      <c r="R371" s="65">
        <f>IF(VLOOKUP($D371,$C$5:$AU$836,3,)=0,0,(VLOOKUP($D371,$C$5:$AU$836,16,)/VLOOKUP($D371,$C$5:$AU$836,3,))*$E371)</f>
        <v>0</v>
      </c>
      <c r="S371" s="65">
        <f>IF(VLOOKUP($D371,$C$5:$AU$836,3,)=0,0,(VLOOKUP($D371,$C$5:$AU$836,17,)/VLOOKUP($D371,$C$5:$AU$836,3,))*$E371)</f>
        <v>0</v>
      </c>
      <c r="T371" s="65">
        <f>IF(VLOOKUP($D371,$C$5:$AU$836,3,)=0,0,(VLOOKUP($D371,$C$5:$AU$836,18,)/VLOOKUP($D371,$C$5:$AU$836,3,))*$E371)</f>
        <v>0</v>
      </c>
      <c r="U371" s="65">
        <f>IF(VLOOKUP($D371,$C$5:$AU$836,3,)=0,0,(VLOOKUP($D371,$C$5:$AU$836,19,)/VLOOKUP($D371,$C$5:$AU$836,3,))*$E371)</f>
        <v>0</v>
      </c>
      <c r="V371" s="65">
        <f>IF(VLOOKUP($D371,$C$5:$AU$836,3,)=0,0,(VLOOKUP($D371,$C$5:$AU$836,20,)/VLOOKUP($D371,$C$5:$AU$836,3,))*$E371)</f>
        <v>0</v>
      </c>
      <c r="W371" s="65">
        <f>IF(VLOOKUP($D371,$C$5:$AU$836,3,)=0,0,(VLOOKUP($D371,$C$5:$AU$836,21,)/VLOOKUP($D371,$C$5:$AU$836,3,))*$E371)</f>
        <v>0</v>
      </c>
      <c r="X371" s="65">
        <f>IF(VLOOKUP($D371,$C$5:$AU$836,3,)=0,0,(VLOOKUP($D371,$C$5:$AU$836,22,)/VLOOKUP($D371,$C$5:$AU$836,3,))*$E371)</f>
        <v>0</v>
      </c>
      <c r="Y371" s="65">
        <f>IF(VLOOKUP($D371,$C$5:$AU$836,3,)=0,0,(VLOOKUP($D371,$C$5:$AU$836,23,)/VLOOKUP($D371,$C$5:$AU$836,3,))*$E371)</f>
        <v>0</v>
      </c>
      <c r="Z371" s="65">
        <f>IF(VLOOKUP($D371,$C$5:$AU$836,3,)=0,0,(VLOOKUP($D371,$C$5:$AU$836,24,)/VLOOKUP($D371,$C$5:$AU$836,3,))*$E371)</f>
        <v>0</v>
      </c>
      <c r="AA371" s="65">
        <f>IF(VLOOKUP($D371,$C$5:$AU$836,3,)=0,0,(VLOOKUP($D371,$C$5:$AU$836,25,)/VLOOKUP($D371,$C$5:$AU$836,3,))*$E371)</f>
        <v>0</v>
      </c>
      <c r="AB371" s="65">
        <f>IF(VLOOKUP($D371,$C$5:$AU$836,3,)=0,0,(VLOOKUP($D371,$C$5:$AU$836,26,)/VLOOKUP($D371,$C$5:$AU$836,3,))*$E371)</f>
        <v>0</v>
      </c>
      <c r="AC371" s="65">
        <f>IF(VLOOKUP($D371,$C$5:$AU$836,3,)=0,0,(VLOOKUP($D371,$C$5:$AU$836,27,)/VLOOKUP($D371,$C$5:$AU$836,3,))*$E371)</f>
        <v>0</v>
      </c>
      <c r="AD371" s="65">
        <f>IF(VLOOKUP($D371,$C$5:$AU$836,3,)=0,0,(VLOOKUP($D371,$C$5:$AU$836,28,)/VLOOKUP($D371,$C$5:$AU$836,3,))*$E371)</f>
        <v>0</v>
      </c>
      <c r="AE371" s="65">
        <f>IF(VLOOKUP($D371,$C$5:$AU$836,3,)=0,0,(VLOOKUP($D371,$C$5:$AU$836,29,)/VLOOKUP($D371,$C$5:$AU$836,3,))*$E371)</f>
        <v>0</v>
      </c>
      <c r="AF371" s="65">
        <f>IF(VLOOKUP($D371,$C$5:$AU$836,3,)=0,0,(VLOOKUP($D371,$C$5:$AU$836,30,)/VLOOKUP($D371,$C$5:$AU$836,3,))*$E371)</f>
        <v>0</v>
      </c>
      <c r="AG371" s="16">
        <f>SUM(F371:AF371)</f>
        <v>59810.27247560089</v>
      </c>
      <c r="AH371" s="14" t="str">
        <f>IF(ABS(E371-AG371)&lt;0.01,"ok","err")</f>
        <v>ok</v>
      </c>
    </row>
    <row r="372" spans="1:34" x14ac:dyDescent="0.25">
      <c r="A372" s="12" t="s">
        <v>223</v>
      </c>
      <c r="C372" s="2" t="s">
        <v>827</v>
      </c>
      <c r="D372" s="9" t="s">
        <v>759</v>
      </c>
      <c r="E372" s="65">
        <f>'Functional Assignment'!W442</f>
        <v>29447.646523101288</v>
      </c>
      <c r="F372" s="65">
        <f>IF(VLOOKUP($D372,$C$5:$AU$836,3,)=0,0,(VLOOKUP($D372,$C$5:$AU$836,4,)/VLOOKUP($D372,$C$5:$AU$836,3,))*$E372)</f>
        <v>26998.115701918792</v>
      </c>
      <c r="G372" s="65">
        <f>IF(VLOOKUP($D372,$C$5:$AU$836,3,)=0,0,(VLOOKUP($D372,$C$5:$AU$836,5,)/VLOOKUP($D372,$C$5:$AU$836,3,))*$E372)</f>
        <v>1936.5827112040979</v>
      </c>
      <c r="H372" s="65">
        <f>IF(VLOOKUP($D372,$C$5:$AU$836,3,)=0,0,(VLOOKUP($D372,$C$5:$AU$836,6,)/VLOOKUP($D372,$C$5:$AU$836,3,))*$E372)</f>
        <v>189.2161757969597</v>
      </c>
      <c r="I372" s="65">
        <f>IF(VLOOKUP($D372,$C$5:$AU$836,3,)=0,0,(VLOOKUP($D372,$C$5:$AU$836,7,)/VLOOKUP($D372,$C$5:$AU$836,3,))*$E372)</f>
        <v>71.329799905400165</v>
      </c>
      <c r="J372" s="65">
        <f>IF(VLOOKUP($D372,$C$5:$AU$836,3,)=0,0,(VLOOKUP($D372,$C$5:$AU$836,8,)/VLOOKUP($D372,$C$5:$AU$836,3,))*$E372)</f>
        <v>7.261117355639537</v>
      </c>
      <c r="K372" s="65">
        <f>IF(VLOOKUP($D372,$C$5:$AU$836,3,)=0,0,(VLOOKUP($D372,$C$5:$AU$836,9,)/VLOOKUP($D372,$C$5:$AU$836,3,))*$E372)</f>
        <v>0.42712455033173746</v>
      </c>
      <c r="L372" s="65">
        <f>IF(VLOOKUP($D372,$C$5:$AU$836,3,)=0,0,(VLOOKUP($D372,$C$5:$AU$836,10,)/VLOOKUP($D372,$C$5:$AU$836,3,))*$E372)</f>
        <v>0.85424910066347493</v>
      </c>
      <c r="M372" s="65">
        <f>IF(VLOOKUP($D372,$C$5:$AU$836,3,)=0,0,(VLOOKUP($D372,$C$5:$AU$836,11,)/VLOOKUP($D372,$C$5:$AU$836,3,))*$E372)</f>
        <v>3.4169964026538997</v>
      </c>
      <c r="N372" s="65">
        <f>IF(VLOOKUP($D372,$C$5:$AU$836,3,)=0,0,(VLOOKUP($D372,$C$5:$AU$836,12,)/VLOOKUP($D372,$C$5:$AU$836,3,))*$E372)</f>
        <v>240.44264686674609</v>
      </c>
      <c r="O372" s="65">
        <f>IF(VLOOKUP($D372,$C$5:$AU$836,3,)=0,0,(VLOOKUP($D372,$C$5:$AU$836,13,)/VLOOKUP($D372,$C$5:$AU$836,3,))*$E372)</f>
        <v>0</v>
      </c>
      <c r="P372" s="65">
        <f>IF(VLOOKUP($D372,$C$5:$AU$836,3,)=0,0,(VLOOKUP($D372,$C$5:$AU$836,14,)/VLOOKUP($D372,$C$5:$AU$836,3,))*$E372)</f>
        <v>0</v>
      </c>
      <c r="Q372" s="65">
        <f>IF(VLOOKUP($D372,$C$5:$AU$836,3,)=0,0,(VLOOKUP($D372,$C$5:$AU$836,15,)/VLOOKUP($D372,$C$5:$AU$836,3,))*$E372)</f>
        <v>0</v>
      </c>
      <c r="R372" s="65">
        <f>IF(VLOOKUP($D372,$C$5:$AU$836,3,)=0,0,(VLOOKUP($D372,$C$5:$AU$836,16,)/VLOOKUP($D372,$C$5:$AU$836,3,))*$E372)</f>
        <v>0</v>
      </c>
      <c r="S372" s="65">
        <f>IF(VLOOKUP($D372,$C$5:$AU$836,3,)=0,0,(VLOOKUP($D372,$C$5:$AU$836,17,)/VLOOKUP($D372,$C$5:$AU$836,3,))*$E372)</f>
        <v>0</v>
      </c>
      <c r="T372" s="65">
        <f>IF(VLOOKUP($D372,$C$5:$AU$836,3,)=0,0,(VLOOKUP($D372,$C$5:$AU$836,18,)/VLOOKUP($D372,$C$5:$AU$836,3,))*$E372)</f>
        <v>0</v>
      </c>
      <c r="U372" s="65">
        <f>IF(VLOOKUP($D372,$C$5:$AU$836,3,)=0,0,(VLOOKUP($D372,$C$5:$AU$836,19,)/VLOOKUP($D372,$C$5:$AU$836,3,))*$E372)</f>
        <v>0</v>
      </c>
      <c r="V372" s="65">
        <f>IF(VLOOKUP($D372,$C$5:$AU$836,3,)=0,0,(VLOOKUP($D372,$C$5:$AU$836,20,)/VLOOKUP($D372,$C$5:$AU$836,3,))*$E372)</f>
        <v>0</v>
      </c>
      <c r="W372" s="65">
        <f>IF(VLOOKUP($D372,$C$5:$AU$836,3,)=0,0,(VLOOKUP($D372,$C$5:$AU$836,21,)/VLOOKUP($D372,$C$5:$AU$836,3,))*$E372)</f>
        <v>0</v>
      </c>
      <c r="X372" s="65">
        <f>IF(VLOOKUP($D372,$C$5:$AU$836,3,)=0,0,(VLOOKUP($D372,$C$5:$AU$836,22,)/VLOOKUP($D372,$C$5:$AU$836,3,))*$E372)</f>
        <v>0</v>
      </c>
      <c r="Y372" s="65">
        <f>IF(VLOOKUP($D372,$C$5:$AU$836,3,)=0,0,(VLOOKUP($D372,$C$5:$AU$836,23,)/VLOOKUP($D372,$C$5:$AU$836,3,))*$E372)</f>
        <v>0</v>
      </c>
      <c r="Z372" s="65">
        <f>IF(VLOOKUP($D372,$C$5:$AU$836,3,)=0,0,(VLOOKUP($D372,$C$5:$AU$836,24,)/VLOOKUP($D372,$C$5:$AU$836,3,))*$E372)</f>
        <v>0</v>
      </c>
      <c r="AA372" s="65">
        <f>IF(VLOOKUP($D372,$C$5:$AU$836,3,)=0,0,(VLOOKUP($D372,$C$5:$AU$836,25,)/VLOOKUP($D372,$C$5:$AU$836,3,))*$E372)</f>
        <v>0</v>
      </c>
      <c r="AB372" s="65">
        <f>IF(VLOOKUP($D372,$C$5:$AU$836,3,)=0,0,(VLOOKUP($D372,$C$5:$AU$836,26,)/VLOOKUP($D372,$C$5:$AU$836,3,))*$E372)</f>
        <v>0</v>
      </c>
      <c r="AC372" s="65">
        <f>IF(VLOOKUP($D372,$C$5:$AU$836,3,)=0,0,(VLOOKUP($D372,$C$5:$AU$836,27,)/VLOOKUP($D372,$C$5:$AU$836,3,))*$E372)</f>
        <v>0</v>
      </c>
      <c r="AD372" s="65">
        <f>IF(VLOOKUP($D372,$C$5:$AU$836,3,)=0,0,(VLOOKUP($D372,$C$5:$AU$836,28,)/VLOOKUP($D372,$C$5:$AU$836,3,))*$E372)</f>
        <v>0</v>
      </c>
      <c r="AE372" s="65">
        <f>IF(VLOOKUP($D372,$C$5:$AU$836,3,)=0,0,(VLOOKUP($D372,$C$5:$AU$836,29,)/VLOOKUP($D372,$C$5:$AU$836,3,))*$E372)</f>
        <v>0</v>
      </c>
      <c r="AF372" s="65">
        <f>IF(VLOOKUP($D372,$C$5:$AU$836,3,)=0,0,(VLOOKUP($D372,$C$5:$AU$836,30,)/VLOOKUP($D372,$C$5:$AU$836,3,))*$E372)</f>
        <v>0</v>
      </c>
      <c r="AG372" s="16">
        <f>SUM(F372:AF372)</f>
        <v>29447.646523101284</v>
      </c>
      <c r="AH372" s="14" t="str">
        <f>IF(ABS(E372-AG372)&lt;0.01,"ok","err")</f>
        <v>ok</v>
      </c>
    </row>
    <row r="373" spans="1:34" x14ac:dyDescent="0.25">
      <c r="A373" s="2" t="s">
        <v>224</v>
      </c>
      <c r="E373" s="65">
        <f t="shared" ref="E373:N373" si="243">E371+E372</f>
        <v>89257.918998702182</v>
      </c>
      <c r="F373" s="65">
        <f t="shared" si="243"/>
        <v>65481.720644855246</v>
      </c>
      <c r="G373" s="65">
        <f t="shared" si="243"/>
        <v>5261.1244831458944</v>
      </c>
      <c r="H373" s="65">
        <f t="shared" si="243"/>
        <v>11700.011270857196</v>
      </c>
      <c r="I373" s="65">
        <f t="shared" si="243"/>
        <v>1202.0601581298727</v>
      </c>
      <c r="J373" s="65">
        <f t="shared" si="243"/>
        <v>1167.8897297160252</v>
      </c>
      <c r="K373" s="65">
        <f t="shared" si="243"/>
        <v>5.8511412568872112</v>
      </c>
      <c r="L373" s="65">
        <f t="shared" si="243"/>
        <v>104.33099807925929</v>
      </c>
      <c r="M373" s="65">
        <f t="shared" si="243"/>
        <v>3388.078819607364</v>
      </c>
      <c r="N373" s="65">
        <f t="shared" si="243"/>
        <v>946.85175305442272</v>
      </c>
      <c r="O373" s="65">
        <f t="shared" ref="O373:T373" si="244">O371+O372</f>
        <v>0</v>
      </c>
      <c r="P373" s="65">
        <f t="shared" si="244"/>
        <v>0</v>
      </c>
      <c r="Q373" s="65">
        <f t="shared" si="244"/>
        <v>0</v>
      </c>
      <c r="R373" s="65">
        <f t="shared" si="244"/>
        <v>0</v>
      </c>
      <c r="S373" s="65">
        <f t="shared" si="244"/>
        <v>0</v>
      </c>
      <c r="T373" s="65">
        <f t="shared" si="244"/>
        <v>0</v>
      </c>
      <c r="U373" s="65">
        <f t="shared" ref="U373:AF373" si="245">U371+U372</f>
        <v>0</v>
      </c>
      <c r="V373" s="65">
        <f t="shared" si="245"/>
        <v>0</v>
      </c>
      <c r="W373" s="65">
        <f t="shared" si="245"/>
        <v>0</v>
      </c>
      <c r="X373" s="65">
        <f t="shared" si="245"/>
        <v>0</v>
      </c>
      <c r="Y373" s="65">
        <f t="shared" si="245"/>
        <v>0</v>
      </c>
      <c r="Z373" s="65">
        <f t="shared" si="245"/>
        <v>0</v>
      </c>
      <c r="AA373" s="65">
        <f t="shared" si="245"/>
        <v>0</v>
      </c>
      <c r="AB373" s="65">
        <f t="shared" si="245"/>
        <v>0</v>
      </c>
      <c r="AC373" s="65">
        <f t="shared" si="245"/>
        <v>0</v>
      </c>
      <c r="AD373" s="65">
        <f t="shared" si="245"/>
        <v>0</v>
      </c>
      <c r="AE373" s="65">
        <f t="shared" si="245"/>
        <v>0</v>
      </c>
      <c r="AF373" s="65">
        <f t="shared" si="245"/>
        <v>0</v>
      </c>
      <c r="AG373" s="16">
        <f>SUM(F373:AF373)</f>
        <v>89257.918998702167</v>
      </c>
      <c r="AH373" s="14" t="str">
        <f>IF(ABS(E373-AG373)&lt;0.01,"ok","err")</f>
        <v>ok</v>
      </c>
    </row>
    <row r="374" spans="1:34" x14ac:dyDescent="0.2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16"/>
      <c r="AH374" s="14"/>
    </row>
    <row r="375" spans="1:34" x14ac:dyDescent="0.25">
      <c r="A375" s="7" t="s">
        <v>734</v>
      </c>
      <c r="E375" s="31"/>
    </row>
    <row r="376" spans="1:34" x14ac:dyDescent="0.25">
      <c r="A376" s="12" t="s">
        <v>214</v>
      </c>
      <c r="C376" s="2" t="s">
        <v>828</v>
      </c>
      <c r="D376" s="9" t="s">
        <v>756</v>
      </c>
      <c r="E376" s="65">
        <f>'Functional Assignment'!Y442</f>
        <v>6645.5858306223199</v>
      </c>
      <c r="F376" s="65">
        <f>IF(VLOOKUP($D376,$C$5:$AU$836,3,)=0,0,(VLOOKUP($D376,$C$5:$AU$836,4,)/VLOOKUP($D376,$C$5:$AU$836,3,))*$E376)</f>
        <v>4351.1090177671877</v>
      </c>
      <c r="G376" s="65">
        <f>IF(VLOOKUP($D376,$C$5:$AU$836,3,)=0,0,(VLOOKUP($D376,$C$5:$AU$836,5,)/VLOOKUP($D376,$C$5:$AU$836,3,))*$E376)</f>
        <v>897.26565257370623</v>
      </c>
      <c r="H376" s="65">
        <f>IF(VLOOKUP($D376,$C$5:$AU$836,3,)=0,0,(VLOOKUP($D376,$C$5:$AU$836,6,)/VLOOKUP($D376,$C$5:$AU$836,3,))*$E376)</f>
        <v>928.81952440741622</v>
      </c>
      <c r="I376" s="65">
        <f>IF(VLOOKUP($D376,$C$5:$AU$836,3,)=0,0,(VLOOKUP($D376,$C$5:$AU$836,7,)/VLOOKUP($D376,$C$5:$AU$836,3,))*$E376)</f>
        <v>319.64268764880597</v>
      </c>
      <c r="J376" s="65">
        <f>IF(VLOOKUP($D376,$C$5:$AU$836,3,)=0,0,(VLOOKUP($D376,$C$5:$AU$836,8,)/VLOOKUP($D376,$C$5:$AU$836,3,))*$E376)</f>
        <v>117.92839542502512</v>
      </c>
      <c r="K376" s="65">
        <f>IF(VLOOKUP($D376,$C$5:$AU$836,3,)=0,0,(VLOOKUP($D376,$C$5:$AU$836,9,)/VLOOKUP($D376,$C$5:$AU$836,3,))*$E376)</f>
        <v>0</v>
      </c>
      <c r="L376" s="65">
        <f>IF(VLOOKUP($D376,$C$5:$AU$836,3,)=0,0,(VLOOKUP($D376,$C$5:$AU$836,10,)/VLOOKUP($D376,$C$5:$AU$836,3,))*$E376)</f>
        <v>0</v>
      </c>
      <c r="M376" s="65">
        <f>IF(VLOOKUP($D376,$C$5:$AU$836,3,)=0,0,(VLOOKUP($D376,$C$5:$AU$836,11,)/VLOOKUP($D376,$C$5:$AU$836,3,))*$E376)</f>
        <v>0</v>
      </c>
      <c r="N376" s="65">
        <f>IF(VLOOKUP($D376,$C$5:$AU$836,3,)=0,0,(VLOOKUP($D376,$C$5:$AU$836,12,)/VLOOKUP($D376,$C$5:$AU$836,3,))*$E376)</f>
        <v>30.82055280017876</v>
      </c>
      <c r="O376" s="65">
        <f>IF(VLOOKUP($D376,$C$5:$AU$836,3,)=0,0,(VLOOKUP($D376,$C$5:$AU$836,13,)/VLOOKUP($D376,$C$5:$AU$836,3,))*$E376)</f>
        <v>0</v>
      </c>
      <c r="P376" s="65">
        <f>IF(VLOOKUP($D376,$C$5:$AU$836,3,)=0,0,(VLOOKUP($D376,$C$5:$AU$836,14,)/VLOOKUP($D376,$C$5:$AU$836,3,))*$E376)</f>
        <v>0</v>
      </c>
      <c r="Q376" s="65">
        <f>IF(VLOOKUP($D376,$C$5:$AU$836,3,)=0,0,(VLOOKUP($D376,$C$5:$AU$836,15,)/VLOOKUP($D376,$C$5:$AU$836,3,))*$E376)</f>
        <v>0</v>
      </c>
      <c r="R376" s="65">
        <f>IF(VLOOKUP($D376,$C$5:$AU$836,3,)=0,0,(VLOOKUP($D376,$C$5:$AU$836,16,)/VLOOKUP($D376,$C$5:$AU$836,3,))*$E376)</f>
        <v>0</v>
      </c>
      <c r="S376" s="65">
        <f>IF(VLOOKUP($D376,$C$5:$AU$836,3,)=0,0,(VLOOKUP($D376,$C$5:$AU$836,17,)/VLOOKUP($D376,$C$5:$AU$836,3,))*$E376)</f>
        <v>0</v>
      </c>
      <c r="T376" s="65">
        <f>IF(VLOOKUP($D376,$C$5:$AU$836,3,)=0,0,(VLOOKUP($D376,$C$5:$AU$836,18,)/VLOOKUP($D376,$C$5:$AU$836,3,))*$E376)</f>
        <v>0</v>
      </c>
      <c r="U376" s="65">
        <f>IF(VLOOKUP($D376,$C$5:$AU$836,3,)=0,0,(VLOOKUP($D376,$C$5:$AU$836,19,)/VLOOKUP($D376,$C$5:$AU$836,3,))*$E376)</f>
        <v>0</v>
      </c>
      <c r="V376" s="65">
        <f>IF(VLOOKUP($D376,$C$5:$AU$836,3,)=0,0,(VLOOKUP($D376,$C$5:$AU$836,20,)/VLOOKUP($D376,$C$5:$AU$836,3,))*$E376)</f>
        <v>0</v>
      </c>
      <c r="W376" s="65">
        <f>IF(VLOOKUP($D376,$C$5:$AU$836,3,)=0,0,(VLOOKUP($D376,$C$5:$AU$836,21,)/VLOOKUP($D376,$C$5:$AU$836,3,))*$E376)</f>
        <v>0</v>
      </c>
      <c r="X376" s="65">
        <f>IF(VLOOKUP($D376,$C$5:$AU$836,3,)=0,0,(VLOOKUP($D376,$C$5:$AU$836,22,)/VLOOKUP($D376,$C$5:$AU$836,3,))*$E376)</f>
        <v>0</v>
      </c>
      <c r="Y376" s="65">
        <f>IF(VLOOKUP($D376,$C$5:$AU$836,3,)=0,0,(VLOOKUP($D376,$C$5:$AU$836,23,)/VLOOKUP($D376,$C$5:$AU$836,3,))*$E376)</f>
        <v>0</v>
      </c>
      <c r="Z376" s="65">
        <f>IF(VLOOKUP($D376,$C$5:$AU$836,3,)=0,0,(VLOOKUP($D376,$C$5:$AU$836,24,)/VLOOKUP($D376,$C$5:$AU$836,3,))*$E376)</f>
        <v>0</v>
      </c>
      <c r="AA376" s="65">
        <f>IF(VLOOKUP($D376,$C$5:$AU$836,3,)=0,0,(VLOOKUP($D376,$C$5:$AU$836,25,)/VLOOKUP($D376,$C$5:$AU$836,3,))*$E376)</f>
        <v>0</v>
      </c>
      <c r="AB376" s="65">
        <f>IF(VLOOKUP($D376,$C$5:$AU$836,3,)=0,0,(VLOOKUP($D376,$C$5:$AU$836,26,)/VLOOKUP($D376,$C$5:$AU$836,3,))*$E376)</f>
        <v>0</v>
      </c>
      <c r="AC376" s="65">
        <f>IF(VLOOKUP($D376,$C$5:$AU$836,3,)=0,0,(VLOOKUP($D376,$C$5:$AU$836,27,)/VLOOKUP($D376,$C$5:$AU$836,3,))*$E376)</f>
        <v>0</v>
      </c>
      <c r="AD376" s="65">
        <f>IF(VLOOKUP($D376,$C$5:$AU$836,3,)=0,0,(VLOOKUP($D376,$C$5:$AU$836,28,)/VLOOKUP($D376,$C$5:$AU$836,3,))*$E376)</f>
        <v>0</v>
      </c>
      <c r="AE376" s="65">
        <f>IF(VLOOKUP($D376,$C$5:$AU$836,3,)=0,0,(VLOOKUP($D376,$C$5:$AU$836,29,)/VLOOKUP($D376,$C$5:$AU$836,3,))*$E376)</f>
        <v>0</v>
      </c>
      <c r="AF376" s="65">
        <f>IF(VLOOKUP($D376,$C$5:$AU$836,3,)=0,0,(VLOOKUP($D376,$C$5:$AU$836,30,)/VLOOKUP($D376,$C$5:$AU$836,3,))*$E376)</f>
        <v>0</v>
      </c>
      <c r="AG376" s="16">
        <f>SUM(F376:AF376)</f>
        <v>6645.5858306223199</v>
      </c>
      <c r="AH376" s="14" t="str">
        <f>IF(ABS(E376-AG376)&lt;0.01,"ok","err")</f>
        <v>ok</v>
      </c>
    </row>
    <row r="377" spans="1:34" x14ac:dyDescent="0.25">
      <c r="A377" s="12" t="s">
        <v>223</v>
      </c>
      <c r="C377" s="2" t="s">
        <v>829</v>
      </c>
      <c r="D377" s="9" t="s">
        <v>760</v>
      </c>
      <c r="E377" s="65">
        <f>'Functional Assignment'!Z442</f>
        <v>3271.9607247890317</v>
      </c>
      <c r="F377" s="65">
        <f>IF(VLOOKUP($D377,$C$5:$AU$836,3,)=0,0,(VLOOKUP($D377,$C$5:$AU$836,4,)/VLOOKUP($D377,$C$5:$AU$836,3,))*$E377)</f>
        <v>3000.2937485809707</v>
      </c>
      <c r="G377" s="65">
        <f>IF(VLOOKUP($D377,$C$5:$AU$836,3,)=0,0,(VLOOKUP($D377,$C$5:$AU$836,5,)/VLOOKUP($D377,$C$5:$AU$836,3,))*$E377)</f>
        <v>215.21194538857</v>
      </c>
      <c r="H377" s="65">
        <f>IF(VLOOKUP($D377,$C$5:$AU$836,3,)=0,0,(VLOOKUP($D377,$C$5:$AU$836,6,)/VLOOKUP($D377,$C$5:$AU$836,3,))*$E377)</f>
        <v>21.027545612513567</v>
      </c>
      <c r="I377" s="65">
        <f>IF(VLOOKUP($D377,$C$5:$AU$836,3,)=0,0,(VLOOKUP($D377,$C$5:$AU$836,7,)/VLOOKUP($D377,$C$5:$AU$836,3,))*$E377)</f>
        <v>7.9268625672455206</v>
      </c>
      <c r="J377" s="65">
        <f>IF(VLOOKUP($D377,$C$5:$AU$836,3,)=0,0,(VLOOKUP($D377,$C$5:$AU$836,8,)/VLOOKUP($D377,$C$5:$AU$836,3,))*$E377)</f>
        <v>0.80692612959984344</v>
      </c>
      <c r="K377" s="65">
        <f>IF(VLOOKUP($D377,$C$5:$AU$836,3,)=0,0,(VLOOKUP($D377,$C$5:$AU$836,9,)/VLOOKUP($D377,$C$5:$AU$836,3,))*$E377)</f>
        <v>0</v>
      </c>
      <c r="L377" s="65">
        <f>IF(VLOOKUP($D377,$C$5:$AU$836,3,)=0,0,(VLOOKUP($D377,$C$5:$AU$836,10,)/VLOOKUP($D377,$C$5:$AU$836,3,))*$E377)</f>
        <v>0</v>
      </c>
      <c r="M377" s="65">
        <f>IF(VLOOKUP($D377,$C$5:$AU$836,3,)=0,0,(VLOOKUP($D377,$C$5:$AU$836,11,)/VLOOKUP($D377,$C$5:$AU$836,3,))*$E377)</f>
        <v>0</v>
      </c>
      <c r="N377" s="65">
        <f>IF(VLOOKUP($D377,$C$5:$AU$836,3,)=0,0,(VLOOKUP($D377,$C$5:$AU$836,12,)/VLOOKUP($D377,$C$5:$AU$836,3,))*$E377)</f>
        <v>26.693696510131815</v>
      </c>
      <c r="O377" s="65">
        <f>IF(VLOOKUP($D377,$C$5:$AU$836,3,)=0,0,(VLOOKUP($D377,$C$5:$AU$836,13,)/VLOOKUP($D377,$C$5:$AU$836,3,))*$E377)</f>
        <v>0</v>
      </c>
      <c r="P377" s="65">
        <f>IF(VLOOKUP($D377,$C$5:$AU$836,3,)=0,0,(VLOOKUP($D377,$C$5:$AU$836,14,)/VLOOKUP($D377,$C$5:$AU$836,3,))*$E377)</f>
        <v>0</v>
      </c>
      <c r="Q377" s="65">
        <f>IF(VLOOKUP($D377,$C$5:$AU$836,3,)=0,0,(VLOOKUP($D377,$C$5:$AU$836,15,)/VLOOKUP($D377,$C$5:$AU$836,3,))*$E377)</f>
        <v>0</v>
      </c>
      <c r="R377" s="65">
        <f>IF(VLOOKUP($D377,$C$5:$AU$836,3,)=0,0,(VLOOKUP($D377,$C$5:$AU$836,16,)/VLOOKUP($D377,$C$5:$AU$836,3,))*$E377)</f>
        <v>0</v>
      </c>
      <c r="S377" s="65">
        <f>IF(VLOOKUP($D377,$C$5:$AU$836,3,)=0,0,(VLOOKUP($D377,$C$5:$AU$836,17,)/VLOOKUP($D377,$C$5:$AU$836,3,))*$E377)</f>
        <v>0</v>
      </c>
      <c r="T377" s="65">
        <f>IF(VLOOKUP($D377,$C$5:$AU$836,3,)=0,0,(VLOOKUP($D377,$C$5:$AU$836,18,)/VLOOKUP($D377,$C$5:$AU$836,3,))*$E377)</f>
        <v>0</v>
      </c>
      <c r="U377" s="65">
        <f>IF(VLOOKUP($D377,$C$5:$AU$836,3,)=0,0,(VLOOKUP($D377,$C$5:$AU$836,19,)/VLOOKUP($D377,$C$5:$AU$836,3,))*$E377)</f>
        <v>0</v>
      </c>
      <c r="V377" s="65">
        <f>IF(VLOOKUP($D377,$C$5:$AU$836,3,)=0,0,(VLOOKUP($D377,$C$5:$AU$836,20,)/VLOOKUP($D377,$C$5:$AU$836,3,))*$E377)</f>
        <v>0</v>
      </c>
      <c r="W377" s="65">
        <f>IF(VLOOKUP($D377,$C$5:$AU$836,3,)=0,0,(VLOOKUP($D377,$C$5:$AU$836,21,)/VLOOKUP($D377,$C$5:$AU$836,3,))*$E377)</f>
        <v>0</v>
      </c>
      <c r="X377" s="65">
        <f>IF(VLOOKUP($D377,$C$5:$AU$836,3,)=0,0,(VLOOKUP($D377,$C$5:$AU$836,22,)/VLOOKUP($D377,$C$5:$AU$836,3,))*$E377)</f>
        <v>0</v>
      </c>
      <c r="Y377" s="65">
        <f>IF(VLOOKUP($D377,$C$5:$AU$836,3,)=0,0,(VLOOKUP($D377,$C$5:$AU$836,23,)/VLOOKUP($D377,$C$5:$AU$836,3,))*$E377)</f>
        <v>0</v>
      </c>
      <c r="Z377" s="65">
        <f>IF(VLOOKUP($D377,$C$5:$AU$836,3,)=0,0,(VLOOKUP($D377,$C$5:$AU$836,24,)/VLOOKUP($D377,$C$5:$AU$836,3,))*$E377)</f>
        <v>0</v>
      </c>
      <c r="AA377" s="65">
        <f>IF(VLOOKUP($D377,$C$5:$AU$836,3,)=0,0,(VLOOKUP($D377,$C$5:$AU$836,25,)/VLOOKUP($D377,$C$5:$AU$836,3,))*$E377)</f>
        <v>0</v>
      </c>
      <c r="AB377" s="65">
        <f>IF(VLOOKUP($D377,$C$5:$AU$836,3,)=0,0,(VLOOKUP($D377,$C$5:$AU$836,26,)/VLOOKUP($D377,$C$5:$AU$836,3,))*$E377)</f>
        <v>0</v>
      </c>
      <c r="AC377" s="65">
        <f>IF(VLOOKUP($D377,$C$5:$AU$836,3,)=0,0,(VLOOKUP($D377,$C$5:$AU$836,27,)/VLOOKUP($D377,$C$5:$AU$836,3,))*$E377)</f>
        <v>0</v>
      </c>
      <c r="AD377" s="65">
        <f>IF(VLOOKUP($D377,$C$5:$AU$836,3,)=0,0,(VLOOKUP($D377,$C$5:$AU$836,28,)/VLOOKUP($D377,$C$5:$AU$836,3,))*$E377)</f>
        <v>0</v>
      </c>
      <c r="AE377" s="65">
        <f>IF(VLOOKUP($D377,$C$5:$AU$836,3,)=0,0,(VLOOKUP($D377,$C$5:$AU$836,29,)/VLOOKUP($D377,$C$5:$AU$836,3,))*$E377)</f>
        <v>0</v>
      </c>
      <c r="AF377" s="65">
        <f>IF(VLOOKUP($D377,$C$5:$AU$836,3,)=0,0,(VLOOKUP($D377,$C$5:$AU$836,30,)/VLOOKUP($D377,$C$5:$AU$836,3,))*$E377)</f>
        <v>0</v>
      </c>
      <c r="AG377" s="16">
        <f>SUM(F377:AF377)</f>
        <v>3271.9607247890317</v>
      </c>
      <c r="AH377" s="14" t="str">
        <f>IF(ABS(E377-AG377)&lt;0.01,"ok","err")</f>
        <v>ok</v>
      </c>
    </row>
    <row r="378" spans="1:34" x14ac:dyDescent="0.25">
      <c r="A378" s="2" t="s">
        <v>224</v>
      </c>
      <c r="E378" s="65">
        <f t="shared" ref="E378:N378" si="246">E376+E377</f>
        <v>9917.5465554113507</v>
      </c>
      <c r="F378" s="65">
        <f t="shared" si="246"/>
        <v>7351.4027663481584</v>
      </c>
      <c r="G378" s="65">
        <f t="shared" si="246"/>
        <v>1112.4775979622761</v>
      </c>
      <c r="H378" s="65">
        <f t="shared" si="246"/>
        <v>949.84707001992979</v>
      </c>
      <c r="I378" s="65">
        <f t="shared" si="246"/>
        <v>327.56955021605148</v>
      </c>
      <c r="J378" s="65">
        <f t="shared" si="246"/>
        <v>118.73532155462496</v>
      </c>
      <c r="K378" s="65">
        <f t="shared" si="246"/>
        <v>0</v>
      </c>
      <c r="L378" s="65">
        <f t="shared" si="246"/>
        <v>0</v>
      </c>
      <c r="M378" s="65">
        <f t="shared" si="246"/>
        <v>0</v>
      </c>
      <c r="N378" s="65">
        <f t="shared" si="246"/>
        <v>57.514249310310575</v>
      </c>
      <c r="O378" s="65">
        <f t="shared" ref="O378:AF378" si="247">O376+O377</f>
        <v>0</v>
      </c>
      <c r="P378" s="65">
        <f t="shared" si="247"/>
        <v>0</v>
      </c>
      <c r="Q378" s="65">
        <f t="shared" si="247"/>
        <v>0</v>
      </c>
      <c r="R378" s="65">
        <f t="shared" si="247"/>
        <v>0</v>
      </c>
      <c r="S378" s="65">
        <f t="shared" si="247"/>
        <v>0</v>
      </c>
      <c r="T378" s="65">
        <f t="shared" si="247"/>
        <v>0</v>
      </c>
      <c r="U378" s="65">
        <f t="shared" si="247"/>
        <v>0</v>
      </c>
      <c r="V378" s="65">
        <f t="shared" si="247"/>
        <v>0</v>
      </c>
      <c r="W378" s="65">
        <f t="shared" si="247"/>
        <v>0</v>
      </c>
      <c r="X378" s="65">
        <f t="shared" si="247"/>
        <v>0</v>
      </c>
      <c r="Y378" s="65">
        <f t="shared" si="247"/>
        <v>0</v>
      </c>
      <c r="Z378" s="65">
        <f t="shared" si="247"/>
        <v>0</v>
      </c>
      <c r="AA378" s="65">
        <f t="shared" si="247"/>
        <v>0</v>
      </c>
      <c r="AB378" s="65">
        <f t="shared" si="247"/>
        <v>0</v>
      </c>
      <c r="AC378" s="65">
        <f t="shared" si="247"/>
        <v>0</v>
      </c>
      <c r="AD378" s="65">
        <f t="shared" si="247"/>
        <v>0</v>
      </c>
      <c r="AE378" s="65">
        <f t="shared" si="247"/>
        <v>0</v>
      </c>
      <c r="AF378" s="65">
        <f t="shared" si="247"/>
        <v>0</v>
      </c>
      <c r="AG378" s="16">
        <f>SUM(F378:AF378)</f>
        <v>9917.5465554113507</v>
      </c>
      <c r="AH378" s="14" t="str">
        <f>IF(ABS(E378-AG378)&lt;0.01,"ok","err")</f>
        <v>ok</v>
      </c>
    </row>
    <row r="379" spans="1:34" x14ac:dyDescent="0.25">
      <c r="E379" s="31"/>
    </row>
    <row r="380" spans="1:34" x14ac:dyDescent="0.25">
      <c r="A380" s="7" t="s">
        <v>840</v>
      </c>
      <c r="E380" s="31"/>
    </row>
    <row r="381" spans="1:34" x14ac:dyDescent="0.25">
      <c r="A381" s="12" t="s">
        <v>214</v>
      </c>
      <c r="C381" s="2" t="s">
        <v>801</v>
      </c>
      <c r="D381" s="9" t="s">
        <v>851</v>
      </c>
      <c r="E381" s="65">
        <f>'Functional Assignment'!AB442</f>
        <v>13011.39305008482</v>
      </c>
      <c r="F381" s="65">
        <f>IF(VLOOKUP($D381,$C$5:$AU$836,3,)=0,0,(VLOOKUP($D381,$C$5:$AU$836,4,)/VLOOKUP($D381,$C$5:$AU$836,3,))*$E381)</f>
        <v>8424.4734926992005</v>
      </c>
      <c r="G381" s="65">
        <f>IF(VLOOKUP($D381,$C$5:$AU$836,3,)=0,0,(VLOOKUP($D381,$C$5:$AU$836,5,)/VLOOKUP($D381,$C$5:$AU$836,3,))*$E381)</f>
        <v>1737.2561053171696</v>
      </c>
      <c r="H381" s="65">
        <f>IF(VLOOKUP($D381,$C$5:$AU$836,3,)=0,0,(VLOOKUP($D381,$C$5:$AU$836,6,)/VLOOKUP($D381,$C$5:$AU$836,3,))*$E381)</f>
        <v>1798.3496692268898</v>
      </c>
      <c r="I381" s="65">
        <f>IF(VLOOKUP($D381,$C$5:$AU$836,3,)=0,0,(VLOOKUP($D381,$C$5:$AU$836,7,)/VLOOKUP($D381,$C$5:$AU$836,3,))*$E381)</f>
        <v>618.88160885804302</v>
      </c>
      <c r="J381" s="65">
        <f>IF(VLOOKUP($D381,$C$5:$AU$836,3,)=0,0,(VLOOKUP($D381,$C$5:$AU$836,8,)/VLOOKUP($D381,$C$5:$AU$836,3,))*$E381)</f>
        <v>228.32906213976912</v>
      </c>
      <c r="K381" s="65">
        <f>IF(VLOOKUP($D381,$C$5:$AU$836,3,)=0,0,(VLOOKUP($D381,$C$5:$AU$836,9,)/VLOOKUP($D381,$C$5:$AU$836,3,))*$E381)</f>
        <v>0</v>
      </c>
      <c r="L381" s="65">
        <f>IF(VLOOKUP($D381,$C$5:$AU$836,3,)=0,0,(VLOOKUP($D381,$C$5:$AU$836,10,)/VLOOKUP($D381,$C$5:$AU$836,3,))*$E381)</f>
        <v>85.850562839215598</v>
      </c>
      <c r="M381" s="65">
        <f>IF(VLOOKUP($D381,$C$5:$AU$836,3,)=0,0,(VLOOKUP($D381,$C$5:$AU$836,11,)/VLOOKUP($D381,$C$5:$AU$836,3,))*$E381)</f>
        <v>58.578813174146418</v>
      </c>
      <c r="N381" s="65">
        <f>IF(VLOOKUP($D381,$C$5:$AU$836,3,)=0,0,(VLOOKUP($D381,$C$5:$AU$836,12,)/VLOOKUP($D381,$C$5:$AU$836,3,))*$E381)</f>
        <v>59.67373583038431</v>
      </c>
      <c r="O381" s="65">
        <f>IF(VLOOKUP($D381,$C$5:$AU$836,3,)=0,0,(VLOOKUP($D381,$C$5:$AU$836,13,)/VLOOKUP($D381,$C$5:$AU$836,3,))*$E381)</f>
        <v>0</v>
      </c>
      <c r="P381" s="65">
        <f>IF(VLOOKUP($D381,$C$5:$AU$836,3,)=0,0,(VLOOKUP($D381,$C$5:$AU$836,14,)/VLOOKUP($D381,$C$5:$AU$836,3,))*$E381)</f>
        <v>0</v>
      </c>
      <c r="Q381" s="65">
        <f>IF(VLOOKUP($D381,$C$5:$AU$836,3,)=0,0,(VLOOKUP($D381,$C$5:$AU$836,15,)/VLOOKUP($D381,$C$5:$AU$836,3,))*$E381)</f>
        <v>0</v>
      </c>
      <c r="R381" s="65">
        <f>IF(VLOOKUP($D381,$C$5:$AU$836,3,)=0,0,(VLOOKUP($D381,$C$5:$AU$836,16,)/VLOOKUP($D381,$C$5:$AU$836,3,))*$E381)</f>
        <v>0</v>
      </c>
      <c r="S381" s="65">
        <f>IF(VLOOKUP($D381,$C$5:$AU$836,3,)=0,0,(VLOOKUP($D381,$C$5:$AU$836,17,)/VLOOKUP($D381,$C$5:$AU$836,3,))*$E381)</f>
        <v>0</v>
      </c>
      <c r="T381" s="65">
        <f>IF(VLOOKUP($D381,$C$5:$AU$836,3,)=0,0,(VLOOKUP($D381,$C$5:$AU$836,18,)/VLOOKUP($D381,$C$5:$AU$836,3,))*$E381)</f>
        <v>0</v>
      </c>
      <c r="U381" s="65">
        <f>IF(VLOOKUP($D381,$C$5:$AU$836,3,)=0,0,(VLOOKUP($D381,$C$5:$AU$836,19,)/VLOOKUP($D381,$C$5:$AU$836,3,))*$E381)</f>
        <v>0</v>
      </c>
      <c r="V381" s="65">
        <f>IF(VLOOKUP($D381,$C$5:$AU$836,3,)=0,0,(VLOOKUP($D381,$C$5:$AU$836,20,)/VLOOKUP($D381,$C$5:$AU$836,3,))*$E381)</f>
        <v>0</v>
      </c>
      <c r="W381" s="65">
        <f>IF(VLOOKUP($D381,$C$5:$AU$836,3,)=0,0,(VLOOKUP($D381,$C$5:$AU$836,21,)/VLOOKUP($D381,$C$5:$AU$836,3,))*$E381)</f>
        <v>0</v>
      </c>
      <c r="X381" s="65">
        <f>IF(VLOOKUP($D381,$C$5:$AU$836,3,)=0,0,(VLOOKUP($D381,$C$5:$AU$836,22,)/VLOOKUP($D381,$C$5:$AU$836,3,))*$E381)</f>
        <v>0</v>
      </c>
      <c r="Y381" s="65">
        <f>IF(VLOOKUP($D381,$C$5:$AU$836,3,)=0,0,(VLOOKUP($D381,$C$5:$AU$836,23,)/VLOOKUP($D381,$C$5:$AU$836,3,))*$E381)</f>
        <v>0</v>
      </c>
      <c r="Z381" s="65">
        <f>IF(VLOOKUP($D381,$C$5:$AU$836,3,)=0,0,(VLOOKUP($D381,$C$5:$AU$836,24,)/VLOOKUP($D381,$C$5:$AU$836,3,))*$E381)</f>
        <v>0</v>
      </c>
      <c r="AA381" s="65">
        <f>IF(VLOOKUP($D381,$C$5:$AU$836,3,)=0,0,(VLOOKUP($D381,$C$5:$AU$836,25,)/VLOOKUP($D381,$C$5:$AU$836,3,))*$E381)</f>
        <v>0</v>
      </c>
      <c r="AB381" s="65">
        <f>IF(VLOOKUP($D381,$C$5:$AU$836,3,)=0,0,(VLOOKUP($D381,$C$5:$AU$836,26,)/VLOOKUP($D381,$C$5:$AU$836,3,))*$E381)</f>
        <v>0</v>
      </c>
      <c r="AC381" s="65">
        <f>IF(VLOOKUP($D381,$C$5:$AU$836,3,)=0,0,(VLOOKUP($D381,$C$5:$AU$836,27,)/VLOOKUP($D381,$C$5:$AU$836,3,))*$E381)</f>
        <v>0</v>
      </c>
      <c r="AD381" s="65">
        <f>IF(VLOOKUP($D381,$C$5:$AU$836,3,)=0,0,(VLOOKUP($D381,$C$5:$AU$836,28,)/VLOOKUP($D381,$C$5:$AU$836,3,))*$E381)</f>
        <v>0</v>
      </c>
      <c r="AE381" s="65">
        <f>IF(VLOOKUP($D381,$C$5:$AU$836,3,)=0,0,(VLOOKUP($D381,$C$5:$AU$836,29,)/VLOOKUP($D381,$C$5:$AU$836,3,))*$E381)</f>
        <v>0</v>
      </c>
      <c r="AF381" s="65">
        <f>IF(VLOOKUP($D381,$C$5:$AU$836,3,)=0,0,(VLOOKUP($D381,$C$5:$AU$836,30,)/VLOOKUP($D381,$C$5:$AU$836,3,))*$E381)</f>
        <v>0</v>
      </c>
      <c r="AG381" s="16">
        <f>SUM(F381:AF381)</f>
        <v>13011.393050084818</v>
      </c>
      <c r="AH381" s="14" t="str">
        <f>IF(ABS(E381-AG381)&lt;0.01,"ok","err")</f>
        <v>ok</v>
      </c>
    </row>
    <row r="382" spans="1:34" x14ac:dyDescent="0.25">
      <c r="A382" s="12" t="s">
        <v>223</v>
      </c>
      <c r="C382" s="2" t="s">
        <v>802</v>
      </c>
      <c r="D382" s="9" t="s">
        <v>853</v>
      </c>
      <c r="E382" s="65">
        <f>'Functional Assignment'!AC442</f>
        <v>16948.06596461658</v>
      </c>
      <c r="F382" s="65">
        <f>IF(VLOOKUP($D382,$C$5:$AU$836,3,)=0,0,(VLOOKUP($D382,$C$5:$AU$836,4,)/VLOOKUP($D382,$C$5:$AU$836,3,))*$E382)</f>
        <v>15540.888366701187</v>
      </c>
      <c r="G382" s="65">
        <f>IF(VLOOKUP($D382,$C$5:$AU$836,3,)=0,0,(VLOOKUP($D382,$C$5:$AU$836,5,)/VLOOKUP($D382,$C$5:$AU$836,3,))*$E382)</f>
        <v>1114.7524538376367</v>
      </c>
      <c r="H382" s="65">
        <f>IF(VLOOKUP($D382,$C$5:$AU$836,3,)=0,0,(VLOOKUP($D382,$C$5:$AU$836,6,)/VLOOKUP($D382,$C$5:$AU$836,3,))*$E382)</f>
        <v>108.9182481363196</v>
      </c>
      <c r="I382" s="65">
        <f>IF(VLOOKUP($D382,$C$5:$AU$836,3,)=0,0,(VLOOKUP($D382,$C$5:$AU$836,7,)/VLOOKUP($D382,$C$5:$AU$836,3,))*$E382)</f>
        <v>41.059475031073077</v>
      </c>
      <c r="J382" s="65">
        <f>IF(VLOOKUP($D382,$C$5:$AU$836,3,)=0,0,(VLOOKUP($D382,$C$5:$AU$836,8,)/VLOOKUP($D382,$C$5:$AU$836,3,))*$E382)</f>
        <v>4.1797070390912712</v>
      </c>
      <c r="K382" s="65">
        <f>IF(VLOOKUP($D382,$C$5:$AU$836,3,)=0,0,(VLOOKUP($D382,$C$5:$AU$836,9,)/VLOOKUP($D382,$C$5:$AU$836,3,))*$E382)</f>
        <v>0</v>
      </c>
      <c r="L382" s="65">
        <f>IF(VLOOKUP($D382,$C$5:$AU$836,3,)=0,0,(VLOOKUP($D382,$C$5:$AU$836,10,)/VLOOKUP($D382,$C$5:$AU$836,3,))*$E382)</f>
        <v>0</v>
      </c>
      <c r="M382" s="65">
        <f>IF(VLOOKUP($D382,$C$5:$AU$836,3,)=0,0,(VLOOKUP($D382,$C$5:$AU$836,11,)/VLOOKUP($D382,$C$5:$AU$836,3,))*$E382)</f>
        <v>0</v>
      </c>
      <c r="N382" s="65">
        <f>IF(VLOOKUP($D382,$C$5:$AU$836,3,)=0,0,(VLOOKUP($D382,$C$5:$AU$836,12,)/VLOOKUP($D382,$C$5:$AU$836,3,))*$E382)</f>
        <v>138.26771387127195</v>
      </c>
      <c r="O382" s="65">
        <f>IF(VLOOKUP($D382,$C$5:$AU$836,3,)=0,0,(VLOOKUP($D382,$C$5:$AU$836,13,)/VLOOKUP($D382,$C$5:$AU$836,3,))*$E382)</f>
        <v>0</v>
      </c>
      <c r="P382" s="65">
        <f>IF(VLOOKUP($D382,$C$5:$AU$836,3,)=0,0,(VLOOKUP($D382,$C$5:$AU$836,14,)/VLOOKUP($D382,$C$5:$AU$836,3,))*$E382)</f>
        <v>0</v>
      </c>
      <c r="Q382" s="65">
        <f>IF(VLOOKUP($D382,$C$5:$AU$836,3,)=0,0,(VLOOKUP($D382,$C$5:$AU$836,15,)/VLOOKUP($D382,$C$5:$AU$836,3,))*$E382)</f>
        <v>0</v>
      </c>
      <c r="R382" s="65">
        <f>IF(VLOOKUP($D382,$C$5:$AU$836,3,)=0,0,(VLOOKUP($D382,$C$5:$AU$836,16,)/VLOOKUP($D382,$C$5:$AU$836,3,))*$E382)</f>
        <v>0</v>
      </c>
      <c r="S382" s="65">
        <f>IF(VLOOKUP($D382,$C$5:$AU$836,3,)=0,0,(VLOOKUP($D382,$C$5:$AU$836,17,)/VLOOKUP($D382,$C$5:$AU$836,3,))*$E382)</f>
        <v>0</v>
      </c>
      <c r="T382" s="65">
        <f>IF(VLOOKUP($D382,$C$5:$AU$836,3,)=0,0,(VLOOKUP($D382,$C$5:$AU$836,18,)/VLOOKUP($D382,$C$5:$AU$836,3,))*$E382)</f>
        <v>0</v>
      </c>
      <c r="U382" s="65">
        <f>IF(VLOOKUP($D382,$C$5:$AU$836,3,)=0,0,(VLOOKUP($D382,$C$5:$AU$836,19,)/VLOOKUP($D382,$C$5:$AU$836,3,))*$E382)</f>
        <v>0</v>
      </c>
      <c r="V382" s="65">
        <f>IF(VLOOKUP($D382,$C$5:$AU$836,3,)=0,0,(VLOOKUP($D382,$C$5:$AU$836,20,)/VLOOKUP($D382,$C$5:$AU$836,3,))*$E382)</f>
        <v>0</v>
      </c>
      <c r="W382" s="65">
        <f>IF(VLOOKUP($D382,$C$5:$AU$836,3,)=0,0,(VLOOKUP($D382,$C$5:$AU$836,21,)/VLOOKUP($D382,$C$5:$AU$836,3,))*$E382)</f>
        <v>0</v>
      </c>
      <c r="X382" s="65">
        <f>IF(VLOOKUP($D382,$C$5:$AU$836,3,)=0,0,(VLOOKUP($D382,$C$5:$AU$836,22,)/VLOOKUP($D382,$C$5:$AU$836,3,))*$E382)</f>
        <v>0</v>
      </c>
      <c r="Y382" s="65">
        <f>IF(VLOOKUP($D382,$C$5:$AU$836,3,)=0,0,(VLOOKUP($D382,$C$5:$AU$836,23,)/VLOOKUP($D382,$C$5:$AU$836,3,))*$E382)</f>
        <v>0</v>
      </c>
      <c r="Z382" s="65">
        <f>IF(VLOOKUP($D382,$C$5:$AU$836,3,)=0,0,(VLOOKUP($D382,$C$5:$AU$836,24,)/VLOOKUP($D382,$C$5:$AU$836,3,))*$E382)</f>
        <v>0</v>
      </c>
      <c r="AA382" s="65">
        <f>IF(VLOOKUP($D382,$C$5:$AU$836,3,)=0,0,(VLOOKUP($D382,$C$5:$AU$836,25,)/VLOOKUP($D382,$C$5:$AU$836,3,))*$E382)</f>
        <v>0</v>
      </c>
      <c r="AB382" s="65">
        <f>IF(VLOOKUP($D382,$C$5:$AU$836,3,)=0,0,(VLOOKUP($D382,$C$5:$AU$836,26,)/VLOOKUP($D382,$C$5:$AU$836,3,))*$E382)</f>
        <v>0</v>
      </c>
      <c r="AC382" s="65">
        <f>IF(VLOOKUP($D382,$C$5:$AU$836,3,)=0,0,(VLOOKUP($D382,$C$5:$AU$836,27,)/VLOOKUP($D382,$C$5:$AU$836,3,))*$E382)</f>
        <v>0</v>
      </c>
      <c r="AD382" s="65">
        <f>IF(VLOOKUP($D382,$C$5:$AU$836,3,)=0,0,(VLOOKUP($D382,$C$5:$AU$836,28,)/VLOOKUP($D382,$C$5:$AU$836,3,))*$E382)</f>
        <v>0</v>
      </c>
      <c r="AE382" s="65">
        <f>IF(VLOOKUP($D382,$C$5:$AU$836,3,)=0,0,(VLOOKUP($D382,$C$5:$AU$836,29,)/VLOOKUP($D382,$C$5:$AU$836,3,))*$E382)</f>
        <v>0</v>
      </c>
      <c r="AF382" s="65">
        <f>IF(VLOOKUP($D382,$C$5:$AU$836,3,)=0,0,(VLOOKUP($D382,$C$5:$AU$836,30,)/VLOOKUP($D382,$C$5:$AU$836,3,))*$E382)</f>
        <v>0</v>
      </c>
      <c r="AG382" s="16">
        <f>SUM(F382:AF382)</f>
        <v>16948.065964616584</v>
      </c>
      <c r="AH382" s="14" t="str">
        <f>IF(ABS(E382-AG382)&lt;0.01,"ok","err")</f>
        <v>ok</v>
      </c>
    </row>
    <row r="383" spans="1:34" x14ac:dyDescent="0.25">
      <c r="A383" s="9" t="s">
        <v>841</v>
      </c>
      <c r="E383" s="65">
        <f t="shared" ref="E383:AF383" si="248">E381+E382</f>
        <v>29959.459014701402</v>
      </c>
      <c r="F383" s="65">
        <f t="shared" si="248"/>
        <v>23965.361859400386</v>
      </c>
      <c r="G383" s="65">
        <f t="shared" si="248"/>
        <v>2852.0085591548063</v>
      </c>
      <c r="H383" s="65">
        <f t="shared" si="248"/>
        <v>1907.2679173632093</v>
      </c>
      <c r="I383" s="65">
        <f t="shared" si="248"/>
        <v>659.94108388911604</v>
      </c>
      <c r="J383" s="65">
        <f t="shared" si="248"/>
        <v>232.5087691788604</v>
      </c>
      <c r="K383" s="65">
        <f t="shared" si="248"/>
        <v>0</v>
      </c>
      <c r="L383" s="65">
        <f t="shared" si="248"/>
        <v>85.850562839215598</v>
      </c>
      <c r="M383" s="65">
        <f t="shared" si="248"/>
        <v>58.578813174146418</v>
      </c>
      <c r="N383" s="65">
        <f t="shared" si="248"/>
        <v>197.94144970165627</v>
      </c>
      <c r="O383" s="65">
        <f t="shared" si="248"/>
        <v>0</v>
      </c>
      <c r="P383" s="65">
        <f t="shared" si="248"/>
        <v>0</v>
      </c>
      <c r="Q383" s="65">
        <f t="shared" si="248"/>
        <v>0</v>
      </c>
      <c r="R383" s="65">
        <f t="shared" si="248"/>
        <v>0</v>
      </c>
      <c r="S383" s="65">
        <f t="shared" si="248"/>
        <v>0</v>
      </c>
      <c r="T383" s="65">
        <f t="shared" si="248"/>
        <v>0</v>
      </c>
      <c r="U383" s="65">
        <f t="shared" si="248"/>
        <v>0</v>
      </c>
      <c r="V383" s="65">
        <f t="shared" si="248"/>
        <v>0</v>
      </c>
      <c r="W383" s="65">
        <f t="shared" si="248"/>
        <v>0</v>
      </c>
      <c r="X383" s="65">
        <f t="shared" si="248"/>
        <v>0</v>
      </c>
      <c r="Y383" s="65">
        <f t="shared" si="248"/>
        <v>0</v>
      </c>
      <c r="Z383" s="65">
        <f t="shared" si="248"/>
        <v>0</v>
      </c>
      <c r="AA383" s="65">
        <f t="shared" si="248"/>
        <v>0</v>
      </c>
      <c r="AB383" s="65">
        <f t="shared" si="248"/>
        <v>0</v>
      </c>
      <c r="AC383" s="65">
        <f t="shared" si="248"/>
        <v>0</v>
      </c>
      <c r="AD383" s="65">
        <f t="shared" si="248"/>
        <v>0</v>
      </c>
      <c r="AE383" s="65">
        <f t="shared" si="248"/>
        <v>0</v>
      </c>
      <c r="AF383" s="65">
        <f t="shared" si="248"/>
        <v>0</v>
      </c>
      <c r="AG383" s="16">
        <f>SUM(F383:AF383)</f>
        <v>29959.459014701395</v>
      </c>
      <c r="AH383" s="14" t="str">
        <f>IF(ABS(E383-AG383)&lt;0.01,"ok","err")</f>
        <v>ok</v>
      </c>
    </row>
    <row r="384" spans="1:34" x14ac:dyDescent="0.25">
      <c r="E384" s="31"/>
    </row>
    <row r="385" spans="1:34" x14ac:dyDescent="0.25">
      <c r="A385" s="8" t="s">
        <v>5</v>
      </c>
      <c r="E385" s="31"/>
    </row>
    <row r="386" spans="1:34" x14ac:dyDescent="0.25">
      <c r="A386" s="12" t="s">
        <v>214</v>
      </c>
      <c r="C386" s="2" t="s">
        <v>285</v>
      </c>
      <c r="D386" s="2" t="s">
        <v>611</v>
      </c>
      <c r="E386" s="65">
        <f>'Functional Assignment'!AE442</f>
        <v>0</v>
      </c>
      <c r="F386" s="65">
        <f>IF(VLOOKUP($D386,$C$5:$AU$836,3,)=0,0,(VLOOKUP($D386,$C$5:$AU$836,4,)/VLOOKUP($D386,$C$5:$AU$836,3,))*$E386)</f>
        <v>0</v>
      </c>
      <c r="G386" s="65">
        <f>IF(VLOOKUP($D386,$C$5:$AU$836,3,)=0,0,(VLOOKUP($D386,$C$5:$AU$836,5,)/VLOOKUP($D386,$C$5:$AU$836,3,))*$E386)</f>
        <v>0</v>
      </c>
      <c r="H386" s="65">
        <f>IF(VLOOKUP($D386,$C$5:$AU$836,3,)=0,0,(VLOOKUP($D386,$C$5:$AU$836,6,)/VLOOKUP($D386,$C$5:$AU$836,3,))*$E386)</f>
        <v>0</v>
      </c>
      <c r="I386" s="65">
        <f>IF(VLOOKUP($D386,$C$5:$AU$836,3,)=0,0,(VLOOKUP($D386,$C$5:$AU$836,7,)/VLOOKUP($D386,$C$5:$AU$836,3,))*$E386)</f>
        <v>0</v>
      </c>
      <c r="J386" s="65">
        <f>IF(VLOOKUP($D386,$C$5:$AU$836,3,)=0,0,(VLOOKUP($D386,$C$5:$AU$836,8,)/VLOOKUP($D386,$C$5:$AU$836,3,))*$E386)</f>
        <v>0</v>
      </c>
      <c r="K386" s="65">
        <f>IF(VLOOKUP($D386,$C$5:$AU$836,3,)=0,0,(VLOOKUP($D386,$C$5:$AU$836,9,)/VLOOKUP($D386,$C$5:$AU$836,3,))*$E386)</f>
        <v>0</v>
      </c>
      <c r="L386" s="65">
        <f>IF(VLOOKUP($D386,$C$5:$AU$836,3,)=0,0,(VLOOKUP($D386,$C$5:$AU$836,10,)/VLOOKUP($D386,$C$5:$AU$836,3,))*$E386)</f>
        <v>0</v>
      </c>
      <c r="M386" s="65">
        <f>IF(VLOOKUP($D386,$C$5:$AU$836,3,)=0,0,(VLOOKUP($D386,$C$5:$AU$836,11,)/VLOOKUP($D386,$C$5:$AU$836,3,))*$E386)</f>
        <v>0</v>
      </c>
      <c r="N386" s="65">
        <f>IF(VLOOKUP($D386,$C$5:$AU$836,3,)=0,0,(VLOOKUP($D386,$C$5:$AU$836,12,)/VLOOKUP($D386,$C$5:$AU$836,3,))*$E386)</f>
        <v>0</v>
      </c>
      <c r="O386" s="65">
        <f>IF(VLOOKUP($D386,$C$5:$AU$836,3,)=0,0,(VLOOKUP($D386,$C$5:$AU$836,13,)/VLOOKUP($D386,$C$5:$AU$836,3,))*$E386)</f>
        <v>0</v>
      </c>
      <c r="P386" s="65">
        <f>IF(VLOOKUP($D386,$C$5:$AU$836,3,)=0,0,(VLOOKUP($D386,$C$5:$AU$836,14,)/VLOOKUP($D386,$C$5:$AU$836,3,))*$E386)</f>
        <v>0</v>
      </c>
      <c r="Q386" s="65">
        <f>IF(VLOOKUP($D386,$C$5:$AU$836,3,)=0,0,(VLOOKUP($D386,$C$5:$AU$836,15,)/VLOOKUP($D386,$C$5:$AU$836,3,))*$E386)</f>
        <v>0</v>
      </c>
      <c r="R386" s="65">
        <f>IF(VLOOKUP($D386,$C$5:$AU$836,3,)=0,0,(VLOOKUP($D386,$C$5:$AU$836,16,)/VLOOKUP($D386,$C$5:$AU$836,3,))*$E386)</f>
        <v>0</v>
      </c>
      <c r="S386" s="65">
        <f>IF(VLOOKUP($D386,$C$5:$AU$836,3,)=0,0,(VLOOKUP($D386,$C$5:$AU$836,17,)/VLOOKUP($D386,$C$5:$AU$836,3,))*$E386)</f>
        <v>0</v>
      </c>
      <c r="T386" s="65">
        <f>IF(VLOOKUP($D386,$C$5:$AU$836,3,)=0,0,(VLOOKUP($D386,$C$5:$AU$836,18,)/VLOOKUP($D386,$C$5:$AU$836,3,))*$E386)</f>
        <v>0</v>
      </c>
      <c r="U386" s="65">
        <f>IF(VLOOKUP($D386,$C$5:$AU$836,3,)=0,0,(VLOOKUP($D386,$C$5:$AU$836,19,)/VLOOKUP($D386,$C$5:$AU$836,3,))*$E386)</f>
        <v>0</v>
      </c>
      <c r="V386" s="65">
        <f>IF(VLOOKUP($D386,$C$5:$AU$836,3,)=0,0,(VLOOKUP($D386,$C$5:$AU$836,20,)/VLOOKUP($D386,$C$5:$AU$836,3,))*$E386)</f>
        <v>0</v>
      </c>
      <c r="W386" s="65">
        <f>IF(VLOOKUP($D386,$C$5:$AU$836,3,)=0,0,(VLOOKUP($D386,$C$5:$AU$836,21,)/VLOOKUP($D386,$C$5:$AU$836,3,))*$E386)</f>
        <v>0</v>
      </c>
      <c r="X386" s="65">
        <f>IF(VLOOKUP($D386,$C$5:$AU$836,3,)=0,0,(VLOOKUP($D386,$C$5:$AU$836,22,)/VLOOKUP($D386,$C$5:$AU$836,3,))*$E386)</f>
        <v>0</v>
      </c>
      <c r="Y386" s="65">
        <f>IF(VLOOKUP($D386,$C$5:$AU$836,3,)=0,0,(VLOOKUP($D386,$C$5:$AU$836,23,)/VLOOKUP($D386,$C$5:$AU$836,3,))*$E386)</f>
        <v>0</v>
      </c>
      <c r="Z386" s="65">
        <f>IF(VLOOKUP($D386,$C$5:$AU$836,3,)=0,0,(VLOOKUP($D386,$C$5:$AU$836,24,)/VLOOKUP($D386,$C$5:$AU$836,3,))*$E386)</f>
        <v>0</v>
      </c>
      <c r="AA386" s="65">
        <f>IF(VLOOKUP($D386,$C$5:$AU$836,3,)=0,0,(VLOOKUP($D386,$C$5:$AU$836,25,)/VLOOKUP($D386,$C$5:$AU$836,3,))*$E386)</f>
        <v>0</v>
      </c>
      <c r="AB386" s="65">
        <f>IF(VLOOKUP($D386,$C$5:$AU$836,3,)=0,0,(VLOOKUP($D386,$C$5:$AU$836,26,)/VLOOKUP($D386,$C$5:$AU$836,3,))*$E386)</f>
        <v>0</v>
      </c>
      <c r="AC386" s="65">
        <f>IF(VLOOKUP($D386,$C$5:$AU$836,3,)=0,0,(VLOOKUP($D386,$C$5:$AU$836,27,)/VLOOKUP($D386,$C$5:$AU$836,3,))*$E386)</f>
        <v>0</v>
      </c>
      <c r="AD386" s="65">
        <f>IF(VLOOKUP($D386,$C$5:$AU$836,3,)=0,0,(VLOOKUP($D386,$C$5:$AU$836,28,)/VLOOKUP($D386,$C$5:$AU$836,3,))*$E386)</f>
        <v>0</v>
      </c>
      <c r="AE386" s="65">
        <f>IF(VLOOKUP($D386,$C$5:$AU$836,3,)=0,0,(VLOOKUP($D386,$C$5:$AU$836,29,)/VLOOKUP($D386,$C$5:$AU$836,3,))*$E386)</f>
        <v>0</v>
      </c>
      <c r="AF386" s="65">
        <f>IF(VLOOKUP($D386,$C$5:$AU$836,3,)=0,0,(VLOOKUP($D386,$C$5:$AU$836,30,)/VLOOKUP($D386,$C$5:$AU$836,3,))*$E386)</f>
        <v>0</v>
      </c>
      <c r="AG386" s="16">
        <f>SUM(F386:AF386)</f>
        <v>0</v>
      </c>
      <c r="AH386" s="14" t="str">
        <f>IF(ABS(E386-AG386)&lt;0.01,"ok","err")</f>
        <v>ok</v>
      </c>
    </row>
    <row r="387" spans="1:34" x14ac:dyDescent="0.25">
      <c r="A387" s="12" t="s">
        <v>223</v>
      </c>
      <c r="C387" s="2" t="s">
        <v>286</v>
      </c>
      <c r="D387" s="2" t="s">
        <v>228</v>
      </c>
      <c r="E387" s="65">
        <f>'Functional Assignment'!AF442</f>
        <v>21131.248038059181</v>
      </c>
      <c r="F387" s="65">
        <f>IF(VLOOKUP($D387,$C$5:$AU$836,3,)=0,0,(VLOOKUP($D387,$C$5:$AU$836,4,)/VLOOKUP($D387,$C$5:$AU$836,3,))*$E387)</f>
        <v>16640.473988047474</v>
      </c>
      <c r="G387" s="65">
        <f>IF(VLOOKUP($D387,$C$5:$AU$836,3,)=0,0,(VLOOKUP($D387,$C$5:$AU$836,5,)/VLOOKUP($D387,$C$5:$AU$836,3,))*$E387)</f>
        <v>1894.4499930905881</v>
      </c>
      <c r="H387" s="65">
        <f>IF(VLOOKUP($D387,$C$5:$AU$836,3,)=0,0,(VLOOKUP($D387,$C$5:$AU$836,6,)/VLOOKUP($D387,$C$5:$AU$836,3,))*$E387)</f>
        <v>236.91862953853303</v>
      </c>
      <c r="I387" s="65">
        <f>IF(VLOOKUP($D387,$C$5:$AU$836,3,)=0,0,(VLOOKUP($D387,$C$5:$AU$836,7,)/VLOOKUP($D387,$C$5:$AU$836,3,))*$E387)</f>
        <v>74.719462330476986</v>
      </c>
      <c r="J387" s="65">
        <f>IF(VLOOKUP($D387,$C$5:$AU$836,3,)=0,0,(VLOOKUP($D387,$C$5:$AU$836,8,)/VLOOKUP($D387,$C$5:$AU$836,3,))*$E387)</f>
        <v>7.3667075537089985</v>
      </c>
      <c r="K387" s="65">
        <f>IF(VLOOKUP($D387,$C$5:$AU$836,3,)=0,0,(VLOOKUP($D387,$C$5:$AU$836,9,)/VLOOKUP($D387,$C$5:$AU$836,3,))*$E387)</f>
        <v>0.15755775848535972</v>
      </c>
      <c r="L387" s="65">
        <f>IF(VLOOKUP($D387,$C$5:$AU$836,3,)=0,0,(VLOOKUP($D387,$C$5:$AU$836,10,)/VLOOKUP($D387,$C$5:$AU$836,3,))*$E387)</f>
        <v>0.31511551697071943</v>
      </c>
      <c r="M387" s="65">
        <f>IF(VLOOKUP($D387,$C$5:$AU$836,3,)=0,0,(VLOOKUP($D387,$C$5:$AU$836,11,)/VLOOKUP($D387,$C$5:$AU$836,3,))*$E387)</f>
        <v>1.2604620678828777</v>
      </c>
      <c r="N387" s="65">
        <f>IF(VLOOKUP($D387,$C$5:$AU$836,3,)=0,0,(VLOOKUP($D387,$C$5:$AU$836,12,)/VLOOKUP($D387,$C$5:$AU$836,3,))*$E387)</f>
        <v>2275.5861221550608</v>
      </c>
      <c r="O387" s="65">
        <f>IF(VLOOKUP($D387,$C$5:$AU$836,3,)=0,0,(VLOOKUP($D387,$C$5:$AU$836,13,)/VLOOKUP($D387,$C$5:$AU$836,3,))*$E387)</f>
        <v>0</v>
      </c>
      <c r="P387" s="65">
        <f>IF(VLOOKUP($D387,$C$5:$AU$836,3,)=0,0,(VLOOKUP($D387,$C$5:$AU$836,14,)/VLOOKUP($D387,$C$5:$AU$836,3,))*$E387)</f>
        <v>0</v>
      </c>
      <c r="Q387" s="65">
        <f>IF(VLOOKUP($D387,$C$5:$AU$836,3,)=0,0,(VLOOKUP($D387,$C$5:$AU$836,15,)/VLOOKUP($D387,$C$5:$AU$836,3,))*$E387)</f>
        <v>0</v>
      </c>
      <c r="R387" s="65">
        <f>IF(VLOOKUP($D387,$C$5:$AU$836,3,)=0,0,(VLOOKUP($D387,$C$5:$AU$836,16,)/VLOOKUP($D387,$C$5:$AU$836,3,))*$E387)</f>
        <v>0</v>
      </c>
      <c r="S387" s="65">
        <f>IF(VLOOKUP($D387,$C$5:$AU$836,3,)=0,0,(VLOOKUP($D387,$C$5:$AU$836,17,)/VLOOKUP($D387,$C$5:$AU$836,3,))*$E387)</f>
        <v>0</v>
      </c>
      <c r="T387" s="65">
        <f>IF(VLOOKUP($D387,$C$5:$AU$836,3,)=0,0,(VLOOKUP($D387,$C$5:$AU$836,18,)/VLOOKUP($D387,$C$5:$AU$836,3,))*$E387)</f>
        <v>0</v>
      </c>
      <c r="U387" s="65">
        <f>IF(VLOOKUP($D387,$C$5:$AU$836,3,)=0,0,(VLOOKUP($D387,$C$5:$AU$836,19,)/VLOOKUP($D387,$C$5:$AU$836,3,))*$E387)</f>
        <v>0</v>
      </c>
      <c r="V387" s="65">
        <f>IF(VLOOKUP($D387,$C$5:$AU$836,3,)=0,0,(VLOOKUP($D387,$C$5:$AU$836,20,)/VLOOKUP($D387,$C$5:$AU$836,3,))*$E387)</f>
        <v>0</v>
      </c>
      <c r="W387" s="65">
        <f>IF(VLOOKUP($D387,$C$5:$AU$836,3,)=0,0,(VLOOKUP($D387,$C$5:$AU$836,21,)/VLOOKUP($D387,$C$5:$AU$836,3,))*$E387)</f>
        <v>0</v>
      </c>
      <c r="X387" s="65">
        <f>IF(VLOOKUP($D387,$C$5:$AU$836,3,)=0,0,(VLOOKUP($D387,$C$5:$AU$836,22,)/VLOOKUP($D387,$C$5:$AU$836,3,))*$E387)</f>
        <v>0</v>
      </c>
      <c r="Y387" s="65">
        <f>IF(VLOOKUP($D387,$C$5:$AU$836,3,)=0,0,(VLOOKUP($D387,$C$5:$AU$836,23,)/VLOOKUP($D387,$C$5:$AU$836,3,))*$E387)</f>
        <v>0</v>
      </c>
      <c r="Z387" s="65">
        <f>IF(VLOOKUP($D387,$C$5:$AU$836,3,)=0,0,(VLOOKUP($D387,$C$5:$AU$836,24,)/VLOOKUP($D387,$C$5:$AU$836,3,))*$E387)</f>
        <v>0</v>
      </c>
      <c r="AA387" s="65">
        <f>IF(VLOOKUP($D387,$C$5:$AU$836,3,)=0,0,(VLOOKUP($D387,$C$5:$AU$836,25,)/VLOOKUP($D387,$C$5:$AU$836,3,))*$E387)</f>
        <v>0</v>
      </c>
      <c r="AB387" s="65">
        <f>IF(VLOOKUP($D387,$C$5:$AU$836,3,)=0,0,(VLOOKUP($D387,$C$5:$AU$836,26,)/VLOOKUP($D387,$C$5:$AU$836,3,))*$E387)</f>
        <v>0</v>
      </c>
      <c r="AC387" s="65">
        <f>IF(VLOOKUP($D387,$C$5:$AU$836,3,)=0,0,(VLOOKUP($D387,$C$5:$AU$836,27,)/VLOOKUP($D387,$C$5:$AU$836,3,))*$E387)</f>
        <v>0</v>
      </c>
      <c r="AD387" s="65">
        <f>IF(VLOOKUP($D387,$C$5:$AU$836,3,)=0,0,(VLOOKUP($D387,$C$5:$AU$836,28,)/VLOOKUP($D387,$C$5:$AU$836,3,))*$E387)</f>
        <v>0</v>
      </c>
      <c r="AE387" s="65">
        <f>IF(VLOOKUP($D387,$C$5:$AU$836,3,)=0,0,(VLOOKUP($D387,$C$5:$AU$836,29,)/VLOOKUP($D387,$C$5:$AU$836,3,))*$E387)</f>
        <v>0</v>
      </c>
      <c r="AF387" s="65">
        <f>IF(VLOOKUP($D387,$C$5:$AU$836,3,)=0,0,(VLOOKUP($D387,$C$5:$AU$836,30,)/VLOOKUP($D387,$C$5:$AU$836,3,))*$E387)</f>
        <v>0</v>
      </c>
      <c r="AG387" s="16">
        <f>SUM(F387:AF387)</f>
        <v>21131.248038059181</v>
      </c>
      <c r="AH387" s="14" t="str">
        <f>IF(ABS(E387-AG387)&lt;0.01,"ok","err")</f>
        <v>ok</v>
      </c>
    </row>
    <row r="388" spans="1:34" x14ac:dyDescent="0.25">
      <c r="A388" s="2" t="s">
        <v>229</v>
      </c>
      <c r="E388" s="65">
        <f t="shared" ref="E388:N388" si="249">E386+E387</f>
        <v>21131.248038059181</v>
      </c>
      <c r="F388" s="65">
        <f t="shared" si="249"/>
        <v>16640.473988047474</v>
      </c>
      <c r="G388" s="65">
        <f t="shared" si="249"/>
        <v>1894.4499930905881</v>
      </c>
      <c r="H388" s="65">
        <f t="shared" si="249"/>
        <v>236.91862953853303</v>
      </c>
      <c r="I388" s="65">
        <f t="shared" si="249"/>
        <v>74.719462330476986</v>
      </c>
      <c r="J388" s="65">
        <f t="shared" si="249"/>
        <v>7.3667075537089985</v>
      </c>
      <c r="K388" s="65">
        <f t="shared" si="249"/>
        <v>0.15755775848535972</v>
      </c>
      <c r="L388" s="65">
        <f t="shared" si="249"/>
        <v>0.31511551697071943</v>
      </c>
      <c r="M388" s="65">
        <f t="shared" si="249"/>
        <v>1.2604620678828777</v>
      </c>
      <c r="N388" s="65">
        <f t="shared" si="249"/>
        <v>2275.5861221550608</v>
      </c>
      <c r="O388" s="65">
        <f t="shared" ref="O388:T388" si="250">O386+O387</f>
        <v>0</v>
      </c>
      <c r="P388" s="65">
        <f t="shared" si="250"/>
        <v>0</v>
      </c>
      <c r="Q388" s="65">
        <f t="shared" si="250"/>
        <v>0</v>
      </c>
      <c r="R388" s="65">
        <f t="shared" si="250"/>
        <v>0</v>
      </c>
      <c r="S388" s="65">
        <f t="shared" si="250"/>
        <v>0</v>
      </c>
      <c r="T388" s="65">
        <f t="shared" si="250"/>
        <v>0</v>
      </c>
      <c r="U388" s="65">
        <f t="shared" ref="U388:AF388" si="251">U386+U387</f>
        <v>0</v>
      </c>
      <c r="V388" s="65">
        <f t="shared" si="251"/>
        <v>0</v>
      </c>
      <c r="W388" s="65">
        <f t="shared" si="251"/>
        <v>0</v>
      </c>
      <c r="X388" s="65">
        <f t="shared" si="251"/>
        <v>0</v>
      </c>
      <c r="Y388" s="65">
        <f t="shared" si="251"/>
        <v>0</v>
      </c>
      <c r="Z388" s="65">
        <f t="shared" si="251"/>
        <v>0</v>
      </c>
      <c r="AA388" s="65">
        <f t="shared" si="251"/>
        <v>0</v>
      </c>
      <c r="AB388" s="65">
        <f t="shared" si="251"/>
        <v>0</v>
      </c>
      <c r="AC388" s="65">
        <f t="shared" si="251"/>
        <v>0</v>
      </c>
      <c r="AD388" s="65">
        <f t="shared" si="251"/>
        <v>0</v>
      </c>
      <c r="AE388" s="65">
        <f t="shared" si="251"/>
        <v>0</v>
      </c>
      <c r="AF388" s="65">
        <f t="shared" si="251"/>
        <v>0</v>
      </c>
      <c r="AG388" s="16">
        <f>SUM(F388:AF388)</f>
        <v>21131.248038059181</v>
      </c>
      <c r="AH388" s="14" t="str">
        <f>IF(ABS(E388-AG388)&lt;0.01,"ok","err")</f>
        <v>ok</v>
      </c>
    </row>
    <row r="389" spans="1:34" x14ac:dyDescent="0.25">
      <c r="E389" s="31"/>
    </row>
    <row r="390" spans="1:34" x14ac:dyDescent="0.25">
      <c r="A390" s="8" t="s">
        <v>6</v>
      </c>
      <c r="E390" s="31"/>
    </row>
    <row r="391" spans="1:34" x14ac:dyDescent="0.25">
      <c r="A391" s="12" t="s">
        <v>223</v>
      </c>
      <c r="C391" s="2" t="s">
        <v>287</v>
      </c>
      <c r="D391" s="2" t="s">
        <v>231</v>
      </c>
      <c r="E391" s="65">
        <f>'Functional Assignment'!AH442</f>
        <v>8090.9425415019723</v>
      </c>
      <c r="F391" s="65">
        <f>IF(VLOOKUP($D391,$C$5:$AU$836,3,)=0,0,(VLOOKUP($D391,$C$5:$AU$836,4,)/VLOOKUP($D391,$C$5:$AU$836,3,))*$E391)</f>
        <v>5358.042934657783</v>
      </c>
      <c r="G391" s="65">
        <f>IF(VLOOKUP($D391,$C$5:$AU$836,3,)=0,0,(VLOOKUP($D391,$C$5:$AU$836,5,)/VLOOKUP($D391,$C$5:$AU$836,3,))*$E391)</f>
        <v>2102.5903848590874</v>
      </c>
      <c r="H391" s="65">
        <f>IF(VLOOKUP($D391,$C$5:$AU$836,3,)=0,0,(VLOOKUP($D391,$C$5:$AU$836,6,)/VLOOKUP($D391,$C$5:$AU$836,3,))*$E391)</f>
        <v>501.458160176116</v>
      </c>
      <c r="I391" s="65">
        <f>IF(VLOOKUP($D391,$C$5:$AU$836,3,)=0,0,(VLOOKUP($D391,$C$5:$AU$836,7,)/VLOOKUP($D391,$C$5:$AU$836,3,))*$E391)</f>
        <v>58.25892162036336</v>
      </c>
      <c r="J391" s="65">
        <f>IF(VLOOKUP($D391,$C$5:$AU$836,3,)=0,0,(VLOOKUP($D391,$C$5:$AU$836,8,)/VLOOKUP($D391,$C$5:$AU$836,3,))*$E391)</f>
        <v>18.963110051035834</v>
      </c>
      <c r="K391" s="65">
        <f>IF(VLOOKUP($D391,$C$5:$AU$836,3,)=0,0,(VLOOKUP($D391,$C$5:$AU$836,9,)/VLOOKUP($D391,$C$5:$AU$836,3,))*$E391)</f>
        <v>5.2404758470204937</v>
      </c>
      <c r="L391" s="65">
        <f>IF(VLOOKUP($D391,$C$5:$AU$836,3,)=0,0,(VLOOKUP($D391,$C$5:$AU$836,10,)/VLOOKUP($D391,$C$5:$AU$836,3,))*$E391)</f>
        <v>10.480951694040987</v>
      </c>
      <c r="M391" s="65">
        <f>IF(VLOOKUP($D391,$C$5:$AU$836,3,)=0,0,(VLOOKUP($D391,$C$5:$AU$836,11,)/VLOOKUP($D391,$C$5:$AU$836,3,))*$E391)</f>
        <v>7.4642304005259001</v>
      </c>
      <c r="N391" s="65">
        <f>IF(VLOOKUP($D391,$C$5:$AU$836,3,)=0,0,(VLOOKUP($D391,$C$5:$AU$836,12,)/VLOOKUP($D391,$C$5:$AU$836,3,))*$E391)</f>
        <v>28.443372195999387</v>
      </c>
      <c r="O391" s="65">
        <f>IF(VLOOKUP($D391,$C$5:$AU$836,3,)=0,0,(VLOOKUP($D391,$C$5:$AU$836,13,)/VLOOKUP($D391,$C$5:$AU$836,3,))*$E391)</f>
        <v>0</v>
      </c>
      <c r="P391" s="65">
        <f>IF(VLOOKUP($D391,$C$5:$AU$836,3,)=0,0,(VLOOKUP($D391,$C$5:$AU$836,14,)/VLOOKUP($D391,$C$5:$AU$836,3,))*$E391)</f>
        <v>0</v>
      </c>
      <c r="Q391" s="65">
        <f>IF(VLOOKUP($D391,$C$5:$AU$836,3,)=0,0,(VLOOKUP($D391,$C$5:$AU$836,15,)/VLOOKUP($D391,$C$5:$AU$836,3,))*$E391)</f>
        <v>0</v>
      </c>
      <c r="R391" s="65">
        <f>IF(VLOOKUP($D391,$C$5:$AU$836,3,)=0,0,(VLOOKUP($D391,$C$5:$AU$836,16,)/VLOOKUP($D391,$C$5:$AU$836,3,))*$E391)</f>
        <v>0</v>
      </c>
      <c r="S391" s="65">
        <f>IF(VLOOKUP($D391,$C$5:$AU$836,3,)=0,0,(VLOOKUP($D391,$C$5:$AU$836,17,)/VLOOKUP($D391,$C$5:$AU$836,3,))*$E391)</f>
        <v>0</v>
      </c>
      <c r="T391" s="65">
        <f>IF(VLOOKUP($D391,$C$5:$AU$836,3,)=0,0,(VLOOKUP($D391,$C$5:$AU$836,18,)/VLOOKUP($D391,$C$5:$AU$836,3,))*$E391)</f>
        <v>0</v>
      </c>
      <c r="U391" s="65">
        <f>IF(VLOOKUP($D391,$C$5:$AU$836,3,)=0,0,(VLOOKUP($D391,$C$5:$AU$836,19,)/VLOOKUP($D391,$C$5:$AU$836,3,))*$E391)</f>
        <v>0</v>
      </c>
      <c r="V391" s="65">
        <f>IF(VLOOKUP($D391,$C$5:$AU$836,3,)=0,0,(VLOOKUP($D391,$C$5:$AU$836,20,)/VLOOKUP($D391,$C$5:$AU$836,3,))*$E391)</f>
        <v>0</v>
      </c>
      <c r="W391" s="65">
        <f>IF(VLOOKUP($D391,$C$5:$AU$836,3,)=0,0,(VLOOKUP($D391,$C$5:$AU$836,21,)/VLOOKUP($D391,$C$5:$AU$836,3,))*$E391)</f>
        <v>0</v>
      </c>
      <c r="X391" s="65">
        <f>IF(VLOOKUP($D391,$C$5:$AU$836,3,)=0,0,(VLOOKUP($D391,$C$5:$AU$836,22,)/VLOOKUP($D391,$C$5:$AU$836,3,))*$E391)</f>
        <v>0</v>
      </c>
      <c r="Y391" s="65">
        <f>IF(VLOOKUP($D391,$C$5:$AU$836,3,)=0,0,(VLOOKUP($D391,$C$5:$AU$836,23,)/VLOOKUP($D391,$C$5:$AU$836,3,))*$E391)</f>
        <v>0</v>
      </c>
      <c r="Z391" s="65">
        <f>IF(VLOOKUP($D391,$C$5:$AU$836,3,)=0,0,(VLOOKUP($D391,$C$5:$AU$836,24,)/VLOOKUP($D391,$C$5:$AU$836,3,))*$E391)</f>
        <v>0</v>
      </c>
      <c r="AA391" s="65">
        <f>IF(VLOOKUP($D391,$C$5:$AU$836,3,)=0,0,(VLOOKUP($D391,$C$5:$AU$836,25,)/VLOOKUP($D391,$C$5:$AU$836,3,))*$E391)</f>
        <v>0</v>
      </c>
      <c r="AB391" s="65">
        <f>IF(VLOOKUP($D391,$C$5:$AU$836,3,)=0,0,(VLOOKUP($D391,$C$5:$AU$836,26,)/VLOOKUP($D391,$C$5:$AU$836,3,))*$E391)</f>
        <v>0</v>
      </c>
      <c r="AC391" s="65">
        <f>IF(VLOOKUP($D391,$C$5:$AU$836,3,)=0,0,(VLOOKUP($D391,$C$5:$AU$836,27,)/VLOOKUP($D391,$C$5:$AU$836,3,))*$E391)</f>
        <v>0</v>
      </c>
      <c r="AD391" s="65">
        <f>IF(VLOOKUP($D391,$C$5:$AU$836,3,)=0,0,(VLOOKUP($D391,$C$5:$AU$836,28,)/VLOOKUP($D391,$C$5:$AU$836,3,))*$E391)</f>
        <v>0</v>
      </c>
      <c r="AE391" s="65">
        <f>IF(VLOOKUP($D391,$C$5:$AU$836,3,)=0,0,(VLOOKUP($D391,$C$5:$AU$836,29,)/VLOOKUP($D391,$C$5:$AU$836,3,))*$E391)</f>
        <v>0</v>
      </c>
      <c r="AF391" s="65">
        <f>IF(VLOOKUP($D391,$C$5:$AU$836,3,)=0,0,(VLOOKUP($D391,$C$5:$AU$836,30,)/VLOOKUP($D391,$C$5:$AU$836,3,))*$E391)</f>
        <v>0</v>
      </c>
      <c r="AG391" s="16">
        <f>SUM(F391:AF391)</f>
        <v>8090.9425415019714</v>
      </c>
      <c r="AH391" s="14" t="str">
        <f>IF(ABS(E391-AG391)&lt;0.01,"ok","err")</f>
        <v>ok</v>
      </c>
    </row>
    <row r="392" spans="1:34" x14ac:dyDescent="0.25">
      <c r="E392" s="31"/>
    </row>
    <row r="393" spans="1:34" x14ac:dyDescent="0.25">
      <c r="A393" s="8" t="s">
        <v>7</v>
      </c>
      <c r="E393" s="31"/>
    </row>
    <row r="394" spans="1:34" x14ac:dyDescent="0.25">
      <c r="A394" s="12" t="s">
        <v>223</v>
      </c>
      <c r="C394" s="2" t="s">
        <v>288</v>
      </c>
      <c r="D394" s="2" t="s">
        <v>233</v>
      </c>
      <c r="E394" s="65">
        <f>'Functional Assignment'!AJ442</f>
        <v>8748.9193844340061</v>
      </c>
      <c r="F394" s="65">
        <f>IF(VLOOKUP($D394,$C$5:$AU$836,3,)=0,0,(VLOOKUP($D394,$C$5:$AU$836,4,)/VLOOKUP($D394,$C$5:$AU$836,3,))*$E394)</f>
        <v>0</v>
      </c>
      <c r="G394" s="65">
        <f>IF(VLOOKUP($D394,$C$5:$AU$836,3,)=0,0,(VLOOKUP($D394,$C$5:$AU$836,5,)/VLOOKUP($D394,$C$5:$AU$836,3,))*$E394)</f>
        <v>0</v>
      </c>
      <c r="H394" s="65">
        <f>IF(VLOOKUP($D394,$C$5:$AU$836,3,)=0,0,(VLOOKUP($D394,$C$5:$AU$836,6,)/VLOOKUP($D394,$C$5:$AU$836,3,))*$E394)</f>
        <v>0</v>
      </c>
      <c r="I394" s="65">
        <f>IF(VLOOKUP($D394,$C$5:$AU$836,3,)=0,0,(VLOOKUP($D394,$C$5:$AU$836,7,)/VLOOKUP($D394,$C$5:$AU$836,3,))*$E394)</f>
        <v>0</v>
      </c>
      <c r="J394" s="65">
        <f>IF(VLOOKUP($D394,$C$5:$AU$836,3,)=0,0,(VLOOKUP($D394,$C$5:$AU$836,8,)/VLOOKUP($D394,$C$5:$AU$836,3,))*$E394)</f>
        <v>0</v>
      </c>
      <c r="K394" s="65">
        <f>IF(VLOOKUP($D394,$C$5:$AU$836,3,)=0,0,(VLOOKUP($D394,$C$5:$AU$836,9,)/VLOOKUP($D394,$C$5:$AU$836,3,))*$E394)</f>
        <v>0</v>
      </c>
      <c r="L394" s="65">
        <f>IF(VLOOKUP($D394,$C$5:$AU$836,3,)=0,0,(VLOOKUP($D394,$C$5:$AU$836,10,)/VLOOKUP($D394,$C$5:$AU$836,3,))*$E394)</f>
        <v>0</v>
      </c>
      <c r="M394" s="65">
        <f>IF(VLOOKUP($D394,$C$5:$AU$836,3,)=0,0,(VLOOKUP($D394,$C$5:$AU$836,11,)/VLOOKUP($D394,$C$5:$AU$836,3,))*$E394)</f>
        <v>0</v>
      </c>
      <c r="N394" s="65">
        <f>IF(VLOOKUP($D394,$C$5:$AU$836,3,)=0,0,(VLOOKUP($D394,$C$5:$AU$836,12,)/VLOOKUP($D394,$C$5:$AU$836,3,))*$E394)</f>
        <v>8748.9193844340061</v>
      </c>
      <c r="O394" s="65">
        <f>IF(VLOOKUP($D394,$C$5:$AU$836,3,)=0,0,(VLOOKUP($D394,$C$5:$AU$836,13,)/VLOOKUP($D394,$C$5:$AU$836,3,))*$E394)</f>
        <v>0</v>
      </c>
      <c r="P394" s="65">
        <f>IF(VLOOKUP($D394,$C$5:$AU$836,3,)=0,0,(VLOOKUP($D394,$C$5:$AU$836,14,)/VLOOKUP($D394,$C$5:$AU$836,3,))*$E394)</f>
        <v>0</v>
      </c>
      <c r="Q394" s="65">
        <f>IF(VLOOKUP($D394,$C$5:$AU$836,3,)=0,0,(VLOOKUP($D394,$C$5:$AU$836,15,)/VLOOKUP($D394,$C$5:$AU$836,3,))*$E394)</f>
        <v>0</v>
      </c>
      <c r="R394" s="65">
        <f>IF(VLOOKUP($D394,$C$5:$AU$836,3,)=0,0,(VLOOKUP($D394,$C$5:$AU$836,16,)/VLOOKUP($D394,$C$5:$AU$836,3,))*$E394)</f>
        <v>0</v>
      </c>
      <c r="S394" s="65">
        <f>IF(VLOOKUP($D394,$C$5:$AU$836,3,)=0,0,(VLOOKUP($D394,$C$5:$AU$836,17,)/VLOOKUP($D394,$C$5:$AU$836,3,))*$E394)</f>
        <v>0</v>
      </c>
      <c r="T394" s="65">
        <f>IF(VLOOKUP($D394,$C$5:$AU$836,3,)=0,0,(VLOOKUP($D394,$C$5:$AU$836,18,)/VLOOKUP($D394,$C$5:$AU$836,3,))*$E394)</f>
        <v>0</v>
      </c>
      <c r="U394" s="65">
        <f>IF(VLOOKUP($D394,$C$5:$AU$836,3,)=0,0,(VLOOKUP($D394,$C$5:$AU$836,19,)/VLOOKUP($D394,$C$5:$AU$836,3,))*$E394)</f>
        <v>0</v>
      </c>
      <c r="V394" s="65">
        <f>IF(VLOOKUP($D394,$C$5:$AU$836,3,)=0,0,(VLOOKUP($D394,$C$5:$AU$836,20,)/VLOOKUP($D394,$C$5:$AU$836,3,))*$E394)</f>
        <v>0</v>
      </c>
      <c r="W394" s="65">
        <f>IF(VLOOKUP($D394,$C$5:$AU$836,3,)=0,0,(VLOOKUP($D394,$C$5:$AU$836,21,)/VLOOKUP($D394,$C$5:$AU$836,3,))*$E394)</f>
        <v>0</v>
      </c>
      <c r="X394" s="65">
        <f>IF(VLOOKUP($D394,$C$5:$AU$836,3,)=0,0,(VLOOKUP($D394,$C$5:$AU$836,22,)/VLOOKUP($D394,$C$5:$AU$836,3,))*$E394)</f>
        <v>0</v>
      </c>
      <c r="Y394" s="65">
        <f>IF(VLOOKUP($D394,$C$5:$AU$836,3,)=0,0,(VLOOKUP($D394,$C$5:$AU$836,23,)/VLOOKUP($D394,$C$5:$AU$836,3,))*$E394)</f>
        <v>0</v>
      </c>
      <c r="Z394" s="65">
        <f>IF(VLOOKUP($D394,$C$5:$AU$836,3,)=0,0,(VLOOKUP($D394,$C$5:$AU$836,24,)/VLOOKUP($D394,$C$5:$AU$836,3,))*$E394)</f>
        <v>0</v>
      </c>
      <c r="AA394" s="65">
        <f>IF(VLOOKUP($D394,$C$5:$AU$836,3,)=0,0,(VLOOKUP($D394,$C$5:$AU$836,25,)/VLOOKUP($D394,$C$5:$AU$836,3,))*$E394)</f>
        <v>0</v>
      </c>
      <c r="AB394" s="65">
        <f>IF(VLOOKUP($D394,$C$5:$AU$836,3,)=0,0,(VLOOKUP($D394,$C$5:$AU$836,26,)/VLOOKUP($D394,$C$5:$AU$836,3,))*$E394)</f>
        <v>0</v>
      </c>
      <c r="AC394" s="65">
        <f>IF(VLOOKUP($D394,$C$5:$AU$836,3,)=0,0,(VLOOKUP($D394,$C$5:$AU$836,27,)/VLOOKUP($D394,$C$5:$AU$836,3,))*$E394)</f>
        <v>0</v>
      </c>
      <c r="AD394" s="65">
        <f>IF(VLOOKUP($D394,$C$5:$AU$836,3,)=0,0,(VLOOKUP($D394,$C$5:$AU$836,28,)/VLOOKUP($D394,$C$5:$AU$836,3,))*$E394)</f>
        <v>0</v>
      </c>
      <c r="AE394" s="65">
        <f>IF(VLOOKUP($D394,$C$5:$AU$836,3,)=0,0,(VLOOKUP($D394,$C$5:$AU$836,29,)/VLOOKUP($D394,$C$5:$AU$836,3,))*$E394)</f>
        <v>0</v>
      </c>
      <c r="AF394" s="65">
        <f>IF(VLOOKUP($D394,$C$5:$AU$836,3,)=0,0,(VLOOKUP($D394,$C$5:$AU$836,30,)/VLOOKUP($D394,$C$5:$AU$836,3,))*$E394)</f>
        <v>0</v>
      </c>
      <c r="AG394" s="16">
        <f>SUM(F394:AF394)</f>
        <v>8748.9193844340061</v>
      </c>
      <c r="AH394" s="14" t="str">
        <f>IF(ABS(E394-AG394)&lt;0.01,"ok","err")</f>
        <v>ok</v>
      </c>
    </row>
    <row r="395" spans="1:34" x14ac:dyDescent="0.25">
      <c r="E395" s="31"/>
    </row>
    <row r="396" spans="1:34" x14ac:dyDescent="0.25">
      <c r="A396" s="8" t="s">
        <v>534</v>
      </c>
      <c r="E396" s="31"/>
    </row>
    <row r="397" spans="1:34" x14ac:dyDescent="0.25">
      <c r="A397" s="12" t="s">
        <v>223</v>
      </c>
      <c r="C397" s="2" t="s">
        <v>289</v>
      </c>
      <c r="D397" s="2" t="s">
        <v>235</v>
      </c>
      <c r="E397" s="65">
        <f>'Functional Assignment'!AL442</f>
        <v>0</v>
      </c>
      <c r="F397" s="65">
        <f>IF(VLOOKUP($D397,$C$5:$AU$836,3,)=0,0,(VLOOKUP($D397,$C$5:$AU$836,4,)/VLOOKUP($D397,$C$5:$AU$836,3,))*$E397)</f>
        <v>0</v>
      </c>
      <c r="G397" s="65">
        <f>IF(VLOOKUP($D397,$C$5:$AU$836,3,)=0,0,(VLOOKUP($D397,$C$5:$AU$836,5,)/VLOOKUP($D397,$C$5:$AU$836,3,))*$E397)</f>
        <v>0</v>
      </c>
      <c r="H397" s="65">
        <f>IF(VLOOKUP($D397,$C$5:$AU$836,3,)=0,0,(VLOOKUP($D397,$C$5:$AU$836,6,)/VLOOKUP($D397,$C$5:$AU$836,3,))*$E397)</f>
        <v>0</v>
      </c>
      <c r="I397" s="65">
        <f>IF(VLOOKUP($D397,$C$5:$AU$836,3,)=0,0,(VLOOKUP($D397,$C$5:$AU$836,7,)/VLOOKUP($D397,$C$5:$AU$836,3,))*$E397)</f>
        <v>0</v>
      </c>
      <c r="J397" s="65">
        <f>IF(VLOOKUP($D397,$C$5:$AU$836,3,)=0,0,(VLOOKUP($D397,$C$5:$AU$836,8,)/VLOOKUP($D397,$C$5:$AU$836,3,))*$E397)</f>
        <v>0</v>
      </c>
      <c r="K397" s="65">
        <f>IF(VLOOKUP($D397,$C$5:$AU$836,3,)=0,0,(VLOOKUP($D397,$C$5:$AU$836,9,)/VLOOKUP($D397,$C$5:$AU$836,3,))*$E397)</f>
        <v>0</v>
      </c>
      <c r="L397" s="65">
        <f>IF(VLOOKUP($D397,$C$5:$AU$836,3,)=0,0,(VLOOKUP($D397,$C$5:$AU$836,10,)/VLOOKUP($D397,$C$5:$AU$836,3,))*$E397)</f>
        <v>0</v>
      </c>
      <c r="M397" s="65">
        <f>IF(VLOOKUP($D397,$C$5:$AU$836,3,)=0,0,(VLOOKUP($D397,$C$5:$AU$836,11,)/VLOOKUP($D397,$C$5:$AU$836,3,))*$E397)</f>
        <v>0</v>
      </c>
      <c r="N397" s="65">
        <f>IF(VLOOKUP($D397,$C$5:$AU$836,3,)=0,0,(VLOOKUP($D397,$C$5:$AU$836,12,)/VLOOKUP($D397,$C$5:$AU$836,3,))*$E397)</f>
        <v>0</v>
      </c>
      <c r="O397" s="65">
        <f>IF(VLOOKUP($D397,$C$5:$AU$836,3,)=0,0,(VLOOKUP($D397,$C$5:$AU$836,13,)/VLOOKUP($D397,$C$5:$AU$836,3,))*$E397)</f>
        <v>0</v>
      </c>
      <c r="P397" s="65">
        <f>IF(VLOOKUP($D397,$C$5:$AU$836,3,)=0,0,(VLOOKUP($D397,$C$5:$AU$836,14,)/VLOOKUP($D397,$C$5:$AU$836,3,))*$E397)</f>
        <v>0</v>
      </c>
      <c r="Q397" s="65">
        <f>IF(VLOOKUP($D397,$C$5:$AU$836,3,)=0,0,(VLOOKUP($D397,$C$5:$AU$836,15,)/VLOOKUP($D397,$C$5:$AU$836,3,))*$E397)</f>
        <v>0</v>
      </c>
      <c r="R397" s="65">
        <f>IF(VLOOKUP($D397,$C$5:$AU$836,3,)=0,0,(VLOOKUP($D397,$C$5:$AU$836,16,)/VLOOKUP($D397,$C$5:$AU$836,3,))*$E397)</f>
        <v>0</v>
      </c>
      <c r="S397" s="65">
        <f>IF(VLOOKUP($D397,$C$5:$AU$836,3,)=0,0,(VLOOKUP($D397,$C$5:$AU$836,17,)/VLOOKUP($D397,$C$5:$AU$836,3,))*$E397)</f>
        <v>0</v>
      </c>
      <c r="T397" s="65">
        <f>IF(VLOOKUP($D397,$C$5:$AU$836,3,)=0,0,(VLOOKUP($D397,$C$5:$AU$836,18,)/VLOOKUP($D397,$C$5:$AU$836,3,))*$E397)</f>
        <v>0</v>
      </c>
      <c r="U397" s="65">
        <f>IF(VLOOKUP($D397,$C$5:$AU$836,3,)=0,0,(VLOOKUP($D397,$C$5:$AU$836,19,)/VLOOKUP($D397,$C$5:$AU$836,3,))*$E397)</f>
        <v>0</v>
      </c>
      <c r="V397" s="65">
        <f>IF(VLOOKUP($D397,$C$5:$AU$836,3,)=0,0,(VLOOKUP($D397,$C$5:$AU$836,20,)/VLOOKUP($D397,$C$5:$AU$836,3,))*$E397)</f>
        <v>0</v>
      </c>
      <c r="W397" s="65">
        <f>IF(VLOOKUP($D397,$C$5:$AU$836,3,)=0,0,(VLOOKUP($D397,$C$5:$AU$836,21,)/VLOOKUP($D397,$C$5:$AU$836,3,))*$E397)</f>
        <v>0</v>
      </c>
      <c r="X397" s="65">
        <f>IF(VLOOKUP($D397,$C$5:$AU$836,3,)=0,0,(VLOOKUP($D397,$C$5:$AU$836,22,)/VLOOKUP($D397,$C$5:$AU$836,3,))*$E397)</f>
        <v>0</v>
      </c>
      <c r="Y397" s="65">
        <f>IF(VLOOKUP($D397,$C$5:$AU$836,3,)=0,0,(VLOOKUP($D397,$C$5:$AU$836,23,)/VLOOKUP($D397,$C$5:$AU$836,3,))*$E397)</f>
        <v>0</v>
      </c>
      <c r="Z397" s="65">
        <f>IF(VLOOKUP($D397,$C$5:$AU$836,3,)=0,0,(VLOOKUP($D397,$C$5:$AU$836,24,)/VLOOKUP($D397,$C$5:$AU$836,3,))*$E397)</f>
        <v>0</v>
      </c>
      <c r="AA397" s="65">
        <f>IF(VLOOKUP($D397,$C$5:$AU$836,3,)=0,0,(VLOOKUP($D397,$C$5:$AU$836,25,)/VLOOKUP($D397,$C$5:$AU$836,3,))*$E397)</f>
        <v>0</v>
      </c>
      <c r="AB397" s="65">
        <f>IF(VLOOKUP($D397,$C$5:$AU$836,3,)=0,0,(VLOOKUP($D397,$C$5:$AU$836,26,)/VLOOKUP($D397,$C$5:$AU$836,3,))*$E397)</f>
        <v>0</v>
      </c>
      <c r="AC397" s="65">
        <f>IF(VLOOKUP($D397,$C$5:$AU$836,3,)=0,0,(VLOOKUP($D397,$C$5:$AU$836,27,)/VLOOKUP($D397,$C$5:$AU$836,3,))*$E397)</f>
        <v>0</v>
      </c>
      <c r="AD397" s="65">
        <f>IF(VLOOKUP($D397,$C$5:$AU$836,3,)=0,0,(VLOOKUP($D397,$C$5:$AU$836,28,)/VLOOKUP($D397,$C$5:$AU$836,3,))*$E397)</f>
        <v>0</v>
      </c>
      <c r="AE397" s="65">
        <f>IF(VLOOKUP($D397,$C$5:$AU$836,3,)=0,0,(VLOOKUP($D397,$C$5:$AU$836,29,)/VLOOKUP($D397,$C$5:$AU$836,3,))*$E397)</f>
        <v>0</v>
      </c>
      <c r="AF397" s="65">
        <f>IF(VLOOKUP($D397,$C$5:$AU$836,3,)=0,0,(VLOOKUP($D397,$C$5:$AU$836,30,)/VLOOKUP($D397,$C$5:$AU$836,3,))*$E397)</f>
        <v>0</v>
      </c>
      <c r="AG397" s="16">
        <f>SUM(F397:AF397)</f>
        <v>0</v>
      </c>
      <c r="AH397" s="14" t="str">
        <f>IF(ABS(E397-AG397)&lt;0.01,"ok","err")</f>
        <v>ok</v>
      </c>
    </row>
    <row r="398" spans="1:34" x14ac:dyDescent="0.25">
      <c r="E398" s="31"/>
    </row>
    <row r="399" spans="1:34" x14ac:dyDescent="0.25">
      <c r="A399" s="8" t="s">
        <v>662</v>
      </c>
      <c r="E399" s="31"/>
    </row>
    <row r="400" spans="1:34" x14ac:dyDescent="0.25">
      <c r="A400" s="12" t="s">
        <v>223</v>
      </c>
      <c r="C400" s="2" t="s">
        <v>286</v>
      </c>
      <c r="D400" s="2" t="s">
        <v>236</v>
      </c>
      <c r="E400" s="65">
        <f>'Functional Assignment'!AN442</f>
        <v>0</v>
      </c>
      <c r="F400" s="65">
        <f>IF(VLOOKUP($D400,$C$5:$AU$836,3,)=0,0,(VLOOKUP($D400,$C$5:$AU$836,4,)/VLOOKUP($D400,$C$5:$AU$836,3,))*$E400)</f>
        <v>0</v>
      </c>
      <c r="G400" s="65">
        <f>IF(VLOOKUP($D400,$C$5:$AU$836,3,)=0,0,(VLOOKUP($D400,$C$5:$AU$836,5,)/VLOOKUP($D400,$C$5:$AU$836,3,))*$E400)</f>
        <v>0</v>
      </c>
      <c r="H400" s="65">
        <f>IF(VLOOKUP($D400,$C$5:$AU$836,3,)=0,0,(VLOOKUP($D400,$C$5:$AU$836,6,)/VLOOKUP($D400,$C$5:$AU$836,3,))*$E400)</f>
        <v>0</v>
      </c>
      <c r="I400" s="65">
        <f>IF(VLOOKUP($D400,$C$5:$AU$836,3,)=0,0,(VLOOKUP($D400,$C$5:$AU$836,7,)/VLOOKUP($D400,$C$5:$AU$836,3,))*$E400)</f>
        <v>0</v>
      </c>
      <c r="J400" s="65">
        <f>IF(VLOOKUP($D400,$C$5:$AU$836,3,)=0,0,(VLOOKUP($D400,$C$5:$AU$836,8,)/VLOOKUP($D400,$C$5:$AU$836,3,))*$E400)</f>
        <v>0</v>
      </c>
      <c r="K400" s="65">
        <f>IF(VLOOKUP($D400,$C$5:$AU$836,3,)=0,0,(VLOOKUP($D400,$C$5:$AU$836,9,)/VLOOKUP($D400,$C$5:$AU$836,3,))*$E400)</f>
        <v>0</v>
      </c>
      <c r="L400" s="65">
        <f>IF(VLOOKUP($D400,$C$5:$AU$836,3,)=0,0,(VLOOKUP($D400,$C$5:$AU$836,10,)/VLOOKUP($D400,$C$5:$AU$836,3,))*$E400)</f>
        <v>0</v>
      </c>
      <c r="M400" s="65">
        <f>IF(VLOOKUP($D400,$C$5:$AU$836,3,)=0,0,(VLOOKUP($D400,$C$5:$AU$836,11,)/VLOOKUP($D400,$C$5:$AU$836,3,))*$E400)</f>
        <v>0</v>
      </c>
      <c r="N400" s="65">
        <f>IF(VLOOKUP($D400,$C$5:$AU$836,3,)=0,0,(VLOOKUP($D400,$C$5:$AU$836,12,)/VLOOKUP($D400,$C$5:$AU$836,3,))*$E400)</f>
        <v>0</v>
      </c>
      <c r="O400" s="65">
        <f>IF(VLOOKUP($D400,$C$5:$AU$836,3,)=0,0,(VLOOKUP($D400,$C$5:$AU$836,13,)/VLOOKUP($D400,$C$5:$AU$836,3,))*$E400)</f>
        <v>0</v>
      </c>
      <c r="P400" s="65">
        <f>IF(VLOOKUP($D400,$C$5:$AU$836,3,)=0,0,(VLOOKUP($D400,$C$5:$AU$836,14,)/VLOOKUP($D400,$C$5:$AU$836,3,))*$E400)</f>
        <v>0</v>
      </c>
      <c r="Q400" s="65">
        <f>IF(VLOOKUP($D400,$C$5:$AU$836,3,)=0,0,(VLOOKUP($D400,$C$5:$AU$836,15,)/VLOOKUP($D400,$C$5:$AU$836,3,))*$E400)</f>
        <v>0</v>
      </c>
      <c r="R400" s="65">
        <f>IF(VLOOKUP($D400,$C$5:$AU$836,3,)=0,0,(VLOOKUP($D400,$C$5:$AU$836,16,)/VLOOKUP($D400,$C$5:$AU$836,3,))*$E400)</f>
        <v>0</v>
      </c>
      <c r="S400" s="65">
        <f>IF(VLOOKUP($D400,$C$5:$AU$836,3,)=0,0,(VLOOKUP($D400,$C$5:$AU$836,17,)/VLOOKUP($D400,$C$5:$AU$836,3,))*$E400)</f>
        <v>0</v>
      </c>
      <c r="T400" s="65">
        <f>IF(VLOOKUP($D400,$C$5:$AU$836,3,)=0,0,(VLOOKUP($D400,$C$5:$AU$836,18,)/VLOOKUP($D400,$C$5:$AU$836,3,))*$E400)</f>
        <v>0</v>
      </c>
      <c r="U400" s="65">
        <f>IF(VLOOKUP($D400,$C$5:$AU$836,3,)=0,0,(VLOOKUP($D400,$C$5:$AU$836,19,)/VLOOKUP($D400,$C$5:$AU$836,3,))*$E400)</f>
        <v>0</v>
      </c>
      <c r="V400" s="65">
        <f>IF(VLOOKUP($D400,$C$5:$AU$836,3,)=0,0,(VLOOKUP($D400,$C$5:$AU$836,20,)/VLOOKUP($D400,$C$5:$AU$836,3,))*$E400)</f>
        <v>0</v>
      </c>
      <c r="W400" s="65">
        <f>IF(VLOOKUP($D400,$C$5:$AU$836,3,)=0,0,(VLOOKUP($D400,$C$5:$AU$836,21,)/VLOOKUP($D400,$C$5:$AU$836,3,))*$E400)</f>
        <v>0</v>
      </c>
      <c r="X400" s="65">
        <f>IF(VLOOKUP($D400,$C$5:$AU$836,3,)=0,0,(VLOOKUP($D400,$C$5:$AU$836,22,)/VLOOKUP($D400,$C$5:$AU$836,3,))*$E400)</f>
        <v>0</v>
      </c>
      <c r="Y400" s="65">
        <f>IF(VLOOKUP($D400,$C$5:$AU$836,3,)=0,0,(VLOOKUP($D400,$C$5:$AU$836,23,)/VLOOKUP($D400,$C$5:$AU$836,3,))*$E400)</f>
        <v>0</v>
      </c>
      <c r="Z400" s="65">
        <f>IF(VLOOKUP($D400,$C$5:$AU$836,3,)=0,0,(VLOOKUP($D400,$C$5:$AU$836,24,)/VLOOKUP($D400,$C$5:$AU$836,3,))*$E400)</f>
        <v>0</v>
      </c>
      <c r="AA400" s="65">
        <f>IF(VLOOKUP($D400,$C$5:$AU$836,3,)=0,0,(VLOOKUP($D400,$C$5:$AU$836,25,)/VLOOKUP($D400,$C$5:$AU$836,3,))*$E400)</f>
        <v>0</v>
      </c>
      <c r="AB400" s="65">
        <f>IF(VLOOKUP($D400,$C$5:$AU$836,3,)=0,0,(VLOOKUP($D400,$C$5:$AU$836,26,)/VLOOKUP($D400,$C$5:$AU$836,3,))*$E400)</f>
        <v>0</v>
      </c>
      <c r="AC400" s="65">
        <f>IF(VLOOKUP($D400,$C$5:$AU$836,3,)=0,0,(VLOOKUP($D400,$C$5:$AU$836,27,)/VLOOKUP($D400,$C$5:$AU$836,3,))*$E400)</f>
        <v>0</v>
      </c>
      <c r="AD400" s="65">
        <f>IF(VLOOKUP($D400,$C$5:$AU$836,3,)=0,0,(VLOOKUP($D400,$C$5:$AU$836,28,)/VLOOKUP($D400,$C$5:$AU$836,3,))*$E400)</f>
        <v>0</v>
      </c>
      <c r="AE400" s="65">
        <f>IF(VLOOKUP($D400,$C$5:$AU$836,3,)=0,0,(VLOOKUP($D400,$C$5:$AU$836,29,)/VLOOKUP($D400,$C$5:$AU$836,3,))*$E400)</f>
        <v>0</v>
      </c>
      <c r="AF400" s="65">
        <f>IF(VLOOKUP($D400,$C$5:$AU$836,3,)=0,0,(VLOOKUP($D400,$C$5:$AU$836,30,)/VLOOKUP($D400,$C$5:$AU$836,3,))*$E400)</f>
        <v>0</v>
      </c>
      <c r="AG400" s="16">
        <f>SUM(F400:AF400)</f>
        <v>0</v>
      </c>
      <c r="AH400" s="14" t="str">
        <f>IF(ABS(E400-AG400)&lt;0.01,"ok","err")</f>
        <v>ok</v>
      </c>
    </row>
    <row r="401" spans="1:34" x14ac:dyDescent="0.25">
      <c r="E401" s="31"/>
    </row>
    <row r="402" spans="1:34" x14ac:dyDescent="0.25">
      <c r="A402" s="2" t="s">
        <v>1</v>
      </c>
      <c r="C402" s="2" t="s">
        <v>290</v>
      </c>
      <c r="E402" s="65">
        <f>E359+E362+E365+E368+E373+E378+E383+E388+E391+E394+E397+E400</f>
        <v>167723.58000000007</v>
      </c>
      <c r="F402" s="65">
        <f t="shared" ref="F402:AF402" si="252">F359+F362+F365+F368+F373+F378+F383+F388+F391+F394+F397+F400</f>
        <v>119235.925950227</v>
      </c>
      <c r="G402" s="65">
        <f t="shared" si="252"/>
        <v>13251.37675673947</v>
      </c>
      <c r="H402" s="65">
        <f t="shared" si="252"/>
        <v>15368.439756049082</v>
      </c>
      <c r="I402" s="65">
        <f t="shared" si="252"/>
        <v>2330.0471504535421</v>
      </c>
      <c r="J402" s="65">
        <f t="shared" si="252"/>
        <v>1552.8178155551398</v>
      </c>
      <c r="K402" s="65">
        <f t="shared" si="252"/>
        <v>15.304467784363851</v>
      </c>
      <c r="L402" s="65">
        <f t="shared" si="252"/>
        <v>229.52603162803931</v>
      </c>
      <c r="M402" s="65">
        <f t="shared" si="252"/>
        <v>3476.828809993815</v>
      </c>
      <c r="N402" s="65">
        <f t="shared" si="252"/>
        <v>12263.313261569581</v>
      </c>
      <c r="O402" s="65">
        <f t="shared" si="252"/>
        <v>0</v>
      </c>
      <c r="P402" s="65">
        <f t="shared" si="252"/>
        <v>0</v>
      </c>
      <c r="Q402" s="65">
        <f t="shared" si="252"/>
        <v>0</v>
      </c>
      <c r="R402" s="65">
        <f t="shared" si="252"/>
        <v>0</v>
      </c>
      <c r="S402" s="65">
        <f t="shared" si="252"/>
        <v>0</v>
      </c>
      <c r="T402" s="65">
        <f t="shared" si="252"/>
        <v>0</v>
      </c>
      <c r="U402" s="65">
        <f t="shared" si="252"/>
        <v>0</v>
      </c>
      <c r="V402" s="65">
        <f t="shared" si="252"/>
        <v>0</v>
      </c>
      <c r="W402" s="65">
        <f t="shared" si="252"/>
        <v>0</v>
      </c>
      <c r="X402" s="65">
        <f t="shared" si="252"/>
        <v>0</v>
      </c>
      <c r="Y402" s="65">
        <f t="shared" si="252"/>
        <v>0</v>
      </c>
      <c r="Z402" s="65">
        <f t="shared" si="252"/>
        <v>0</v>
      </c>
      <c r="AA402" s="65">
        <f t="shared" si="252"/>
        <v>0</v>
      </c>
      <c r="AB402" s="65">
        <f t="shared" si="252"/>
        <v>0</v>
      </c>
      <c r="AC402" s="65">
        <f t="shared" si="252"/>
        <v>0</v>
      </c>
      <c r="AD402" s="65">
        <f t="shared" si="252"/>
        <v>0</v>
      </c>
      <c r="AE402" s="65">
        <f t="shared" si="252"/>
        <v>0</v>
      </c>
      <c r="AF402" s="65">
        <f t="shared" si="252"/>
        <v>0</v>
      </c>
      <c r="AG402" s="16">
        <f>SUM(F402:AF402)</f>
        <v>167723.58000000005</v>
      </c>
      <c r="AH402" s="14" t="str">
        <f>IF(ABS(E402-AG402)&lt;0.01,"ok","err")</f>
        <v>ok</v>
      </c>
    </row>
    <row r="405" spans="1:34" x14ac:dyDescent="0.25">
      <c r="A405" s="6" t="s">
        <v>291</v>
      </c>
    </row>
    <row r="407" spans="1:34" x14ac:dyDescent="0.25">
      <c r="A407" s="8" t="s">
        <v>2</v>
      </c>
    </row>
    <row r="408" spans="1:34" x14ac:dyDescent="0.25">
      <c r="A408" s="118" t="s">
        <v>214</v>
      </c>
      <c r="C408" s="2" t="s">
        <v>903</v>
      </c>
      <c r="D408" s="9" t="s">
        <v>1072</v>
      </c>
      <c r="E408" s="65">
        <f>'Functional Assignment'!H444</f>
        <v>0</v>
      </c>
      <c r="F408" s="65">
        <f t="shared" ref="F408:F414" si="253">IF(VLOOKUP($D408,$C$5:$AU$836,3,)=0,0,(VLOOKUP($D408,$C$5:$AU$836,4,)/VLOOKUP($D408,$C$5:$AU$836,3,))*$E408)</f>
        <v>0</v>
      </c>
      <c r="G408" s="65">
        <f t="shared" ref="G408:G414" si="254">IF(VLOOKUP($D408,$C$5:$AU$836,3,)=0,0,(VLOOKUP($D408,$C$5:$AU$836,5,)/VLOOKUP($D408,$C$5:$AU$836,3,))*$E408)</f>
        <v>0</v>
      </c>
      <c r="H408" s="65">
        <f t="shared" ref="H408:H414" si="255">IF(VLOOKUP($D408,$C$5:$AU$836,3,)=0,0,(VLOOKUP($D408,$C$5:$AU$836,6,)/VLOOKUP($D408,$C$5:$AU$836,3,))*$E408)</f>
        <v>0</v>
      </c>
      <c r="I408" s="65">
        <f t="shared" ref="I408:I414" si="256">IF(VLOOKUP($D408,$C$5:$AU$836,3,)=0,0,(VLOOKUP($D408,$C$5:$AU$836,7,)/VLOOKUP($D408,$C$5:$AU$836,3,))*$E408)</f>
        <v>0</v>
      </c>
      <c r="J408" s="65">
        <f t="shared" ref="J408:J414" si="257">IF(VLOOKUP($D408,$C$5:$AU$836,3,)=0,0,(VLOOKUP($D408,$C$5:$AU$836,8,)/VLOOKUP($D408,$C$5:$AU$836,3,))*$E408)</f>
        <v>0</v>
      </c>
      <c r="K408" s="65">
        <f t="shared" ref="K408:K414" si="258">IF(VLOOKUP($D408,$C$5:$AU$836,3,)=0,0,(VLOOKUP($D408,$C$5:$AU$836,9,)/VLOOKUP($D408,$C$5:$AU$836,3,))*$E408)</f>
        <v>0</v>
      </c>
      <c r="L408" s="65">
        <f t="shared" ref="L408:L414" si="259">IF(VLOOKUP($D408,$C$5:$AU$836,3,)=0,0,(VLOOKUP($D408,$C$5:$AU$836,10,)/VLOOKUP($D408,$C$5:$AU$836,3,))*$E408)</f>
        <v>0</v>
      </c>
      <c r="M408" s="65">
        <f t="shared" ref="M408:M414" si="260">IF(VLOOKUP($D408,$C$5:$AU$836,3,)=0,0,(VLOOKUP($D408,$C$5:$AU$836,11,)/VLOOKUP($D408,$C$5:$AU$836,3,))*$E408)</f>
        <v>0</v>
      </c>
      <c r="N408" s="65">
        <f t="shared" ref="N408:N414" si="261">IF(VLOOKUP($D408,$C$5:$AU$836,3,)=0,0,(VLOOKUP($D408,$C$5:$AU$836,12,)/VLOOKUP($D408,$C$5:$AU$836,3,))*$E408)</f>
        <v>0</v>
      </c>
      <c r="O408" s="65">
        <f t="shared" ref="O408:O414" si="262">IF(VLOOKUP($D408,$C$5:$AU$836,3,)=0,0,(VLOOKUP($D408,$C$5:$AU$836,13,)/VLOOKUP($D408,$C$5:$AU$836,3,))*$E408)</f>
        <v>0</v>
      </c>
      <c r="P408" s="65">
        <f t="shared" ref="P408:P414" si="263">IF(VLOOKUP($D408,$C$5:$AU$836,3,)=0,0,(VLOOKUP($D408,$C$5:$AU$836,14,)/VLOOKUP($D408,$C$5:$AU$836,3,))*$E408)</f>
        <v>0</v>
      </c>
      <c r="Q408" s="65">
        <f t="shared" ref="Q408:Q414" si="264">IF(VLOOKUP($D408,$C$5:$AU$836,3,)=0,0,(VLOOKUP($D408,$C$5:$AU$836,15,)/VLOOKUP($D408,$C$5:$AU$836,3,))*$E408)</f>
        <v>0</v>
      </c>
      <c r="R408" s="65">
        <f t="shared" ref="R408:R414" si="265">IF(VLOOKUP($D408,$C$5:$AU$836,3,)=0,0,(VLOOKUP($D408,$C$5:$AU$836,16,)/VLOOKUP($D408,$C$5:$AU$836,3,))*$E408)</f>
        <v>0</v>
      </c>
      <c r="S408" s="65">
        <f t="shared" ref="S408:S414" si="266">IF(VLOOKUP($D408,$C$5:$AU$836,3,)=0,0,(VLOOKUP($D408,$C$5:$AU$836,17,)/VLOOKUP($D408,$C$5:$AU$836,3,))*$E408)</f>
        <v>0</v>
      </c>
      <c r="T408" s="65">
        <f t="shared" ref="T408:T414" si="267">IF(VLOOKUP($D408,$C$5:$AU$836,3,)=0,0,(VLOOKUP($D408,$C$5:$AU$836,18,)/VLOOKUP($D408,$C$5:$AU$836,3,))*$E408)</f>
        <v>0</v>
      </c>
      <c r="U408" s="65">
        <f t="shared" ref="U408:U414" si="268">IF(VLOOKUP($D408,$C$5:$AU$836,3,)=0,0,(VLOOKUP($D408,$C$5:$AU$836,19,)/VLOOKUP($D408,$C$5:$AU$836,3,))*$E408)</f>
        <v>0</v>
      </c>
      <c r="V408" s="65">
        <f t="shared" ref="V408:V414" si="269">IF(VLOOKUP($D408,$C$5:$AU$836,3,)=0,0,(VLOOKUP($D408,$C$5:$AU$836,20,)/VLOOKUP($D408,$C$5:$AU$836,3,))*$E408)</f>
        <v>0</v>
      </c>
      <c r="W408" s="65">
        <f t="shared" ref="W408:W414" si="270">IF(VLOOKUP($D408,$C$5:$AU$836,3,)=0,0,(VLOOKUP($D408,$C$5:$AU$836,21,)/VLOOKUP($D408,$C$5:$AU$836,3,))*$E408)</f>
        <v>0</v>
      </c>
      <c r="X408" s="65">
        <f t="shared" ref="X408:X414" si="271">IF(VLOOKUP($D408,$C$5:$AU$836,3,)=0,0,(VLOOKUP($D408,$C$5:$AU$836,22,)/VLOOKUP($D408,$C$5:$AU$836,3,))*$E408)</f>
        <v>0</v>
      </c>
      <c r="Y408" s="65">
        <f t="shared" ref="Y408:Y414" si="272">IF(VLOOKUP($D408,$C$5:$AU$836,3,)=0,0,(VLOOKUP($D408,$C$5:$AU$836,23,)/VLOOKUP($D408,$C$5:$AU$836,3,))*$E408)</f>
        <v>0</v>
      </c>
      <c r="Z408" s="65">
        <f t="shared" ref="Z408:Z414" si="273">IF(VLOOKUP($D408,$C$5:$AU$836,3,)=0,0,(VLOOKUP($D408,$C$5:$AU$836,24,)/VLOOKUP($D408,$C$5:$AU$836,3,))*$E408)</f>
        <v>0</v>
      </c>
      <c r="AA408" s="65">
        <f t="shared" ref="AA408:AA414" si="274">IF(VLOOKUP($D408,$C$5:$AU$836,3,)=0,0,(VLOOKUP($D408,$C$5:$AU$836,25,)/VLOOKUP($D408,$C$5:$AU$836,3,))*$E408)</f>
        <v>0</v>
      </c>
      <c r="AB408" s="65">
        <f t="shared" ref="AB408:AB414" si="275">IF(VLOOKUP($D408,$C$5:$AU$836,3,)=0,0,(VLOOKUP($D408,$C$5:$AU$836,26,)/VLOOKUP($D408,$C$5:$AU$836,3,))*$E408)</f>
        <v>0</v>
      </c>
      <c r="AC408" s="65">
        <f t="shared" ref="AC408:AC414" si="276">IF(VLOOKUP($D408,$C$5:$AU$836,3,)=0,0,(VLOOKUP($D408,$C$5:$AU$836,27,)/VLOOKUP($D408,$C$5:$AU$836,3,))*$E408)</f>
        <v>0</v>
      </c>
      <c r="AD408" s="65">
        <f t="shared" ref="AD408:AD414" si="277">IF(VLOOKUP($D408,$C$5:$AU$836,3,)=0,0,(VLOOKUP($D408,$C$5:$AU$836,28,)/VLOOKUP($D408,$C$5:$AU$836,3,))*$E408)</f>
        <v>0</v>
      </c>
      <c r="AE408" s="65">
        <f t="shared" ref="AE408:AE414" si="278">IF(VLOOKUP($D408,$C$5:$AU$836,3,)=0,0,(VLOOKUP($D408,$C$5:$AU$836,29,)/VLOOKUP($D408,$C$5:$AU$836,3,))*$E408)</f>
        <v>0</v>
      </c>
      <c r="AF408" s="65">
        <f t="shared" ref="AF408:AF414" si="279">IF(VLOOKUP($D408,$C$5:$AU$836,3,)=0,0,(VLOOKUP($D408,$C$5:$AU$836,30,)/VLOOKUP($D408,$C$5:$AU$836,3,))*$E408)</f>
        <v>0</v>
      </c>
      <c r="AG408" s="16">
        <f t="shared" ref="AG408:AG416" si="280">SUM(F408:AF408)</f>
        <v>0</v>
      </c>
      <c r="AH408" s="14" t="str">
        <f t="shared" ref="AH408:AH414" si="281">IF(ABS(E408-AG408)&lt;0.01,"ok","err")</f>
        <v>ok</v>
      </c>
    </row>
    <row r="409" spans="1:34" x14ac:dyDescent="0.25">
      <c r="A409" s="118" t="s">
        <v>1069</v>
      </c>
      <c r="C409" s="2" t="s">
        <v>712</v>
      </c>
      <c r="D409" s="2" t="s">
        <v>839</v>
      </c>
      <c r="E409" s="65">
        <f>'Functional Assignment'!I444</f>
        <v>0</v>
      </c>
      <c r="F409" s="65">
        <f t="shared" si="253"/>
        <v>0</v>
      </c>
      <c r="G409" s="65">
        <f t="shared" si="254"/>
        <v>0</v>
      </c>
      <c r="H409" s="65">
        <f t="shared" si="255"/>
        <v>0</v>
      </c>
      <c r="I409" s="65">
        <f t="shared" si="256"/>
        <v>0</v>
      </c>
      <c r="J409" s="65">
        <f t="shared" si="257"/>
        <v>0</v>
      </c>
      <c r="K409" s="65">
        <f t="shared" si="258"/>
        <v>0</v>
      </c>
      <c r="L409" s="65">
        <f t="shared" si="259"/>
        <v>0</v>
      </c>
      <c r="M409" s="65">
        <f t="shared" si="260"/>
        <v>0</v>
      </c>
      <c r="N409" s="65">
        <f t="shared" si="261"/>
        <v>0</v>
      </c>
      <c r="O409" s="65">
        <f t="shared" si="262"/>
        <v>0</v>
      </c>
      <c r="P409" s="65">
        <f t="shared" si="263"/>
        <v>0</v>
      </c>
      <c r="Q409" s="65">
        <f t="shared" si="264"/>
        <v>0</v>
      </c>
      <c r="R409" s="65">
        <f t="shared" si="265"/>
        <v>0</v>
      </c>
      <c r="S409" s="65">
        <f t="shared" si="266"/>
        <v>0</v>
      </c>
      <c r="T409" s="65">
        <f t="shared" si="267"/>
        <v>0</v>
      </c>
      <c r="U409" s="65">
        <f t="shared" si="268"/>
        <v>0</v>
      </c>
      <c r="V409" s="65">
        <f t="shared" si="269"/>
        <v>0</v>
      </c>
      <c r="W409" s="65">
        <f t="shared" si="270"/>
        <v>0</v>
      </c>
      <c r="X409" s="65">
        <f t="shared" si="271"/>
        <v>0</v>
      </c>
      <c r="Y409" s="65">
        <f t="shared" si="272"/>
        <v>0</v>
      </c>
      <c r="Z409" s="65">
        <f t="shared" si="273"/>
        <v>0</v>
      </c>
      <c r="AA409" s="65">
        <f t="shared" si="274"/>
        <v>0</v>
      </c>
      <c r="AB409" s="65">
        <f t="shared" si="275"/>
        <v>0</v>
      </c>
      <c r="AC409" s="65">
        <f t="shared" si="276"/>
        <v>0</v>
      </c>
      <c r="AD409" s="65">
        <f t="shared" si="277"/>
        <v>0</v>
      </c>
      <c r="AE409" s="65">
        <f t="shared" si="278"/>
        <v>0</v>
      </c>
      <c r="AF409" s="65">
        <f t="shared" si="279"/>
        <v>0</v>
      </c>
      <c r="AG409" s="16">
        <f t="shared" si="280"/>
        <v>0</v>
      </c>
      <c r="AH409" s="14" t="str">
        <f t="shared" si="281"/>
        <v>ok</v>
      </c>
    </row>
    <row r="410" spans="1:34" ht="16.5" customHeight="1" x14ac:dyDescent="0.25">
      <c r="A410" s="118" t="s">
        <v>1070</v>
      </c>
      <c r="C410" s="2" t="s">
        <v>904</v>
      </c>
      <c r="D410" s="9" t="s">
        <v>1073</v>
      </c>
      <c r="E410" s="65">
        <f>'Functional Assignment'!M444</f>
        <v>0</v>
      </c>
      <c r="F410" s="65">
        <f t="shared" si="253"/>
        <v>0</v>
      </c>
      <c r="G410" s="65">
        <f t="shared" si="254"/>
        <v>0</v>
      </c>
      <c r="H410" s="65">
        <f t="shared" si="255"/>
        <v>0</v>
      </c>
      <c r="I410" s="65">
        <f t="shared" si="256"/>
        <v>0</v>
      </c>
      <c r="J410" s="65">
        <f t="shared" si="257"/>
        <v>0</v>
      </c>
      <c r="K410" s="65">
        <f t="shared" si="258"/>
        <v>0</v>
      </c>
      <c r="L410" s="65">
        <f t="shared" si="259"/>
        <v>0</v>
      </c>
      <c r="M410" s="65">
        <f t="shared" si="260"/>
        <v>0</v>
      </c>
      <c r="N410" s="65">
        <f t="shared" si="261"/>
        <v>0</v>
      </c>
      <c r="O410" s="65">
        <f t="shared" si="262"/>
        <v>0</v>
      </c>
      <c r="P410" s="65">
        <f t="shared" si="263"/>
        <v>0</v>
      </c>
      <c r="Q410" s="65">
        <f t="shared" si="264"/>
        <v>0</v>
      </c>
      <c r="R410" s="65">
        <f t="shared" si="265"/>
        <v>0</v>
      </c>
      <c r="S410" s="65">
        <f t="shared" si="266"/>
        <v>0</v>
      </c>
      <c r="T410" s="65">
        <f t="shared" si="267"/>
        <v>0</v>
      </c>
      <c r="U410" s="65">
        <f t="shared" si="268"/>
        <v>0</v>
      </c>
      <c r="V410" s="65">
        <f t="shared" si="269"/>
        <v>0</v>
      </c>
      <c r="W410" s="65">
        <f t="shared" si="270"/>
        <v>0</v>
      </c>
      <c r="X410" s="65">
        <f t="shared" si="271"/>
        <v>0</v>
      </c>
      <c r="Y410" s="65">
        <f t="shared" si="272"/>
        <v>0</v>
      </c>
      <c r="Z410" s="65">
        <f t="shared" si="273"/>
        <v>0</v>
      </c>
      <c r="AA410" s="65">
        <f t="shared" si="274"/>
        <v>0</v>
      </c>
      <c r="AB410" s="65">
        <f t="shared" si="275"/>
        <v>0</v>
      </c>
      <c r="AC410" s="65">
        <f t="shared" si="276"/>
        <v>0</v>
      </c>
      <c r="AD410" s="65">
        <f t="shared" si="277"/>
        <v>0</v>
      </c>
      <c r="AE410" s="65">
        <f t="shared" si="278"/>
        <v>0</v>
      </c>
      <c r="AF410" s="65">
        <f t="shared" si="279"/>
        <v>0</v>
      </c>
      <c r="AG410" s="16">
        <f t="shared" si="280"/>
        <v>0</v>
      </c>
      <c r="AH410" s="14" t="str">
        <f t="shared" si="281"/>
        <v>ok</v>
      </c>
    </row>
    <row r="411" spans="1:34" x14ac:dyDescent="0.25">
      <c r="A411" s="118" t="s">
        <v>1071</v>
      </c>
      <c r="C411" s="2" t="s">
        <v>905</v>
      </c>
      <c r="D411" s="9" t="s">
        <v>1074</v>
      </c>
      <c r="E411" s="65">
        <f>'Functional Assignment'!M444</f>
        <v>0</v>
      </c>
      <c r="F411" s="65">
        <f t="shared" si="253"/>
        <v>0</v>
      </c>
      <c r="G411" s="65">
        <f t="shared" si="254"/>
        <v>0</v>
      </c>
      <c r="H411" s="65">
        <f t="shared" si="255"/>
        <v>0</v>
      </c>
      <c r="I411" s="65">
        <f t="shared" si="256"/>
        <v>0</v>
      </c>
      <c r="J411" s="65">
        <f t="shared" si="257"/>
        <v>0</v>
      </c>
      <c r="K411" s="65">
        <f t="shared" si="258"/>
        <v>0</v>
      </c>
      <c r="L411" s="65">
        <f t="shared" si="259"/>
        <v>0</v>
      </c>
      <c r="M411" s="65">
        <f t="shared" si="260"/>
        <v>0</v>
      </c>
      <c r="N411" s="65">
        <f t="shared" si="261"/>
        <v>0</v>
      </c>
      <c r="O411" s="65">
        <f t="shared" si="262"/>
        <v>0</v>
      </c>
      <c r="P411" s="65">
        <f t="shared" si="263"/>
        <v>0</v>
      </c>
      <c r="Q411" s="65">
        <f t="shared" si="264"/>
        <v>0</v>
      </c>
      <c r="R411" s="65">
        <f t="shared" si="265"/>
        <v>0</v>
      </c>
      <c r="S411" s="65">
        <f t="shared" si="266"/>
        <v>0</v>
      </c>
      <c r="T411" s="65">
        <f t="shared" si="267"/>
        <v>0</v>
      </c>
      <c r="U411" s="65">
        <f t="shared" si="268"/>
        <v>0</v>
      </c>
      <c r="V411" s="65">
        <f t="shared" si="269"/>
        <v>0</v>
      </c>
      <c r="W411" s="65">
        <f t="shared" si="270"/>
        <v>0</v>
      </c>
      <c r="X411" s="65">
        <f t="shared" si="271"/>
        <v>0</v>
      </c>
      <c r="Y411" s="65">
        <f t="shared" si="272"/>
        <v>0</v>
      </c>
      <c r="Z411" s="65">
        <f t="shared" si="273"/>
        <v>0</v>
      </c>
      <c r="AA411" s="65">
        <f t="shared" si="274"/>
        <v>0</v>
      </c>
      <c r="AB411" s="65">
        <f t="shared" si="275"/>
        <v>0</v>
      </c>
      <c r="AC411" s="65">
        <f t="shared" si="276"/>
        <v>0</v>
      </c>
      <c r="AD411" s="65">
        <f t="shared" si="277"/>
        <v>0</v>
      </c>
      <c r="AE411" s="65">
        <f t="shared" si="278"/>
        <v>0</v>
      </c>
      <c r="AF411" s="65">
        <f t="shared" si="279"/>
        <v>0</v>
      </c>
      <c r="AG411" s="16">
        <f>SUM(F411:AF411)</f>
        <v>0</v>
      </c>
      <c r="AH411" s="14" t="str">
        <f t="shared" si="281"/>
        <v>ok</v>
      </c>
    </row>
    <row r="412" spans="1:34" ht="15" customHeight="1" x14ac:dyDescent="0.25">
      <c r="A412" s="118" t="s">
        <v>1063</v>
      </c>
      <c r="C412" s="2" t="s">
        <v>292</v>
      </c>
      <c r="D412" s="2" t="s">
        <v>918</v>
      </c>
      <c r="E412" s="65">
        <f>'Functional Assignment'!M444</f>
        <v>0</v>
      </c>
      <c r="F412" s="65">
        <f t="shared" si="253"/>
        <v>0</v>
      </c>
      <c r="G412" s="65">
        <f t="shared" si="254"/>
        <v>0</v>
      </c>
      <c r="H412" s="65">
        <f t="shared" si="255"/>
        <v>0</v>
      </c>
      <c r="I412" s="65">
        <f t="shared" si="256"/>
        <v>0</v>
      </c>
      <c r="J412" s="65">
        <f t="shared" si="257"/>
        <v>0</v>
      </c>
      <c r="K412" s="65">
        <f t="shared" si="258"/>
        <v>0</v>
      </c>
      <c r="L412" s="65">
        <f t="shared" si="259"/>
        <v>0</v>
      </c>
      <c r="M412" s="65">
        <f t="shared" si="260"/>
        <v>0</v>
      </c>
      <c r="N412" s="65">
        <f t="shared" si="261"/>
        <v>0</v>
      </c>
      <c r="O412" s="65">
        <f t="shared" si="262"/>
        <v>0</v>
      </c>
      <c r="P412" s="65">
        <f t="shared" si="263"/>
        <v>0</v>
      </c>
      <c r="Q412" s="65">
        <f t="shared" si="264"/>
        <v>0</v>
      </c>
      <c r="R412" s="65">
        <f t="shared" si="265"/>
        <v>0</v>
      </c>
      <c r="S412" s="65">
        <f t="shared" si="266"/>
        <v>0</v>
      </c>
      <c r="T412" s="65">
        <f t="shared" si="267"/>
        <v>0</v>
      </c>
      <c r="U412" s="65">
        <f t="shared" si="268"/>
        <v>0</v>
      </c>
      <c r="V412" s="65">
        <f t="shared" si="269"/>
        <v>0</v>
      </c>
      <c r="W412" s="65">
        <f t="shared" si="270"/>
        <v>0</v>
      </c>
      <c r="X412" s="65">
        <f t="shared" si="271"/>
        <v>0</v>
      </c>
      <c r="Y412" s="65">
        <f t="shared" si="272"/>
        <v>0</v>
      </c>
      <c r="Z412" s="65">
        <f t="shared" si="273"/>
        <v>0</v>
      </c>
      <c r="AA412" s="65">
        <f t="shared" si="274"/>
        <v>0</v>
      </c>
      <c r="AB412" s="65">
        <f t="shared" si="275"/>
        <v>0</v>
      </c>
      <c r="AC412" s="65">
        <f t="shared" si="276"/>
        <v>0</v>
      </c>
      <c r="AD412" s="65">
        <f t="shared" si="277"/>
        <v>0</v>
      </c>
      <c r="AE412" s="65">
        <f t="shared" si="278"/>
        <v>0</v>
      </c>
      <c r="AF412" s="65">
        <f t="shared" si="279"/>
        <v>0</v>
      </c>
      <c r="AG412" s="16">
        <f>SUM(F412:AF412)</f>
        <v>0</v>
      </c>
      <c r="AH412" s="14" t="str">
        <f t="shared" si="281"/>
        <v>ok</v>
      </c>
    </row>
    <row r="413" spans="1:34" ht="15" customHeight="1" x14ac:dyDescent="0.25">
      <c r="A413" s="118" t="s">
        <v>1064</v>
      </c>
      <c r="C413" s="2" t="s">
        <v>906</v>
      </c>
      <c r="D413" s="2" t="s">
        <v>928</v>
      </c>
      <c r="E413" s="65">
        <f>'Functional Assignment'!M444</f>
        <v>0</v>
      </c>
      <c r="F413" s="65">
        <f t="shared" si="253"/>
        <v>0</v>
      </c>
      <c r="G413" s="65">
        <f t="shared" si="254"/>
        <v>0</v>
      </c>
      <c r="H413" s="65">
        <f t="shared" si="255"/>
        <v>0</v>
      </c>
      <c r="I413" s="65">
        <f t="shared" si="256"/>
        <v>0</v>
      </c>
      <c r="J413" s="65">
        <f t="shared" si="257"/>
        <v>0</v>
      </c>
      <c r="K413" s="65">
        <f t="shared" si="258"/>
        <v>0</v>
      </c>
      <c r="L413" s="65">
        <f t="shared" si="259"/>
        <v>0</v>
      </c>
      <c r="M413" s="65">
        <f t="shared" si="260"/>
        <v>0</v>
      </c>
      <c r="N413" s="65">
        <f t="shared" si="261"/>
        <v>0</v>
      </c>
      <c r="O413" s="65">
        <f t="shared" si="262"/>
        <v>0</v>
      </c>
      <c r="P413" s="65">
        <f t="shared" si="263"/>
        <v>0</v>
      </c>
      <c r="Q413" s="65">
        <f t="shared" si="264"/>
        <v>0</v>
      </c>
      <c r="R413" s="65">
        <f t="shared" si="265"/>
        <v>0</v>
      </c>
      <c r="S413" s="65">
        <f t="shared" si="266"/>
        <v>0</v>
      </c>
      <c r="T413" s="65">
        <f t="shared" si="267"/>
        <v>0</v>
      </c>
      <c r="U413" s="65">
        <f t="shared" si="268"/>
        <v>0</v>
      </c>
      <c r="V413" s="65">
        <f t="shared" si="269"/>
        <v>0</v>
      </c>
      <c r="W413" s="65">
        <f t="shared" si="270"/>
        <v>0</v>
      </c>
      <c r="X413" s="65">
        <f t="shared" si="271"/>
        <v>0</v>
      </c>
      <c r="Y413" s="65">
        <f t="shared" si="272"/>
        <v>0</v>
      </c>
      <c r="Z413" s="65">
        <f t="shared" si="273"/>
        <v>0</v>
      </c>
      <c r="AA413" s="65">
        <f t="shared" si="274"/>
        <v>0</v>
      </c>
      <c r="AB413" s="65">
        <f t="shared" si="275"/>
        <v>0</v>
      </c>
      <c r="AC413" s="65">
        <f t="shared" si="276"/>
        <v>0</v>
      </c>
      <c r="AD413" s="65">
        <f t="shared" si="277"/>
        <v>0</v>
      </c>
      <c r="AE413" s="65">
        <f t="shared" si="278"/>
        <v>0</v>
      </c>
      <c r="AF413" s="65">
        <f t="shared" si="279"/>
        <v>0</v>
      </c>
      <c r="AG413" s="16">
        <f>SUM(F413:AF413)</f>
        <v>0</v>
      </c>
      <c r="AH413" s="14" t="str">
        <f t="shared" si="281"/>
        <v>ok</v>
      </c>
    </row>
    <row r="414" spans="1:34" ht="15" customHeight="1" x14ac:dyDescent="0.25">
      <c r="A414" s="118" t="s">
        <v>790</v>
      </c>
      <c r="C414" s="2" t="s">
        <v>907</v>
      </c>
      <c r="D414" s="2" t="s">
        <v>928</v>
      </c>
      <c r="E414" s="65">
        <f>'Functional Assignment'!M444</f>
        <v>0</v>
      </c>
      <c r="F414" s="65">
        <f t="shared" si="253"/>
        <v>0</v>
      </c>
      <c r="G414" s="65">
        <f t="shared" si="254"/>
        <v>0</v>
      </c>
      <c r="H414" s="65">
        <f t="shared" si="255"/>
        <v>0</v>
      </c>
      <c r="I414" s="65">
        <f t="shared" si="256"/>
        <v>0</v>
      </c>
      <c r="J414" s="65">
        <f t="shared" si="257"/>
        <v>0</v>
      </c>
      <c r="K414" s="65">
        <f t="shared" si="258"/>
        <v>0</v>
      </c>
      <c r="L414" s="65">
        <f t="shared" si="259"/>
        <v>0</v>
      </c>
      <c r="M414" s="65">
        <f t="shared" si="260"/>
        <v>0</v>
      </c>
      <c r="N414" s="65">
        <f t="shared" si="261"/>
        <v>0</v>
      </c>
      <c r="O414" s="65">
        <f t="shared" si="262"/>
        <v>0</v>
      </c>
      <c r="P414" s="65">
        <f t="shared" si="263"/>
        <v>0</v>
      </c>
      <c r="Q414" s="65">
        <f t="shared" si="264"/>
        <v>0</v>
      </c>
      <c r="R414" s="65">
        <f t="shared" si="265"/>
        <v>0</v>
      </c>
      <c r="S414" s="65">
        <f t="shared" si="266"/>
        <v>0</v>
      </c>
      <c r="T414" s="65">
        <f t="shared" si="267"/>
        <v>0</v>
      </c>
      <c r="U414" s="65">
        <f t="shared" si="268"/>
        <v>0</v>
      </c>
      <c r="V414" s="65">
        <f t="shared" si="269"/>
        <v>0</v>
      </c>
      <c r="W414" s="65">
        <f t="shared" si="270"/>
        <v>0</v>
      </c>
      <c r="X414" s="65">
        <f t="shared" si="271"/>
        <v>0</v>
      </c>
      <c r="Y414" s="65">
        <f t="shared" si="272"/>
        <v>0</v>
      </c>
      <c r="Z414" s="65">
        <f t="shared" si="273"/>
        <v>0</v>
      </c>
      <c r="AA414" s="65">
        <f t="shared" si="274"/>
        <v>0</v>
      </c>
      <c r="AB414" s="65">
        <f t="shared" si="275"/>
        <v>0</v>
      </c>
      <c r="AC414" s="65">
        <f t="shared" si="276"/>
        <v>0</v>
      </c>
      <c r="AD414" s="65">
        <f t="shared" si="277"/>
        <v>0</v>
      </c>
      <c r="AE414" s="65">
        <f t="shared" si="278"/>
        <v>0</v>
      </c>
      <c r="AF414" s="65">
        <f t="shared" si="279"/>
        <v>0</v>
      </c>
      <c r="AG414" s="16">
        <f>SUM(F414:AF414)</f>
        <v>0</v>
      </c>
      <c r="AH414" s="14" t="str">
        <f t="shared" si="281"/>
        <v>ok</v>
      </c>
    </row>
    <row r="415" spans="1:34" x14ac:dyDescent="0.25">
      <c r="A415" s="12"/>
      <c r="E415" s="31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16"/>
      <c r="AH415" s="14"/>
    </row>
    <row r="416" spans="1:34" x14ac:dyDescent="0.25">
      <c r="A416" s="2" t="s">
        <v>218</v>
      </c>
      <c r="C416" s="2" t="s">
        <v>293</v>
      </c>
      <c r="E416" s="31">
        <f>SUM(E408:E415)</f>
        <v>0</v>
      </c>
      <c r="F416" s="31">
        <f t="shared" ref="F416:AF416" si="282">SUM(F408:F415)</f>
        <v>0</v>
      </c>
      <c r="G416" s="31">
        <f t="shared" si="282"/>
        <v>0</v>
      </c>
      <c r="H416" s="31">
        <f t="shared" si="282"/>
        <v>0</v>
      </c>
      <c r="I416" s="31">
        <f t="shared" si="282"/>
        <v>0</v>
      </c>
      <c r="J416" s="31">
        <f t="shared" si="282"/>
        <v>0</v>
      </c>
      <c r="K416" s="31">
        <f t="shared" si="282"/>
        <v>0</v>
      </c>
      <c r="L416" s="31">
        <f t="shared" si="282"/>
        <v>0</v>
      </c>
      <c r="M416" s="65">
        <f>SUM(M408:M415)</f>
        <v>0</v>
      </c>
      <c r="N416" s="65">
        <f>SUM(N408:N415)</f>
        <v>0</v>
      </c>
      <c r="O416" s="31">
        <f t="shared" si="282"/>
        <v>0</v>
      </c>
      <c r="P416" s="31">
        <f t="shared" si="282"/>
        <v>0</v>
      </c>
      <c r="Q416" s="31">
        <f t="shared" si="282"/>
        <v>0</v>
      </c>
      <c r="R416" s="31">
        <f t="shared" si="282"/>
        <v>0</v>
      </c>
      <c r="S416" s="31">
        <f t="shared" si="282"/>
        <v>0</v>
      </c>
      <c r="T416" s="31">
        <f t="shared" si="282"/>
        <v>0</v>
      </c>
      <c r="U416" s="31">
        <f t="shared" si="282"/>
        <v>0</v>
      </c>
      <c r="V416" s="31">
        <f t="shared" si="282"/>
        <v>0</v>
      </c>
      <c r="W416" s="31">
        <f t="shared" si="282"/>
        <v>0</v>
      </c>
      <c r="X416" s="31">
        <f t="shared" si="282"/>
        <v>0</v>
      </c>
      <c r="Y416" s="31">
        <f t="shared" si="282"/>
        <v>0</v>
      </c>
      <c r="Z416" s="31">
        <f t="shared" si="282"/>
        <v>0</v>
      </c>
      <c r="AA416" s="31">
        <f t="shared" si="282"/>
        <v>0</v>
      </c>
      <c r="AB416" s="31">
        <f t="shared" si="282"/>
        <v>0</v>
      </c>
      <c r="AC416" s="31">
        <f t="shared" si="282"/>
        <v>0</v>
      </c>
      <c r="AD416" s="31">
        <f t="shared" si="282"/>
        <v>0</v>
      </c>
      <c r="AE416" s="31">
        <f t="shared" si="282"/>
        <v>0</v>
      </c>
      <c r="AF416" s="31">
        <f t="shared" si="282"/>
        <v>0</v>
      </c>
      <c r="AG416" s="16">
        <f t="shared" si="280"/>
        <v>0</v>
      </c>
      <c r="AH416" s="14" t="str">
        <f>IF(ABS(E416-AG416)&lt;0.01,"ok","err")</f>
        <v>ok</v>
      </c>
    </row>
    <row r="417" spans="1:34" x14ac:dyDescent="0.25">
      <c r="E417" s="31"/>
      <c r="F417" s="31"/>
    </row>
    <row r="418" spans="1:34" x14ac:dyDescent="0.25">
      <c r="A418" s="7" t="s">
        <v>772</v>
      </c>
      <c r="E418" s="31"/>
      <c r="F418" s="31"/>
    </row>
    <row r="419" spans="1:34" x14ac:dyDescent="0.25">
      <c r="A419" s="12" t="s">
        <v>214</v>
      </c>
      <c r="C419" s="2" t="s">
        <v>830</v>
      </c>
      <c r="D419" s="2" t="s">
        <v>215</v>
      </c>
      <c r="E419" s="65">
        <f>'Functional Assignment'!P444</f>
        <v>0</v>
      </c>
      <c r="F419" s="65">
        <f>IF(VLOOKUP($D419,$C$5:$AU$836,3,)=0,0,(VLOOKUP($D419,$C$5:$AU$836,4,)/VLOOKUP($D419,$C$5:$AU$836,3,))*$E419)</f>
        <v>0</v>
      </c>
      <c r="G419" s="65">
        <f>IF(VLOOKUP($D419,$C$5:$AU$836,3,)=0,0,(VLOOKUP($D419,$C$5:$AU$836,5,)/VLOOKUP($D419,$C$5:$AU$836,3,))*$E419)</f>
        <v>0</v>
      </c>
      <c r="H419" s="65">
        <f>IF(VLOOKUP($D419,$C$5:$AU$836,3,)=0,0,(VLOOKUP($D419,$C$5:$AU$836,6,)/VLOOKUP($D419,$C$5:$AU$836,3,))*$E419)</f>
        <v>0</v>
      </c>
      <c r="I419" s="65">
        <f>IF(VLOOKUP($D419,$C$5:$AU$836,3,)=0,0,(VLOOKUP($D419,$C$5:$AU$836,7,)/VLOOKUP($D419,$C$5:$AU$836,3,))*$E419)</f>
        <v>0</v>
      </c>
      <c r="J419" s="65">
        <f>IF(VLOOKUP($D419,$C$5:$AU$836,3,)=0,0,(VLOOKUP($D419,$C$5:$AU$836,8,)/VLOOKUP($D419,$C$5:$AU$836,3,))*$E419)</f>
        <v>0</v>
      </c>
      <c r="K419" s="65">
        <f>IF(VLOOKUP($D419,$C$5:$AU$836,3,)=0,0,(VLOOKUP($D419,$C$5:$AU$836,9,)/VLOOKUP($D419,$C$5:$AU$836,3,))*$E419)</f>
        <v>0</v>
      </c>
      <c r="L419" s="65">
        <f>IF(VLOOKUP($D419,$C$5:$AU$836,3,)=0,0,(VLOOKUP($D419,$C$5:$AU$836,10,)/VLOOKUP($D419,$C$5:$AU$836,3,))*$E419)</f>
        <v>0</v>
      </c>
      <c r="M419" s="65">
        <f>IF(VLOOKUP($D419,$C$5:$AU$836,3,)=0,0,(VLOOKUP($D419,$C$5:$AU$836,11,)/VLOOKUP($D419,$C$5:$AU$836,3,))*$E419)</f>
        <v>0</v>
      </c>
      <c r="N419" s="65">
        <f>IF(VLOOKUP($D419,$C$5:$AU$836,3,)=0,0,(VLOOKUP($D419,$C$5:$AU$836,12,)/VLOOKUP($D419,$C$5:$AU$836,3,))*$E419)</f>
        <v>0</v>
      </c>
      <c r="O419" s="65">
        <f>IF(VLOOKUP($D419,$C$5:$AU$836,3,)=0,0,(VLOOKUP($D419,$C$5:$AU$836,13,)/VLOOKUP($D419,$C$5:$AU$836,3,))*$E419)</f>
        <v>0</v>
      </c>
      <c r="P419" s="65">
        <f>IF(VLOOKUP($D419,$C$5:$AU$836,3,)=0,0,(VLOOKUP($D419,$C$5:$AU$836,14,)/VLOOKUP($D419,$C$5:$AU$836,3,))*$E419)</f>
        <v>0</v>
      </c>
      <c r="Q419" s="65">
        <f>IF(VLOOKUP($D419,$C$5:$AU$836,3,)=0,0,(VLOOKUP($D419,$C$5:$AU$836,15,)/VLOOKUP($D419,$C$5:$AU$836,3,))*$E419)</f>
        <v>0</v>
      </c>
      <c r="R419" s="65">
        <f>IF(VLOOKUP($D419,$C$5:$AU$836,3,)=0,0,(VLOOKUP($D419,$C$5:$AU$836,16,)/VLOOKUP($D419,$C$5:$AU$836,3,))*$E419)</f>
        <v>0</v>
      </c>
      <c r="S419" s="65">
        <f>IF(VLOOKUP($D419,$C$5:$AU$836,3,)=0,0,(VLOOKUP($D419,$C$5:$AU$836,17,)/VLOOKUP($D419,$C$5:$AU$836,3,))*$E419)</f>
        <v>0</v>
      </c>
      <c r="T419" s="65">
        <f>IF(VLOOKUP($D419,$C$5:$AU$836,3,)=0,0,(VLOOKUP($D419,$C$5:$AU$836,18,)/VLOOKUP($D419,$C$5:$AU$836,3,))*$E419)</f>
        <v>0</v>
      </c>
      <c r="U419" s="65">
        <f>IF(VLOOKUP($D419,$C$5:$AU$836,3,)=0,0,(VLOOKUP($D419,$C$5:$AU$836,19,)/VLOOKUP($D419,$C$5:$AU$836,3,))*$E419)</f>
        <v>0</v>
      </c>
      <c r="V419" s="65">
        <f>IF(VLOOKUP($D419,$C$5:$AU$836,3,)=0,0,(VLOOKUP($D419,$C$5:$AU$836,20,)/VLOOKUP($D419,$C$5:$AU$836,3,))*$E419)</f>
        <v>0</v>
      </c>
      <c r="W419" s="65">
        <f>IF(VLOOKUP($D419,$C$5:$AU$836,3,)=0,0,(VLOOKUP($D419,$C$5:$AU$836,21,)/VLOOKUP($D419,$C$5:$AU$836,3,))*$E419)</f>
        <v>0</v>
      </c>
      <c r="X419" s="65">
        <f>IF(VLOOKUP($D419,$C$5:$AU$836,3,)=0,0,(VLOOKUP($D419,$C$5:$AU$836,22,)/VLOOKUP($D419,$C$5:$AU$836,3,))*$E419)</f>
        <v>0</v>
      </c>
      <c r="Y419" s="65">
        <f>IF(VLOOKUP($D419,$C$5:$AU$836,3,)=0,0,(VLOOKUP($D419,$C$5:$AU$836,23,)/VLOOKUP($D419,$C$5:$AU$836,3,))*$E419)</f>
        <v>0</v>
      </c>
      <c r="Z419" s="65">
        <f>IF(VLOOKUP($D419,$C$5:$AU$836,3,)=0,0,(VLOOKUP($D419,$C$5:$AU$836,24,)/VLOOKUP($D419,$C$5:$AU$836,3,))*$E419)</f>
        <v>0</v>
      </c>
      <c r="AA419" s="65">
        <f>IF(VLOOKUP($D419,$C$5:$AU$836,3,)=0,0,(VLOOKUP($D419,$C$5:$AU$836,25,)/VLOOKUP($D419,$C$5:$AU$836,3,))*$E419)</f>
        <v>0</v>
      </c>
      <c r="AB419" s="65">
        <f>IF(VLOOKUP($D419,$C$5:$AU$836,3,)=0,0,(VLOOKUP($D419,$C$5:$AU$836,26,)/VLOOKUP($D419,$C$5:$AU$836,3,))*$E419)</f>
        <v>0</v>
      </c>
      <c r="AC419" s="65">
        <f>IF(VLOOKUP($D419,$C$5:$AU$836,3,)=0,0,(VLOOKUP($D419,$C$5:$AU$836,27,)/VLOOKUP($D419,$C$5:$AU$836,3,))*$E419)</f>
        <v>0</v>
      </c>
      <c r="AD419" s="65">
        <f>IF(VLOOKUP($D419,$C$5:$AU$836,3,)=0,0,(VLOOKUP($D419,$C$5:$AU$836,28,)/VLOOKUP($D419,$C$5:$AU$836,3,))*$E419)</f>
        <v>0</v>
      </c>
      <c r="AE419" s="65">
        <f>IF(VLOOKUP($D419,$C$5:$AU$836,3,)=0,0,(VLOOKUP($D419,$C$5:$AU$836,29,)/VLOOKUP($D419,$C$5:$AU$836,3,))*$E419)</f>
        <v>0</v>
      </c>
      <c r="AF419" s="65">
        <f>IF(VLOOKUP($D419,$C$5:$AU$836,3,)=0,0,(VLOOKUP($D419,$C$5:$AU$836,30,)/VLOOKUP($D419,$C$5:$AU$836,3,))*$E419)</f>
        <v>0</v>
      </c>
      <c r="AG419" s="16">
        <f>SUM(F419:AF419)</f>
        <v>0</v>
      </c>
      <c r="AH419" s="14" t="str">
        <f>IF(ABS(E419-AG419)&lt;0.01,"ok","err")</f>
        <v>ok</v>
      </c>
    </row>
    <row r="420" spans="1:34" x14ac:dyDescent="0.25">
      <c r="E420" s="31"/>
      <c r="F420" s="31"/>
    </row>
    <row r="421" spans="1:34" x14ac:dyDescent="0.25">
      <c r="A421" s="7" t="s">
        <v>334</v>
      </c>
      <c r="E421" s="31"/>
      <c r="F421" s="31"/>
    </row>
    <row r="422" spans="1:34" x14ac:dyDescent="0.25">
      <c r="A422" s="12" t="s">
        <v>214</v>
      </c>
      <c r="C422" s="2" t="s">
        <v>461</v>
      </c>
      <c r="D422" s="2" t="s">
        <v>617</v>
      </c>
      <c r="E422" s="65">
        <f>'Functional Assignment'!R444</f>
        <v>0</v>
      </c>
      <c r="F422" s="65">
        <f>IF(VLOOKUP($D422,$C$5:$AU$836,3,)=0,0,(VLOOKUP($D422,$C$5:$AU$836,4,)/VLOOKUP($D422,$C$5:$AU$836,3,))*$E422)</f>
        <v>0</v>
      </c>
      <c r="G422" s="65">
        <f>IF(VLOOKUP($D422,$C$5:$AU$836,3,)=0,0,(VLOOKUP($D422,$C$5:$AU$836,5,)/VLOOKUP($D422,$C$5:$AU$836,3,))*$E422)</f>
        <v>0</v>
      </c>
      <c r="H422" s="65">
        <f>IF(VLOOKUP($D422,$C$5:$AU$836,3,)=0,0,(VLOOKUP($D422,$C$5:$AU$836,6,)/VLOOKUP($D422,$C$5:$AU$836,3,))*$E422)</f>
        <v>0</v>
      </c>
      <c r="I422" s="65">
        <f>IF(VLOOKUP($D422,$C$5:$AU$836,3,)=0,0,(VLOOKUP($D422,$C$5:$AU$836,7,)/VLOOKUP($D422,$C$5:$AU$836,3,))*$E422)</f>
        <v>0</v>
      </c>
      <c r="J422" s="65">
        <f>IF(VLOOKUP($D422,$C$5:$AU$836,3,)=0,0,(VLOOKUP($D422,$C$5:$AU$836,8,)/VLOOKUP($D422,$C$5:$AU$836,3,))*$E422)</f>
        <v>0</v>
      </c>
      <c r="K422" s="65">
        <f>IF(VLOOKUP($D422,$C$5:$AU$836,3,)=0,0,(VLOOKUP($D422,$C$5:$AU$836,9,)/VLOOKUP($D422,$C$5:$AU$836,3,))*$E422)</f>
        <v>0</v>
      </c>
      <c r="L422" s="65">
        <f>IF(VLOOKUP($D422,$C$5:$AU$836,3,)=0,0,(VLOOKUP($D422,$C$5:$AU$836,10,)/VLOOKUP($D422,$C$5:$AU$836,3,))*$E422)</f>
        <v>0</v>
      </c>
      <c r="M422" s="65">
        <f>IF(VLOOKUP($D422,$C$5:$AU$836,3,)=0,0,(VLOOKUP($D422,$C$5:$AU$836,11,)/VLOOKUP($D422,$C$5:$AU$836,3,))*$E422)</f>
        <v>0</v>
      </c>
      <c r="N422" s="65">
        <f>IF(VLOOKUP($D422,$C$5:$AU$836,3,)=0,0,(VLOOKUP($D422,$C$5:$AU$836,12,)/VLOOKUP($D422,$C$5:$AU$836,3,))*$E422)</f>
        <v>0</v>
      </c>
      <c r="O422" s="65">
        <f>IF(VLOOKUP($D422,$C$5:$AU$836,3,)=0,0,(VLOOKUP($D422,$C$5:$AU$836,13,)/VLOOKUP($D422,$C$5:$AU$836,3,))*$E422)</f>
        <v>0</v>
      </c>
      <c r="P422" s="65">
        <f>IF(VLOOKUP($D422,$C$5:$AU$836,3,)=0,0,(VLOOKUP($D422,$C$5:$AU$836,14,)/VLOOKUP($D422,$C$5:$AU$836,3,))*$E422)</f>
        <v>0</v>
      </c>
      <c r="Q422" s="65">
        <f>IF(VLOOKUP($D422,$C$5:$AU$836,3,)=0,0,(VLOOKUP($D422,$C$5:$AU$836,15,)/VLOOKUP($D422,$C$5:$AU$836,3,))*$E422)</f>
        <v>0</v>
      </c>
      <c r="R422" s="65">
        <f>IF(VLOOKUP($D422,$C$5:$AU$836,3,)=0,0,(VLOOKUP($D422,$C$5:$AU$836,16,)/VLOOKUP($D422,$C$5:$AU$836,3,))*$E422)</f>
        <v>0</v>
      </c>
      <c r="S422" s="65">
        <f>IF(VLOOKUP($D422,$C$5:$AU$836,3,)=0,0,(VLOOKUP($D422,$C$5:$AU$836,17,)/VLOOKUP($D422,$C$5:$AU$836,3,))*$E422)</f>
        <v>0</v>
      </c>
      <c r="T422" s="65">
        <f>IF(VLOOKUP($D422,$C$5:$AU$836,3,)=0,0,(VLOOKUP($D422,$C$5:$AU$836,18,)/VLOOKUP($D422,$C$5:$AU$836,3,))*$E422)</f>
        <v>0</v>
      </c>
      <c r="U422" s="65">
        <f>IF(VLOOKUP($D422,$C$5:$AU$836,3,)=0,0,(VLOOKUP($D422,$C$5:$AU$836,19,)/VLOOKUP($D422,$C$5:$AU$836,3,))*$E422)</f>
        <v>0</v>
      </c>
      <c r="V422" s="65">
        <f>IF(VLOOKUP($D422,$C$5:$AU$836,3,)=0,0,(VLOOKUP($D422,$C$5:$AU$836,20,)/VLOOKUP($D422,$C$5:$AU$836,3,))*$E422)</f>
        <v>0</v>
      </c>
      <c r="W422" s="65">
        <f>IF(VLOOKUP($D422,$C$5:$AU$836,3,)=0,0,(VLOOKUP($D422,$C$5:$AU$836,21,)/VLOOKUP($D422,$C$5:$AU$836,3,))*$E422)</f>
        <v>0</v>
      </c>
      <c r="X422" s="65">
        <f>IF(VLOOKUP($D422,$C$5:$AU$836,3,)=0,0,(VLOOKUP($D422,$C$5:$AU$836,22,)/VLOOKUP($D422,$C$5:$AU$836,3,))*$E422)</f>
        <v>0</v>
      </c>
      <c r="Y422" s="65">
        <f>IF(VLOOKUP($D422,$C$5:$AU$836,3,)=0,0,(VLOOKUP($D422,$C$5:$AU$836,23,)/VLOOKUP($D422,$C$5:$AU$836,3,))*$E422)</f>
        <v>0</v>
      </c>
      <c r="Z422" s="65">
        <f>IF(VLOOKUP($D422,$C$5:$AU$836,3,)=0,0,(VLOOKUP($D422,$C$5:$AU$836,24,)/VLOOKUP($D422,$C$5:$AU$836,3,))*$E422)</f>
        <v>0</v>
      </c>
      <c r="AA422" s="65">
        <f>IF(VLOOKUP($D422,$C$5:$AU$836,3,)=0,0,(VLOOKUP($D422,$C$5:$AU$836,25,)/VLOOKUP($D422,$C$5:$AU$836,3,))*$E422)</f>
        <v>0</v>
      </c>
      <c r="AB422" s="65">
        <f>IF(VLOOKUP($D422,$C$5:$AU$836,3,)=0,0,(VLOOKUP($D422,$C$5:$AU$836,26,)/VLOOKUP($D422,$C$5:$AU$836,3,))*$E422)</f>
        <v>0</v>
      </c>
      <c r="AC422" s="65">
        <f>IF(VLOOKUP($D422,$C$5:$AU$836,3,)=0,0,(VLOOKUP($D422,$C$5:$AU$836,27,)/VLOOKUP($D422,$C$5:$AU$836,3,))*$E422)</f>
        <v>0</v>
      </c>
      <c r="AD422" s="65">
        <f>IF(VLOOKUP($D422,$C$5:$AU$836,3,)=0,0,(VLOOKUP($D422,$C$5:$AU$836,28,)/VLOOKUP($D422,$C$5:$AU$836,3,))*$E422)</f>
        <v>0</v>
      </c>
      <c r="AE422" s="65">
        <f>IF(VLOOKUP($D422,$C$5:$AU$836,3,)=0,0,(VLOOKUP($D422,$C$5:$AU$836,29,)/VLOOKUP($D422,$C$5:$AU$836,3,))*$E422)</f>
        <v>0</v>
      </c>
      <c r="AF422" s="65">
        <f>IF(VLOOKUP($D422,$C$5:$AU$836,3,)=0,0,(VLOOKUP($D422,$C$5:$AU$836,30,)/VLOOKUP($D422,$C$5:$AU$836,3,))*$E422)</f>
        <v>0</v>
      </c>
      <c r="AG422" s="16">
        <f>SUM(F422:AF422)</f>
        <v>0</v>
      </c>
      <c r="AH422" s="14" t="str">
        <f>IF(ABS(E422-AG422)&lt;0.01,"ok","err")</f>
        <v>ok</v>
      </c>
    </row>
    <row r="423" spans="1:34" x14ac:dyDescent="0.25">
      <c r="E423" s="31"/>
      <c r="F423" s="31"/>
    </row>
    <row r="424" spans="1:34" x14ac:dyDescent="0.25">
      <c r="A424" s="8" t="s">
        <v>3</v>
      </c>
      <c r="E424" s="31"/>
      <c r="F424" s="31"/>
    </row>
    <row r="425" spans="1:34" x14ac:dyDescent="0.25">
      <c r="A425" s="12" t="s">
        <v>214</v>
      </c>
      <c r="C425" s="2" t="s">
        <v>294</v>
      </c>
      <c r="D425" s="2" t="s">
        <v>620</v>
      </c>
      <c r="E425" s="65">
        <f>'Functional Assignment'!T444</f>
        <v>668.20980858262226</v>
      </c>
      <c r="F425" s="65">
        <f>IF(VLOOKUP($D425,$C$5:$AU$836,3,)=0,0,(VLOOKUP($D425,$C$5:$AU$836,4,)/VLOOKUP($D425,$C$5:$AU$836,3,))*$E425)</f>
        <v>474.93370962156956</v>
      </c>
      <c r="G425" s="65">
        <f>IF(VLOOKUP($D425,$C$5:$AU$836,3,)=0,0,(VLOOKUP($D425,$C$5:$AU$836,5,)/VLOOKUP($D425,$C$5:$AU$836,3,))*$E425)</f>
        <v>31.082440503922765</v>
      </c>
      <c r="H425" s="65">
        <f>IF(VLOOKUP($D425,$C$5:$AU$836,3,)=0,0,(VLOOKUP($D425,$C$5:$AU$836,6,)/VLOOKUP($D425,$C$5:$AU$836,3,))*$E425)</f>
        <v>78.920543253231543</v>
      </c>
      <c r="I425" s="65">
        <f>IF(VLOOKUP($D425,$C$5:$AU$836,3,)=0,0,(VLOOKUP($D425,$C$5:$AU$836,7,)/VLOOKUP($D425,$C$5:$AU$836,3,))*$E425)</f>
        <v>8.1131191407651748</v>
      </c>
      <c r="J425" s="65">
        <f>IF(VLOOKUP($D425,$C$5:$AU$836,3,)=0,0,(VLOOKUP($D425,$C$5:$AU$836,8,)/VLOOKUP($D425,$C$5:$AU$836,3,))*$E425)</f>
        <v>7.9575250750518691</v>
      </c>
      <c r="K425" s="65">
        <f>IF(VLOOKUP($D425,$C$5:$AU$836,3,)=0,0,(VLOOKUP($D425,$C$5:$AU$836,9,)/VLOOKUP($D425,$C$5:$AU$836,3,))*$E425)</f>
        <v>4.3879951373734469</v>
      </c>
      <c r="L425" s="65">
        <f>IF(VLOOKUP($D425,$C$5:$AU$836,3,)=0,0,(VLOOKUP($D425,$C$5:$AU$836,10,)/VLOOKUP($D425,$C$5:$AU$836,3,))*$E425)</f>
        <v>30.890556648259526</v>
      </c>
      <c r="M425" s="65">
        <f>IF(VLOOKUP($D425,$C$5:$AU$836,3,)=0,0,(VLOOKUP($D425,$C$5:$AU$836,11,)/VLOOKUP($D425,$C$5:$AU$836,3,))*$E425)</f>
        <v>23.205985999213986</v>
      </c>
      <c r="N425" s="65">
        <f>IF(VLOOKUP($D425,$C$5:$AU$836,3,)=0,0,(VLOOKUP($D425,$C$5:$AU$836,12,)/VLOOKUP($D425,$C$5:$AU$836,3,))*$E425)</f>
        <v>8.7179332032341197</v>
      </c>
      <c r="O425" s="65">
        <f>IF(VLOOKUP($D425,$C$5:$AU$836,3,)=0,0,(VLOOKUP($D425,$C$5:$AU$836,13,)/VLOOKUP($D425,$C$5:$AU$836,3,))*$E425)</f>
        <v>0</v>
      </c>
      <c r="P425" s="65">
        <f>IF(VLOOKUP($D425,$C$5:$AU$836,3,)=0,0,(VLOOKUP($D425,$C$5:$AU$836,14,)/VLOOKUP($D425,$C$5:$AU$836,3,))*$E425)</f>
        <v>0</v>
      </c>
      <c r="Q425" s="65">
        <f>IF(VLOOKUP($D425,$C$5:$AU$836,3,)=0,0,(VLOOKUP($D425,$C$5:$AU$836,15,)/VLOOKUP($D425,$C$5:$AU$836,3,))*$E425)</f>
        <v>0</v>
      </c>
      <c r="R425" s="65">
        <f>IF(VLOOKUP($D425,$C$5:$AU$836,3,)=0,0,(VLOOKUP($D425,$C$5:$AU$836,16,)/VLOOKUP($D425,$C$5:$AU$836,3,))*$E425)</f>
        <v>0</v>
      </c>
      <c r="S425" s="65">
        <f>IF(VLOOKUP($D425,$C$5:$AU$836,3,)=0,0,(VLOOKUP($D425,$C$5:$AU$836,17,)/VLOOKUP($D425,$C$5:$AU$836,3,))*$E425)</f>
        <v>0</v>
      </c>
      <c r="T425" s="65">
        <f>IF(VLOOKUP($D425,$C$5:$AU$836,3,)=0,0,(VLOOKUP($D425,$C$5:$AU$836,18,)/VLOOKUP($D425,$C$5:$AU$836,3,))*$E425)</f>
        <v>0</v>
      </c>
      <c r="U425" s="65">
        <f>IF(VLOOKUP($D425,$C$5:$AU$836,3,)=0,0,(VLOOKUP($D425,$C$5:$AU$836,19,)/VLOOKUP($D425,$C$5:$AU$836,3,))*$E425)</f>
        <v>0</v>
      </c>
      <c r="V425" s="65">
        <f>IF(VLOOKUP($D425,$C$5:$AU$836,3,)=0,0,(VLOOKUP($D425,$C$5:$AU$836,20,)/VLOOKUP($D425,$C$5:$AU$836,3,))*$E425)</f>
        <v>0</v>
      </c>
      <c r="W425" s="65">
        <f>IF(VLOOKUP($D425,$C$5:$AU$836,3,)=0,0,(VLOOKUP($D425,$C$5:$AU$836,21,)/VLOOKUP($D425,$C$5:$AU$836,3,))*$E425)</f>
        <v>0</v>
      </c>
      <c r="X425" s="65">
        <f>IF(VLOOKUP($D425,$C$5:$AU$836,3,)=0,0,(VLOOKUP($D425,$C$5:$AU$836,22,)/VLOOKUP($D425,$C$5:$AU$836,3,))*$E425)</f>
        <v>0</v>
      </c>
      <c r="Y425" s="65">
        <f>IF(VLOOKUP($D425,$C$5:$AU$836,3,)=0,0,(VLOOKUP($D425,$C$5:$AU$836,23,)/VLOOKUP($D425,$C$5:$AU$836,3,))*$E425)</f>
        <v>0</v>
      </c>
      <c r="Z425" s="65">
        <f>IF(VLOOKUP($D425,$C$5:$AU$836,3,)=0,0,(VLOOKUP($D425,$C$5:$AU$836,24,)/VLOOKUP($D425,$C$5:$AU$836,3,))*$E425)</f>
        <v>0</v>
      </c>
      <c r="AA425" s="65">
        <f>IF(VLOOKUP($D425,$C$5:$AU$836,3,)=0,0,(VLOOKUP($D425,$C$5:$AU$836,25,)/VLOOKUP($D425,$C$5:$AU$836,3,))*$E425)</f>
        <v>0</v>
      </c>
      <c r="AB425" s="65">
        <f>IF(VLOOKUP($D425,$C$5:$AU$836,3,)=0,0,(VLOOKUP($D425,$C$5:$AU$836,26,)/VLOOKUP($D425,$C$5:$AU$836,3,))*$E425)</f>
        <v>0</v>
      </c>
      <c r="AC425" s="65">
        <f>IF(VLOOKUP($D425,$C$5:$AU$836,3,)=0,0,(VLOOKUP($D425,$C$5:$AU$836,27,)/VLOOKUP($D425,$C$5:$AU$836,3,))*$E425)</f>
        <v>0</v>
      </c>
      <c r="AD425" s="65">
        <f>IF(VLOOKUP($D425,$C$5:$AU$836,3,)=0,0,(VLOOKUP($D425,$C$5:$AU$836,28,)/VLOOKUP($D425,$C$5:$AU$836,3,))*$E425)</f>
        <v>0</v>
      </c>
      <c r="AE425" s="65">
        <f>IF(VLOOKUP($D425,$C$5:$AU$836,3,)=0,0,(VLOOKUP($D425,$C$5:$AU$836,29,)/VLOOKUP($D425,$C$5:$AU$836,3,))*$E425)</f>
        <v>0</v>
      </c>
      <c r="AF425" s="65">
        <f>IF(VLOOKUP($D425,$C$5:$AU$836,3,)=0,0,(VLOOKUP($D425,$C$5:$AU$836,30,)/VLOOKUP($D425,$C$5:$AU$836,3,))*$E425)</f>
        <v>0</v>
      </c>
      <c r="AG425" s="16">
        <f>SUM(F425:AF425)</f>
        <v>668.20980858262214</v>
      </c>
      <c r="AH425" s="14" t="str">
        <f>IF(ABS(E425-AG425)&lt;0.01,"ok","err")</f>
        <v>ok</v>
      </c>
    </row>
    <row r="426" spans="1:34" x14ac:dyDescent="0.25">
      <c r="E426" s="31"/>
    </row>
    <row r="427" spans="1:34" x14ac:dyDescent="0.25">
      <c r="A427" s="8" t="s">
        <v>4</v>
      </c>
      <c r="E427" s="31"/>
    </row>
    <row r="428" spans="1:34" x14ac:dyDescent="0.25">
      <c r="A428" s="12" t="s">
        <v>214</v>
      </c>
      <c r="C428" s="2" t="s">
        <v>831</v>
      </c>
      <c r="D428" s="9" t="s">
        <v>750</v>
      </c>
      <c r="E428" s="65">
        <f>'Functional Assignment'!V444</f>
        <v>64717.19548692277</v>
      </c>
      <c r="F428" s="65">
        <f>IF(VLOOKUP($D428,$C$5:$AU$836,3,)=0,0,(VLOOKUP($D428,$C$5:$AU$836,4,)/VLOOKUP($D428,$C$5:$AU$836,3,))*$E428)</f>
        <v>41640.856679753895</v>
      </c>
      <c r="G428" s="65">
        <f>IF(VLOOKUP($D428,$C$5:$AU$836,3,)=0,0,(VLOOKUP($D428,$C$5:$AU$836,5,)/VLOOKUP($D428,$C$5:$AU$836,3,))*$E428)</f>
        <v>3597.2920846827533</v>
      </c>
      <c r="H428" s="65">
        <f>IF(VLOOKUP($D428,$C$5:$AU$836,3,)=0,0,(VLOOKUP($D428,$C$5:$AU$836,6,)/VLOOKUP($D428,$C$5:$AU$836,3,))*$E428)</f>
        <v>12455.157710254871</v>
      </c>
      <c r="I428" s="65">
        <f>IF(VLOOKUP($D428,$C$5:$AU$836,3,)=0,0,(VLOOKUP($D428,$C$5:$AU$836,7,)/VLOOKUP($D428,$C$5:$AU$836,3,))*$E428)</f>
        <v>1223.4971453451183</v>
      </c>
      <c r="J428" s="65">
        <f>IF(VLOOKUP($D428,$C$5:$AU$836,3,)=0,0,(VLOOKUP($D428,$C$5:$AU$836,8,)/VLOOKUP($D428,$C$5:$AU$836,3,))*$E428)</f>
        <v>1255.848296368898</v>
      </c>
      <c r="K428" s="65">
        <f>IF(VLOOKUP($D428,$C$5:$AU$836,3,)=0,0,(VLOOKUP($D428,$C$5:$AU$836,9,)/VLOOKUP($D428,$C$5:$AU$836,3,))*$E428)</f>
        <v>5.8690110409659848</v>
      </c>
      <c r="L428" s="65">
        <f>IF(VLOOKUP($D428,$C$5:$AU$836,3,)=0,0,(VLOOKUP($D428,$C$5:$AU$836,10,)/VLOOKUP($D428,$C$5:$AU$836,3,))*$E428)</f>
        <v>111.96613415748764</v>
      </c>
      <c r="M428" s="65">
        <f>IF(VLOOKUP($D428,$C$5:$AU$836,3,)=0,0,(VLOOKUP($D428,$C$5:$AU$836,11,)/VLOOKUP($D428,$C$5:$AU$836,3,))*$E428)</f>
        <v>3662.3444736658171</v>
      </c>
      <c r="N428" s="65">
        <f>IF(VLOOKUP($D428,$C$5:$AU$836,3,)=0,0,(VLOOKUP($D428,$C$5:$AU$836,12,)/VLOOKUP($D428,$C$5:$AU$836,3,))*$E428)</f>
        <v>764.3639516529546</v>
      </c>
      <c r="O428" s="65">
        <f>IF(VLOOKUP($D428,$C$5:$AU$836,3,)=0,0,(VLOOKUP($D428,$C$5:$AU$836,13,)/VLOOKUP($D428,$C$5:$AU$836,3,))*$E428)</f>
        <v>0</v>
      </c>
      <c r="P428" s="65">
        <f>IF(VLOOKUP($D428,$C$5:$AU$836,3,)=0,0,(VLOOKUP($D428,$C$5:$AU$836,14,)/VLOOKUP($D428,$C$5:$AU$836,3,))*$E428)</f>
        <v>0</v>
      </c>
      <c r="Q428" s="65">
        <f>IF(VLOOKUP($D428,$C$5:$AU$836,3,)=0,0,(VLOOKUP($D428,$C$5:$AU$836,15,)/VLOOKUP($D428,$C$5:$AU$836,3,))*$E428)</f>
        <v>0</v>
      </c>
      <c r="R428" s="65">
        <f>IF(VLOOKUP($D428,$C$5:$AU$836,3,)=0,0,(VLOOKUP($D428,$C$5:$AU$836,16,)/VLOOKUP($D428,$C$5:$AU$836,3,))*$E428)</f>
        <v>0</v>
      </c>
      <c r="S428" s="65">
        <f>IF(VLOOKUP($D428,$C$5:$AU$836,3,)=0,0,(VLOOKUP($D428,$C$5:$AU$836,17,)/VLOOKUP($D428,$C$5:$AU$836,3,))*$E428)</f>
        <v>0</v>
      </c>
      <c r="T428" s="65">
        <f>IF(VLOOKUP($D428,$C$5:$AU$836,3,)=0,0,(VLOOKUP($D428,$C$5:$AU$836,18,)/VLOOKUP($D428,$C$5:$AU$836,3,))*$E428)</f>
        <v>0</v>
      </c>
      <c r="U428" s="65">
        <f>IF(VLOOKUP($D428,$C$5:$AU$836,3,)=0,0,(VLOOKUP($D428,$C$5:$AU$836,19,)/VLOOKUP($D428,$C$5:$AU$836,3,))*$E428)</f>
        <v>0</v>
      </c>
      <c r="V428" s="65">
        <f>IF(VLOOKUP($D428,$C$5:$AU$836,3,)=0,0,(VLOOKUP($D428,$C$5:$AU$836,20,)/VLOOKUP($D428,$C$5:$AU$836,3,))*$E428)</f>
        <v>0</v>
      </c>
      <c r="W428" s="65">
        <f>IF(VLOOKUP($D428,$C$5:$AU$836,3,)=0,0,(VLOOKUP($D428,$C$5:$AU$836,21,)/VLOOKUP($D428,$C$5:$AU$836,3,))*$E428)</f>
        <v>0</v>
      </c>
      <c r="X428" s="65">
        <f>IF(VLOOKUP($D428,$C$5:$AU$836,3,)=0,0,(VLOOKUP($D428,$C$5:$AU$836,22,)/VLOOKUP($D428,$C$5:$AU$836,3,))*$E428)</f>
        <v>0</v>
      </c>
      <c r="Y428" s="65">
        <f>IF(VLOOKUP($D428,$C$5:$AU$836,3,)=0,0,(VLOOKUP($D428,$C$5:$AU$836,23,)/VLOOKUP($D428,$C$5:$AU$836,3,))*$E428)</f>
        <v>0</v>
      </c>
      <c r="Z428" s="65">
        <f>IF(VLOOKUP($D428,$C$5:$AU$836,3,)=0,0,(VLOOKUP($D428,$C$5:$AU$836,24,)/VLOOKUP($D428,$C$5:$AU$836,3,))*$E428)</f>
        <v>0</v>
      </c>
      <c r="AA428" s="65">
        <f>IF(VLOOKUP($D428,$C$5:$AU$836,3,)=0,0,(VLOOKUP($D428,$C$5:$AU$836,25,)/VLOOKUP($D428,$C$5:$AU$836,3,))*$E428)</f>
        <v>0</v>
      </c>
      <c r="AB428" s="65">
        <f>IF(VLOOKUP($D428,$C$5:$AU$836,3,)=0,0,(VLOOKUP($D428,$C$5:$AU$836,26,)/VLOOKUP($D428,$C$5:$AU$836,3,))*$E428)</f>
        <v>0</v>
      </c>
      <c r="AC428" s="65">
        <f>IF(VLOOKUP($D428,$C$5:$AU$836,3,)=0,0,(VLOOKUP($D428,$C$5:$AU$836,27,)/VLOOKUP($D428,$C$5:$AU$836,3,))*$E428)</f>
        <v>0</v>
      </c>
      <c r="AD428" s="65">
        <f>IF(VLOOKUP($D428,$C$5:$AU$836,3,)=0,0,(VLOOKUP($D428,$C$5:$AU$836,28,)/VLOOKUP($D428,$C$5:$AU$836,3,))*$E428)</f>
        <v>0</v>
      </c>
      <c r="AE428" s="65">
        <f>IF(VLOOKUP($D428,$C$5:$AU$836,3,)=0,0,(VLOOKUP($D428,$C$5:$AU$836,29,)/VLOOKUP($D428,$C$5:$AU$836,3,))*$E428)</f>
        <v>0</v>
      </c>
      <c r="AF428" s="65">
        <f>IF(VLOOKUP($D428,$C$5:$AU$836,3,)=0,0,(VLOOKUP($D428,$C$5:$AU$836,30,)/VLOOKUP($D428,$C$5:$AU$836,3,))*$E428)</f>
        <v>0</v>
      </c>
      <c r="AG428" s="16">
        <f>SUM(F428:AF428)</f>
        <v>64717.195486922763</v>
      </c>
      <c r="AH428" s="14" t="str">
        <f>IF(ABS(E428-AG428)&lt;0.01,"ok","err")</f>
        <v>ok</v>
      </c>
    </row>
    <row r="429" spans="1:34" x14ac:dyDescent="0.25">
      <c r="A429" s="12" t="s">
        <v>223</v>
      </c>
      <c r="C429" s="2" t="s">
        <v>832</v>
      </c>
      <c r="D429" s="9" t="s">
        <v>759</v>
      </c>
      <c r="E429" s="65">
        <f>'Functional Assignment'!W444</f>
        <v>31863.574897485883</v>
      </c>
      <c r="F429" s="65">
        <f>IF(VLOOKUP($D429,$C$5:$AU$836,3,)=0,0,(VLOOKUP($D429,$C$5:$AU$836,4,)/VLOOKUP($D429,$C$5:$AU$836,3,))*$E429)</f>
        <v>29213.080953149154</v>
      </c>
      <c r="G429" s="65">
        <f>IF(VLOOKUP($D429,$C$5:$AU$836,3,)=0,0,(VLOOKUP($D429,$C$5:$AU$836,5,)/VLOOKUP($D429,$C$5:$AU$836,3,))*$E429)</f>
        <v>2095.4628144975918</v>
      </c>
      <c r="H429" s="65">
        <f>IF(VLOOKUP($D429,$C$5:$AU$836,3,)=0,0,(VLOOKUP($D429,$C$5:$AU$836,6,)/VLOOKUP($D429,$C$5:$AU$836,3,))*$E429)</f>
        <v>204.73975007111449</v>
      </c>
      <c r="I429" s="65">
        <f>IF(VLOOKUP($D429,$C$5:$AU$836,3,)=0,0,(VLOOKUP($D429,$C$5:$AU$836,7,)/VLOOKUP($D429,$C$5:$AU$836,3,))*$E429)</f>
        <v>77.181801945544294</v>
      </c>
      <c r="J429" s="65">
        <f>IF(VLOOKUP($D429,$C$5:$AU$836,3,)=0,0,(VLOOKUP($D429,$C$5:$AU$836,8,)/VLOOKUP($D429,$C$5:$AU$836,3,))*$E429)</f>
        <v>7.8568301381691787</v>
      </c>
      <c r="K429" s="65">
        <f>IF(VLOOKUP($D429,$C$5:$AU$836,3,)=0,0,(VLOOKUP($D429,$C$5:$AU$836,9,)/VLOOKUP($D429,$C$5:$AU$836,3,))*$E429)</f>
        <v>0.46216647871583405</v>
      </c>
      <c r="L429" s="65">
        <f>IF(VLOOKUP($D429,$C$5:$AU$836,3,)=0,0,(VLOOKUP($D429,$C$5:$AU$836,10,)/VLOOKUP($D429,$C$5:$AU$836,3,))*$E429)</f>
        <v>0.9243329574316681</v>
      </c>
      <c r="M429" s="65">
        <f>IF(VLOOKUP($D429,$C$5:$AU$836,3,)=0,0,(VLOOKUP($D429,$C$5:$AU$836,11,)/VLOOKUP($D429,$C$5:$AU$836,3,))*$E429)</f>
        <v>3.6973318297266724</v>
      </c>
      <c r="N429" s="65">
        <f>IF(VLOOKUP($D429,$C$5:$AU$836,3,)=0,0,(VLOOKUP($D429,$C$5:$AU$836,12,)/VLOOKUP($D429,$C$5:$AU$836,3,))*$E429)</f>
        <v>260.16891641843353</v>
      </c>
      <c r="O429" s="65">
        <f>IF(VLOOKUP($D429,$C$5:$AU$836,3,)=0,0,(VLOOKUP($D429,$C$5:$AU$836,13,)/VLOOKUP($D429,$C$5:$AU$836,3,))*$E429)</f>
        <v>0</v>
      </c>
      <c r="P429" s="65">
        <f>IF(VLOOKUP($D429,$C$5:$AU$836,3,)=0,0,(VLOOKUP($D429,$C$5:$AU$836,14,)/VLOOKUP($D429,$C$5:$AU$836,3,))*$E429)</f>
        <v>0</v>
      </c>
      <c r="Q429" s="65">
        <f>IF(VLOOKUP($D429,$C$5:$AU$836,3,)=0,0,(VLOOKUP($D429,$C$5:$AU$836,15,)/VLOOKUP($D429,$C$5:$AU$836,3,))*$E429)</f>
        <v>0</v>
      </c>
      <c r="R429" s="65">
        <f>IF(VLOOKUP($D429,$C$5:$AU$836,3,)=0,0,(VLOOKUP($D429,$C$5:$AU$836,16,)/VLOOKUP($D429,$C$5:$AU$836,3,))*$E429)</f>
        <v>0</v>
      </c>
      <c r="S429" s="65">
        <f>IF(VLOOKUP($D429,$C$5:$AU$836,3,)=0,0,(VLOOKUP($D429,$C$5:$AU$836,17,)/VLOOKUP($D429,$C$5:$AU$836,3,))*$E429)</f>
        <v>0</v>
      </c>
      <c r="T429" s="65">
        <f>IF(VLOOKUP($D429,$C$5:$AU$836,3,)=0,0,(VLOOKUP($D429,$C$5:$AU$836,18,)/VLOOKUP($D429,$C$5:$AU$836,3,))*$E429)</f>
        <v>0</v>
      </c>
      <c r="U429" s="65">
        <f>IF(VLOOKUP($D429,$C$5:$AU$836,3,)=0,0,(VLOOKUP($D429,$C$5:$AU$836,19,)/VLOOKUP($D429,$C$5:$AU$836,3,))*$E429)</f>
        <v>0</v>
      </c>
      <c r="V429" s="65">
        <f>IF(VLOOKUP($D429,$C$5:$AU$836,3,)=0,0,(VLOOKUP($D429,$C$5:$AU$836,20,)/VLOOKUP($D429,$C$5:$AU$836,3,))*$E429)</f>
        <v>0</v>
      </c>
      <c r="W429" s="65">
        <f>IF(VLOOKUP($D429,$C$5:$AU$836,3,)=0,0,(VLOOKUP($D429,$C$5:$AU$836,21,)/VLOOKUP($D429,$C$5:$AU$836,3,))*$E429)</f>
        <v>0</v>
      </c>
      <c r="X429" s="65">
        <f>IF(VLOOKUP($D429,$C$5:$AU$836,3,)=0,0,(VLOOKUP($D429,$C$5:$AU$836,22,)/VLOOKUP($D429,$C$5:$AU$836,3,))*$E429)</f>
        <v>0</v>
      </c>
      <c r="Y429" s="65">
        <f>IF(VLOOKUP($D429,$C$5:$AU$836,3,)=0,0,(VLOOKUP($D429,$C$5:$AU$836,23,)/VLOOKUP($D429,$C$5:$AU$836,3,))*$E429)</f>
        <v>0</v>
      </c>
      <c r="Z429" s="65">
        <f>IF(VLOOKUP($D429,$C$5:$AU$836,3,)=0,0,(VLOOKUP($D429,$C$5:$AU$836,24,)/VLOOKUP($D429,$C$5:$AU$836,3,))*$E429)</f>
        <v>0</v>
      </c>
      <c r="AA429" s="65">
        <f>IF(VLOOKUP($D429,$C$5:$AU$836,3,)=0,0,(VLOOKUP($D429,$C$5:$AU$836,25,)/VLOOKUP($D429,$C$5:$AU$836,3,))*$E429)</f>
        <v>0</v>
      </c>
      <c r="AB429" s="65">
        <f>IF(VLOOKUP($D429,$C$5:$AU$836,3,)=0,0,(VLOOKUP($D429,$C$5:$AU$836,26,)/VLOOKUP($D429,$C$5:$AU$836,3,))*$E429)</f>
        <v>0</v>
      </c>
      <c r="AC429" s="65">
        <f>IF(VLOOKUP($D429,$C$5:$AU$836,3,)=0,0,(VLOOKUP($D429,$C$5:$AU$836,27,)/VLOOKUP($D429,$C$5:$AU$836,3,))*$E429)</f>
        <v>0</v>
      </c>
      <c r="AD429" s="65">
        <f>IF(VLOOKUP($D429,$C$5:$AU$836,3,)=0,0,(VLOOKUP($D429,$C$5:$AU$836,28,)/VLOOKUP($D429,$C$5:$AU$836,3,))*$E429)</f>
        <v>0</v>
      </c>
      <c r="AE429" s="65">
        <f>IF(VLOOKUP($D429,$C$5:$AU$836,3,)=0,0,(VLOOKUP($D429,$C$5:$AU$836,29,)/VLOOKUP($D429,$C$5:$AU$836,3,))*$E429)</f>
        <v>0</v>
      </c>
      <c r="AF429" s="65">
        <f>IF(VLOOKUP($D429,$C$5:$AU$836,3,)=0,0,(VLOOKUP($D429,$C$5:$AU$836,30,)/VLOOKUP($D429,$C$5:$AU$836,3,))*$E429)</f>
        <v>0</v>
      </c>
      <c r="AG429" s="16">
        <f>SUM(F429:AF429)</f>
        <v>31863.57489748588</v>
      </c>
      <c r="AH429" s="14" t="str">
        <f>IF(ABS(E429-AG429)&lt;0.01,"ok","err")</f>
        <v>ok</v>
      </c>
    </row>
    <row r="430" spans="1:34" x14ac:dyDescent="0.25">
      <c r="A430" s="2" t="s">
        <v>224</v>
      </c>
      <c r="E430" s="65">
        <f t="shared" ref="E430:N430" si="283">E428+E429</f>
        <v>96580.77038440865</v>
      </c>
      <c r="F430" s="65">
        <f t="shared" si="283"/>
        <v>70853.937632903049</v>
      </c>
      <c r="G430" s="65">
        <f t="shared" si="283"/>
        <v>5692.7548991803451</v>
      </c>
      <c r="H430" s="65">
        <f t="shared" si="283"/>
        <v>12659.897460325985</v>
      </c>
      <c r="I430" s="65">
        <f t="shared" si="283"/>
        <v>1300.6789472906626</v>
      </c>
      <c r="J430" s="65">
        <f t="shared" si="283"/>
        <v>1263.7051265070672</v>
      </c>
      <c r="K430" s="65">
        <f t="shared" si="283"/>
        <v>6.3311775196818187</v>
      </c>
      <c r="L430" s="65">
        <f t="shared" si="283"/>
        <v>112.89046711491932</v>
      </c>
      <c r="M430" s="65">
        <f t="shared" si="283"/>
        <v>3666.0418054955439</v>
      </c>
      <c r="N430" s="65">
        <f t="shared" si="283"/>
        <v>1024.5328680713881</v>
      </c>
      <c r="O430" s="65">
        <f t="shared" ref="O430:T430" si="284">O428+O429</f>
        <v>0</v>
      </c>
      <c r="P430" s="65">
        <f t="shared" si="284"/>
        <v>0</v>
      </c>
      <c r="Q430" s="65">
        <f t="shared" si="284"/>
        <v>0</v>
      </c>
      <c r="R430" s="65">
        <f t="shared" si="284"/>
        <v>0</v>
      </c>
      <c r="S430" s="65">
        <f t="shared" si="284"/>
        <v>0</v>
      </c>
      <c r="T430" s="65">
        <f t="shared" si="284"/>
        <v>0</v>
      </c>
      <c r="U430" s="65">
        <f t="shared" ref="U430:AF430" si="285">U428+U429</f>
        <v>0</v>
      </c>
      <c r="V430" s="65">
        <f t="shared" si="285"/>
        <v>0</v>
      </c>
      <c r="W430" s="65">
        <f t="shared" si="285"/>
        <v>0</v>
      </c>
      <c r="X430" s="65">
        <f t="shared" si="285"/>
        <v>0</v>
      </c>
      <c r="Y430" s="65">
        <f t="shared" si="285"/>
        <v>0</v>
      </c>
      <c r="Z430" s="65">
        <f t="shared" si="285"/>
        <v>0</v>
      </c>
      <c r="AA430" s="65">
        <f t="shared" si="285"/>
        <v>0</v>
      </c>
      <c r="AB430" s="65">
        <f t="shared" si="285"/>
        <v>0</v>
      </c>
      <c r="AC430" s="65">
        <f t="shared" si="285"/>
        <v>0</v>
      </c>
      <c r="AD430" s="65">
        <f t="shared" si="285"/>
        <v>0</v>
      </c>
      <c r="AE430" s="65">
        <f t="shared" si="285"/>
        <v>0</v>
      </c>
      <c r="AF430" s="65">
        <f t="shared" si="285"/>
        <v>0</v>
      </c>
      <c r="AG430" s="16">
        <f>SUM(F430:AF430)</f>
        <v>96580.770384408635</v>
      </c>
      <c r="AH430" s="14" t="str">
        <f>IF(ABS(E430-AG430)&lt;0.01,"ok","err")</f>
        <v>ok</v>
      </c>
    </row>
    <row r="431" spans="1:34" x14ac:dyDescent="0.2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16"/>
      <c r="AH431" s="14"/>
    </row>
    <row r="432" spans="1:34" x14ac:dyDescent="0.25">
      <c r="A432" s="7" t="s">
        <v>734</v>
      </c>
      <c r="E432" s="31"/>
    </row>
    <row r="433" spans="1:34" x14ac:dyDescent="0.25">
      <c r="A433" s="12" t="s">
        <v>214</v>
      </c>
      <c r="C433" s="2" t="s">
        <v>833</v>
      </c>
      <c r="D433" s="9" t="s">
        <v>756</v>
      </c>
      <c r="E433" s="65">
        <f>'Functional Assignment'!Y444</f>
        <v>7190.7994985469722</v>
      </c>
      <c r="F433" s="65">
        <f>IF(VLOOKUP($D433,$C$5:$AU$836,3,)=0,0,(VLOOKUP($D433,$C$5:$AU$836,4,)/VLOOKUP($D433,$C$5:$AU$836,3,))*$E433)</f>
        <v>4708.0804221820681</v>
      </c>
      <c r="G433" s="65">
        <f>IF(VLOOKUP($D433,$C$5:$AU$836,3,)=0,0,(VLOOKUP($D433,$C$5:$AU$836,5,)/VLOOKUP($D433,$C$5:$AU$836,3,))*$E433)</f>
        <v>970.8786507368352</v>
      </c>
      <c r="H433" s="65">
        <f>IF(VLOOKUP($D433,$C$5:$AU$836,3,)=0,0,(VLOOKUP($D433,$C$5:$AU$836,6,)/VLOOKUP($D433,$C$5:$AU$836,3,))*$E433)</f>
        <v>1005.0212487774071</v>
      </c>
      <c r="I433" s="65">
        <f>IF(VLOOKUP($D433,$C$5:$AU$836,3,)=0,0,(VLOOKUP($D433,$C$5:$AU$836,7,)/VLOOKUP($D433,$C$5:$AU$836,3,))*$E433)</f>
        <v>345.86664541566847</v>
      </c>
      <c r="J433" s="65">
        <f>IF(VLOOKUP($D433,$C$5:$AU$836,3,)=0,0,(VLOOKUP($D433,$C$5:$AU$836,8,)/VLOOKUP($D433,$C$5:$AU$836,3,))*$E433)</f>
        <v>127.60341500356628</v>
      </c>
      <c r="K433" s="65">
        <f>IF(VLOOKUP($D433,$C$5:$AU$836,3,)=0,0,(VLOOKUP($D433,$C$5:$AU$836,9,)/VLOOKUP($D433,$C$5:$AU$836,3,))*$E433)</f>
        <v>0</v>
      </c>
      <c r="L433" s="65">
        <f>IF(VLOOKUP($D433,$C$5:$AU$836,3,)=0,0,(VLOOKUP($D433,$C$5:$AU$836,10,)/VLOOKUP($D433,$C$5:$AU$836,3,))*$E433)</f>
        <v>0</v>
      </c>
      <c r="M433" s="65">
        <f>IF(VLOOKUP($D433,$C$5:$AU$836,3,)=0,0,(VLOOKUP($D433,$C$5:$AU$836,11,)/VLOOKUP($D433,$C$5:$AU$836,3,))*$E433)</f>
        <v>0</v>
      </c>
      <c r="N433" s="65">
        <f>IF(VLOOKUP($D433,$C$5:$AU$836,3,)=0,0,(VLOOKUP($D433,$C$5:$AU$836,12,)/VLOOKUP($D433,$C$5:$AU$836,3,))*$E433)</f>
        <v>33.349116431427099</v>
      </c>
      <c r="O433" s="65">
        <f>IF(VLOOKUP($D433,$C$5:$AU$836,3,)=0,0,(VLOOKUP($D433,$C$5:$AU$836,13,)/VLOOKUP($D433,$C$5:$AU$836,3,))*$E433)</f>
        <v>0</v>
      </c>
      <c r="P433" s="65">
        <f>IF(VLOOKUP($D433,$C$5:$AU$836,3,)=0,0,(VLOOKUP($D433,$C$5:$AU$836,14,)/VLOOKUP($D433,$C$5:$AU$836,3,))*$E433)</f>
        <v>0</v>
      </c>
      <c r="Q433" s="65">
        <f>IF(VLOOKUP($D433,$C$5:$AU$836,3,)=0,0,(VLOOKUP($D433,$C$5:$AU$836,15,)/VLOOKUP($D433,$C$5:$AU$836,3,))*$E433)</f>
        <v>0</v>
      </c>
      <c r="R433" s="65">
        <f>IF(VLOOKUP($D433,$C$5:$AU$836,3,)=0,0,(VLOOKUP($D433,$C$5:$AU$836,16,)/VLOOKUP($D433,$C$5:$AU$836,3,))*$E433)</f>
        <v>0</v>
      </c>
      <c r="S433" s="65">
        <f>IF(VLOOKUP($D433,$C$5:$AU$836,3,)=0,0,(VLOOKUP($D433,$C$5:$AU$836,17,)/VLOOKUP($D433,$C$5:$AU$836,3,))*$E433)</f>
        <v>0</v>
      </c>
      <c r="T433" s="65">
        <f>IF(VLOOKUP($D433,$C$5:$AU$836,3,)=0,0,(VLOOKUP($D433,$C$5:$AU$836,18,)/VLOOKUP($D433,$C$5:$AU$836,3,))*$E433)</f>
        <v>0</v>
      </c>
      <c r="U433" s="65">
        <f>IF(VLOOKUP($D433,$C$5:$AU$836,3,)=0,0,(VLOOKUP($D433,$C$5:$AU$836,19,)/VLOOKUP($D433,$C$5:$AU$836,3,))*$E433)</f>
        <v>0</v>
      </c>
      <c r="V433" s="65">
        <f>IF(VLOOKUP($D433,$C$5:$AU$836,3,)=0,0,(VLOOKUP($D433,$C$5:$AU$836,20,)/VLOOKUP($D433,$C$5:$AU$836,3,))*$E433)</f>
        <v>0</v>
      </c>
      <c r="W433" s="65">
        <f>IF(VLOOKUP($D433,$C$5:$AU$836,3,)=0,0,(VLOOKUP($D433,$C$5:$AU$836,21,)/VLOOKUP($D433,$C$5:$AU$836,3,))*$E433)</f>
        <v>0</v>
      </c>
      <c r="X433" s="65">
        <f>IF(VLOOKUP($D433,$C$5:$AU$836,3,)=0,0,(VLOOKUP($D433,$C$5:$AU$836,22,)/VLOOKUP($D433,$C$5:$AU$836,3,))*$E433)</f>
        <v>0</v>
      </c>
      <c r="Y433" s="65">
        <f>IF(VLOOKUP($D433,$C$5:$AU$836,3,)=0,0,(VLOOKUP($D433,$C$5:$AU$836,23,)/VLOOKUP($D433,$C$5:$AU$836,3,))*$E433)</f>
        <v>0</v>
      </c>
      <c r="Z433" s="65">
        <f>IF(VLOOKUP($D433,$C$5:$AU$836,3,)=0,0,(VLOOKUP($D433,$C$5:$AU$836,24,)/VLOOKUP($D433,$C$5:$AU$836,3,))*$E433)</f>
        <v>0</v>
      </c>
      <c r="AA433" s="65">
        <f>IF(VLOOKUP($D433,$C$5:$AU$836,3,)=0,0,(VLOOKUP($D433,$C$5:$AU$836,25,)/VLOOKUP($D433,$C$5:$AU$836,3,))*$E433)</f>
        <v>0</v>
      </c>
      <c r="AB433" s="65">
        <f>IF(VLOOKUP($D433,$C$5:$AU$836,3,)=0,0,(VLOOKUP($D433,$C$5:$AU$836,26,)/VLOOKUP($D433,$C$5:$AU$836,3,))*$E433)</f>
        <v>0</v>
      </c>
      <c r="AC433" s="65">
        <f>IF(VLOOKUP($D433,$C$5:$AU$836,3,)=0,0,(VLOOKUP($D433,$C$5:$AU$836,27,)/VLOOKUP($D433,$C$5:$AU$836,3,))*$E433)</f>
        <v>0</v>
      </c>
      <c r="AD433" s="65">
        <f>IF(VLOOKUP($D433,$C$5:$AU$836,3,)=0,0,(VLOOKUP($D433,$C$5:$AU$836,28,)/VLOOKUP($D433,$C$5:$AU$836,3,))*$E433)</f>
        <v>0</v>
      </c>
      <c r="AE433" s="65">
        <f>IF(VLOOKUP($D433,$C$5:$AU$836,3,)=0,0,(VLOOKUP($D433,$C$5:$AU$836,29,)/VLOOKUP($D433,$C$5:$AU$836,3,))*$E433)</f>
        <v>0</v>
      </c>
      <c r="AF433" s="65">
        <f>IF(VLOOKUP($D433,$C$5:$AU$836,3,)=0,0,(VLOOKUP($D433,$C$5:$AU$836,30,)/VLOOKUP($D433,$C$5:$AU$836,3,))*$E433)</f>
        <v>0</v>
      </c>
      <c r="AG433" s="16">
        <f>SUM(F433:AF433)</f>
        <v>7190.7994985469722</v>
      </c>
      <c r="AH433" s="14" t="str">
        <f>IF(ABS(E433-AG433)&lt;0.01,"ok","err")</f>
        <v>ok</v>
      </c>
    </row>
    <row r="434" spans="1:34" x14ac:dyDescent="0.25">
      <c r="A434" s="12" t="s">
        <v>223</v>
      </c>
      <c r="C434" s="2" t="s">
        <v>834</v>
      </c>
      <c r="D434" s="9" t="s">
        <v>760</v>
      </c>
      <c r="E434" s="65">
        <f>'Functional Assignment'!Z444</f>
        <v>3540.3972108317648</v>
      </c>
      <c r="F434" s="65">
        <f>IF(VLOOKUP($D434,$C$5:$AU$836,3,)=0,0,(VLOOKUP($D434,$C$5:$AU$836,4,)/VLOOKUP($D434,$C$5:$AU$836,3,))*$E434)</f>
        <v>3246.4422750175113</v>
      </c>
      <c r="G434" s="65">
        <f>IF(VLOOKUP($D434,$C$5:$AU$836,3,)=0,0,(VLOOKUP($D434,$C$5:$AU$836,5,)/VLOOKUP($D434,$C$5:$AU$836,3,))*$E434)</f>
        <v>232.86825095998032</v>
      </c>
      <c r="H434" s="65">
        <f>IF(VLOOKUP($D434,$C$5:$AU$836,3,)=0,0,(VLOOKUP($D434,$C$5:$AU$836,6,)/VLOOKUP($D434,$C$5:$AU$836,3,))*$E434)</f>
        <v>22.752676483297591</v>
      </c>
      <c r="I434" s="65">
        <f>IF(VLOOKUP($D434,$C$5:$AU$836,3,)=0,0,(VLOOKUP($D434,$C$5:$AU$836,7,)/VLOOKUP($D434,$C$5:$AU$836,3,))*$E434)</f>
        <v>8.5771940693243742</v>
      </c>
      <c r="J434" s="65">
        <f>IF(VLOOKUP($D434,$C$5:$AU$836,3,)=0,0,(VLOOKUP($D434,$C$5:$AU$836,8,)/VLOOKUP($D434,$C$5:$AU$836,3,))*$E434)</f>
        <v>0.87312753999110393</v>
      </c>
      <c r="K434" s="65">
        <f>IF(VLOOKUP($D434,$C$5:$AU$836,3,)=0,0,(VLOOKUP($D434,$C$5:$AU$836,9,)/VLOOKUP($D434,$C$5:$AU$836,3,))*$E434)</f>
        <v>0</v>
      </c>
      <c r="L434" s="65">
        <f>IF(VLOOKUP($D434,$C$5:$AU$836,3,)=0,0,(VLOOKUP($D434,$C$5:$AU$836,10,)/VLOOKUP($D434,$C$5:$AU$836,3,))*$E434)</f>
        <v>0</v>
      </c>
      <c r="M434" s="65">
        <f>IF(VLOOKUP($D434,$C$5:$AU$836,3,)=0,0,(VLOOKUP($D434,$C$5:$AU$836,11,)/VLOOKUP($D434,$C$5:$AU$836,3,))*$E434)</f>
        <v>0</v>
      </c>
      <c r="N434" s="65">
        <f>IF(VLOOKUP($D434,$C$5:$AU$836,3,)=0,0,(VLOOKUP($D434,$C$5:$AU$836,12,)/VLOOKUP($D434,$C$5:$AU$836,3,))*$E434)</f>
        <v>28.883686761659963</v>
      </c>
      <c r="O434" s="65">
        <f>IF(VLOOKUP($D434,$C$5:$AU$836,3,)=0,0,(VLOOKUP($D434,$C$5:$AU$836,13,)/VLOOKUP($D434,$C$5:$AU$836,3,))*$E434)</f>
        <v>0</v>
      </c>
      <c r="P434" s="65">
        <f>IF(VLOOKUP($D434,$C$5:$AU$836,3,)=0,0,(VLOOKUP($D434,$C$5:$AU$836,14,)/VLOOKUP($D434,$C$5:$AU$836,3,))*$E434)</f>
        <v>0</v>
      </c>
      <c r="Q434" s="65">
        <f>IF(VLOOKUP($D434,$C$5:$AU$836,3,)=0,0,(VLOOKUP($D434,$C$5:$AU$836,15,)/VLOOKUP($D434,$C$5:$AU$836,3,))*$E434)</f>
        <v>0</v>
      </c>
      <c r="R434" s="65">
        <f>IF(VLOOKUP($D434,$C$5:$AU$836,3,)=0,0,(VLOOKUP($D434,$C$5:$AU$836,16,)/VLOOKUP($D434,$C$5:$AU$836,3,))*$E434)</f>
        <v>0</v>
      </c>
      <c r="S434" s="65">
        <f>IF(VLOOKUP($D434,$C$5:$AU$836,3,)=0,0,(VLOOKUP($D434,$C$5:$AU$836,17,)/VLOOKUP($D434,$C$5:$AU$836,3,))*$E434)</f>
        <v>0</v>
      </c>
      <c r="T434" s="65">
        <f>IF(VLOOKUP($D434,$C$5:$AU$836,3,)=0,0,(VLOOKUP($D434,$C$5:$AU$836,18,)/VLOOKUP($D434,$C$5:$AU$836,3,))*$E434)</f>
        <v>0</v>
      </c>
      <c r="U434" s="65">
        <f>IF(VLOOKUP($D434,$C$5:$AU$836,3,)=0,0,(VLOOKUP($D434,$C$5:$AU$836,19,)/VLOOKUP($D434,$C$5:$AU$836,3,))*$E434)</f>
        <v>0</v>
      </c>
      <c r="V434" s="65">
        <f>IF(VLOOKUP($D434,$C$5:$AU$836,3,)=0,0,(VLOOKUP($D434,$C$5:$AU$836,20,)/VLOOKUP($D434,$C$5:$AU$836,3,))*$E434)</f>
        <v>0</v>
      </c>
      <c r="W434" s="65">
        <f>IF(VLOOKUP($D434,$C$5:$AU$836,3,)=0,0,(VLOOKUP($D434,$C$5:$AU$836,21,)/VLOOKUP($D434,$C$5:$AU$836,3,))*$E434)</f>
        <v>0</v>
      </c>
      <c r="X434" s="65">
        <f>IF(VLOOKUP($D434,$C$5:$AU$836,3,)=0,0,(VLOOKUP($D434,$C$5:$AU$836,22,)/VLOOKUP($D434,$C$5:$AU$836,3,))*$E434)</f>
        <v>0</v>
      </c>
      <c r="Y434" s="65">
        <f>IF(VLOOKUP($D434,$C$5:$AU$836,3,)=0,0,(VLOOKUP($D434,$C$5:$AU$836,23,)/VLOOKUP($D434,$C$5:$AU$836,3,))*$E434)</f>
        <v>0</v>
      </c>
      <c r="Z434" s="65">
        <f>IF(VLOOKUP($D434,$C$5:$AU$836,3,)=0,0,(VLOOKUP($D434,$C$5:$AU$836,24,)/VLOOKUP($D434,$C$5:$AU$836,3,))*$E434)</f>
        <v>0</v>
      </c>
      <c r="AA434" s="65">
        <f>IF(VLOOKUP($D434,$C$5:$AU$836,3,)=0,0,(VLOOKUP($D434,$C$5:$AU$836,25,)/VLOOKUP($D434,$C$5:$AU$836,3,))*$E434)</f>
        <v>0</v>
      </c>
      <c r="AB434" s="65">
        <f>IF(VLOOKUP($D434,$C$5:$AU$836,3,)=0,0,(VLOOKUP($D434,$C$5:$AU$836,26,)/VLOOKUP($D434,$C$5:$AU$836,3,))*$E434)</f>
        <v>0</v>
      </c>
      <c r="AC434" s="65">
        <f>IF(VLOOKUP($D434,$C$5:$AU$836,3,)=0,0,(VLOOKUP($D434,$C$5:$AU$836,27,)/VLOOKUP($D434,$C$5:$AU$836,3,))*$E434)</f>
        <v>0</v>
      </c>
      <c r="AD434" s="65">
        <f>IF(VLOOKUP($D434,$C$5:$AU$836,3,)=0,0,(VLOOKUP($D434,$C$5:$AU$836,28,)/VLOOKUP($D434,$C$5:$AU$836,3,))*$E434)</f>
        <v>0</v>
      </c>
      <c r="AE434" s="65">
        <f>IF(VLOOKUP($D434,$C$5:$AU$836,3,)=0,0,(VLOOKUP($D434,$C$5:$AU$836,29,)/VLOOKUP($D434,$C$5:$AU$836,3,))*$E434)</f>
        <v>0</v>
      </c>
      <c r="AF434" s="65">
        <f>IF(VLOOKUP($D434,$C$5:$AU$836,3,)=0,0,(VLOOKUP($D434,$C$5:$AU$836,30,)/VLOOKUP($D434,$C$5:$AU$836,3,))*$E434)</f>
        <v>0</v>
      </c>
      <c r="AG434" s="16">
        <f>SUM(F434:AF434)</f>
        <v>3540.3972108317648</v>
      </c>
      <c r="AH434" s="14" t="str">
        <f>IF(ABS(E434-AG434)&lt;0.01,"ok","err")</f>
        <v>ok</v>
      </c>
    </row>
    <row r="435" spans="1:34" x14ac:dyDescent="0.25">
      <c r="A435" s="2" t="s">
        <v>224</v>
      </c>
      <c r="E435" s="65">
        <f t="shared" ref="E435:N435" si="286">E433+E434</f>
        <v>10731.196709378737</v>
      </c>
      <c r="F435" s="65">
        <f t="shared" si="286"/>
        <v>7954.5226971995799</v>
      </c>
      <c r="G435" s="65">
        <f t="shared" si="286"/>
        <v>1203.7469016968155</v>
      </c>
      <c r="H435" s="65">
        <f t="shared" si="286"/>
        <v>1027.7739252607048</v>
      </c>
      <c r="I435" s="65">
        <f t="shared" si="286"/>
        <v>354.44383948499285</v>
      </c>
      <c r="J435" s="65">
        <f t="shared" si="286"/>
        <v>128.4765425435574</v>
      </c>
      <c r="K435" s="65">
        <f t="shared" si="286"/>
        <v>0</v>
      </c>
      <c r="L435" s="65">
        <f t="shared" si="286"/>
        <v>0</v>
      </c>
      <c r="M435" s="65">
        <f t="shared" si="286"/>
        <v>0</v>
      </c>
      <c r="N435" s="65">
        <f t="shared" si="286"/>
        <v>62.232803193087065</v>
      </c>
      <c r="O435" s="65">
        <f t="shared" ref="O435:AF435" si="287">O433+O434</f>
        <v>0</v>
      </c>
      <c r="P435" s="65">
        <f t="shared" si="287"/>
        <v>0</v>
      </c>
      <c r="Q435" s="65">
        <f t="shared" si="287"/>
        <v>0</v>
      </c>
      <c r="R435" s="65">
        <f t="shared" si="287"/>
        <v>0</v>
      </c>
      <c r="S435" s="65">
        <f t="shared" si="287"/>
        <v>0</v>
      </c>
      <c r="T435" s="65">
        <f t="shared" si="287"/>
        <v>0</v>
      </c>
      <c r="U435" s="65">
        <f t="shared" si="287"/>
        <v>0</v>
      </c>
      <c r="V435" s="65">
        <f t="shared" si="287"/>
        <v>0</v>
      </c>
      <c r="W435" s="65">
        <f t="shared" si="287"/>
        <v>0</v>
      </c>
      <c r="X435" s="65">
        <f t="shared" si="287"/>
        <v>0</v>
      </c>
      <c r="Y435" s="65">
        <f t="shared" si="287"/>
        <v>0</v>
      </c>
      <c r="Z435" s="65">
        <f t="shared" si="287"/>
        <v>0</v>
      </c>
      <c r="AA435" s="65">
        <f t="shared" si="287"/>
        <v>0</v>
      </c>
      <c r="AB435" s="65">
        <f t="shared" si="287"/>
        <v>0</v>
      </c>
      <c r="AC435" s="65">
        <f t="shared" si="287"/>
        <v>0</v>
      </c>
      <c r="AD435" s="65">
        <f t="shared" si="287"/>
        <v>0</v>
      </c>
      <c r="AE435" s="65">
        <f t="shared" si="287"/>
        <v>0</v>
      </c>
      <c r="AF435" s="65">
        <f t="shared" si="287"/>
        <v>0</v>
      </c>
      <c r="AG435" s="16">
        <f>SUM(F435:AF435)</f>
        <v>10731.196709378737</v>
      </c>
      <c r="AH435" s="14" t="str">
        <f>IF(ABS(E435-AG435)&lt;0.01,"ok","err")</f>
        <v>ok</v>
      </c>
    </row>
    <row r="436" spans="1:34" x14ac:dyDescent="0.25">
      <c r="E436" s="31"/>
    </row>
    <row r="437" spans="1:34" x14ac:dyDescent="0.25">
      <c r="A437" s="7" t="s">
        <v>840</v>
      </c>
      <c r="E437" s="31"/>
    </row>
    <row r="438" spans="1:34" x14ac:dyDescent="0.25">
      <c r="A438" s="12" t="s">
        <v>214</v>
      </c>
      <c r="C438" s="2" t="s">
        <v>801</v>
      </c>
      <c r="D438" s="9" t="s">
        <v>851</v>
      </c>
      <c r="E438" s="65">
        <f>'Functional Assignment'!AB444</f>
        <v>14078.866935826774</v>
      </c>
      <c r="F438" s="65">
        <f>IF(VLOOKUP($D438,$C$5:$AU$836,3,)=0,0,(VLOOKUP($D438,$C$5:$AU$836,4,)/VLOOKUP($D438,$C$5:$AU$836,3,))*$E438)</f>
        <v>9115.6297293884836</v>
      </c>
      <c r="G438" s="65">
        <f>IF(VLOOKUP($D438,$C$5:$AU$836,3,)=0,0,(VLOOKUP($D438,$C$5:$AU$836,5,)/VLOOKUP($D438,$C$5:$AU$836,3,))*$E438)</f>
        <v>1879.7831597327429</v>
      </c>
      <c r="H438" s="65">
        <f>IF(VLOOKUP($D438,$C$5:$AU$836,3,)=0,0,(VLOOKUP($D438,$C$5:$AU$836,6,)/VLOOKUP($D438,$C$5:$AU$836,3,))*$E438)</f>
        <v>1945.8889297766948</v>
      </c>
      <c r="I438" s="65">
        <f>IF(VLOOKUP($D438,$C$5:$AU$836,3,)=0,0,(VLOOKUP($D438,$C$5:$AU$836,7,)/VLOOKUP($D438,$C$5:$AU$836,3,))*$E438)</f>
        <v>669.65556928479532</v>
      </c>
      <c r="J438" s="65">
        <f>IF(VLOOKUP($D438,$C$5:$AU$836,3,)=0,0,(VLOOKUP($D438,$C$5:$AU$836,8,)/VLOOKUP($D438,$C$5:$AU$836,3,))*$E438)</f>
        <v>247.06151532536913</v>
      </c>
      <c r="K438" s="65">
        <f>IF(VLOOKUP($D438,$C$5:$AU$836,3,)=0,0,(VLOOKUP($D438,$C$5:$AU$836,9,)/VLOOKUP($D438,$C$5:$AU$836,3,))*$E438)</f>
        <v>0</v>
      </c>
      <c r="L438" s="65">
        <f>IF(VLOOKUP($D438,$C$5:$AU$836,3,)=0,0,(VLOOKUP($D438,$C$5:$AU$836,10,)/VLOOKUP($D438,$C$5:$AU$836,3,))*$E438)</f>
        <v>92.893869697624112</v>
      </c>
      <c r="M438" s="65">
        <f>IF(VLOOKUP($D438,$C$5:$AU$836,3,)=0,0,(VLOOKUP($D438,$C$5:$AU$836,11,)/VLOOKUP($D438,$C$5:$AU$836,3,))*$E438)</f>
        <v>63.384705447207097</v>
      </c>
      <c r="N438" s="65">
        <f>IF(VLOOKUP($D438,$C$5:$AU$836,3,)=0,0,(VLOOKUP($D438,$C$5:$AU$836,12,)/VLOOKUP($D438,$C$5:$AU$836,3,))*$E438)</f>
        <v>64.56945717385598</v>
      </c>
      <c r="O438" s="65">
        <f>IF(VLOOKUP($D438,$C$5:$AU$836,3,)=0,0,(VLOOKUP($D438,$C$5:$AU$836,13,)/VLOOKUP($D438,$C$5:$AU$836,3,))*$E438)</f>
        <v>0</v>
      </c>
      <c r="P438" s="65">
        <f>IF(VLOOKUP($D438,$C$5:$AU$836,3,)=0,0,(VLOOKUP($D438,$C$5:$AU$836,14,)/VLOOKUP($D438,$C$5:$AU$836,3,))*$E438)</f>
        <v>0</v>
      </c>
      <c r="Q438" s="65">
        <f>IF(VLOOKUP($D438,$C$5:$AU$836,3,)=0,0,(VLOOKUP($D438,$C$5:$AU$836,15,)/VLOOKUP($D438,$C$5:$AU$836,3,))*$E438)</f>
        <v>0</v>
      </c>
      <c r="R438" s="65">
        <f>IF(VLOOKUP($D438,$C$5:$AU$836,3,)=0,0,(VLOOKUP($D438,$C$5:$AU$836,16,)/VLOOKUP($D438,$C$5:$AU$836,3,))*$E438)</f>
        <v>0</v>
      </c>
      <c r="S438" s="65">
        <f>IF(VLOOKUP($D438,$C$5:$AU$836,3,)=0,0,(VLOOKUP($D438,$C$5:$AU$836,17,)/VLOOKUP($D438,$C$5:$AU$836,3,))*$E438)</f>
        <v>0</v>
      </c>
      <c r="T438" s="65">
        <f>IF(VLOOKUP($D438,$C$5:$AU$836,3,)=0,0,(VLOOKUP($D438,$C$5:$AU$836,18,)/VLOOKUP($D438,$C$5:$AU$836,3,))*$E438)</f>
        <v>0</v>
      </c>
      <c r="U438" s="65">
        <f>IF(VLOOKUP($D438,$C$5:$AU$836,3,)=0,0,(VLOOKUP($D438,$C$5:$AU$836,19,)/VLOOKUP($D438,$C$5:$AU$836,3,))*$E438)</f>
        <v>0</v>
      </c>
      <c r="V438" s="65">
        <f>IF(VLOOKUP($D438,$C$5:$AU$836,3,)=0,0,(VLOOKUP($D438,$C$5:$AU$836,20,)/VLOOKUP($D438,$C$5:$AU$836,3,))*$E438)</f>
        <v>0</v>
      </c>
      <c r="W438" s="65">
        <f>IF(VLOOKUP($D438,$C$5:$AU$836,3,)=0,0,(VLOOKUP($D438,$C$5:$AU$836,21,)/VLOOKUP($D438,$C$5:$AU$836,3,))*$E438)</f>
        <v>0</v>
      </c>
      <c r="X438" s="65">
        <f>IF(VLOOKUP($D438,$C$5:$AU$836,3,)=0,0,(VLOOKUP($D438,$C$5:$AU$836,22,)/VLOOKUP($D438,$C$5:$AU$836,3,))*$E438)</f>
        <v>0</v>
      </c>
      <c r="Y438" s="65">
        <f>IF(VLOOKUP($D438,$C$5:$AU$836,3,)=0,0,(VLOOKUP($D438,$C$5:$AU$836,23,)/VLOOKUP($D438,$C$5:$AU$836,3,))*$E438)</f>
        <v>0</v>
      </c>
      <c r="Z438" s="65">
        <f>IF(VLOOKUP($D438,$C$5:$AU$836,3,)=0,0,(VLOOKUP($D438,$C$5:$AU$836,24,)/VLOOKUP($D438,$C$5:$AU$836,3,))*$E438)</f>
        <v>0</v>
      </c>
      <c r="AA438" s="65">
        <f>IF(VLOOKUP($D438,$C$5:$AU$836,3,)=0,0,(VLOOKUP($D438,$C$5:$AU$836,25,)/VLOOKUP($D438,$C$5:$AU$836,3,))*$E438)</f>
        <v>0</v>
      </c>
      <c r="AB438" s="65">
        <f>IF(VLOOKUP($D438,$C$5:$AU$836,3,)=0,0,(VLOOKUP($D438,$C$5:$AU$836,26,)/VLOOKUP($D438,$C$5:$AU$836,3,))*$E438)</f>
        <v>0</v>
      </c>
      <c r="AC438" s="65">
        <f>IF(VLOOKUP($D438,$C$5:$AU$836,3,)=0,0,(VLOOKUP($D438,$C$5:$AU$836,27,)/VLOOKUP($D438,$C$5:$AU$836,3,))*$E438)</f>
        <v>0</v>
      </c>
      <c r="AD438" s="65">
        <f>IF(VLOOKUP($D438,$C$5:$AU$836,3,)=0,0,(VLOOKUP($D438,$C$5:$AU$836,28,)/VLOOKUP($D438,$C$5:$AU$836,3,))*$E438)</f>
        <v>0</v>
      </c>
      <c r="AE438" s="65">
        <f>IF(VLOOKUP($D438,$C$5:$AU$836,3,)=0,0,(VLOOKUP($D438,$C$5:$AU$836,29,)/VLOOKUP($D438,$C$5:$AU$836,3,))*$E438)</f>
        <v>0</v>
      </c>
      <c r="AF438" s="65">
        <f>IF(VLOOKUP($D438,$C$5:$AU$836,3,)=0,0,(VLOOKUP($D438,$C$5:$AU$836,30,)/VLOOKUP($D438,$C$5:$AU$836,3,))*$E438)</f>
        <v>0</v>
      </c>
      <c r="AG438" s="16">
        <f>SUM(F438:AF438)</f>
        <v>14078.866935826773</v>
      </c>
      <c r="AH438" s="14" t="str">
        <f>IF(ABS(E438-AG438)&lt;0.01,"ok","err")</f>
        <v>ok</v>
      </c>
    </row>
    <row r="439" spans="1:34" x14ac:dyDescent="0.25">
      <c r="A439" s="12" t="s">
        <v>223</v>
      </c>
      <c r="C439" s="2" t="s">
        <v>802</v>
      </c>
      <c r="D439" s="9" t="s">
        <v>853</v>
      </c>
      <c r="E439" s="65">
        <f>'Functional Assignment'!AC444</f>
        <v>18338.510305312466</v>
      </c>
      <c r="F439" s="65">
        <f>IF(VLOOKUP($D439,$C$5:$AU$836,3,)=0,0,(VLOOKUP($D439,$C$5:$AU$836,4,)/VLOOKUP($D439,$C$5:$AU$836,3,))*$E439)</f>
        <v>16815.885780800232</v>
      </c>
      <c r="G439" s="65">
        <f>IF(VLOOKUP($D439,$C$5:$AU$836,3,)=0,0,(VLOOKUP($D439,$C$5:$AU$836,5,)/VLOOKUP($D439,$C$5:$AU$836,3,))*$E439)</f>
        <v>1206.2083901050207</v>
      </c>
      <c r="H439" s="65">
        <f>IF(VLOOKUP($D439,$C$5:$AU$836,3,)=0,0,(VLOOKUP($D439,$C$5:$AU$836,6,)/VLOOKUP($D439,$C$5:$AU$836,3,))*$E439)</f>
        <v>117.85406193571332</v>
      </c>
      <c r="I439" s="65">
        <f>IF(VLOOKUP($D439,$C$5:$AU$836,3,)=0,0,(VLOOKUP($D439,$C$5:$AU$836,7,)/VLOOKUP($D439,$C$5:$AU$836,3,))*$E439)</f>
        <v>44.428054950934815</v>
      </c>
      <c r="J439" s="65">
        <f>IF(VLOOKUP($D439,$C$5:$AU$836,3,)=0,0,(VLOOKUP($D439,$C$5:$AU$836,8,)/VLOOKUP($D439,$C$5:$AU$836,3,))*$E439)</f>
        <v>4.522616372250849</v>
      </c>
      <c r="K439" s="65">
        <f>IF(VLOOKUP($D439,$C$5:$AU$836,3,)=0,0,(VLOOKUP($D439,$C$5:$AU$836,9,)/VLOOKUP($D439,$C$5:$AU$836,3,))*$E439)</f>
        <v>0</v>
      </c>
      <c r="L439" s="65">
        <f>IF(VLOOKUP($D439,$C$5:$AU$836,3,)=0,0,(VLOOKUP($D439,$C$5:$AU$836,10,)/VLOOKUP($D439,$C$5:$AU$836,3,))*$E439)</f>
        <v>0</v>
      </c>
      <c r="M439" s="65">
        <f>IF(VLOOKUP($D439,$C$5:$AU$836,3,)=0,0,(VLOOKUP($D439,$C$5:$AU$836,11,)/VLOOKUP($D439,$C$5:$AU$836,3,))*$E439)</f>
        <v>0</v>
      </c>
      <c r="N439" s="65">
        <f>IF(VLOOKUP($D439,$C$5:$AU$836,3,)=0,0,(VLOOKUP($D439,$C$5:$AU$836,12,)/VLOOKUP($D439,$C$5:$AU$836,3,))*$E439)</f>
        <v>149.61140114831267</v>
      </c>
      <c r="O439" s="65">
        <f>IF(VLOOKUP($D439,$C$5:$AU$836,3,)=0,0,(VLOOKUP($D439,$C$5:$AU$836,13,)/VLOOKUP($D439,$C$5:$AU$836,3,))*$E439)</f>
        <v>0</v>
      </c>
      <c r="P439" s="65">
        <f>IF(VLOOKUP($D439,$C$5:$AU$836,3,)=0,0,(VLOOKUP($D439,$C$5:$AU$836,14,)/VLOOKUP($D439,$C$5:$AU$836,3,))*$E439)</f>
        <v>0</v>
      </c>
      <c r="Q439" s="65">
        <f>IF(VLOOKUP($D439,$C$5:$AU$836,3,)=0,0,(VLOOKUP($D439,$C$5:$AU$836,15,)/VLOOKUP($D439,$C$5:$AU$836,3,))*$E439)</f>
        <v>0</v>
      </c>
      <c r="R439" s="65">
        <f>IF(VLOOKUP($D439,$C$5:$AU$836,3,)=0,0,(VLOOKUP($D439,$C$5:$AU$836,16,)/VLOOKUP($D439,$C$5:$AU$836,3,))*$E439)</f>
        <v>0</v>
      </c>
      <c r="S439" s="65">
        <f>IF(VLOOKUP($D439,$C$5:$AU$836,3,)=0,0,(VLOOKUP($D439,$C$5:$AU$836,17,)/VLOOKUP($D439,$C$5:$AU$836,3,))*$E439)</f>
        <v>0</v>
      </c>
      <c r="T439" s="65">
        <f>IF(VLOOKUP($D439,$C$5:$AU$836,3,)=0,0,(VLOOKUP($D439,$C$5:$AU$836,18,)/VLOOKUP($D439,$C$5:$AU$836,3,))*$E439)</f>
        <v>0</v>
      </c>
      <c r="U439" s="65">
        <f>IF(VLOOKUP($D439,$C$5:$AU$836,3,)=0,0,(VLOOKUP($D439,$C$5:$AU$836,19,)/VLOOKUP($D439,$C$5:$AU$836,3,))*$E439)</f>
        <v>0</v>
      </c>
      <c r="V439" s="65">
        <f>IF(VLOOKUP($D439,$C$5:$AU$836,3,)=0,0,(VLOOKUP($D439,$C$5:$AU$836,20,)/VLOOKUP($D439,$C$5:$AU$836,3,))*$E439)</f>
        <v>0</v>
      </c>
      <c r="W439" s="65">
        <f>IF(VLOOKUP($D439,$C$5:$AU$836,3,)=0,0,(VLOOKUP($D439,$C$5:$AU$836,21,)/VLOOKUP($D439,$C$5:$AU$836,3,))*$E439)</f>
        <v>0</v>
      </c>
      <c r="X439" s="65">
        <f>IF(VLOOKUP($D439,$C$5:$AU$836,3,)=0,0,(VLOOKUP($D439,$C$5:$AU$836,22,)/VLOOKUP($D439,$C$5:$AU$836,3,))*$E439)</f>
        <v>0</v>
      </c>
      <c r="Y439" s="65">
        <f>IF(VLOOKUP($D439,$C$5:$AU$836,3,)=0,0,(VLOOKUP($D439,$C$5:$AU$836,23,)/VLOOKUP($D439,$C$5:$AU$836,3,))*$E439)</f>
        <v>0</v>
      </c>
      <c r="Z439" s="65">
        <f>IF(VLOOKUP($D439,$C$5:$AU$836,3,)=0,0,(VLOOKUP($D439,$C$5:$AU$836,24,)/VLOOKUP($D439,$C$5:$AU$836,3,))*$E439)</f>
        <v>0</v>
      </c>
      <c r="AA439" s="65">
        <f>IF(VLOOKUP($D439,$C$5:$AU$836,3,)=0,0,(VLOOKUP($D439,$C$5:$AU$836,25,)/VLOOKUP($D439,$C$5:$AU$836,3,))*$E439)</f>
        <v>0</v>
      </c>
      <c r="AB439" s="65">
        <f>IF(VLOOKUP($D439,$C$5:$AU$836,3,)=0,0,(VLOOKUP($D439,$C$5:$AU$836,26,)/VLOOKUP($D439,$C$5:$AU$836,3,))*$E439)</f>
        <v>0</v>
      </c>
      <c r="AC439" s="65">
        <f>IF(VLOOKUP($D439,$C$5:$AU$836,3,)=0,0,(VLOOKUP($D439,$C$5:$AU$836,27,)/VLOOKUP($D439,$C$5:$AU$836,3,))*$E439)</f>
        <v>0</v>
      </c>
      <c r="AD439" s="65">
        <f>IF(VLOOKUP($D439,$C$5:$AU$836,3,)=0,0,(VLOOKUP($D439,$C$5:$AU$836,28,)/VLOOKUP($D439,$C$5:$AU$836,3,))*$E439)</f>
        <v>0</v>
      </c>
      <c r="AE439" s="65">
        <f>IF(VLOOKUP($D439,$C$5:$AU$836,3,)=0,0,(VLOOKUP($D439,$C$5:$AU$836,29,)/VLOOKUP($D439,$C$5:$AU$836,3,))*$E439)</f>
        <v>0</v>
      </c>
      <c r="AF439" s="65">
        <f>IF(VLOOKUP($D439,$C$5:$AU$836,3,)=0,0,(VLOOKUP($D439,$C$5:$AU$836,30,)/VLOOKUP($D439,$C$5:$AU$836,3,))*$E439)</f>
        <v>0</v>
      </c>
      <c r="AG439" s="16">
        <f>SUM(F439:AF439)</f>
        <v>18338.510305312462</v>
      </c>
      <c r="AH439" s="14" t="str">
        <f>IF(ABS(E439-AG439)&lt;0.01,"ok","err")</f>
        <v>ok</v>
      </c>
    </row>
    <row r="440" spans="1:34" x14ac:dyDescent="0.25">
      <c r="A440" s="9" t="s">
        <v>841</v>
      </c>
      <c r="E440" s="65">
        <f t="shared" ref="E440:AF440" si="288">E438+E439</f>
        <v>32417.377241139242</v>
      </c>
      <c r="F440" s="65">
        <f t="shared" si="288"/>
        <v>25931.515510188714</v>
      </c>
      <c r="G440" s="65">
        <f t="shared" si="288"/>
        <v>3085.9915498377636</v>
      </c>
      <c r="H440" s="65">
        <f t="shared" si="288"/>
        <v>2063.7429917124082</v>
      </c>
      <c r="I440" s="65">
        <f t="shared" si="288"/>
        <v>714.0836242357301</v>
      </c>
      <c r="J440" s="65">
        <f t="shared" si="288"/>
        <v>251.58413169761997</v>
      </c>
      <c r="K440" s="65">
        <f t="shared" si="288"/>
        <v>0</v>
      </c>
      <c r="L440" s="65">
        <f t="shared" si="288"/>
        <v>92.893869697624112</v>
      </c>
      <c r="M440" s="65">
        <f t="shared" si="288"/>
        <v>63.384705447207097</v>
      </c>
      <c r="N440" s="65">
        <f t="shared" si="288"/>
        <v>214.18085832216866</v>
      </c>
      <c r="O440" s="65">
        <f t="shared" si="288"/>
        <v>0</v>
      </c>
      <c r="P440" s="65">
        <f t="shared" si="288"/>
        <v>0</v>
      </c>
      <c r="Q440" s="65">
        <f t="shared" si="288"/>
        <v>0</v>
      </c>
      <c r="R440" s="65">
        <f t="shared" si="288"/>
        <v>0</v>
      </c>
      <c r="S440" s="65">
        <f t="shared" si="288"/>
        <v>0</v>
      </c>
      <c r="T440" s="65">
        <f t="shared" si="288"/>
        <v>0</v>
      </c>
      <c r="U440" s="65">
        <f t="shared" si="288"/>
        <v>0</v>
      </c>
      <c r="V440" s="65">
        <f t="shared" si="288"/>
        <v>0</v>
      </c>
      <c r="W440" s="65">
        <f t="shared" si="288"/>
        <v>0</v>
      </c>
      <c r="X440" s="65">
        <f t="shared" si="288"/>
        <v>0</v>
      </c>
      <c r="Y440" s="65">
        <f t="shared" si="288"/>
        <v>0</v>
      </c>
      <c r="Z440" s="65">
        <f t="shared" si="288"/>
        <v>0</v>
      </c>
      <c r="AA440" s="65">
        <f t="shared" si="288"/>
        <v>0</v>
      </c>
      <c r="AB440" s="65">
        <f t="shared" si="288"/>
        <v>0</v>
      </c>
      <c r="AC440" s="65">
        <f t="shared" si="288"/>
        <v>0</v>
      </c>
      <c r="AD440" s="65">
        <f t="shared" si="288"/>
        <v>0</v>
      </c>
      <c r="AE440" s="65">
        <f t="shared" si="288"/>
        <v>0</v>
      </c>
      <c r="AF440" s="65">
        <f t="shared" si="288"/>
        <v>0</v>
      </c>
      <c r="AG440" s="16">
        <f>SUM(F440:AF440)</f>
        <v>32417.377241139231</v>
      </c>
      <c r="AH440" s="14" t="str">
        <f>IF(ABS(E440-AG440)&lt;0.01,"ok","err")</f>
        <v>ok</v>
      </c>
    </row>
    <row r="441" spans="1:34" x14ac:dyDescent="0.25">
      <c r="E441" s="31"/>
    </row>
    <row r="442" spans="1:34" x14ac:dyDescent="0.25">
      <c r="A442" s="8" t="s">
        <v>5</v>
      </c>
      <c r="E442" s="31"/>
    </row>
    <row r="443" spans="1:34" x14ac:dyDescent="0.25">
      <c r="A443" s="12" t="s">
        <v>214</v>
      </c>
      <c r="C443" s="2" t="s">
        <v>295</v>
      </c>
      <c r="D443" s="2" t="s">
        <v>611</v>
      </c>
      <c r="E443" s="65">
        <f>'Functional Assignment'!AE444</f>
        <v>0</v>
      </c>
      <c r="F443" s="65">
        <f>IF(VLOOKUP($D443,$C$5:$AU$836,3,)=0,0,(VLOOKUP($D443,$C$5:$AU$836,4,)/VLOOKUP($D443,$C$5:$AU$836,3,))*$E443)</f>
        <v>0</v>
      </c>
      <c r="G443" s="65">
        <f>IF(VLOOKUP($D443,$C$5:$AU$836,3,)=0,0,(VLOOKUP($D443,$C$5:$AU$836,5,)/VLOOKUP($D443,$C$5:$AU$836,3,))*$E443)</f>
        <v>0</v>
      </c>
      <c r="H443" s="65">
        <f>IF(VLOOKUP($D443,$C$5:$AU$836,3,)=0,0,(VLOOKUP($D443,$C$5:$AU$836,6,)/VLOOKUP($D443,$C$5:$AU$836,3,))*$E443)</f>
        <v>0</v>
      </c>
      <c r="I443" s="65">
        <f>IF(VLOOKUP($D443,$C$5:$AU$836,3,)=0,0,(VLOOKUP($D443,$C$5:$AU$836,7,)/VLOOKUP($D443,$C$5:$AU$836,3,))*$E443)</f>
        <v>0</v>
      </c>
      <c r="J443" s="65">
        <f>IF(VLOOKUP($D443,$C$5:$AU$836,3,)=0,0,(VLOOKUP($D443,$C$5:$AU$836,8,)/VLOOKUP($D443,$C$5:$AU$836,3,))*$E443)</f>
        <v>0</v>
      </c>
      <c r="K443" s="65">
        <f>IF(VLOOKUP($D443,$C$5:$AU$836,3,)=0,0,(VLOOKUP($D443,$C$5:$AU$836,9,)/VLOOKUP($D443,$C$5:$AU$836,3,))*$E443)</f>
        <v>0</v>
      </c>
      <c r="L443" s="65">
        <f>IF(VLOOKUP($D443,$C$5:$AU$836,3,)=0,0,(VLOOKUP($D443,$C$5:$AU$836,10,)/VLOOKUP($D443,$C$5:$AU$836,3,))*$E443)</f>
        <v>0</v>
      </c>
      <c r="M443" s="65">
        <f>IF(VLOOKUP($D443,$C$5:$AU$836,3,)=0,0,(VLOOKUP($D443,$C$5:$AU$836,11,)/VLOOKUP($D443,$C$5:$AU$836,3,))*$E443)</f>
        <v>0</v>
      </c>
      <c r="N443" s="65">
        <f>IF(VLOOKUP($D443,$C$5:$AU$836,3,)=0,0,(VLOOKUP($D443,$C$5:$AU$836,12,)/VLOOKUP($D443,$C$5:$AU$836,3,))*$E443)</f>
        <v>0</v>
      </c>
      <c r="O443" s="65">
        <f>IF(VLOOKUP($D443,$C$5:$AU$836,3,)=0,0,(VLOOKUP($D443,$C$5:$AU$836,13,)/VLOOKUP($D443,$C$5:$AU$836,3,))*$E443)</f>
        <v>0</v>
      </c>
      <c r="P443" s="65">
        <f>IF(VLOOKUP($D443,$C$5:$AU$836,3,)=0,0,(VLOOKUP($D443,$C$5:$AU$836,14,)/VLOOKUP($D443,$C$5:$AU$836,3,))*$E443)</f>
        <v>0</v>
      </c>
      <c r="Q443" s="65">
        <f>IF(VLOOKUP($D443,$C$5:$AU$836,3,)=0,0,(VLOOKUP($D443,$C$5:$AU$836,15,)/VLOOKUP($D443,$C$5:$AU$836,3,))*$E443)</f>
        <v>0</v>
      </c>
      <c r="R443" s="65">
        <f>IF(VLOOKUP($D443,$C$5:$AU$836,3,)=0,0,(VLOOKUP($D443,$C$5:$AU$836,16,)/VLOOKUP($D443,$C$5:$AU$836,3,))*$E443)</f>
        <v>0</v>
      </c>
      <c r="S443" s="65">
        <f>IF(VLOOKUP($D443,$C$5:$AU$836,3,)=0,0,(VLOOKUP($D443,$C$5:$AU$836,17,)/VLOOKUP($D443,$C$5:$AU$836,3,))*$E443)</f>
        <v>0</v>
      </c>
      <c r="T443" s="65">
        <f>IF(VLOOKUP($D443,$C$5:$AU$836,3,)=0,0,(VLOOKUP($D443,$C$5:$AU$836,18,)/VLOOKUP($D443,$C$5:$AU$836,3,))*$E443)</f>
        <v>0</v>
      </c>
      <c r="U443" s="65">
        <f>IF(VLOOKUP($D443,$C$5:$AU$836,3,)=0,0,(VLOOKUP($D443,$C$5:$AU$836,19,)/VLOOKUP($D443,$C$5:$AU$836,3,))*$E443)</f>
        <v>0</v>
      </c>
      <c r="V443" s="65">
        <f>IF(VLOOKUP($D443,$C$5:$AU$836,3,)=0,0,(VLOOKUP($D443,$C$5:$AU$836,20,)/VLOOKUP($D443,$C$5:$AU$836,3,))*$E443)</f>
        <v>0</v>
      </c>
      <c r="W443" s="65">
        <f>IF(VLOOKUP($D443,$C$5:$AU$836,3,)=0,0,(VLOOKUP($D443,$C$5:$AU$836,21,)/VLOOKUP($D443,$C$5:$AU$836,3,))*$E443)</f>
        <v>0</v>
      </c>
      <c r="X443" s="65">
        <f>IF(VLOOKUP($D443,$C$5:$AU$836,3,)=0,0,(VLOOKUP($D443,$C$5:$AU$836,22,)/VLOOKUP($D443,$C$5:$AU$836,3,))*$E443)</f>
        <v>0</v>
      </c>
      <c r="Y443" s="65">
        <f>IF(VLOOKUP($D443,$C$5:$AU$836,3,)=0,0,(VLOOKUP($D443,$C$5:$AU$836,23,)/VLOOKUP($D443,$C$5:$AU$836,3,))*$E443)</f>
        <v>0</v>
      </c>
      <c r="Z443" s="65">
        <f>IF(VLOOKUP($D443,$C$5:$AU$836,3,)=0,0,(VLOOKUP($D443,$C$5:$AU$836,24,)/VLOOKUP($D443,$C$5:$AU$836,3,))*$E443)</f>
        <v>0</v>
      </c>
      <c r="AA443" s="65">
        <f>IF(VLOOKUP($D443,$C$5:$AU$836,3,)=0,0,(VLOOKUP($D443,$C$5:$AU$836,25,)/VLOOKUP($D443,$C$5:$AU$836,3,))*$E443)</f>
        <v>0</v>
      </c>
      <c r="AB443" s="65">
        <f>IF(VLOOKUP($D443,$C$5:$AU$836,3,)=0,0,(VLOOKUP($D443,$C$5:$AU$836,26,)/VLOOKUP($D443,$C$5:$AU$836,3,))*$E443)</f>
        <v>0</v>
      </c>
      <c r="AC443" s="65">
        <f>IF(VLOOKUP($D443,$C$5:$AU$836,3,)=0,0,(VLOOKUP($D443,$C$5:$AU$836,27,)/VLOOKUP($D443,$C$5:$AU$836,3,))*$E443)</f>
        <v>0</v>
      </c>
      <c r="AD443" s="65">
        <f>IF(VLOOKUP($D443,$C$5:$AU$836,3,)=0,0,(VLOOKUP($D443,$C$5:$AU$836,28,)/VLOOKUP($D443,$C$5:$AU$836,3,))*$E443)</f>
        <v>0</v>
      </c>
      <c r="AE443" s="65">
        <f>IF(VLOOKUP($D443,$C$5:$AU$836,3,)=0,0,(VLOOKUP($D443,$C$5:$AU$836,29,)/VLOOKUP($D443,$C$5:$AU$836,3,))*$E443)</f>
        <v>0</v>
      </c>
      <c r="AF443" s="65">
        <f>IF(VLOOKUP($D443,$C$5:$AU$836,3,)=0,0,(VLOOKUP($D443,$C$5:$AU$836,30,)/VLOOKUP($D443,$C$5:$AU$836,3,))*$E443)</f>
        <v>0</v>
      </c>
      <c r="AG443" s="16">
        <f>SUM(F443:AF443)</f>
        <v>0</v>
      </c>
      <c r="AH443" s="14" t="str">
        <f>IF(ABS(E443-AG443)&lt;0.01,"ok","err")</f>
        <v>ok</v>
      </c>
    </row>
    <row r="444" spans="1:34" x14ac:dyDescent="0.25">
      <c r="A444" s="12" t="s">
        <v>223</v>
      </c>
      <c r="C444" s="2" t="s">
        <v>296</v>
      </c>
      <c r="D444" s="2" t="s">
        <v>228</v>
      </c>
      <c r="E444" s="65">
        <f>'Functional Assignment'!AF444</f>
        <v>22864.886808860665</v>
      </c>
      <c r="F444" s="65">
        <f>IF(VLOOKUP($D444,$C$5:$AU$836,3,)=0,0,(VLOOKUP($D444,$C$5:$AU$836,4,)/VLOOKUP($D444,$C$5:$AU$836,3,))*$E444)</f>
        <v>18005.683029095781</v>
      </c>
      <c r="G444" s="65">
        <f>IF(VLOOKUP($D444,$C$5:$AU$836,3,)=0,0,(VLOOKUP($D444,$C$5:$AU$836,5,)/VLOOKUP($D444,$C$5:$AU$836,3,))*$E444)</f>
        <v>2049.8734660180348</v>
      </c>
      <c r="H444" s="65">
        <f>IF(VLOOKUP($D444,$C$5:$AU$836,3,)=0,0,(VLOOKUP($D444,$C$5:$AU$836,6,)/VLOOKUP($D444,$C$5:$AU$836,3,))*$E444)</f>
        <v>256.35578350849227</v>
      </c>
      <c r="I444" s="65">
        <f>IF(VLOOKUP($D444,$C$5:$AU$836,3,)=0,0,(VLOOKUP($D444,$C$5:$AU$836,7,)/VLOOKUP($D444,$C$5:$AU$836,3,))*$E444)</f>
        <v>80.849557277838798</v>
      </c>
      <c r="J444" s="65">
        <f>IF(VLOOKUP($D444,$C$5:$AU$836,3,)=0,0,(VLOOKUP($D444,$C$5:$AU$836,8,)/VLOOKUP($D444,$C$5:$AU$836,3,))*$E444)</f>
        <v>7.9710831118995999</v>
      </c>
      <c r="K444" s="65">
        <f>IF(VLOOKUP($D444,$C$5:$AU$836,3,)=0,0,(VLOOKUP($D444,$C$5:$AU$836,9,)/VLOOKUP($D444,$C$5:$AU$836,3,))*$E444)</f>
        <v>0.17048402948737687</v>
      </c>
      <c r="L444" s="65">
        <f>IF(VLOOKUP($D444,$C$5:$AU$836,3,)=0,0,(VLOOKUP($D444,$C$5:$AU$836,10,)/VLOOKUP($D444,$C$5:$AU$836,3,))*$E444)</f>
        <v>0.34096805897475374</v>
      </c>
      <c r="M444" s="65">
        <f>IF(VLOOKUP($D444,$C$5:$AU$836,3,)=0,0,(VLOOKUP($D444,$C$5:$AU$836,11,)/VLOOKUP($D444,$C$5:$AU$836,3,))*$E444)</f>
        <v>1.363872235899015</v>
      </c>
      <c r="N444" s="65">
        <f>IF(VLOOKUP($D444,$C$5:$AU$836,3,)=0,0,(VLOOKUP($D444,$C$5:$AU$836,12,)/VLOOKUP($D444,$C$5:$AU$836,3,))*$E444)</f>
        <v>2462.2785655242578</v>
      </c>
      <c r="O444" s="65">
        <f>IF(VLOOKUP($D444,$C$5:$AU$836,3,)=0,0,(VLOOKUP($D444,$C$5:$AU$836,13,)/VLOOKUP($D444,$C$5:$AU$836,3,))*$E444)</f>
        <v>0</v>
      </c>
      <c r="P444" s="65">
        <f>IF(VLOOKUP($D444,$C$5:$AU$836,3,)=0,0,(VLOOKUP($D444,$C$5:$AU$836,14,)/VLOOKUP($D444,$C$5:$AU$836,3,))*$E444)</f>
        <v>0</v>
      </c>
      <c r="Q444" s="65">
        <f>IF(VLOOKUP($D444,$C$5:$AU$836,3,)=0,0,(VLOOKUP($D444,$C$5:$AU$836,15,)/VLOOKUP($D444,$C$5:$AU$836,3,))*$E444)</f>
        <v>0</v>
      </c>
      <c r="R444" s="65">
        <f>IF(VLOOKUP($D444,$C$5:$AU$836,3,)=0,0,(VLOOKUP($D444,$C$5:$AU$836,16,)/VLOOKUP($D444,$C$5:$AU$836,3,))*$E444)</f>
        <v>0</v>
      </c>
      <c r="S444" s="65">
        <f>IF(VLOOKUP($D444,$C$5:$AU$836,3,)=0,0,(VLOOKUP($D444,$C$5:$AU$836,17,)/VLOOKUP($D444,$C$5:$AU$836,3,))*$E444)</f>
        <v>0</v>
      </c>
      <c r="T444" s="65">
        <f>IF(VLOOKUP($D444,$C$5:$AU$836,3,)=0,0,(VLOOKUP($D444,$C$5:$AU$836,18,)/VLOOKUP($D444,$C$5:$AU$836,3,))*$E444)</f>
        <v>0</v>
      </c>
      <c r="U444" s="65">
        <f>IF(VLOOKUP($D444,$C$5:$AU$836,3,)=0,0,(VLOOKUP($D444,$C$5:$AU$836,19,)/VLOOKUP($D444,$C$5:$AU$836,3,))*$E444)</f>
        <v>0</v>
      </c>
      <c r="V444" s="65">
        <f>IF(VLOOKUP($D444,$C$5:$AU$836,3,)=0,0,(VLOOKUP($D444,$C$5:$AU$836,20,)/VLOOKUP($D444,$C$5:$AU$836,3,))*$E444)</f>
        <v>0</v>
      </c>
      <c r="W444" s="65">
        <f>IF(VLOOKUP($D444,$C$5:$AU$836,3,)=0,0,(VLOOKUP($D444,$C$5:$AU$836,21,)/VLOOKUP($D444,$C$5:$AU$836,3,))*$E444)</f>
        <v>0</v>
      </c>
      <c r="X444" s="65">
        <f>IF(VLOOKUP($D444,$C$5:$AU$836,3,)=0,0,(VLOOKUP($D444,$C$5:$AU$836,22,)/VLOOKUP($D444,$C$5:$AU$836,3,))*$E444)</f>
        <v>0</v>
      </c>
      <c r="Y444" s="65">
        <f>IF(VLOOKUP($D444,$C$5:$AU$836,3,)=0,0,(VLOOKUP($D444,$C$5:$AU$836,23,)/VLOOKUP($D444,$C$5:$AU$836,3,))*$E444)</f>
        <v>0</v>
      </c>
      <c r="Z444" s="65">
        <f>IF(VLOOKUP($D444,$C$5:$AU$836,3,)=0,0,(VLOOKUP($D444,$C$5:$AU$836,24,)/VLOOKUP($D444,$C$5:$AU$836,3,))*$E444)</f>
        <v>0</v>
      </c>
      <c r="AA444" s="65">
        <f>IF(VLOOKUP($D444,$C$5:$AU$836,3,)=0,0,(VLOOKUP($D444,$C$5:$AU$836,25,)/VLOOKUP($D444,$C$5:$AU$836,3,))*$E444)</f>
        <v>0</v>
      </c>
      <c r="AB444" s="65">
        <f>IF(VLOOKUP($D444,$C$5:$AU$836,3,)=0,0,(VLOOKUP($D444,$C$5:$AU$836,26,)/VLOOKUP($D444,$C$5:$AU$836,3,))*$E444)</f>
        <v>0</v>
      </c>
      <c r="AC444" s="65">
        <f>IF(VLOOKUP($D444,$C$5:$AU$836,3,)=0,0,(VLOOKUP($D444,$C$5:$AU$836,27,)/VLOOKUP($D444,$C$5:$AU$836,3,))*$E444)</f>
        <v>0</v>
      </c>
      <c r="AD444" s="65">
        <f>IF(VLOOKUP($D444,$C$5:$AU$836,3,)=0,0,(VLOOKUP($D444,$C$5:$AU$836,28,)/VLOOKUP($D444,$C$5:$AU$836,3,))*$E444)</f>
        <v>0</v>
      </c>
      <c r="AE444" s="65">
        <f>IF(VLOOKUP($D444,$C$5:$AU$836,3,)=0,0,(VLOOKUP($D444,$C$5:$AU$836,29,)/VLOOKUP($D444,$C$5:$AU$836,3,))*$E444)</f>
        <v>0</v>
      </c>
      <c r="AF444" s="65">
        <f>IF(VLOOKUP($D444,$C$5:$AU$836,3,)=0,0,(VLOOKUP($D444,$C$5:$AU$836,30,)/VLOOKUP($D444,$C$5:$AU$836,3,))*$E444)</f>
        <v>0</v>
      </c>
      <c r="AG444" s="16">
        <f>SUM(F444:AF444)</f>
        <v>22864.886808860669</v>
      </c>
      <c r="AH444" s="14" t="str">
        <f>IF(ABS(E444-AG444)&lt;0.01,"ok","err")</f>
        <v>ok</v>
      </c>
    </row>
    <row r="445" spans="1:34" x14ac:dyDescent="0.25">
      <c r="A445" s="2" t="s">
        <v>229</v>
      </c>
      <c r="E445" s="65">
        <f t="shared" ref="E445:N445" si="289">E443+E444</f>
        <v>22864.886808860665</v>
      </c>
      <c r="F445" s="65">
        <f t="shared" si="289"/>
        <v>18005.683029095781</v>
      </c>
      <c r="G445" s="65">
        <f t="shared" si="289"/>
        <v>2049.8734660180348</v>
      </c>
      <c r="H445" s="65">
        <f t="shared" si="289"/>
        <v>256.35578350849227</v>
      </c>
      <c r="I445" s="65">
        <f t="shared" si="289"/>
        <v>80.849557277838798</v>
      </c>
      <c r="J445" s="65">
        <f t="shared" si="289"/>
        <v>7.9710831118995999</v>
      </c>
      <c r="K445" s="65">
        <f t="shared" si="289"/>
        <v>0.17048402948737687</v>
      </c>
      <c r="L445" s="65">
        <f t="shared" si="289"/>
        <v>0.34096805897475374</v>
      </c>
      <c r="M445" s="65">
        <f t="shared" si="289"/>
        <v>1.363872235899015</v>
      </c>
      <c r="N445" s="65">
        <f t="shared" si="289"/>
        <v>2462.2785655242578</v>
      </c>
      <c r="O445" s="65">
        <f t="shared" ref="O445:T445" si="290">O443+O444</f>
        <v>0</v>
      </c>
      <c r="P445" s="65">
        <f t="shared" si="290"/>
        <v>0</v>
      </c>
      <c r="Q445" s="65">
        <f t="shared" si="290"/>
        <v>0</v>
      </c>
      <c r="R445" s="65">
        <f t="shared" si="290"/>
        <v>0</v>
      </c>
      <c r="S445" s="65">
        <f t="shared" si="290"/>
        <v>0</v>
      </c>
      <c r="T445" s="65">
        <f t="shared" si="290"/>
        <v>0</v>
      </c>
      <c r="U445" s="65">
        <f t="shared" ref="U445:AF445" si="291">U443+U444</f>
        <v>0</v>
      </c>
      <c r="V445" s="65">
        <f t="shared" si="291"/>
        <v>0</v>
      </c>
      <c r="W445" s="65">
        <f t="shared" si="291"/>
        <v>0</v>
      </c>
      <c r="X445" s="65">
        <f t="shared" si="291"/>
        <v>0</v>
      </c>
      <c r="Y445" s="65">
        <f t="shared" si="291"/>
        <v>0</v>
      </c>
      <c r="Z445" s="65">
        <f t="shared" si="291"/>
        <v>0</v>
      </c>
      <c r="AA445" s="65">
        <f t="shared" si="291"/>
        <v>0</v>
      </c>
      <c r="AB445" s="65">
        <f t="shared" si="291"/>
        <v>0</v>
      </c>
      <c r="AC445" s="65">
        <f t="shared" si="291"/>
        <v>0</v>
      </c>
      <c r="AD445" s="65">
        <f t="shared" si="291"/>
        <v>0</v>
      </c>
      <c r="AE445" s="65">
        <f t="shared" si="291"/>
        <v>0</v>
      </c>
      <c r="AF445" s="65">
        <f t="shared" si="291"/>
        <v>0</v>
      </c>
      <c r="AG445" s="16">
        <f>SUM(F445:AF445)</f>
        <v>22864.886808860669</v>
      </c>
      <c r="AH445" s="14" t="str">
        <f>IF(ABS(E445-AG445)&lt;0.01,"ok","err")</f>
        <v>ok</v>
      </c>
    </row>
    <row r="446" spans="1:34" x14ac:dyDescent="0.25">
      <c r="E446" s="31"/>
    </row>
    <row r="447" spans="1:34" x14ac:dyDescent="0.25">
      <c r="A447" s="8" t="s">
        <v>6</v>
      </c>
      <c r="E447" s="31"/>
    </row>
    <row r="448" spans="1:34" x14ac:dyDescent="0.25">
      <c r="A448" s="12" t="s">
        <v>223</v>
      </c>
      <c r="C448" s="2" t="s">
        <v>297</v>
      </c>
      <c r="D448" s="2" t="s">
        <v>231</v>
      </c>
      <c r="E448" s="65">
        <f>'Functional Assignment'!AH444</f>
        <v>8754.7354067890356</v>
      </c>
      <c r="F448" s="65">
        <f>IF(VLOOKUP($D448,$C$5:$AU$836,3,)=0,0,(VLOOKUP($D448,$C$5:$AU$836,4,)/VLOOKUP($D448,$C$5:$AU$836,3,))*$E448)</f>
        <v>5797.624683469382</v>
      </c>
      <c r="G448" s="65">
        <f>IF(VLOOKUP($D448,$C$5:$AU$836,3,)=0,0,(VLOOKUP($D448,$C$5:$AU$836,5,)/VLOOKUP($D448,$C$5:$AU$836,3,))*$E448)</f>
        <v>2275.0900026640056</v>
      </c>
      <c r="H448" s="65">
        <f>IF(VLOOKUP($D448,$C$5:$AU$836,3,)=0,0,(VLOOKUP($D448,$C$5:$AU$836,6,)/VLOOKUP($D448,$C$5:$AU$836,3,))*$E448)</f>
        <v>542.59852760024205</v>
      </c>
      <c r="I448" s="65">
        <f>IF(VLOOKUP($D448,$C$5:$AU$836,3,)=0,0,(VLOOKUP($D448,$C$5:$AU$836,7,)/VLOOKUP($D448,$C$5:$AU$836,3,))*$E448)</f>
        <v>63.038569518312286</v>
      </c>
      <c r="J448" s="65">
        <f>IF(VLOOKUP($D448,$C$5:$AU$836,3,)=0,0,(VLOOKUP($D448,$C$5:$AU$836,8,)/VLOOKUP($D448,$C$5:$AU$836,3,))*$E448)</f>
        <v>20.518871582027288</v>
      </c>
      <c r="K448" s="65">
        <f>IF(VLOOKUP($D448,$C$5:$AU$836,3,)=0,0,(VLOOKUP($D448,$C$5:$AU$836,9,)/VLOOKUP($D448,$C$5:$AU$836,3,))*$E448)</f>
        <v>5.6704122184776109</v>
      </c>
      <c r="L448" s="65">
        <f>IF(VLOOKUP($D448,$C$5:$AU$836,3,)=0,0,(VLOOKUP($D448,$C$5:$AU$836,10,)/VLOOKUP($D448,$C$5:$AU$836,3,))*$E448)</f>
        <v>11.340824436955222</v>
      </c>
      <c r="M448" s="65">
        <f>IF(VLOOKUP($D448,$C$5:$AU$836,3,)=0,0,(VLOOKUP($D448,$C$5:$AU$836,11,)/VLOOKUP($D448,$C$5:$AU$836,3,))*$E448)</f>
        <v>8.0766068769763333</v>
      </c>
      <c r="N448" s="65">
        <f>IF(VLOOKUP($D448,$C$5:$AU$836,3,)=0,0,(VLOOKUP($D448,$C$5:$AU$836,12,)/VLOOKUP($D448,$C$5:$AU$836,3,))*$E448)</f>
        <v>30.776908422658082</v>
      </c>
      <c r="O448" s="65">
        <f>IF(VLOOKUP($D448,$C$5:$AU$836,3,)=0,0,(VLOOKUP($D448,$C$5:$AU$836,13,)/VLOOKUP($D448,$C$5:$AU$836,3,))*$E448)</f>
        <v>0</v>
      </c>
      <c r="P448" s="65">
        <f>IF(VLOOKUP($D448,$C$5:$AU$836,3,)=0,0,(VLOOKUP($D448,$C$5:$AU$836,14,)/VLOOKUP($D448,$C$5:$AU$836,3,))*$E448)</f>
        <v>0</v>
      </c>
      <c r="Q448" s="65">
        <f>IF(VLOOKUP($D448,$C$5:$AU$836,3,)=0,0,(VLOOKUP($D448,$C$5:$AU$836,15,)/VLOOKUP($D448,$C$5:$AU$836,3,))*$E448)</f>
        <v>0</v>
      </c>
      <c r="R448" s="65">
        <f>IF(VLOOKUP($D448,$C$5:$AU$836,3,)=0,0,(VLOOKUP($D448,$C$5:$AU$836,16,)/VLOOKUP($D448,$C$5:$AU$836,3,))*$E448)</f>
        <v>0</v>
      </c>
      <c r="S448" s="65">
        <f>IF(VLOOKUP($D448,$C$5:$AU$836,3,)=0,0,(VLOOKUP($D448,$C$5:$AU$836,17,)/VLOOKUP($D448,$C$5:$AU$836,3,))*$E448)</f>
        <v>0</v>
      </c>
      <c r="T448" s="65">
        <f>IF(VLOOKUP($D448,$C$5:$AU$836,3,)=0,0,(VLOOKUP($D448,$C$5:$AU$836,18,)/VLOOKUP($D448,$C$5:$AU$836,3,))*$E448)</f>
        <v>0</v>
      </c>
      <c r="U448" s="65">
        <f>IF(VLOOKUP($D448,$C$5:$AU$836,3,)=0,0,(VLOOKUP($D448,$C$5:$AU$836,19,)/VLOOKUP($D448,$C$5:$AU$836,3,))*$E448)</f>
        <v>0</v>
      </c>
      <c r="V448" s="65">
        <f>IF(VLOOKUP($D448,$C$5:$AU$836,3,)=0,0,(VLOOKUP($D448,$C$5:$AU$836,20,)/VLOOKUP($D448,$C$5:$AU$836,3,))*$E448)</f>
        <v>0</v>
      </c>
      <c r="W448" s="65">
        <f>IF(VLOOKUP($D448,$C$5:$AU$836,3,)=0,0,(VLOOKUP($D448,$C$5:$AU$836,21,)/VLOOKUP($D448,$C$5:$AU$836,3,))*$E448)</f>
        <v>0</v>
      </c>
      <c r="X448" s="65">
        <f>IF(VLOOKUP($D448,$C$5:$AU$836,3,)=0,0,(VLOOKUP($D448,$C$5:$AU$836,22,)/VLOOKUP($D448,$C$5:$AU$836,3,))*$E448)</f>
        <v>0</v>
      </c>
      <c r="Y448" s="65">
        <f>IF(VLOOKUP($D448,$C$5:$AU$836,3,)=0,0,(VLOOKUP($D448,$C$5:$AU$836,23,)/VLOOKUP($D448,$C$5:$AU$836,3,))*$E448)</f>
        <v>0</v>
      </c>
      <c r="Z448" s="65">
        <f>IF(VLOOKUP($D448,$C$5:$AU$836,3,)=0,0,(VLOOKUP($D448,$C$5:$AU$836,24,)/VLOOKUP($D448,$C$5:$AU$836,3,))*$E448)</f>
        <v>0</v>
      </c>
      <c r="AA448" s="65">
        <f>IF(VLOOKUP($D448,$C$5:$AU$836,3,)=0,0,(VLOOKUP($D448,$C$5:$AU$836,25,)/VLOOKUP($D448,$C$5:$AU$836,3,))*$E448)</f>
        <v>0</v>
      </c>
      <c r="AB448" s="65">
        <f>IF(VLOOKUP($D448,$C$5:$AU$836,3,)=0,0,(VLOOKUP($D448,$C$5:$AU$836,26,)/VLOOKUP($D448,$C$5:$AU$836,3,))*$E448)</f>
        <v>0</v>
      </c>
      <c r="AC448" s="65">
        <f>IF(VLOOKUP($D448,$C$5:$AU$836,3,)=0,0,(VLOOKUP($D448,$C$5:$AU$836,27,)/VLOOKUP($D448,$C$5:$AU$836,3,))*$E448)</f>
        <v>0</v>
      </c>
      <c r="AD448" s="65">
        <f>IF(VLOOKUP($D448,$C$5:$AU$836,3,)=0,0,(VLOOKUP($D448,$C$5:$AU$836,28,)/VLOOKUP($D448,$C$5:$AU$836,3,))*$E448)</f>
        <v>0</v>
      </c>
      <c r="AE448" s="65">
        <f>IF(VLOOKUP($D448,$C$5:$AU$836,3,)=0,0,(VLOOKUP($D448,$C$5:$AU$836,29,)/VLOOKUP($D448,$C$5:$AU$836,3,))*$E448)</f>
        <v>0</v>
      </c>
      <c r="AF448" s="65">
        <f>IF(VLOOKUP($D448,$C$5:$AU$836,3,)=0,0,(VLOOKUP($D448,$C$5:$AU$836,30,)/VLOOKUP($D448,$C$5:$AU$836,3,))*$E448)</f>
        <v>0</v>
      </c>
      <c r="AG448" s="16">
        <f>SUM(F448:AF448)</f>
        <v>8754.7354067890374</v>
      </c>
      <c r="AH448" s="14" t="str">
        <f>IF(ABS(E448-AG448)&lt;0.01,"ok","err")</f>
        <v>ok</v>
      </c>
    </row>
    <row r="449" spans="1:34" x14ac:dyDescent="0.25">
      <c r="E449" s="31"/>
    </row>
    <row r="450" spans="1:34" x14ac:dyDescent="0.25">
      <c r="A450" s="8" t="s">
        <v>7</v>
      </c>
      <c r="E450" s="31"/>
    </row>
    <row r="451" spans="1:34" x14ac:dyDescent="0.25">
      <c r="A451" s="12" t="s">
        <v>223</v>
      </c>
      <c r="C451" s="2" t="s">
        <v>298</v>
      </c>
      <c r="D451" s="2" t="s">
        <v>233</v>
      </c>
      <c r="E451" s="65">
        <f>'Functional Assignment'!AJ444</f>
        <v>9466.6936408410857</v>
      </c>
      <c r="F451" s="65">
        <f>IF(VLOOKUP($D451,$C$5:$AU$836,3,)=0,0,(VLOOKUP($D451,$C$5:$AU$836,4,)/VLOOKUP($D451,$C$5:$AU$836,3,))*$E451)</f>
        <v>0</v>
      </c>
      <c r="G451" s="65">
        <f>IF(VLOOKUP($D451,$C$5:$AU$836,3,)=0,0,(VLOOKUP($D451,$C$5:$AU$836,5,)/VLOOKUP($D451,$C$5:$AU$836,3,))*$E451)</f>
        <v>0</v>
      </c>
      <c r="H451" s="65">
        <f>IF(VLOOKUP($D451,$C$5:$AU$836,3,)=0,0,(VLOOKUP($D451,$C$5:$AU$836,6,)/VLOOKUP($D451,$C$5:$AU$836,3,))*$E451)</f>
        <v>0</v>
      </c>
      <c r="I451" s="65">
        <f>IF(VLOOKUP($D451,$C$5:$AU$836,3,)=0,0,(VLOOKUP($D451,$C$5:$AU$836,7,)/VLOOKUP($D451,$C$5:$AU$836,3,))*$E451)</f>
        <v>0</v>
      </c>
      <c r="J451" s="65">
        <f>IF(VLOOKUP($D451,$C$5:$AU$836,3,)=0,0,(VLOOKUP($D451,$C$5:$AU$836,8,)/VLOOKUP($D451,$C$5:$AU$836,3,))*$E451)</f>
        <v>0</v>
      </c>
      <c r="K451" s="65">
        <f>IF(VLOOKUP($D451,$C$5:$AU$836,3,)=0,0,(VLOOKUP($D451,$C$5:$AU$836,9,)/VLOOKUP($D451,$C$5:$AU$836,3,))*$E451)</f>
        <v>0</v>
      </c>
      <c r="L451" s="65">
        <f>IF(VLOOKUP($D451,$C$5:$AU$836,3,)=0,0,(VLOOKUP($D451,$C$5:$AU$836,10,)/VLOOKUP($D451,$C$5:$AU$836,3,))*$E451)</f>
        <v>0</v>
      </c>
      <c r="M451" s="65">
        <f>IF(VLOOKUP($D451,$C$5:$AU$836,3,)=0,0,(VLOOKUP($D451,$C$5:$AU$836,11,)/VLOOKUP($D451,$C$5:$AU$836,3,))*$E451)</f>
        <v>0</v>
      </c>
      <c r="N451" s="65">
        <f>IF(VLOOKUP($D451,$C$5:$AU$836,3,)=0,0,(VLOOKUP($D451,$C$5:$AU$836,12,)/VLOOKUP($D451,$C$5:$AU$836,3,))*$E451)</f>
        <v>9466.6936408410857</v>
      </c>
      <c r="O451" s="65">
        <f>IF(VLOOKUP($D451,$C$5:$AU$836,3,)=0,0,(VLOOKUP($D451,$C$5:$AU$836,13,)/VLOOKUP($D451,$C$5:$AU$836,3,))*$E451)</f>
        <v>0</v>
      </c>
      <c r="P451" s="65">
        <f>IF(VLOOKUP($D451,$C$5:$AU$836,3,)=0,0,(VLOOKUP($D451,$C$5:$AU$836,14,)/VLOOKUP($D451,$C$5:$AU$836,3,))*$E451)</f>
        <v>0</v>
      </c>
      <c r="Q451" s="65">
        <f>IF(VLOOKUP($D451,$C$5:$AU$836,3,)=0,0,(VLOOKUP($D451,$C$5:$AU$836,15,)/VLOOKUP($D451,$C$5:$AU$836,3,))*$E451)</f>
        <v>0</v>
      </c>
      <c r="R451" s="65">
        <f>IF(VLOOKUP($D451,$C$5:$AU$836,3,)=0,0,(VLOOKUP($D451,$C$5:$AU$836,16,)/VLOOKUP($D451,$C$5:$AU$836,3,))*$E451)</f>
        <v>0</v>
      </c>
      <c r="S451" s="65">
        <f>IF(VLOOKUP($D451,$C$5:$AU$836,3,)=0,0,(VLOOKUP($D451,$C$5:$AU$836,17,)/VLOOKUP($D451,$C$5:$AU$836,3,))*$E451)</f>
        <v>0</v>
      </c>
      <c r="T451" s="65">
        <f>IF(VLOOKUP($D451,$C$5:$AU$836,3,)=0,0,(VLOOKUP($D451,$C$5:$AU$836,18,)/VLOOKUP($D451,$C$5:$AU$836,3,))*$E451)</f>
        <v>0</v>
      </c>
      <c r="U451" s="65">
        <f>IF(VLOOKUP($D451,$C$5:$AU$836,3,)=0,0,(VLOOKUP($D451,$C$5:$AU$836,19,)/VLOOKUP($D451,$C$5:$AU$836,3,))*$E451)</f>
        <v>0</v>
      </c>
      <c r="V451" s="65">
        <f>IF(VLOOKUP($D451,$C$5:$AU$836,3,)=0,0,(VLOOKUP($D451,$C$5:$AU$836,20,)/VLOOKUP($D451,$C$5:$AU$836,3,))*$E451)</f>
        <v>0</v>
      </c>
      <c r="W451" s="65">
        <f>IF(VLOOKUP($D451,$C$5:$AU$836,3,)=0,0,(VLOOKUP($D451,$C$5:$AU$836,21,)/VLOOKUP($D451,$C$5:$AU$836,3,))*$E451)</f>
        <v>0</v>
      </c>
      <c r="X451" s="65">
        <f>IF(VLOOKUP($D451,$C$5:$AU$836,3,)=0,0,(VLOOKUP($D451,$C$5:$AU$836,22,)/VLOOKUP($D451,$C$5:$AU$836,3,))*$E451)</f>
        <v>0</v>
      </c>
      <c r="Y451" s="65">
        <f>IF(VLOOKUP($D451,$C$5:$AU$836,3,)=0,0,(VLOOKUP($D451,$C$5:$AU$836,23,)/VLOOKUP($D451,$C$5:$AU$836,3,))*$E451)</f>
        <v>0</v>
      </c>
      <c r="Z451" s="65">
        <f>IF(VLOOKUP($D451,$C$5:$AU$836,3,)=0,0,(VLOOKUP($D451,$C$5:$AU$836,24,)/VLOOKUP($D451,$C$5:$AU$836,3,))*$E451)</f>
        <v>0</v>
      </c>
      <c r="AA451" s="65">
        <f>IF(VLOOKUP($D451,$C$5:$AU$836,3,)=0,0,(VLOOKUP($D451,$C$5:$AU$836,25,)/VLOOKUP($D451,$C$5:$AU$836,3,))*$E451)</f>
        <v>0</v>
      </c>
      <c r="AB451" s="65">
        <f>IF(VLOOKUP($D451,$C$5:$AU$836,3,)=0,0,(VLOOKUP($D451,$C$5:$AU$836,26,)/VLOOKUP($D451,$C$5:$AU$836,3,))*$E451)</f>
        <v>0</v>
      </c>
      <c r="AC451" s="65">
        <f>IF(VLOOKUP($D451,$C$5:$AU$836,3,)=0,0,(VLOOKUP($D451,$C$5:$AU$836,27,)/VLOOKUP($D451,$C$5:$AU$836,3,))*$E451)</f>
        <v>0</v>
      </c>
      <c r="AD451" s="65">
        <f>IF(VLOOKUP($D451,$C$5:$AU$836,3,)=0,0,(VLOOKUP($D451,$C$5:$AU$836,28,)/VLOOKUP($D451,$C$5:$AU$836,3,))*$E451)</f>
        <v>0</v>
      </c>
      <c r="AE451" s="65">
        <f>IF(VLOOKUP($D451,$C$5:$AU$836,3,)=0,0,(VLOOKUP($D451,$C$5:$AU$836,29,)/VLOOKUP($D451,$C$5:$AU$836,3,))*$E451)</f>
        <v>0</v>
      </c>
      <c r="AF451" s="65">
        <f>IF(VLOOKUP($D451,$C$5:$AU$836,3,)=0,0,(VLOOKUP($D451,$C$5:$AU$836,30,)/VLOOKUP($D451,$C$5:$AU$836,3,))*$E451)</f>
        <v>0</v>
      </c>
      <c r="AG451" s="16">
        <f>SUM(F451:AF451)</f>
        <v>9466.6936408410857</v>
      </c>
      <c r="AH451" s="14" t="str">
        <f>IF(ABS(E451-AG451)&lt;0.01,"ok","err")</f>
        <v>ok</v>
      </c>
    </row>
    <row r="452" spans="1:34" x14ac:dyDescent="0.25">
      <c r="E452" s="31"/>
    </row>
    <row r="453" spans="1:34" x14ac:dyDescent="0.25">
      <c r="A453" s="8" t="s">
        <v>534</v>
      </c>
      <c r="E453" s="31"/>
    </row>
    <row r="454" spans="1:34" x14ac:dyDescent="0.25">
      <c r="A454" s="12" t="s">
        <v>223</v>
      </c>
      <c r="C454" s="2" t="s">
        <v>299</v>
      </c>
      <c r="D454" s="2" t="s">
        <v>235</v>
      </c>
      <c r="E454" s="65">
        <f>'Functional Assignment'!AL444</f>
        <v>0</v>
      </c>
      <c r="F454" s="65">
        <f>IF(VLOOKUP($D454,$C$5:$AU$836,3,)=0,0,(VLOOKUP($D454,$C$5:$AU$836,4,)/VLOOKUP($D454,$C$5:$AU$836,3,))*$E454)</f>
        <v>0</v>
      </c>
      <c r="G454" s="65">
        <f>IF(VLOOKUP($D454,$C$5:$AU$836,3,)=0,0,(VLOOKUP($D454,$C$5:$AU$836,5,)/VLOOKUP($D454,$C$5:$AU$836,3,))*$E454)</f>
        <v>0</v>
      </c>
      <c r="H454" s="65">
        <f>IF(VLOOKUP($D454,$C$5:$AU$836,3,)=0,0,(VLOOKUP($D454,$C$5:$AU$836,6,)/VLOOKUP($D454,$C$5:$AU$836,3,))*$E454)</f>
        <v>0</v>
      </c>
      <c r="I454" s="65">
        <f>IF(VLOOKUP($D454,$C$5:$AU$836,3,)=0,0,(VLOOKUP($D454,$C$5:$AU$836,7,)/VLOOKUP($D454,$C$5:$AU$836,3,))*$E454)</f>
        <v>0</v>
      </c>
      <c r="J454" s="65">
        <f>IF(VLOOKUP($D454,$C$5:$AU$836,3,)=0,0,(VLOOKUP($D454,$C$5:$AU$836,8,)/VLOOKUP($D454,$C$5:$AU$836,3,))*$E454)</f>
        <v>0</v>
      </c>
      <c r="K454" s="65">
        <f>IF(VLOOKUP($D454,$C$5:$AU$836,3,)=0,0,(VLOOKUP($D454,$C$5:$AU$836,9,)/VLOOKUP($D454,$C$5:$AU$836,3,))*$E454)</f>
        <v>0</v>
      </c>
      <c r="L454" s="65">
        <f>IF(VLOOKUP($D454,$C$5:$AU$836,3,)=0,0,(VLOOKUP($D454,$C$5:$AU$836,10,)/VLOOKUP($D454,$C$5:$AU$836,3,))*$E454)</f>
        <v>0</v>
      </c>
      <c r="M454" s="65">
        <f>IF(VLOOKUP($D454,$C$5:$AU$836,3,)=0,0,(VLOOKUP($D454,$C$5:$AU$836,11,)/VLOOKUP($D454,$C$5:$AU$836,3,))*$E454)</f>
        <v>0</v>
      </c>
      <c r="N454" s="65">
        <f>IF(VLOOKUP($D454,$C$5:$AU$836,3,)=0,0,(VLOOKUP($D454,$C$5:$AU$836,12,)/VLOOKUP($D454,$C$5:$AU$836,3,))*$E454)</f>
        <v>0</v>
      </c>
      <c r="O454" s="65">
        <f>IF(VLOOKUP($D454,$C$5:$AU$836,3,)=0,0,(VLOOKUP($D454,$C$5:$AU$836,13,)/VLOOKUP($D454,$C$5:$AU$836,3,))*$E454)</f>
        <v>0</v>
      </c>
      <c r="P454" s="65">
        <f>IF(VLOOKUP($D454,$C$5:$AU$836,3,)=0,0,(VLOOKUP($D454,$C$5:$AU$836,14,)/VLOOKUP($D454,$C$5:$AU$836,3,))*$E454)</f>
        <v>0</v>
      </c>
      <c r="Q454" s="65">
        <f>IF(VLOOKUP($D454,$C$5:$AU$836,3,)=0,0,(VLOOKUP($D454,$C$5:$AU$836,15,)/VLOOKUP($D454,$C$5:$AU$836,3,))*$E454)</f>
        <v>0</v>
      </c>
      <c r="R454" s="65">
        <f>IF(VLOOKUP($D454,$C$5:$AU$836,3,)=0,0,(VLOOKUP($D454,$C$5:$AU$836,16,)/VLOOKUP($D454,$C$5:$AU$836,3,))*$E454)</f>
        <v>0</v>
      </c>
      <c r="S454" s="65">
        <f>IF(VLOOKUP($D454,$C$5:$AU$836,3,)=0,0,(VLOOKUP($D454,$C$5:$AU$836,17,)/VLOOKUP($D454,$C$5:$AU$836,3,))*$E454)</f>
        <v>0</v>
      </c>
      <c r="T454" s="65">
        <f>IF(VLOOKUP($D454,$C$5:$AU$836,3,)=0,0,(VLOOKUP($D454,$C$5:$AU$836,18,)/VLOOKUP($D454,$C$5:$AU$836,3,))*$E454)</f>
        <v>0</v>
      </c>
      <c r="U454" s="65">
        <f>IF(VLOOKUP($D454,$C$5:$AU$836,3,)=0,0,(VLOOKUP($D454,$C$5:$AU$836,19,)/VLOOKUP($D454,$C$5:$AU$836,3,))*$E454)</f>
        <v>0</v>
      </c>
      <c r="V454" s="65">
        <f>IF(VLOOKUP($D454,$C$5:$AU$836,3,)=0,0,(VLOOKUP($D454,$C$5:$AU$836,20,)/VLOOKUP($D454,$C$5:$AU$836,3,))*$E454)</f>
        <v>0</v>
      </c>
      <c r="W454" s="65">
        <f>IF(VLOOKUP($D454,$C$5:$AU$836,3,)=0,0,(VLOOKUP($D454,$C$5:$AU$836,21,)/VLOOKUP($D454,$C$5:$AU$836,3,))*$E454)</f>
        <v>0</v>
      </c>
      <c r="X454" s="65">
        <f>IF(VLOOKUP($D454,$C$5:$AU$836,3,)=0,0,(VLOOKUP($D454,$C$5:$AU$836,22,)/VLOOKUP($D454,$C$5:$AU$836,3,))*$E454)</f>
        <v>0</v>
      </c>
      <c r="Y454" s="65">
        <f>IF(VLOOKUP($D454,$C$5:$AU$836,3,)=0,0,(VLOOKUP($D454,$C$5:$AU$836,23,)/VLOOKUP($D454,$C$5:$AU$836,3,))*$E454)</f>
        <v>0</v>
      </c>
      <c r="Z454" s="65">
        <f>IF(VLOOKUP($D454,$C$5:$AU$836,3,)=0,0,(VLOOKUP($D454,$C$5:$AU$836,24,)/VLOOKUP($D454,$C$5:$AU$836,3,))*$E454)</f>
        <v>0</v>
      </c>
      <c r="AA454" s="65">
        <f>IF(VLOOKUP($D454,$C$5:$AU$836,3,)=0,0,(VLOOKUP($D454,$C$5:$AU$836,25,)/VLOOKUP($D454,$C$5:$AU$836,3,))*$E454)</f>
        <v>0</v>
      </c>
      <c r="AB454" s="65">
        <f>IF(VLOOKUP($D454,$C$5:$AU$836,3,)=0,0,(VLOOKUP($D454,$C$5:$AU$836,26,)/VLOOKUP($D454,$C$5:$AU$836,3,))*$E454)</f>
        <v>0</v>
      </c>
      <c r="AC454" s="65">
        <f>IF(VLOOKUP($D454,$C$5:$AU$836,3,)=0,0,(VLOOKUP($D454,$C$5:$AU$836,27,)/VLOOKUP($D454,$C$5:$AU$836,3,))*$E454)</f>
        <v>0</v>
      </c>
      <c r="AD454" s="65">
        <f>IF(VLOOKUP($D454,$C$5:$AU$836,3,)=0,0,(VLOOKUP($D454,$C$5:$AU$836,28,)/VLOOKUP($D454,$C$5:$AU$836,3,))*$E454)</f>
        <v>0</v>
      </c>
      <c r="AE454" s="65">
        <f>IF(VLOOKUP($D454,$C$5:$AU$836,3,)=0,0,(VLOOKUP($D454,$C$5:$AU$836,29,)/VLOOKUP($D454,$C$5:$AU$836,3,))*$E454)</f>
        <v>0</v>
      </c>
      <c r="AF454" s="65">
        <f>IF(VLOOKUP($D454,$C$5:$AU$836,3,)=0,0,(VLOOKUP($D454,$C$5:$AU$836,30,)/VLOOKUP($D454,$C$5:$AU$836,3,))*$E454)</f>
        <v>0</v>
      </c>
      <c r="AG454" s="16">
        <f>SUM(F454:AF454)</f>
        <v>0</v>
      </c>
      <c r="AH454" s="14" t="str">
        <f>IF(ABS(E454-AG454)&lt;0.01,"ok","err")</f>
        <v>ok</v>
      </c>
    </row>
    <row r="455" spans="1:34" x14ac:dyDescent="0.25">
      <c r="E455" s="31"/>
    </row>
    <row r="456" spans="1:34" x14ac:dyDescent="0.25">
      <c r="A456" s="8" t="s">
        <v>662</v>
      </c>
      <c r="E456" s="31"/>
    </row>
    <row r="457" spans="1:34" x14ac:dyDescent="0.25">
      <c r="A457" s="12" t="s">
        <v>223</v>
      </c>
      <c r="C457" s="2" t="s">
        <v>296</v>
      </c>
      <c r="D457" s="2" t="s">
        <v>236</v>
      </c>
      <c r="E457" s="65">
        <f>'Functional Assignment'!AN444</f>
        <v>0</v>
      </c>
      <c r="F457" s="65">
        <f>IF(VLOOKUP($D457,$C$5:$AU$836,3,)=0,0,(VLOOKUP($D457,$C$5:$AU$836,4,)/VLOOKUP($D457,$C$5:$AU$836,3,))*$E457)</f>
        <v>0</v>
      </c>
      <c r="G457" s="65">
        <f>IF(VLOOKUP($D457,$C$5:$AU$836,3,)=0,0,(VLOOKUP($D457,$C$5:$AU$836,5,)/VLOOKUP($D457,$C$5:$AU$836,3,))*$E457)</f>
        <v>0</v>
      </c>
      <c r="H457" s="65">
        <f>IF(VLOOKUP($D457,$C$5:$AU$836,3,)=0,0,(VLOOKUP($D457,$C$5:$AU$836,6,)/VLOOKUP($D457,$C$5:$AU$836,3,))*$E457)</f>
        <v>0</v>
      </c>
      <c r="I457" s="65">
        <f>IF(VLOOKUP($D457,$C$5:$AU$836,3,)=0,0,(VLOOKUP($D457,$C$5:$AU$836,7,)/VLOOKUP($D457,$C$5:$AU$836,3,))*$E457)</f>
        <v>0</v>
      </c>
      <c r="J457" s="65">
        <f>IF(VLOOKUP($D457,$C$5:$AU$836,3,)=0,0,(VLOOKUP($D457,$C$5:$AU$836,8,)/VLOOKUP($D457,$C$5:$AU$836,3,))*$E457)</f>
        <v>0</v>
      </c>
      <c r="K457" s="65">
        <f>IF(VLOOKUP($D457,$C$5:$AU$836,3,)=0,0,(VLOOKUP($D457,$C$5:$AU$836,9,)/VLOOKUP($D457,$C$5:$AU$836,3,))*$E457)</f>
        <v>0</v>
      </c>
      <c r="L457" s="65">
        <f>IF(VLOOKUP($D457,$C$5:$AU$836,3,)=0,0,(VLOOKUP($D457,$C$5:$AU$836,10,)/VLOOKUP($D457,$C$5:$AU$836,3,))*$E457)</f>
        <v>0</v>
      </c>
      <c r="M457" s="65">
        <f>IF(VLOOKUP($D457,$C$5:$AU$836,3,)=0,0,(VLOOKUP($D457,$C$5:$AU$836,11,)/VLOOKUP($D457,$C$5:$AU$836,3,))*$E457)</f>
        <v>0</v>
      </c>
      <c r="N457" s="65">
        <f>IF(VLOOKUP($D457,$C$5:$AU$836,3,)=0,0,(VLOOKUP($D457,$C$5:$AU$836,12,)/VLOOKUP($D457,$C$5:$AU$836,3,))*$E457)</f>
        <v>0</v>
      </c>
      <c r="O457" s="65">
        <f>IF(VLOOKUP($D457,$C$5:$AU$836,3,)=0,0,(VLOOKUP($D457,$C$5:$AU$836,13,)/VLOOKUP($D457,$C$5:$AU$836,3,))*$E457)</f>
        <v>0</v>
      </c>
      <c r="P457" s="65">
        <f>IF(VLOOKUP($D457,$C$5:$AU$836,3,)=0,0,(VLOOKUP($D457,$C$5:$AU$836,14,)/VLOOKUP($D457,$C$5:$AU$836,3,))*$E457)</f>
        <v>0</v>
      </c>
      <c r="Q457" s="65">
        <f>IF(VLOOKUP($D457,$C$5:$AU$836,3,)=0,0,(VLOOKUP($D457,$C$5:$AU$836,15,)/VLOOKUP($D457,$C$5:$AU$836,3,))*$E457)</f>
        <v>0</v>
      </c>
      <c r="R457" s="65">
        <f>IF(VLOOKUP($D457,$C$5:$AU$836,3,)=0,0,(VLOOKUP($D457,$C$5:$AU$836,16,)/VLOOKUP($D457,$C$5:$AU$836,3,))*$E457)</f>
        <v>0</v>
      </c>
      <c r="S457" s="65">
        <f>IF(VLOOKUP($D457,$C$5:$AU$836,3,)=0,0,(VLOOKUP($D457,$C$5:$AU$836,17,)/VLOOKUP($D457,$C$5:$AU$836,3,))*$E457)</f>
        <v>0</v>
      </c>
      <c r="T457" s="65">
        <f>IF(VLOOKUP($D457,$C$5:$AU$836,3,)=0,0,(VLOOKUP($D457,$C$5:$AU$836,18,)/VLOOKUP($D457,$C$5:$AU$836,3,))*$E457)</f>
        <v>0</v>
      </c>
      <c r="U457" s="65">
        <f>IF(VLOOKUP($D457,$C$5:$AU$836,3,)=0,0,(VLOOKUP($D457,$C$5:$AU$836,19,)/VLOOKUP($D457,$C$5:$AU$836,3,))*$E457)</f>
        <v>0</v>
      </c>
      <c r="V457" s="65">
        <f>IF(VLOOKUP($D457,$C$5:$AU$836,3,)=0,0,(VLOOKUP($D457,$C$5:$AU$836,20,)/VLOOKUP($D457,$C$5:$AU$836,3,))*$E457)</f>
        <v>0</v>
      </c>
      <c r="W457" s="65">
        <f>IF(VLOOKUP($D457,$C$5:$AU$836,3,)=0,0,(VLOOKUP($D457,$C$5:$AU$836,21,)/VLOOKUP($D457,$C$5:$AU$836,3,))*$E457)</f>
        <v>0</v>
      </c>
      <c r="X457" s="65">
        <f>IF(VLOOKUP($D457,$C$5:$AU$836,3,)=0,0,(VLOOKUP($D457,$C$5:$AU$836,22,)/VLOOKUP($D457,$C$5:$AU$836,3,))*$E457)</f>
        <v>0</v>
      </c>
      <c r="Y457" s="65">
        <f>IF(VLOOKUP($D457,$C$5:$AU$836,3,)=0,0,(VLOOKUP($D457,$C$5:$AU$836,23,)/VLOOKUP($D457,$C$5:$AU$836,3,))*$E457)</f>
        <v>0</v>
      </c>
      <c r="Z457" s="65">
        <f>IF(VLOOKUP($D457,$C$5:$AU$836,3,)=0,0,(VLOOKUP($D457,$C$5:$AU$836,24,)/VLOOKUP($D457,$C$5:$AU$836,3,))*$E457)</f>
        <v>0</v>
      </c>
      <c r="AA457" s="65">
        <f>IF(VLOOKUP($D457,$C$5:$AU$836,3,)=0,0,(VLOOKUP($D457,$C$5:$AU$836,25,)/VLOOKUP($D457,$C$5:$AU$836,3,))*$E457)</f>
        <v>0</v>
      </c>
      <c r="AB457" s="65">
        <f>IF(VLOOKUP($D457,$C$5:$AU$836,3,)=0,0,(VLOOKUP($D457,$C$5:$AU$836,26,)/VLOOKUP($D457,$C$5:$AU$836,3,))*$E457)</f>
        <v>0</v>
      </c>
      <c r="AC457" s="65">
        <f>IF(VLOOKUP($D457,$C$5:$AU$836,3,)=0,0,(VLOOKUP($D457,$C$5:$AU$836,27,)/VLOOKUP($D457,$C$5:$AU$836,3,))*$E457)</f>
        <v>0</v>
      </c>
      <c r="AD457" s="65">
        <f>IF(VLOOKUP($D457,$C$5:$AU$836,3,)=0,0,(VLOOKUP($D457,$C$5:$AU$836,28,)/VLOOKUP($D457,$C$5:$AU$836,3,))*$E457)</f>
        <v>0</v>
      </c>
      <c r="AE457" s="65">
        <f>IF(VLOOKUP($D457,$C$5:$AU$836,3,)=0,0,(VLOOKUP($D457,$C$5:$AU$836,29,)/VLOOKUP($D457,$C$5:$AU$836,3,))*$E457)</f>
        <v>0</v>
      </c>
      <c r="AF457" s="65">
        <f>IF(VLOOKUP($D457,$C$5:$AU$836,3,)=0,0,(VLOOKUP($D457,$C$5:$AU$836,30,)/VLOOKUP($D457,$C$5:$AU$836,3,))*$E457)</f>
        <v>0</v>
      </c>
      <c r="AG457" s="16">
        <f>SUM(F457:AF457)</f>
        <v>0</v>
      </c>
      <c r="AH457" s="14" t="str">
        <f>IF(ABS(E457-AG457)&lt;0.01,"ok","err")</f>
        <v>ok</v>
      </c>
    </row>
    <row r="458" spans="1:34" x14ac:dyDescent="0.25">
      <c r="E458" s="31"/>
    </row>
    <row r="459" spans="1:34" x14ac:dyDescent="0.25">
      <c r="A459" s="2" t="s">
        <v>1</v>
      </c>
      <c r="C459" s="2" t="s">
        <v>300</v>
      </c>
      <c r="E459" s="65">
        <f>E416+E419+E422+E425+E430+E435+E440+E445+E448+E451+E454+E457</f>
        <v>181483.87000000002</v>
      </c>
      <c r="F459" s="65">
        <f t="shared" ref="F459:AF459" si="292">F416+F419+F422+F425+F430+F435+F440+F445+F448+F451+F454+F457</f>
        <v>129018.21726247808</v>
      </c>
      <c r="G459" s="65">
        <f t="shared" si="292"/>
        <v>14338.539259900888</v>
      </c>
      <c r="H459" s="65">
        <f t="shared" si="292"/>
        <v>16629.289231661063</v>
      </c>
      <c r="I459" s="65">
        <f t="shared" si="292"/>
        <v>2521.2076569483015</v>
      </c>
      <c r="J459" s="65">
        <f t="shared" si="292"/>
        <v>1680.2132805172232</v>
      </c>
      <c r="K459" s="65">
        <f t="shared" si="292"/>
        <v>16.560068905020252</v>
      </c>
      <c r="L459" s="65">
        <f t="shared" si="292"/>
        <v>248.35668595673292</v>
      </c>
      <c r="M459" s="65">
        <f t="shared" si="292"/>
        <v>3762.0729760548406</v>
      </c>
      <c r="N459" s="65">
        <f t="shared" si="292"/>
        <v>13269.41357757788</v>
      </c>
      <c r="O459" s="65">
        <f t="shared" si="292"/>
        <v>0</v>
      </c>
      <c r="P459" s="65">
        <f t="shared" si="292"/>
        <v>0</v>
      </c>
      <c r="Q459" s="65">
        <f t="shared" si="292"/>
        <v>0</v>
      </c>
      <c r="R459" s="65">
        <f t="shared" si="292"/>
        <v>0</v>
      </c>
      <c r="S459" s="65">
        <f t="shared" si="292"/>
        <v>0</v>
      </c>
      <c r="T459" s="65">
        <f t="shared" si="292"/>
        <v>0</v>
      </c>
      <c r="U459" s="65">
        <f t="shared" si="292"/>
        <v>0</v>
      </c>
      <c r="V459" s="65">
        <f t="shared" si="292"/>
        <v>0</v>
      </c>
      <c r="W459" s="65">
        <f t="shared" si="292"/>
        <v>0</v>
      </c>
      <c r="X459" s="65">
        <f t="shared" si="292"/>
        <v>0</v>
      </c>
      <c r="Y459" s="65">
        <f t="shared" si="292"/>
        <v>0</v>
      </c>
      <c r="Z459" s="65">
        <f t="shared" si="292"/>
        <v>0</v>
      </c>
      <c r="AA459" s="65">
        <f t="shared" si="292"/>
        <v>0</v>
      </c>
      <c r="AB459" s="65">
        <f t="shared" si="292"/>
        <v>0</v>
      </c>
      <c r="AC459" s="65">
        <f t="shared" si="292"/>
        <v>0</v>
      </c>
      <c r="AD459" s="65">
        <f t="shared" si="292"/>
        <v>0</v>
      </c>
      <c r="AE459" s="65">
        <f t="shared" si="292"/>
        <v>0</v>
      </c>
      <c r="AF459" s="65">
        <f t="shared" si="292"/>
        <v>0</v>
      </c>
      <c r="AG459" s="16">
        <f>SUM(F459:AF459)</f>
        <v>181483.87000000005</v>
      </c>
      <c r="AH459" s="14" t="str">
        <f>IF(ABS(E459-AG459)&lt;0.01,"ok","err")</f>
        <v>ok</v>
      </c>
    </row>
    <row r="460" spans="1:34" x14ac:dyDescent="0.2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16"/>
      <c r="AH460" s="14"/>
    </row>
    <row r="461" spans="1:34" x14ac:dyDescent="0.2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16"/>
      <c r="AH461" s="14"/>
    </row>
    <row r="462" spans="1:34" x14ac:dyDescent="0.25">
      <c r="A462" s="6" t="s">
        <v>579</v>
      </c>
    </row>
    <row r="463" spans="1:34" x14ac:dyDescent="0.25">
      <c r="E463" s="16"/>
    </row>
    <row r="464" spans="1:34" x14ac:dyDescent="0.25">
      <c r="A464" s="8" t="s">
        <v>301</v>
      </c>
    </row>
    <row r="465" spans="1:34" x14ac:dyDescent="0.25">
      <c r="A465" s="12" t="s">
        <v>302</v>
      </c>
      <c r="C465" s="2" t="s">
        <v>303</v>
      </c>
      <c r="D465" s="2" t="s">
        <v>551</v>
      </c>
      <c r="E465" s="65">
        <v>114130416.65999998</v>
      </c>
      <c r="F465" s="65">
        <f>IF(VLOOKUP($D465,$C$5:$AU$836,3,)=0,0,(VLOOKUP($D465,$C$5:$AU$836,4,)/VLOOKUP($D465,$C$5:$AU$836,3,))*$E465)</f>
        <v>74148638.809999987</v>
      </c>
      <c r="G465" s="65">
        <f>IF(VLOOKUP($D465,$C$5:$AU$836,3,)=0,0,(VLOOKUP($D465,$C$5:$AU$836,5,)/VLOOKUP($D465,$C$5:$AU$836,3,))*$E465)</f>
        <v>7810832.9899999993</v>
      </c>
      <c r="H465" s="65">
        <f>IF(VLOOKUP($D465,$C$5:$AU$836,3,)=0,0,(VLOOKUP($D465,$C$5:$AU$836,6,)/VLOOKUP($D465,$C$5:$AU$836,3,))*$E465)</f>
        <v>15717590.100000001</v>
      </c>
      <c r="I465" s="65">
        <f>IF(VLOOKUP($D465,$C$5:$AU$836,3,)=0,0,(VLOOKUP($D465,$C$5:$AU$836,7,)/VLOOKUP($D465,$C$5:$AU$836,3,))*$E465)</f>
        <v>1487654.2600000002</v>
      </c>
      <c r="J465" s="65">
        <f>IF(VLOOKUP($D465,$C$5:$AU$836,3,)=0,0,(VLOOKUP($D465,$C$5:$AU$836,8,)/VLOOKUP($D465,$C$5:$AU$836,3,))*$E465)</f>
        <v>846051.2</v>
      </c>
      <c r="K465" s="65">
        <f>IF(VLOOKUP($D465,$C$5:$AU$836,3,)=0,0,(VLOOKUP($D465,$C$5:$AU$836,9,)/VLOOKUP($D465,$C$5:$AU$836,3,))*$E465)</f>
        <v>1745586.0999999999</v>
      </c>
      <c r="L465" s="65">
        <f>IF(VLOOKUP($D465,$C$5:$AU$836,3,)=0,0,(VLOOKUP($D465,$C$5:$AU$836,10,)/VLOOKUP($D465,$C$5:$AU$836,3,))*$E465)</f>
        <v>4403647.6100000003</v>
      </c>
      <c r="M465" s="65">
        <f>IF(VLOOKUP($D465,$C$5:$AU$836,3,)=0,0,(VLOOKUP($D465,$C$5:$AU$836,11,)/VLOOKUP($D465,$C$5:$AU$836,3,))*$E465)</f>
        <v>4253208.41</v>
      </c>
      <c r="N465" s="65">
        <f>IF(VLOOKUP($D465,$C$5:$AU$836,3,)=0,0,(VLOOKUP($D465,$C$5:$AU$836,12,)/VLOOKUP($D465,$C$5:$AU$836,3,))*$E465)</f>
        <v>3717207.18</v>
      </c>
      <c r="O465" s="65">
        <f>IF(VLOOKUP($D465,$C$5:$AU$836,3,)=0,0,(VLOOKUP($D465,$C$5:$AU$836,13,)/VLOOKUP($D465,$C$5:$AU$836,3,))*$E465)</f>
        <v>0</v>
      </c>
      <c r="P465" s="65">
        <f>IF(VLOOKUP($D465,$C$5:$AU$836,3,)=0,0,(VLOOKUP($D465,$C$5:$AU$836,14,)/VLOOKUP($D465,$C$5:$AU$836,3,))*$E465)</f>
        <v>0</v>
      </c>
      <c r="Q465" s="65">
        <f>IF(VLOOKUP($D465,$C$5:$AU$836,3,)=0,0,(VLOOKUP($D465,$C$5:$AU$836,15,)/VLOOKUP($D465,$C$5:$AU$836,3,))*$E465)</f>
        <v>0</v>
      </c>
      <c r="R465" s="65">
        <f>IF(VLOOKUP($D465,$C$5:$AU$836,3,)=0,0,(VLOOKUP($D465,$C$5:$AU$836,16,)/VLOOKUP($D465,$C$5:$AU$836,3,))*$E465)</f>
        <v>0</v>
      </c>
      <c r="S465" s="65">
        <f>IF(VLOOKUP($D465,$C$5:$AU$836,3,)=0,0,(VLOOKUP($D465,$C$5:$AU$836,17,)/VLOOKUP($D465,$C$5:$AU$836,3,))*$E465)</f>
        <v>0</v>
      </c>
      <c r="T465" s="65">
        <f>IF(VLOOKUP($D465,$C$5:$AU$836,3,)=0,0,(VLOOKUP($D465,$C$5:$AU$836,18,)/VLOOKUP($D465,$C$5:$AU$836,3,))*$E465)</f>
        <v>0</v>
      </c>
      <c r="U465" s="65">
        <f>IF(VLOOKUP($D465,$C$5:$AU$836,3,)=0,0,(VLOOKUP($D465,$C$5:$AU$836,19,)/VLOOKUP($D465,$C$5:$AU$836,3,))*$E465)</f>
        <v>0</v>
      </c>
      <c r="V465" s="65">
        <f>IF(VLOOKUP($D465,$C$5:$AU$836,3,)=0,0,(VLOOKUP($D465,$C$5:$AU$836,20,)/VLOOKUP($D465,$C$5:$AU$836,3,))*$E465)</f>
        <v>0</v>
      </c>
      <c r="W465" s="65">
        <f>IF(VLOOKUP($D465,$C$5:$AU$836,3,)=0,0,(VLOOKUP($D465,$C$5:$AU$836,21,)/VLOOKUP($D465,$C$5:$AU$836,3,))*$E465)</f>
        <v>0</v>
      </c>
      <c r="X465" s="65">
        <f>IF(VLOOKUP($D465,$C$5:$AU$836,3,)=0,0,(VLOOKUP($D465,$C$5:$AU$836,22,)/VLOOKUP($D465,$C$5:$AU$836,3,))*$E465)</f>
        <v>0</v>
      </c>
      <c r="Y465" s="65">
        <f>IF(VLOOKUP($D465,$C$5:$AU$836,3,)=0,0,(VLOOKUP($D465,$C$5:$AU$836,23,)/VLOOKUP($D465,$C$5:$AU$836,3,))*$E465)</f>
        <v>0</v>
      </c>
      <c r="Z465" s="65">
        <f>IF(VLOOKUP($D465,$C$5:$AU$836,3,)=0,0,(VLOOKUP($D465,$C$5:$AU$836,24,)/VLOOKUP($D465,$C$5:$AU$836,3,))*$E465)</f>
        <v>0</v>
      </c>
      <c r="AA465" s="65">
        <f>IF(VLOOKUP($D465,$C$5:$AU$836,3,)=0,0,(VLOOKUP($D465,$C$5:$AU$836,25,)/VLOOKUP($D465,$C$5:$AU$836,3,))*$E465)</f>
        <v>0</v>
      </c>
      <c r="AB465" s="65">
        <f>IF(VLOOKUP($D465,$C$5:$AU$836,3,)=0,0,(VLOOKUP($D465,$C$5:$AU$836,26,)/VLOOKUP($D465,$C$5:$AU$836,3,))*$E465)</f>
        <v>0</v>
      </c>
      <c r="AC465" s="65">
        <f>IF(VLOOKUP($D465,$C$5:$AU$836,3,)=0,0,(VLOOKUP($D465,$C$5:$AU$836,27,)/VLOOKUP($D465,$C$5:$AU$836,3,))*$E465)</f>
        <v>0</v>
      </c>
      <c r="AD465" s="65">
        <f>IF(VLOOKUP($D465,$C$5:$AU$836,3,)=0,0,(VLOOKUP($D465,$C$5:$AU$836,28,)/VLOOKUP($D465,$C$5:$AU$836,3,))*$E465)</f>
        <v>0</v>
      </c>
      <c r="AE465" s="65">
        <f>IF(VLOOKUP($D465,$C$5:$AU$836,3,)=0,0,(VLOOKUP($D465,$C$5:$AU$836,29,)/VLOOKUP($D465,$C$5:$AU$836,3,))*$E465)</f>
        <v>0</v>
      </c>
      <c r="AF465" s="65">
        <f>IF(VLOOKUP($D465,$C$5:$AU$836,3,)=0,0,(VLOOKUP($D465,$C$5:$AU$836,30,)/VLOOKUP($D465,$C$5:$AU$836,3,))*$E465)</f>
        <v>0</v>
      </c>
      <c r="AG465" s="16">
        <f t="shared" ref="AG465:AG474" si="293">SUM(F465:AF465)</f>
        <v>114130416.65999998</v>
      </c>
      <c r="AH465" s="14" t="str">
        <f t="shared" ref="AH465:AH474" si="294">IF(ABS(E465-AG465)&lt;0.01,"ok","err")</f>
        <v>ok</v>
      </c>
    </row>
    <row r="466" spans="1:34" x14ac:dyDescent="0.25">
      <c r="A466" s="118" t="s">
        <v>1028</v>
      </c>
      <c r="C466" s="9" t="s">
        <v>1029</v>
      </c>
      <c r="E466" s="65">
        <v>-5634047.7924199989</v>
      </c>
      <c r="F466" s="65">
        <v>-3510693.54</v>
      </c>
      <c r="G466" s="65">
        <v>-313350.64</v>
      </c>
      <c r="H466" s="65">
        <v>-870571.57000000007</v>
      </c>
      <c r="I466" s="65">
        <v>-61451.18</v>
      </c>
      <c r="J466" s="65">
        <v>-48121.30999999999</v>
      </c>
      <c r="K466" s="65">
        <v>-114950.09</v>
      </c>
      <c r="L466" s="65">
        <v>-334417.88</v>
      </c>
      <c r="M466" s="65">
        <v>-307081.83</v>
      </c>
      <c r="N466" s="65">
        <v>-73409.752420000004</v>
      </c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16">
        <f t="shared" si="293"/>
        <v>-5634047.7924199989</v>
      </c>
      <c r="AH466" s="14" t="str">
        <f t="shared" si="294"/>
        <v>ok</v>
      </c>
    </row>
    <row r="467" spans="1:34" x14ac:dyDescent="0.25">
      <c r="A467" s="118" t="s">
        <v>1076</v>
      </c>
      <c r="C467" s="9"/>
      <c r="E467" s="65">
        <v>0</v>
      </c>
      <c r="F467" s="65"/>
      <c r="G467" s="65"/>
      <c r="H467" s="65"/>
      <c r="I467" s="65"/>
      <c r="J467" s="65"/>
      <c r="K467" s="65">
        <v>-877629.03598789731</v>
      </c>
      <c r="L467" s="65">
        <v>877629.03598789696</v>
      </c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16">
        <f t="shared" si="293"/>
        <v>0</v>
      </c>
      <c r="AH467" s="14" t="str">
        <f t="shared" si="294"/>
        <v>ok</v>
      </c>
    </row>
    <row r="468" spans="1:34" x14ac:dyDescent="0.25">
      <c r="A468" s="12" t="s">
        <v>1026</v>
      </c>
      <c r="D468" s="9" t="s">
        <v>1029</v>
      </c>
      <c r="E468" s="65">
        <v>-700709.94</v>
      </c>
      <c r="F468" s="65">
        <f>IF(VLOOKUP($D468,$C$5:$AU$836,3,)=0,0,(VLOOKUP($D468,$C$5:$AU$836,4,)/VLOOKUP($D468,$C$5:$AU$836,3,))*$E468)</f>
        <v>-436627.08418650995</v>
      </c>
      <c r="G468" s="65">
        <f>IF(VLOOKUP($D468,$C$5:$AU$836,3,)=0,0,(VLOOKUP($D468,$C$5:$AU$836,5,)/VLOOKUP($D468,$C$5:$AU$836,3,))*$E468)</f>
        <v>-38971.609088720623</v>
      </c>
      <c r="H468" s="65">
        <f>IF(VLOOKUP($D468,$C$5:$AU$836,3,)=0,0,(VLOOKUP($D468,$C$5:$AU$836,6,)/VLOOKUP($D468,$C$5:$AU$836,3,))*$E468)</f>
        <v>-108273.51400907873</v>
      </c>
      <c r="I468" s="65">
        <f>IF(VLOOKUP($D468,$C$5:$AU$836,3,)=0,0,(VLOOKUP($D468,$C$5:$AU$836,7,)/VLOOKUP($D468,$C$5:$AU$836,3,))*$E468)</f>
        <v>-7642.7205159070581</v>
      </c>
      <c r="J468" s="65">
        <f>IF(VLOOKUP($D468,$C$5:$AU$836,3,)=0,0,(VLOOKUP($D468,$C$5:$AU$836,8,)/VLOOKUP($D468,$C$5:$AU$836,3,))*$E468)</f>
        <v>-5984.8765017909072</v>
      </c>
      <c r="K468" s="65">
        <f>IF(VLOOKUP($D468,$C$5:$AU$836,3,)=0,0,(VLOOKUP($D468,$C$5:$AU$836,9,)/VLOOKUP($D468,$C$5:$AU$836,3,))*$E468)</f>
        <v>-14296.412390264317</v>
      </c>
      <c r="L468" s="65">
        <f>IF(VLOOKUP($D468,$C$5:$AU$836,3,)=0,0,(VLOOKUP($D468,$C$5:$AU$836,10,)/VLOOKUP($D468,$C$5:$AU$836,3,))*$E468)</f>
        <v>-41591.754501087606</v>
      </c>
      <c r="M468" s="65">
        <f>IF(VLOOKUP($D468,$C$5:$AU$836,3,)=0,0,(VLOOKUP($D468,$C$5:$AU$836,11,)/VLOOKUP($D468,$C$5:$AU$836,3,))*$E468)</f>
        <v>-38191.953388092523</v>
      </c>
      <c r="N468" s="65">
        <f>IF(VLOOKUP($D468,$C$5:$AU$836,3,)=0,0,(VLOOKUP($D468,$C$5:$AU$836,12,)/VLOOKUP($D468,$C$5:$AU$836,3,))*$E468)</f>
        <v>-9130.0154185483807</v>
      </c>
      <c r="O468" s="65">
        <f>IF(VLOOKUP($D468,$C$5:$AU$836,3,)=0,0,(VLOOKUP($D468,$C$5:$AU$836,13,)/VLOOKUP($D468,$C$5:$AU$836,3,))*$E468)</f>
        <v>0</v>
      </c>
      <c r="P468" s="65">
        <f>IF(VLOOKUP($D468,$C$5:$AU$836,3,)=0,0,(VLOOKUP($D468,$C$5:$AU$836,14,)/VLOOKUP($D468,$C$5:$AU$836,3,))*$E468)</f>
        <v>0</v>
      </c>
      <c r="Q468" s="65">
        <f>IF(VLOOKUP($D468,$C$5:$AU$836,3,)=0,0,(VLOOKUP($D468,$C$5:$AU$836,15,)/VLOOKUP($D468,$C$5:$AU$836,3,))*$E468)</f>
        <v>0</v>
      </c>
      <c r="R468" s="65">
        <f>IF(VLOOKUP($D468,$C$5:$AU$836,3,)=0,0,(VLOOKUP($D468,$C$5:$AU$836,16,)/VLOOKUP($D468,$C$5:$AU$836,3,))*$E468)</f>
        <v>0</v>
      </c>
      <c r="S468" s="65">
        <f>IF(VLOOKUP($D468,$C$5:$AU$836,3,)=0,0,(VLOOKUP($D468,$C$5:$AU$836,17,)/VLOOKUP($D468,$C$5:$AU$836,3,))*$E468)</f>
        <v>0</v>
      </c>
      <c r="T468" s="65">
        <f>IF(VLOOKUP($D468,$C$5:$AU$836,3,)=0,0,(VLOOKUP($D468,$C$5:$AU$836,18,)/VLOOKUP($D468,$C$5:$AU$836,3,))*$E468)</f>
        <v>0</v>
      </c>
      <c r="U468" s="65">
        <f>IF(VLOOKUP($D468,$C$5:$AU$836,3,)=0,0,(VLOOKUP($D468,$C$5:$AU$836,19,)/VLOOKUP($D468,$C$5:$AU$836,3,))*$E468)</f>
        <v>0</v>
      </c>
      <c r="V468" s="65">
        <f>IF(VLOOKUP($D468,$C$5:$AU$836,3,)=0,0,(VLOOKUP($D468,$C$5:$AU$836,20,)/VLOOKUP($D468,$C$5:$AU$836,3,))*$E468)</f>
        <v>0</v>
      </c>
      <c r="W468" s="65">
        <f>IF(VLOOKUP($D468,$C$5:$AU$836,3,)=0,0,(VLOOKUP($D468,$C$5:$AU$836,21,)/VLOOKUP($D468,$C$5:$AU$836,3,))*$E468)</f>
        <v>0</v>
      </c>
      <c r="X468" s="65">
        <f>IF(VLOOKUP($D468,$C$5:$AU$836,3,)=0,0,(VLOOKUP($D468,$C$5:$AU$836,22,)/VLOOKUP($D468,$C$5:$AU$836,3,))*$E468)</f>
        <v>0</v>
      </c>
      <c r="Y468" s="65">
        <f>IF(VLOOKUP($D468,$C$5:$AU$836,3,)=0,0,(VLOOKUP($D468,$C$5:$AU$836,23,)/VLOOKUP($D468,$C$5:$AU$836,3,))*$E468)</f>
        <v>0</v>
      </c>
      <c r="Z468" s="65">
        <f>IF(VLOOKUP($D468,$C$5:$AU$836,3,)=0,0,(VLOOKUP($D468,$C$5:$AU$836,24,)/VLOOKUP($D468,$C$5:$AU$836,3,))*$E468)</f>
        <v>0</v>
      </c>
      <c r="AA468" s="65">
        <f>IF(VLOOKUP($D468,$C$5:$AU$836,3,)=0,0,(VLOOKUP($D468,$C$5:$AU$836,25,)/VLOOKUP($D468,$C$5:$AU$836,3,))*$E468)</f>
        <v>0</v>
      </c>
      <c r="AB468" s="65">
        <f>IF(VLOOKUP($D468,$C$5:$AU$836,3,)=0,0,(VLOOKUP($D468,$C$5:$AU$836,26,)/VLOOKUP($D468,$C$5:$AU$836,3,))*$E468)</f>
        <v>0</v>
      </c>
      <c r="AC468" s="65">
        <f>IF(VLOOKUP($D468,$C$5:$AU$836,3,)=0,0,(VLOOKUP($D468,$C$5:$AU$836,27,)/VLOOKUP($D468,$C$5:$AU$836,3,))*$E468)</f>
        <v>0</v>
      </c>
      <c r="AD468" s="65">
        <f>IF(VLOOKUP($D468,$C$5:$AU$836,3,)=0,0,(VLOOKUP($D468,$C$5:$AU$836,28,)/VLOOKUP($D468,$C$5:$AU$836,3,))*$E468)</f>
        <v>0</v>
      </c>
      <c r="AE468" s="65">
        <f>IF(VLOOKUP($D468,$C$5:$AU$836,3,)=0,0,(VLOOKUP($D468,$C$5:$AU$836,29,)/VLOOKUP($D468,$C$5:$AU$836,3,))*$E468)</f>
        <v>0</v>
      </c>
      <c r="AF468" s="65">
        <f>IF(VLOOKUP($D468,$C$5:$AU$836,3,)=0,0,(VLOOKUP($D468,$C$5:$AU$836,30,)/VLOOKUP($D468,$C$5:$AU$836,3,))*$E468)</f>
        <v>0</v>
      </c>
      <c r="AG468" s="16">
        <f t="shared" si="293"/>
        <v>-700709.94000000018</v>
      </c>
      <c r="AH468" s="14" t="str">
        <f t="shared" si="294"/>
        <v>ok</v>
      </c>
    </row>
    <row r="469" spans="1:34" x14ac:dyDescent="0.25">
      <c r="A469" s="220" t="s">
        <v>1030</v>
      </c>
      <c r="D469" s="9"/>
      <c r="E469" s="65">
        <v>111381</v>
      </c>
      <c r="F469" s="65"/>
      <c r="G469" s="65"/>
      <c r="H469" s="65"/>
      <c r="I469" s="65"/>
      <c r="J469" s="65"/>
      <c r="K469" s="65"/>
      <c r="L469" s="65">
        <v>93861</v>
      </c>
      <c r="M469" s="65">
        <v>17520</v>
      </c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16">
        <f t="shared" si="293"/>
        <v>111381</v>
      </c>
      <c r="AH469" s="14" t="str">
        <f t="shared" si="294"/>
        <v>ok</v>
      </c>
    </row>
    <row r="470" spans="1:34" x14ac:dyDescent="0.25">
      <c r="A470" s="12" t="s">
        <v>1027</v>
      </c>
      <c r="E470" s="65">
        <v>-43200</v>
      </c>
      <c r="F470" s="65"/>
      <c r="G470" s="65"/>
      <c r="H470" s="65"/>
      <c r="I470" s="65"/>
      <c r="J470" s="65"/>
      <c r="K470" s="65"/>
      <c r="L470" s="65">
        <v>-43200</v>
      </c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16">
        <f t="shared" si="293"/>
        <v>-43200</v>
      </c>
      <c r="AH470" s="14" t="str">
        <f t="shared" si="294"/>
        <v>ok</v>
      </c>
    </row>
    <row r="471" spans="1:34" x14ac:dyDescent="0.25">
      <c r="A471" s="2" t="s">
        <v>723</v>
      </c>
      <c r="C471" s="2" t="s">
        <v>724</v>
      </c>
      <c r="D471" s="9" t="s">
        <v>972</v>
      </c>
      <c r="E471" s="66">
        <v>745225.23</v>
      </c>
      <c r="F471" s="65">
        <f>IF(VLOOKUP($D471,$C$5:$AU$836,3,)=0,0,(VLOOKUP($D471,$C$5:$AU$836,4,)/VLOOKUP($D471,$C$5:$AU$836,3,))*$E471)</f>
        <v>663867.64</v>
      </c>
      <c r="G471" s="65">
        <f>IF(VLOOKUP($D471,$C$5:$AU$836,3,)=0,0,(VLOOKUP($D471,$C$5:$AU$836,5,)/VLOOKUP($D471,$C$5:$AU$836,3,))*$E471)</f>
        <v>36493.459999999992</v>
      </c>
      <c r="H471" s="65">
        <f>IF(VLOOKUP($D471,$C$5:$AU$836,3,)=0,0,(VLOOKUP($D471,$C$5:$AU$836,6,)/VLOOKUP($D471,$C$5:$AU$836,3,))*$E471)</f>
        <v>23848.669999999995</v>
      </c>
      <c r="I471" s="65">
        <f>IF(VLOOKUP($D471,$C$5:$AU$836,3,)=0,0,(VLOOKUP($D471,$C$5:$AU$836,7,)/VLOOKUP($D471,$C$5:$AU$836,3,))*$E471)</f>
        <v>5649.0499999999993</v>
      </c>
      <c r="J471" s="65">
        <f>IF(VLOOKUP($D471,$C$5:$AU$836,3,)=0,0,(VLOOKUP($D471,$C$5:$AU$836,8,)/VLOOKUP($D471,$C$5:$AU$836,3,))*$E471)</f>
        <v>659.09</v>
      </c>
      <c r="K471" s="65">
        <f>IF(VLOOKUP($D471,$C$5:$AU$836,3,)=0,0,(VLOOKUP($D471,$C$5:$AU$836,9,)/VLOOKUP($D471,$C$5:$AU$836,3,))*$E471)</f>
        <v>0</v>
      </c>
      <c r="L471" s="65">
        <f>IF(VLOOKUP($D471,$C$5:$AU$836,3,)=0,0,(VLOOKUP($D471,$C$5:$AU$836,10,)/VLOOKUP($D471,$C$5:$AU$836,3,))*$E471)</f>
        <v>11010.63</v>
      </c>
      <c r="M471" s="65">
        <f>IF(VLOOKUP($D471,$C$5:$AU$836,3,)=0,0,(VLOOKUP($D471,$C$5:$AU$836,11,)/VLOOKUP($D471,$C$5:$AU$836,3,))*$E471)</f>
        <v>3617.21</v>
      </c>
      <c r="N471" s="65">
        <f>IF(VLOOKUP($D471,$C$5:$AU$836,3,)=0,0,(VLOOKUP($D471,$C$5:$AU$836,12,)/VLOOKUP($D471,$C$5:$AU$836,3,))*$E471)</f>
        <v>79.480000000000018</v>
      </c>
      <c r="O471" s="65">
        <f>IF(VLOOKUP($D471,$C$5:$AU$836,3,)=0,0,(VLOOKUP($D471,$C$5:$AU$836,13,)/VLOOKUP($D471,$C$5:$AU$836,3,))*$E471)</f>
        <v>0</v>
      </c>
      <c r="P471" s="65">
        <f>IF(VLOOKUP($D471,$C$5:$AU$836,3,)=0,0,(VLOOKUP($D471,$C$5:$AU$836,14,)/VLOOKUP($D471,$C$5:$AU$836,3,))*$E471)</f>
        <v>0</v>
      </c>
      <c r="Q471" s="65">
        <f>IF(VLOOKUP($D471,$C$5:$AU$836,3,)=0,0,(VLOOKUP($D471,$C$5:$AU$836,15,)/VLOOKUP($D471,$C$5:$AU$836,3,))*$E471)</f>
        <v>0</v>
      </c>
      <c r="R471" s="65">
        <f>IF(VLOOKUP($D471,$C$5:$AU$836,3,)=0,0,(VLOOKUP($D471,$C$5:$AU$836,16,)/VLOOKUP($D471,$C$5:$AU$836,3,))*$E471)</f>
        <v>0</v>
      </c>
      <c r="S471" s="65">
        <f>IF(VLOOKUP($D471,$C$5:$AU$836,3,)=0,0,(VLOOKUP($D471,$C$5:$AU$836,17,)/VLOOKUP($D471,$C$5:$AU$836,3,))*$E471)</f>
        <v>0</v>
      </c>
      <c r="T471" s="65">
        <f>IF(VLOOKUP($D471,$C$5:$AU$836,3,)=0,0,(VLOOKUP($D471,$C$5:$AU$836,18,)/VLOOKUP($D471,$C$5:$AU$836,3,))*$E471)</f>
        <v>0</v>
      </c>
      <c r="U471" s="65">
        <f>IF(VLOOKUP($D471,$C$5:$AU$836,3,)=0,0,(VLOOKUP($D471,$C$5:$AU$836,19,)/VLOOKUP($D471,$C$5:$AU$836,3,))*$E471)</f>
        <v>0</v>
      </c>
      <c r="V471" s="65">
        <f>IF(VLOOKUP($D471,$C$5:$AU$836,3,)=0,0,(VLOOKUP($D471,$C$5:$AU$836,20,)/VLOOKUP($D471,$C$5:$AU$836,3,))*$E471)</f>
        <v>0</v>
      </c>
      <c r="W471" s="65">
        <f>IF(VLOOKUP($D471,$C$5:$AU$836,3,)=0,0,(VLOOKUP($D471,$C$5:$AU$836,21,)/VLOOKUP($D471,$C$5:$AU$836,3,))*$E471)</f>
        <v>0</v>
      </c>
      <c r="X471" s="65">
        <f>IF(VLOOKUP($D471,$C$5:$AU$836,3,)=0,0,(VLOOKUP($D471,$C$5:$AU$836,22,)/VLOOKUP($D471,$C$5:$AU$836,3,))*$E471)</f>
        <v>0</v>
      </c>
      <c r="Y471" s="65">
        <f>IF(VLOOKUP($D471,$C$5:$AU$836,3,)=0,0,(VLOOKUP($D471,$C$5:$AU$836,23,)/VLOOKUP($D471,$C$5:$AU$836,3,))*$E471)</f>
        <v>0</v>
      </c>
      <c r="Z471" s="65">
        <f>IF(VLOOKUP($D471,$C$5:$AU$836,3,)=0,0,(VLOOKUP($D471,$C$5:$AU$836,24,)/VLOOKUP($D471,$C$5:$AU$836,3,))*$E471)</f>
        <v>0</v>
      </c>
      <c r="AA471" s="65">
        <f>IF(VLOOKUP($D471,$C$5:$AU$836,3,)=0,0,(VLOOKUP($D471,$C$5:$AU$836,25,)/VLOOKUP($D471,$C$5:$AU$836,3,))*$E471)</f>
        <v>0</v>
      </c>
      <c r="AB471" s="65">
        <f>IF(VLOOKUP($D471,$C$5:$AU$836,3,)=0,0,(VLOOKUP($D471,$C$5:$AU$836,26,)/VLOOKUP($D471,$C$5:$AU$836,3,))*$E471)</f>
        <v>0</v>
      </c>
      <c r="AC471" s="65">
        <f>IF(VLOOKUP($D471,$C$5:$AU$836,3,)=0,0,(VLOOKUP($D471,$C$5:$AU$836,27,)/VLOOKUP($D471,$C$5:$AU$836,3,))*$E471)</f>
        <v>0</v>
      </c>
      <c r="AD471" s="65">
        <f>IF(VLOOKUP($D471,$C$5:$AU$836,3,)=0,0,(VLOOKUP($D471,$C$5:$AU$836,28,)/VLOOKUP($D471,$C$5:$AU$836,3,))*$E471)</f>
        <v>0</v>
      </c>
      <c r="AE471" s="65">
        <f>IF(VLOOKUP($D471,$C$5:$AU$836,3,)=0,0,(VLOOKUP($D471,$C$5:$AU$836,29,)/VLOOKUP($D471,$C$5:$AU$836,3,))*$E471)</f>
        <v>0</v>
      </c>
      <c r="AF471" s="65">
        <f>IF(VLOOKUP($D471,$C$5:$AU$836,3,)=0,0,(VLOOKUP($D471,$C$5:$AU$836,30,)/VLOOKUP($D471,$C$5:$AU$836,3,))*$E471)</f>
        <v>0</v>
      </c>
      <c r="AG471" s="16">
        <f t="shared" si="293"/>
        <v>745225.23</v>
      </c>
      <c r="AH471" s="14" t="str">
        <f t="shared" si="294"/>
        <v>ok</v>
      </c>
    </row>
    <row r="472" spans="1:34" x14ac:dyDescent="0.25">
      <c r="A472" s="2" t="s">
        <v>728</v>
      </c>
      <c r="C472" s="2" t="s">
        <v>725</v>
      </c>
      <c r="D472" s="2" t="s">
        <v>256</v>
      </c>
      <c r="E472" s="66">
        <v>81213</v>
      </c>
      <c r="F472" s="65">
        <f>IF(VLOOKUP($D472,$C$5:$AU$836,3,)=0,0,(VLOOKUP($D472,$C$5:$AU$836,4,)/VLOOKUP($D472,$C$5:$AU$836,3,))*$E472)</f>
        <v>57781.600844217181</v>
      </c>
      <c r="G472" s="65">
        <f>IF(VLOOKUP($D472,$C$5:$AU$836,3,)=0,0,(VLOOKUP($D472,$C$5:$AU$836,5,)/VLOOKUP($D472,$C$5:$AU$836,3,))*$E472)</f>
        <v>6419.7609563825317</v>
      </c>
      <c r="H472" s="65">
        <f>IF(VLOOKUP($D472,$C$5:$AU$836,3,)=0,0,(VLOOKUP($D472,$C$5:$AU$836,6,)/VLOOKUP($D472,$C$5:$AU$836,3,))*$E472)</f>
        <v>7435.2644216041217</v>
      </c>
      <c r="I472" s="65">
        <f>IF(VLOOKUP($D472,$C$5:$AU$836,3,)=0,0,(VLOOKUP($D472,$C$5:$AU$836,7,)/VLOOKUP($D472,$C$5:$AU$836,3,))*$E472)</f>
        <v>1125.1741177339213</v>
      </c>
      <c r="J472" s="65">
        <f>IF(VLOOKUP($D472,$C$5:$AU$836,3,)=0,0,(VLOOKUP($D472,$C$5:$AU$836,8,)/VLOOKUP($D472,$C$5:$AU$836,3,))*$E472)</f>
        <v>750.83053911259401</v>
      </c>
      <c r="K472" s="65">
        <f>IF(VLOOKUP($D472,$C$5:$AU$836,3,)=0,0,(VLOOKUP($D472,$C$5:$AU$836,9,)/VLOOKUP($D472,$C$5:$AU$836,3,))*$E472)</f>
        <v>7.4348292766806754</v>
      </c>
      <c r="L472" s="65">
        <f>IF(VLOOKUP($D472,$C$5:$AU$836,3,)=0,0,(VLOOKUP($D472,$C$5:$AU$836,10,)/VLOOKUP($D472,$C$5:$AU$836,3,))*$E472)</f>
        <v>110.65299247520743</v>
      </c>
      <c r="M472" s="65">
        <f>IF(VLOOKUP($D472,$C$5:$AU$836,3,)=0,0,(VLOOKUP($D472,$C$5:$AU$836,11,)/VLOOKUP($D472,$C$5:$AU$836,3,))*$E472)</f>
        <v>1683.5920994766168</v>
      </c>
      <c r="N472" s="65">
        <f>IF(VLOOKUP($D472,$C$5:$AU$836,3,)=0,0,(VLOOKUP($D472,$C$5:$AU$836,12,)/VLOOKUP($D472,$C$5:$AU$836,3,))*$E472)</f>
        <v>5898.6891997211342</v>
      </c>
      <c r="O472" s="65">
        <f>IF(VLOOKUP($D472,$C$5:$AU$836,3,)=0,0,(VLOOKUP($D472,$C$5:$AU$836,13,)/VLOOKUP($D472,$C$5:$AU$836,3,))*$E472)</f>
        <v>0</v>
      </c>
      <c r="P472" s="65">
        <f>IF(VLOOKUP($D472,$C$5:$AU$836,3,)=0,0,(VLOOKUP($D472,$C$5:$AU$836,14,)/VLOOKUP($D472,$C$5:$AU$836,3,))*$E472)</f>
        <v>0</v>
      </c>
      <c r="Q472" s="65">
        <f>IF(VLOOKUP($D472,$C$5:$AU$836,3,)=0,0,(VLOOKUP($D472,$C$5:$AU$836,15,)/VLOOKUP($D472,$C$5:$AU$836,3,))*$E472)</f>
        <v>0</v>
      </c>
      <c r="R472" s="65">
        <f>IF(VLOOKUP($D472,$C$5:$AU$836,3,)=0,0,(VLOOKUP($D472,$C$5:$AU$836,16,)/VLOOKUP($D472,$C$5:$AU$836,3,))*$E472)</f>
        <v>0</v>
      </c>
      <c r="S472" s="65">
        <f>IF(VLOOKUP($D472,$C$5:$AU$836,3,)=0,0,(VLOOKUP($D472,$C$5:$AU$836,17,)/VLOOKUP($D472,$C$5:$AU$836,3,))*$E472)</f>
        <v>0</v>
      </c>
      <c r="T472" s="65">
        <f>IF(VLOOKUP($D472,$C$5:$AU$836,3,)=0,0,(VLOOKUP($D472,$C$5:$AU$836,18,)/VLOOKUP($D472,$C$5:$AU$836,3,))*$E472)</f>
        <v>0</v>
      </c>
      <c r="U472" s="65">
        <f>IF(VLOOKUP($D472,$C$5:$AU$836,3,)=0,0,(VLOOKUP($D472,$C$5:$AU$836,19,)/VLOOKUP($D472,$C$5:$AU$836,3,))*$E472)</f>
        <v>0</v>
      </c>
      <c r="V472" s="65">
        <f>IF(VLOOKUP($D472,$C$5:$AU$836,3,)=0,0,(VLOOKUP($D472,$C$5:$AU$836,20,)/VLOOKUP($D472,$C$5:$AU$836,3,))*$E472)</f>
        <v>0</v>
      </c>
      <c r="W472" s="65">
        <f>IF(VLOOKUP($D472,$C$5:$AU$836,3,)=0,0,(VLOOKUP($D472,$C$5:$AU$836,21,)/VLOOKUP($D472,$C$5:$AU$836,3,))*$E472)</f>
        <v>0</v>
      </c>
      <c r="X472" s="65">
        <f>IF(VLOOKUP($D472,$C$5:$AU$836,3,)=0,0,(VLOOKUP($D472,$C$5:$AU$836,22,)/VLOOKUP($D472,$C$5:$AU$836,3,))*$E472)</f>
        <v>0</v>
      </c>
      <c r="Y472" s="65">
        <f>IF(VLOOKUP($D472,$C$5:$AU$836,3,)=0,0,(VLOOKUP($D472,$C$5:$AU$836,23,)/VLOOKUP($D472,$C$5:$AU$836,3,))*$E472)</f>
        <v>0</v>
      </c>
      <c r="Z472" s="65">
        <f>IF(VLOOKUP($D472,$C$5:$AU$836,3,)=0,0,(VLOOKUP($D472,$C$5:$AU$836,24,)/VLOOKUP($D472,$C$5:$AU$836,3,))*$E472)</f>
        <v>0</v>
      </c>
      <c r="AA472" s="65">
        <f>IF(VLOOKUP($D472,$C$5:$AU$836,3,)=0,0,(VLOOKUP($D472,$C$5:$AU$836,25,)/VLOOKUP($D472,$C$5:$AU$836,3,))*$E472)</f>
        <v>0</v>
      </c>
      <c r="AB472" s="65">
        <f>IF(VLOOKUP($D472,$C$5:$AU$836,3,)=0,0,(VLOOKUP($D472,$C$5:$AU$836,26,)/VLOOKUP($D472,$C$5:$AU$836,3,))*$E472)</f>
        <v>0</v>
      </c>
      <c r="AC472" s="65">
        <f>IF(VLOOKUP($D472,$C$5:$AU$836,3,)=0,0,(VLOOKUP($D472,$C$5:$AU$836,27,)/VLOOKUP($D472,$C$5:$AU$836,3,))*$E472)</f>
        <v>0</v>
      </c>
      <c r="AD472" s="65">
        <f>IF(VLOOKUP($D472,$C$5:$AU$836,3,)=0,0,(VLOOKUP($D472,$C$5:$AU$836,28,)/VLOOKUP($D472,$C$5:$AU$836,3,))*$E472)</f>
        <v>0</v>
      </c>
      <c r="AE472" s="65">
        <f>IF(VLOOKUP($D472,$C$5:$AU$836,3,)=0,0,(VLOOKUP($D472,$C$5:$AU$836,29,)/VLOOKUP($D472,$C$5:$AU$836,3,))*$E472)</f>
        <v>0</v>
      </c>
      <c r="AF472" s="65">
        <f>IF(VLOOKUP($D472,$C$5:$AU$836,3,)=0,0,(VLOOKUP($D472,$C$5:$AU$836,30,)/VLOOKUP($D472,$C$5:$AU$836,3,))*$E472)</f>
        <v>0</v>
      </c>
      <c r="AG472" s="16">
        <f t="shared" si="293"/>
        <v>81213</v>
      </c>
      <c r="AH472" s="14" t="str">
        <f t="shared" si="294"/>
        <v>ok</v>
      </c>
    </row>
    <row r="473" spans="1:34" x14ac:dyDescent="0.25">
      <c r="A473" s="2" t="s">
        <v>932</v>
      </c>
      <c r="C473" s="2" t="s">
        <v>726</v>
      </c>
      <c r="D473" s="2" t="s">
        <v>256</v>
      </c>
      <c r="E473" s="66">
        <v>-804224.06</v>
      </c>
      <c r="F473" s="65">
        <f>IF(VLOOKUP($D473,$C$5:$AU$836,3,)=0,0,(VLOOKUP($D473,$C$5:$AU$836,4,)/VLOOKUP($D473,$C$5:$AU$836,3,))*$E473)</f>
        <v>-572191.07315621607</v>
      </c>
      <c r="G473" s="65">
        <f>IF(VLOOKUP($D473,$C$5:$AU$836,3,)=0,0,(VLOOKUP($D473,$C$5:$AU$836,5,)/VLOOKUP($D473,$C$5:$AU$836,3,))*$E473)</f>
        <v>-63572.657340221922</v>
      </c>
      <c r="H473" s="65">
        <f>IF(VLOOKUP($D473,$C$5:$AU$836,3,)=0,0,(VLOOKUP($D473,$C$5:$AU$836,6,)/VLOOKUP($D473,$C$5:$AU$836,3,))*$E473)</f>
        <v>-73628.834550084575</v>
      </c>
      <c r="I473" s="65">
        <f>IF(VLOOKUP($D473,$C$5:$AU$836,3,)=0,0,(VLOOKUP($D473,$C$5:$AU$836,7,)/VLOOKUP($D473,$C$5:$AU$836,3,))*$E473)</f>
        <v>-11142.207493515722</v>
      </c>
      <c r="J473" s="65">
        <f>IF(VLOOKUP($D473,$C$5:$AU$836,3,)=0,0,(VLOOKUP($D473,$C$5:$AU$836,8,)/VLOOKUP($D473,$C$5:$AU$836,3,))*$E473)</f>
        <v>-7435.2133837823894</v>
      </c>
      <c r="K473" s="65">
        <f>IF(VLOOKUP($D473,$C$5:$AU$836,3,)=0,0,(VLOOKUP($D473,$C$5:$AU$836,9,)/VLOOKUP($D473,$C$5:$AU$836,3,))*$E473)</f>
        <v>-73.624525461428547</v>
      </c>
      <c r="L473" s="65">
        <f>IF(VLOOKUP($D473,$C$5:$AU$836,3,)=0,0,(VLOOKUP($D473,$C$5:$AU$836,10,)/VLOOKUP($D473,$C$5:$AU$836,3,))*$E473)</f>
        <v>-1095.7580542469896</v>
      </c>
      <c r="M473" s="65">
        <f>IF(VLOOKUP($D473,$C$5:$AU$836,3,)=0,0,(VLOOKUP($D473,$C$5:$AU$836,11,)/VLOOKUP($D473,$C$5:$AU$836,3,))*$E473)</f>
        <v>-16672.026321217152</v>
      </c>
      <c r="N473" s="65">
        <f>IF(VLOOKUP($D473,$C$5:$AU$836,3,)=0,0,(VLOOKUP($D473,$C$5:$AU$836,12,)/VLOOKUP($D473,$C$5:$AU$836,3,))*$E473)</f>
        <v>-58412.665175253736</v>
      </c>
      <c r="O473" s="65">
        <f>IF(VLOOKUP($D473,$C$5:$AU$836,3,)=0,0,(VLOOKUP($D473,$C$5:$AU$836,13,)/VLOOKUP($D473,$C$5:$AU$836,3,))*$E473)</f>
        <v>0</v>
      </c>
      <c r="P473" s="65">
        <f>IF(VLOOKUP($D473,$C$5:$AU$836,3,)=0,0,(VLOOKUP($D473,$C$5:$AU$836,14,)/VLOOKUP($D473,$C$5:$AU$836,3,))*$E473)</f>
        <v>0</v>
      </c>
      <c r="Q473" s="65">
        <f>IF(VLOOKUP($D473,$C$5:$AU$836,3,)=0,0,(VLOOKUP($D473,$C$5:$AU$836,15,)/VLOOKUP($D473,$C$5:$AU$836,3,))*$E473)</f>
        <v>0</v>
      </c>
      <c r="R473" s="65">
        <f>IF(VLOOKUP($D473,$C$5:$AU$836,3,)=0,0,(VLOOKUP($D473,$C$5:$AU$836,16,)/VLOOKUP($D473,$C$5:$AU$836,3,))*$E473)</f>
        <v>0</v>
      </c>
      <c r="S473" s="65">
        <f>IF(VLOOKUP($D473,$C$5:$AU$836,3,)=0,0,(VLOOKUP($D473,$C$5:$AU$836,17,)/VLOOKUP($D473,$C$5:$AU$836,3,))*$E473)</f>
        <v>0</v>
      </c>
      <c r="T473" s="65">
        <f>IF(VLOOKUP($D473,$C$5:$AU$836,3,)=0,0,(VLOOKUP($D473,$C$5:$AU$836,18,)/VLOOKUP($D473,$C$5:$AU$836,3,))*$E473)</f>
        <v>0</v>
      </c>
      <c r="U473" s="65">
        <f>IF(VLOOKUP($D473,$C$5:$AU$836,3,)=0,0,(VLOOKUP($D473,$C$5:$AU$836,19,)/VLOOKUP($D473,$C$5:$AU$836,3,))*$E473)</f>
        <v>0</v>
      </c>
      <c r="V473" s="65">
        <f>IF(VLOOKUP($D473,$C$5:$AU$836,3,)=0,0,(VLOOKUP($D473,$C$5:$AU$836,20,)/VLOOKUP($D473,$C$5:$AU$836,3,))*$E473)</f>
        <v>0</v>
      </c>
      <c r="W473" s="65">
        <f>IF(VLOOKUP($D473,$C$5:$AU$836,3,)=0,0,(VLOOKUP($D473,$C$5:$AU$836,21,)/VLOOKUP($D473,$C$5:$AU$836,3,))*$E473)</f>
        <v>0</v>
      </c>
      <c r="X473" s="65">
        <f>IF(VLOOKUP($D473,$C$5:$AU$836,3,)=0,0,(VLOOKUP($D473,$C$5:$AU$836,22,)/VLOOKUP($D473,$C$5:$AU$836,3,))*$E473)</f>
        <v>0</v>
      </c>
      <c r="Y473" s="65">
        <f>IF(VLOOKUP($D473,$C$5:$AU$836,3,)=0,0,(VLOOKUP($D473,$C$5:$AU$836,23,)/VLOOKUP($D473,$C$5:$AU$836,3,))*$E473)</f>
        <v>0</v>
      </c>
      <c r="Z473" s="65">
        <f>IF(VLOOKUP($D473,$C$5:$AU$836,3,)=0,0,(VLOOKUP($D473,$C$5:$AU$836,24,)/VLOOKUP($D473,$C$5:$AU$836,3,))*$E473)</f>
        <v>0</v>
      </c>
      <c r="AA473" s="65">
        <f>IF(VLOOKUP($D473,$C$5:$AU$836,3,)=0,0,(VLOOKUP($D473,$C$5:$AU$836,25,)/VLOOKUP($D473,$C$5:$AU$836,3,))*$E473)</f>
        <v>0</v>
      </c>
      <c r="AB473" s="65">
        <f>IF(VLOOKUP($D473,$C$5:$AU$836,3,)=0,0,(VLOOKUP($D473,$C$5:$AU$836,26,)/VLOOKUP($D473,$C$5:$AU$836,3,))*$E473)</f>
        <v>0</v>
      </c>
      <c r="AC473" s="65">
        <f>IF(VLOOKUP($D473,$C$5:$AU$836,3,)=0,0,(VLOOKUP($D473,$C$5:$AU$836,27,)/VLOOKUP($D473,$C$5:$AU$836,3,))*$E473)</f>
        <v>0</v>
      </c>
      <c r="AD473" s="65">
        <f>IF(VLOOKUP($D473,$C$5:$AU$836,3,)=0,0,(VLOOKUP($D473,$C$5:$AU$836,28,)/VLOOKUP($D473,$C$5:$AU$836,3,))*$E473)</f>
        <v>0</v>
      </c>
      <c r="AE473" s="65">
        <f>IF(VLOOKUP($D473,$C$5:$AU$836,3,)=0,0,(VLOOKUP($D473,$C$5:$AU$836,29,)/VLOOKUP($D473,$C$5:$AU$836,3,))*$E473)</f>
        <v>0</v>
      </c>
      <c r="AF473" s="65">
        <f>IF(VLOOKUP($D473,$C$5:$AU$836,3,)=0,0,(VLOOKUP($D473,$C$5:$AU$836,30,)/VLOOKUP($D473,$C$5:$AU$836,3,))*$E473)</f>
        <v>0</v>
      </c>
      <c r="AG473" s="16">
        <f t="shared" si="293"/>
        <v>-804224.06</v>
      </c>
      <c r="AH473" s="14" t="str">
        <f t="shared" si="294"/>
        <v>ok</v>
      </c>
    </row>
    <row r="474" spans="1:34" x14ac:dyDescent="0.25">
      <c r="A474" s="2" t="s">
        <v>933</v>
      </c>
      <c r="C474" s="2" t="s">
        <v>727</v>
      </c>
      <c r="D474" s="2" t="s">
        <v>256</v>
      </c>
      <c r="E474" s="66">
        <v>1885242.03</v>
      </c>
      <c r="F474" s="65">
        <f>IF(VLOOKUP($D474,$C$5:$AU$836,3,)=0,0,(VLOOKUP($D474,$C$5:$AU$836,4,)/VLOOKUP($D474,$C$5:$AU$836,3,))*$E474)</f>
        <v>1341316.0759016625</v>
      </c>
      <c r="G474" s="65">
        <f>IF(VLOOKUP($D474,$C$5:$AU$836,3,)=0,0,(VLOOKUP($D474,$C$5:$AU$836,5,)/VLOOKUP($D474,$C$5:$AU$836,3,))*$E474)</f>
        <v>149025.44146288582</v>
      </c>
      <c r="H474" s="65">
        <f>IF(VLOOKUP($D474,$C$5:$AU$836,3,)=0,0,(VLOOKUP($D474,$C$5:$AU$836,6,)/VLOOKUP($D474,$C$5:$AU$836,3,))*$E474)</f>
        <v>172598.88185107964</v>
      </c>
      <c r="I474" s="65">
        <f>IF(VLOOKUP($D474,$C$5:$AU$836,3,)=0,0,(VLOOKUP($D474,$C$5:$AU$836,7,)/VLOOKUP($D474,$C$5:$AU$836,3,))*$E474)</f>
        <v>26119.285555516442</v>
      </c>
      <c r="J474" s="65">
        <f>IF(VLOOKUP($D474,$C$5:$AU$836,3,)=0,0,(VLOOKUP($D474,$C$5:$AU$836,8,)/VLOOKUP($D474,$C$5:$AU$836,3,))*$E474)</f>
        <v>17429.442204359169</v>
      </c>
      <c r="K474" s="65">
        <f>IF(VLOOKUP($D474,$C$5:$AU$836,3,)=0,0,(VLOOKUP($D474,$C$5:$AU$836,9,)/VLOOKUP($D474,$C$5:$AU$836,3,))*$E474)</f>
        <v>172.58878059267494</v>
      </c>
      <c r="L474" s="65">
        <f>IF(VLOOKUP($D474,$C$5:$AU$836,3,)=0,0,(VLOOKUP($D474,$C$5:$AU$836,10,)/VLOOKUP($D474,$C$5:$AU$836,3,))*$E474)</f>
        <v>2568.648765093455</v>
      </c>
      <c r="M474" s="65">
        <f>IF(VLOOKUP($D474,$C$5:$AU$836,3,)=0,0,(VLOOKUP($D474,$C$5:$AU$836,11,)/VLOOKUP($D474,$C$5:$AU$836,3,))*$E474)</f>
        <v>39082.149253312389</v>
      </c>
      <c r="N474" s="65">
        <f>IF(VLOOKUP($D474,$C$5:$AU$836,3,)=0,0,(VLOOKUP($D474,$C$5:$AU$836,12,)/VLOOKUP($D474,$C$5:$AU$836,3,))*$E474)</f>
        <v>136929.51622549773</v>
      </c>
      <c r="O474" s="65">
        <f>IF(VLOOKUP($D474,$C$5:$AU$836,3,)=0,0,(VLOOKUP($D474,$C$5:$AU$836,13,)/VLOOKUP($D474,$C$5:$AU$836,3,))*$E474)</f>
        <v>0</v>
      </c>
      <c r="P474" s="65">
        <f>IF(VLOOKUP($D474,$C$5:$AU$836,3,)=0,0,(VLOOKUP($D474,$C$5:$AU$836,14,)/VLOOKUP($D474,$C$5:$AU$836,3,))*$E474)</f>
        <v>0</v>
      </c>
      <c r="Q474" s="65">
        <f>IF(VLOOKUP($D474,$C$5:$AU$836,3,)=0,0,(VLOOKUP($D474,$C$5:$AU$836,15,)/VLOOKUP($D474,$C$5:$AU$836,3,))*$E474)</f>
        <v>0</v>
      </c>
      <c r="R474" s="65">
        <f>IF(VLOOKUP($D474,$C$5:$AU$836,3,)=0,0,(VLOOKUP($D474,$C$5:$AU$836,16,)/VLOOKUP($D474,$C$5:$AU$836,3,))*$E474)</f>
        <v>0</v>
      </c>
      <c r="S474" s="65">
        <f>IF(VLOOKUP($D474,$C$5:$AU$836,3,)=0,0,(VLOOKUP($D474,$C$5:$AU$836,17,)/VLOOKUP($D474,$C$5:$AU$836,3,))*$E474)</f>
        <v>0</v>
      </c>
      <c r="T474" s="65">
        <f>IF(VLOOKUP($D474,$C$5:$AU$836,3,)=0,0,(VLOOKUP($D474,$C$5:$AU$836,18,)/VLOOKUP($D474,$C$5:$AU$836,3,))*$E474)</f>
        <v>0</v>
      </c>
      <c r="U474" s="65">
        <f>IF(VLOOKUP($D474,$C$5:$AU$836,3,)=0,0,(VLOOKUP($D474,$C$5:$AU$836,19,)/VLOOKUP($D474,$C$5:$AU$836,3,))*$E474)</f>
        <v>0</v>
      </c>
      <c r="V474" s="65">
        <f>IF(VLOOKUP($D474,$C$5:$AU$836,3,)=0,0,(VLOOKUP($D474,$C$5:$AU$836,20,)/VLOOKUP($D474,$C$5:$AU$836,3,))*$E474)</f>
        <v>0</v>
      </c>
      <c r="W474" s="65">
        <f>IF(VLOOKUP($D474,$C$5:$AU$836,3,)=0,0,(VLOOKUP($D474,$C$5:$AU$836,21,)/VLOOKUP($D474,$C$5:$AU$836,3,))*$E474)</f>
        <v>0</v>
      </c>
      <c r="X474" s="65">
        <f>IF(VLOOKUP($D474,$C$5:$AU$836,3,)=0,0,(VLOOKUP($D474,$C$5:$AU$836,22,)/VLOOKUP($D474,$C$5:$AU$836,3,))*$E474)</f>
        <v>0</v>
      </c>
      <c r="Y474" s="65">
        <f>IF(VLOOKUP($D474,$C$5:$AU$836,3,)=0,0,(VLOOKUP($D474,$C$5:$AU$836,23,)/VLOOKUP($D474,$C$5:$AU$836,3,))*$E474)</f>
        <v>0</v>
      </c>
      <c r="Z474" s="65">
        <f>IF(VLOOKUP($D474,$C$5:$AU$836,3,)=0,0,(VLOOKUP($D474,$C$5:$AU$836,24,)/VLOOKUP($D474,$C$5:$AU$836,3,))*$E474)</f>
        <v>0</v>
      </c>
      <c r="AA474" s="65">
        <f>IF(VLOOKUP($D474,$C$5:$AU$836,3,)=0,0,(VLOOKUP($D474,$C$5:$AU$836,25,)/VLOOKUP($D474,$C$5:$AU$836,3,))*$E474)</f>
        <v>0</v>
      </c>
      <c r="AB474" s="65">
        <f>IF(VLOOKUP($D474,$C$5:$AU$836,3,)=0,0,(VLOOKUP($D474,$C$5:$AU$836,26,)/VLOOKUP($D474,$C$5:$AU$836,3,))*$E474)</f>
        <v>0</v>
      </c>
      <c r="AC474" s="65">
        <f>IF(VLOOKUP($D474,$C$5:$AU$836,3,)=0,0,(VLOOKUP($D474,$C$5:$AU$836,27,)/VLOOKUP($D474,$C$5:$AU$836,3,))*$E474)</f>
        <v>0</v>
      </c>
      <c r="AD474" s="65">
        <f>IF(VLOOKUP($D474,$C$5:$AU$836,3,)=0,0,(VLOOKUP($D474,$C$5:$AU$836,28,)/VLOOKUP($D474,$C$5:$AU$836,3,))*$E474)</f>
        <v>0</v>
      </c>
      <c r="AE474" s="65">
        <f>IF(VLOOKUP($D474,$C$5:$AU$836,3,)=0,0,(VLOOKUP($D474,$C$5:$AU$836,29,)/VLOOKUP($D474,$C$5:$AU$836,3,))*$E474)</f>
        <v>0</v>
      </c>
      <c r="AF474" s="65">
        <f>IF(VLOOKUP($D474,$C$5:$AU$836,3,)=0,0,(VLOOKUP($D474,$C$5:$AU$836,30,)/VLOOKUP($D474,$C$5:$AU$836,3,))*$E474)</f>
        <v>0</v>
      </c>
      <c r="AG474" s="16">
        <f t="shared" si="293"/>
        <v>1885242.0299999998</v>
      </c>
      <c r="AH474" s="14" t="str">
        <f t="shared" si="294"/>
        <v>ok</v>
      </c>
    </row>
    <row r="475" spans="1:34" x14ac:dyDescent="0.25">
      <c r="E475" s="20"/>
      <c r="AG475" s="16"/>
    </row>
    <row r="476" spans="1:34" x14ac:dyDescent="0.25">
      <c r="A476" s="2" t="s">
        <v>304</v>
      </c>
      <c r="C476" s="2" t="s">
        <v>305</v>
      </c>
      <c r="E476" s="16">
        <f t="shared" ref="E476:AF476" si="295">SUM(E465:E475)</f>
        <v>109771296.12757999</v>
      </c>
      <c r="F476" s="16">
        <f t="shared" si="295"/>
        <v>71692092.429403126</v>
      </c>
      <c r="G476" s="16">
        <f t="shared" si="295"/>
        <v>7586876.7459903248</v>
      </c>
      <c r="H476" s="16">
        <f t="shared" si="295"/>
        <v>14868998.997713521</v>
      </c>
      <c r="I476" s="16">
        <f t="shared" si="295"/>
        <v>1440311.661663828</v>
      </c>
      <c r="J476" s="16">
        <f t="shared" si="295"/>
        <v>803349.16285789839</v>
      </c>
      <c r="K476" s="16">
        <f t="shared" si="295"/>
        <v>738816.96070624597</v>
      </c>
      <c r="L476" s="16">
        <f t="shared" si="295"/>
        <v>4968522.185190131</v>
      </c>
      <c r="M476" s="16">
        <f t="shared" si="295"/>
        <v>3953165.5516434796</v>
      </c>
      <c r="N476" s="16">
        <f t="shared" si="295"/>
        <v>3719162.4324114169</v>
      </c>
      <c r="O476" s="16">
        <f t="shared" si="295"/>
        <v>0</v>
      </c>
      <c r="P476" s="16">
        <f t="shared" si="295"/>
        <v>0</v>
      </c>
      <c r="Q476" s="16">
        <f t="shared" si="295"/>
        <v>0</v>
      </c>
      <c r="R476" s="16">
        <f t="shared" si="295"/>
        <v>0</v>
      </c>
      <c r="S476" s="16">
        <f t="shared" si="295"/>
        <v>0</v>
      </c>
      <c r="T476" s="16">
        <f t="shared" si="295"/>
        <v>0</v>
      </c>
      <c r="U476" s="16">
        <f t="shared" si="295"/>
        <v>0</v>
      </c>
      <c r="V476" s="16">
        <f t="shared" si="295"/>
        <v>0</v>
      </c>
      <c r="W476" s="16">
        <f t="shared" si="295"/>
        <v>0</v>
      </c>
      <c r="X476" s="16">
        <f t="shared" si="295"/>
        <v>0</v>
      </c>
      <c r="Y476" s="16">
        <f t="shared" si="295"/>
        <v>0</v>
      </c>
      <c r="Z476" s="16">
        <f t="shared" si="295"/>
        <v>0</v>
      </c>
      <c r="AA476" s="16">
        <f t="shared" si="295"/>
        <v>0</v>
      </c>
      <c r="AB476" s="16">
        <f t="shared" si="295"/>
        <v>0</v>
      </c>
      <c r="AC476" s="16">
        <f t="shared" si="295"/>
        <v>0</v>
      </c>
      <c r="AD476" s="16">
        <f t="shared" si="295"/>
        <v>0</v>
      </c>
      <c r="AE476" s="16">
        <f t="shared" si="295"/>
        <v>0</v>
      </c>
      <c r="AF476" s="16">
        <f t="shared" si="295"/>
        <v>0</v>
      </c>
      <c r="AG476" s="16">
        <f>SUM(F476:AF476)</f>
        <v>109771296.12757997</v>
      </c>
      <c r="AH476" s="14" t="str">
        <f>IF(ABS(E476-AG476)&lt;0.01,"ok","err")</f>
        <v>ok</v>
      </c>
    </row>
    <row r="477" spans="1:34" x14ac:dyDescent="0.25">
      <c r="E477" s="16"/>
    </row>
    <row r="478" spans="1:34" x14ac:dyDescent="0.25">
      <c r="A478" s="8" t="s">
        <v>306</v>
      </c>
    </row>
    <row r="479" spans="1:34" x14ac:dyDescent="0.25">
      <c r="A479" s="12" t="s">
        <v>307</v>
      </c>
      <c r="E479" s="16">
        <f t="shared" ref="E479:AF479" si="296">E231</f>
        <v>95613399.370000005</v>
      </c>
      <c r="F479" s="16">
        <f t="shared" si="296"/>
        <v>65671756.901883438</v>
      </c>
      <c r="G479" s="16">
        <f t="shared" si="296"/>
        <v>5640934.4421680849</v>
      </c>
      <c r="H479" s="16">
        <f t="shared" si="296"/>
        <v>12140688.644745143</v>
      </c>
      <c r="I479" s="16">
        <f t="shared" si="296"/>
        <v>1008280.9538661551</v>
      </c>
      <c r="J479" s="16">
        <f t="shared" si="296"/>
        <v>784856.43493063236</v>
      </c>
      <c r="K479" s="16">
        <f t="shared" si="296"/>
        <v>610997.02753062057</v>
      </c>
      <c r="L479" s="16">
        <f t="shared" si="296"/>
        <v>4326273.4099039435</v>
      </c>
      <c r="M479" s="16">
        <f t="shared" si="296"/>
        <v>3838419.1259426433</v>
      </c>
      <c r="N479" s="16">
        <f t="shared" si="296"/>
        <v>1591192.4290293374</v>
      </c>
      <c r="O479" s="16">
        <f t="shared" si="296"/>
        <v>0</v>
      </c>
      <c r="P479" s="16">
        <f t="shared" si="296"/>
        <v>0</v>
      </c>
      <c r="Q479" s="16">
        <f t="shared" si="296"/>
        <v>0</v>
      </c>
      <c r="R479" s="16">
        <f t="shared" si="296"/>
        <v>0</v>
      </c>
      <c r="S479" s="16">
        <f t="shared" si="296"/>
        <v>0</v>
      </c>
      <c r="T479" s="16">
        <f t="shared" si="296"/>
        <v>0</v>
      </c>
      <c r="U479" s="16">
        <f t="shared" si="296"/>
        <v>0</v>
      </c>
      <c r="V479" s="16">
        <f t="shared" si="296"/>
        <v>0</v>
      </c>
      <c r="W479" s="16">
        <f t="shared" si="296"/>
        <v>0</v>
      </c>
      <c r="X479" s="16">
        <f t="shared" si="296"/>
        <v>0</v>
      </c>
      <c r="Y479" s="16">
        <f t="shared" si="296"/>
        <v>0</v>
      </c>
      <c r="Z479" s="16">
        <f t="shared" si="296"/>
        <v>0</v>
      </c>
      <c r="AA479" s="16">
        <f t="shared" si="296"/>
        <v>0</v>
      </c>
      <c r="AB479" s="16">
        <f t="shared" si="296"/>
        <v>0</v>
      </c>
      <c r="AC479" s="16">
        <f t="shared" si="296"/>
        <v>0</v>
      </c>
      <c r="AD479" s="16">
        <f t="shared" si="296"/>
        <v>0</v>
      </c>
      <c r="AE479" s="16">
        <f t="shared" si="296"/>
        <v>0</v>
      </c>
      <c r="AF479" s="16">
        <f t="shared" si="296"/>
        <v>0</v>
      </c>
      <c r="AG479" s="16">
        <f>SUM(F479:AF479)</f>
        <v>95613399.370000005</v>
      </c>
      <c r="AH479" s="14" t="str">
        <f>IF(ABS(E479-AG479)&lt;0.01,"ok","err")</f>
        <v>ok</v>
      </c>
    </row>
    <row r="480" spans="1:34" x14ac:dyDescent="0.25">
      <c r="A480" s="12" t="s">
        <v>308</v>
      </c>
      <c r="E480" s="31">
        <f t="shared" ref="E480:AF480" si="297">E345</f>
        <v>9078214.3900000025</v>
      </c>
      <c r="F480" s="31">
        <f t="shared" si="297"/>
        <v>6444655.0277245054</v>
      </c>
      <c r="G480" s="31">
        <f t="shared" si="297"/>
        <v>751107.31602726155</v>
      </c>
      <c r="H480" s="31">
        <f t="shared" si="297"/>
        <v>826281.20963004872</v>
      </c>
      <c r="I480" s="31">
        <f t="shared" si="297"/>
        <v>124863.3667568989</v>
      </c>
      <c r="J480" s="31">
        <f t="shared" si="297"/>
        <v>82753.305069648326</v>
      </c>
      <c r="K480" s="31">
        <f t="shared" si="297"/>
        <v>932.55358186718036</v>
      </c>
      <c r="L480" s="31">
        <f t="shared" si="297"/>
        <v>12409.653200719342</v>
      </c>
      <c r="M480" s="31">
        <f t="shared" si="297"/>
        <v>184478.56127433546</v>
      </c>
      <c r="N480" s="31">
        <f t="shared" si="297"/>
        <v>650733.39673471567</v>
      </c>
      <c r="O480" s="31">
        <f t="shared" si="297"/>
        <v>0</v>
      </c>
      <c r="P480" s="31">
        <f t="shared" si="297"/>
        <v>0</v>
      </c>
      <c r="Q480" s="31">
        <f t="shared" si="297"/>
        <v>0</v>
      </c>
      <c r="R480" s="31">
        <f t="shared" si="297"/>
        <v>0</v>
      </c>
      <c r="S480" s="31">
        <f t="shared" si="297"/>
        <v>0</v>
      </c>
      <c r="T480" s="31">
        <f t="shared" si="297"/>
        <v>0</v>
      </c>
      <c r="U480" s="31">
        <f t="shared" si="297"/>
        <v>0</v>
      </c>
      <c r="V480" s="31">
        <f t="shared" si="297"/>
        <v>0</v>
      </c>
      <c r="W480" s="31">
        <f t="shared" si="297"/>
        <v>0</v>
      </c>
      <c r="X480" s="31">
        <f t="shared" si="297"/>
        <v>0</v>
      </c>
      <c r="Y480" s="31">
        <f t="shared" si="297"/>
        <v>0</v>
      </c>
      <c r="Z480" s="31">
        <f t="shared" si="297"/>
        <v>0</v>
      </c>
      <c r="AA480" s="31">
        <f t="shared" si="297"/>
        <v>0</v>
      </c>
      <c r="AB480" s="31">
        <f t="shared" si="297"/>
        <v>0</v>
      </c>
      <c r="AC480" s="31">
        <f t="shared" si="297"/>
        <v>0</v>
      </c>
      <c r="AD480" s="31">
        <f t="shared" si="297"/>
        <v>0</v>
      </c>
      <c r="AE480" s="31">
        <f t="shared" si="297"/>
        <v>0</v>
      </c>
      <c r="AF480" s="31">
        <f t="shared" si="297"/>
        <v>0</v>
      </c>
      <c r="AG480" s="16">
        <f>SUM(F480:AF480)</f>
        <v>9078214.3900000025</v>
      </c>
      <c r="AH480" s="14" t="str">
        <f>IF(ABS(E480-AG480)&lt;0.01,"ok","err")</f>
        <v>ok</v>
      </c>
    </row>
    <row r="481" spans="1:36" x14ac:dyDescent="0.25">
      <c r="A481" s="12" t="s">
        <v>309</v>
      </c>
      <c r="E481" s="31">
        <f>'Functional Assignment'!F442</f>
        <v>167723.58000000002</v>
      </c>
      <c r="F481" s="31">
        <f t="shared" ref="F481:AF481" si="298">F402</f>
        <v>119235.925950227</v>
      </c>
      <c r="G481" s="31">
        <f t="shared" si="298"/>
        <v>13251.37675673947</v>
      </c>
      <c r="H481" s="31">
        <f t="shared" si="298"/>
        <v>15368.439756049082</v>
      </c>
      <c r="I481" s="31">
        <f t="shared" si="298"/>
        <v>2330.0471504535421</v>
      </c>
      <c r="J481" s="31">
        <f t="shared" si="298"/>
        <v>1552.8178155551398</v>
      </c>
      <c r="K481" s="31">
        <f t="shared" si="298"/>
        <v>15.304467784363851</v>
      </c>
      <c r="L481" s="31">
        <f t="shared" si="298"/>
        <v>229.52603162803931</v>
      </c>
      <c r="M481" s="31">
        <f t="shared" si="298"/>
        <v>3476.828809993815</v>
      </c>
      <c r="N481" s="31">
        <f t="shared" si="298"/>
        <v>12263.313261569581</v>
      </c>
      <c r="O481" s="31">
        <f t="shared" si="298"/>
        <v>0</v>
      </c>
      <c r="P481" s="31">
        <f t="shared" si="298"/>
        <v>0</v>
      </c>
      <c r="Q481" s="31">
        <f t="shared" si="298"/>
        <v>0</v>
      </c>
      <c r="R481" s="31">
        <f t="shared" si="298"/>
        <v>0</v>
      </c>
      <c r="S481" s="31">
        <f t="shared" si="298"/>
        <v>0</v>
      </c>
      <c r="T481" s="31">
        <f t="shared" si="298"/>
        <v>0</v>
      </c>
      <c r="U481" s="31">
        <f t="shared" si="298"/>
        <v>0</v>
      </c>
      <c r="V481" s="31">
        <f t="shared" si="298"/>
        <v>0</v>
      </c>
      <c r="W481" s="31">
        <f t="shared" si="298"/>
        <v>0</v>
      </c>
      <c r="X481" s="31">
        <f t="shared" si="298"/>
        <v>0</v>
      </c>
      <c r="Y481" s="31">
        <f t="shared" si="298"/>
        <v>0</v>
      </c>
      <c r="Z481" s="31">
        <f t="shared" si="298"/>
        <v>0</v>
      </c>
      <c r="AA481" s="31">
        <f t="shared" si="298"/>
        <v>0</v>
      </c>
      <c r="AB481" s="31">
        <f t="shared" si="298"/>
        <v>0</v>
      </c>
      <c r="AC481" s="31">
        <f t="shared" si="298"/>
        <v>0</v>
      </c>
      <c r="AD481" s="31">
        <f t="shared" si="298"/>
        <v>0</v>
      </c>
      <c r="AE481" s="31">
        <f t="shared" si="298"/>
        <v>0</v>
      </c>
      <c r="AF481" s="31">
        <f t="shared" si="298"/>
        <v>0</v>
      </c>
      <c r="AG481" s="16">
        <f>SUM(F481:AF481)</f>
        <v>167723.58000000005</v>
      </c>
      <c r="AH481" s="14" t="str">
        <f>IF(ABS(E481-AG481)&lt;0.01,"ok","err")</f>
        <v>ok</v>
      </c>
      <c r="AJ481" s="20"/>
    </row>
    <row r="482" spans="1:36" x14ac:dyDescent="0.25">
      <c r="A482" s="12" t="s">
        <v>310</v>
      </c>
      <c r="E482" s="31">
        <f t="shared" ref="E482:AF482" si="299">E459</f>
        <v>181483.87000000002</v>
      </c>
      <c r="F482" s="31">
        <f t="shared" si="299"/>
        <v>129018.21726247808</v>
      </c>
      <c r="G482" s="31">
        <f t="shared" si="299"/>
        <v>14338.539259900888</v>
      </c>
      <c r="H482" s="31">
        <f t="shared" si="299"/>
        <v>16629.289231661063</v>
      </c>
      <c r="I482" s="31">
        <f t="shared" si="299"/>
        <v>2521.2076569483015</v>
      </c>
      <c r="J482" s="31">
        <f t="shared" si="299"/>
        <v>1680.2132805172232</v>
      </c>
      <c r="K482" s="31">
        <f t="shared" si="299"/>
        <v>16.560068905020252</v>
      </c>
      <c r="L482" s="31">
        <f t="shared" si="299"/>
        <v>248.35668595673292</v>
      </c>
      <c r="M482" s="31">
        <f t="shared" si="299"/>
        <v>3762.0729760548406</v>
      </c>
      <c r="N482" s="31">
        <f t="shared" si="299"/>
        <v>13269.41357757788</v>
      </c>
      <c r="O482" s="31">
        <f t="shared" si="299"/>
        <v>0</v>
      </c>
      <c r="P482" s="31">
        <f t="shared" si="299"/>
        <v>0</v>
      </c>
      <c r="Q482" s="31">
        <f t="shared" si="299"/>
        <v>0</v>
      </c>
      <c r="R482" s="31">
        <f t="shared" si="299"/>
        <v>0</v>
      </c>
      <c r="S482" s="31">
        <f t="shared" si="299"/>
        <v>0</v>
      </c>
      <c r="T482" s="31">
        <f t="shared" si="299"/>
        <v>0</v>
      </c>
      <c r="U482" s="31">
        <f t="shared" si="299"/>
        <v>0</v>
      </c>
      <c r="V482" s="31">
        <f t="shared" si="299"/>
        <v>0</v>
      </c>
      <c r="W482" s="31">
        <f t="shared" si="299"/>
        <v>0</v>
      </c>
      <c r="X482" s="31">
        <f t="shared" si="299"/>
        <v>0</v>
      </c>
      <c r="Y482" s="31">
        <f t="shared" si="299"/>
        <v>0</v>
      </c>
      <c r="Z482" s="31">
        <f t="shared" si="299"/>
        <v>0</v>
      </c>
      <c r="AA482" s="31">
        <f t="shared" si="299"/>
        <v>0</v>
      </c>
      <c r="AB482" s="31">
        <f t="shared" si="299"/>
        <v>0</v>
      </c>
      <c r="AC482" s="31">
        <f t="shared" si="299"/>
        <v>0</v>
      </c>
      <c r="AD482" s="31">
        <f t="shared" si="299"/>
        <v>0</v>
      </c>
      <c r="AE482" s="31">
        <f t="shared" si="299"/>
        <v>0</v>
      </c>
      <c r="AF482" s="31">
        <f t="shared" si="299"/>
        <v>0</v>
      </c>
      <c r="AG482" s="16">
        <f>SUM(F482:AF482)</f>
        <v>181483.87000000005</v>
      </c>
      <c r="AH482" s="14" t="str">
        <f>IF(ABS(E482-AG482)&lt;0.01,"ok","err")</f>
        <v>ok</v>
      </c>
    </row>
    <row r="483" spans="1:36" x14ac:dyDescent="0.25">
      <c r="A483" s="12"/>
      <c r="AG483" s="16"/>
      <c r="AH483" s="14"/>
    </row>
    <row r="484" spans="1:36" x14ac:dyDescent="0.25">
      <c r="A484" s="2" t="s">
        <v>311</v>
      </c>
      <c r="C484" s="2" t="s">
        <v>203</v>
      </c>
      <c r="E484" s="16">
        <f t="shared" ref="E484:AF484" si="300">SUM(E479:E483)</f>
        <v>105040821.21000001</v>
      </c>
      <c r="F484" s="16">
        <f t="shared" si="300"/>
        <v>72364666.072820649</v>
      </c>
      <c r="G484" s="16">
        <f t="shared" si="300"/>
        <v>6419631.6742119873</v>
      </c>
      <c r="H484" s="16">
        <f t="shared" si="300"/>
        <v>12998967.583362902</v>
      </c>
      <c r="I484" s="16">
        <f t="shared" si="300"/>
        <v>1137995.5754304559</v>
      </c>
      <c r="J484" s="16">
        <f t="shared" si="300"/>
        <v>870842.77109635307</v>
      </c>
      <c r="K484" s="16">
        <f t="shared" si="300"/>
        <v>611961.44564917707</v>
      </c>
      <c r="L484" s="16">
        <f t="shared" si="300"/>
        <v>4339160.9458222482</v>
      </c>
      <c r="M484" s="16">
        <f>SUM(M479:M483)</f>
        <v>4030136.589003027</v>
      </c>
      <c r="N484" s="16">
        <f>SUM(N479:N483)</f>
        <v>2267458.5526032005</v>
      </c>
      <c r="O484" s="16">
        <f t="shared" si="300"/>
        <v>0</v>
      </c>
      <c r="P484" s="16">
        <f t="shared" si="300"/>
        <v>0</v>
      </c>
      <c r="Q484" s="16">
        <f t="shared" si="300"/>
        <v>0</v>
      </c>
      <c r="R484" s="16">
        <f t="shared" si="300"/>
        <v>0</v>
      </c>
      <c r="S484" s="16">
        <f t="shared" si="300"/>
        <v>0</v>
      </c>
      <c r="T484" s="16">
        <f t="shared" si="300"/>
        <v>0</v>
      </c>
      <c r="U484" s="16">
        <f t="shared" si="300"/>
        <v>0</v>
      </c>
      <c r="V484" s="16">
        <f t="shared" si="300"/>
        <v>0</v>
      </c>
      <c r="W484" s="16">
        <f t="shared" si="300"/>
        <v>0</v>
      </c>
      <c r="X484" s="16">
        <f t="shared" si="300"/>
        <v>0</v>
      </c>
      <c r="Y484" s="16">
        <f t="shared" si="300"/>
        <v>0</v>
      </c>
      <c r="Z484" s="16">
        <f t="shared" si="300"/>
        <v>0</v>
      </c>
      <c r="AA484" s="16">
        <f t="shared" si="300"/>
        <v>0</v>
      </c>
      <c r="AB484" s="16">
        <f t="shared" si="300"/>
        <v>0</v>
      </c>
      <c r="AC484" s="16">
        <f t="shared" si="300"/>
        <v>0</v>
      </c>
      <c r="AD484" s="16">
        <f t="shared" si="300"/>
        <v>0</v>
      </c>
      <c r="AE484" s="16">
        <f t="shared" si="300"/>
        <v>0</v>
      </c>
      <c r="AF484" s="16">
        <f t="shared" si="300"/>
        <v>0</v>
      </c>
      <c r="AG484" s="16">
        <f>SUM(F484:AF484)</f>
        <v>105040821.21000001</v>
      </c>
      <c r="AH484" s="14" t="str">
        <f>IF(ABS(E484-AG484)&lt;0.01,"ok","err")</f>
        <v>ok</v>
      </c>
    </row>
    <row r="485" spans="1:36" x14ac:dyDescent="0.25">
      <c r="A485" s="12"/>
    </row>
    <row r="486" spans="1:36" x14ac:dyDescent="0.25">
      <c r="A486" s="2" t="s">
        <v>312</v>
      </c>
      <c r="C486" s="2" t="s">
        <v>187</v>
      </c>
      <c r="E486" s="16">
        <f t="shared" ref="E486:AF486" si="301">E476-E484</f>
        <v>4730474.9175799787</v>
      </c>
      <c r="F486" s="16">
        <f t="shared" si="301"/>
        <v>-672573.64341752231</v>
      </c>
      <c r="G486" s="16">
        <f t="shared" si="301"/>
        <v>1167245.0717783375</v>
      </c>
      <c r="H486" s="16">
        <f t="shared" si="301"/>
        <v>1870031.4143506195</v>
      </c>
      <c r="I486" s="16">
        <f t="shared" si="301"/>
        <v>302316.0862333721</v>
      </c>
      <c r="J486" s="16">
        <f t="shared" si="301"/>
        <v>-67493.608238454675</v>
      </c>
      <c r="K486" s="16">
        <f t="shared" si="301"/>
        <v>126855.5150570689</v>
      </c>
      <c r="L486" s="16">
        <f t="shared" si="301"/>
        <v>629361.23936788272</v>
      </c>
      <c r="M486" s="16">
        <f>M476-M484</f>
        <v>-76971.037359547336</v>
      </c>
      <c r="N486" s="16">
        <f>N476-N484</f>
        <v>1451703.8798082164</v>
      </c>
      <c r="O486" s="16">
        <f t="shared" si="301"/>
        <v>0</v>
      </c>
      <c r="P486" s="16">
        <f t="shared" si="301"/>
        <v>0</v>
      </c>
      <c r="Q486" s="16">
        <f t="shared" si="301"/>
        <v>0</v>
      </c>
      <c r="R486" s="16">
        <f t="shared" si="301"/>
        <v>0</v>
      </c>
      <c r="S486" s="16">
        <f t="shared" si="301"/>
        <v>0</v>
      </c>
      <c r="T486" s="16">
        <f t="shared" si="301"/>
        <v>0</v>
      </c>
      <c r="U486" s="16">
        <f t="shared" si="301"/>
        <v>0</v>
      </c>
      <c r="V486" s="16">
        <f t="shared" si="301"/>
        <v>0</v>
      </c>
      <c r="W486" s="16">
        <f t="shared" si="301"/>
        <v>0</v>
      </c>
      <c r="X486" s="16">
        <f t="shared" si="301"/>
        <v>0</v>
      </c>
      <c r="Y486" s="16">
        <f t="shared" si="301"/>
        <v>0</v>
      </c>
      <c r="Z486" s="16">
        <f t="shared" si="301"/>
        <v>0</v>
      </c>
      <c r="AA486" s="16">
        <f t="shared" si="301"/>
        <v>0</v>
      </c>
      <c r="AB486" s="16">
        <f t="shared" si="301"/>
        <v>0</v>
      </c>
      <c r="AC486" s="16">
        <f t="shared" si="301"/>
        <v>0</v>
      </c>
      <c r="AD486" s="16">
        <f t="shared" si="301"/>
        <v>0</v>
      </c>
      <c r="AE486" s="16">
        <f t="shared" si="301"/>
        <v>0</v>
      </c>
      <c r="AF486" s="16">
        <f t="shared" si="301"/>
        <v>0</v>
      </c>
      <c r="AG486" s="16">
        <f>SUM(F486:AF486)</f>
        <v>4730474.9175799722</v>
      </c>
      <c r="AH486" s="14" t="str">
        <f>IF(ABS(E486-AG486)&lt;0.01,"ok","err")</f>
        <v>ok</v>
      </c>
    </row>
    <row r="488" spans="1:36" x14ac:dyDescent="0.25">
      <c r="A488" s="8" t="s">
        <v>247</v>
      </c>
      <c r="E488" s="16">
        <f t="shared" ref="E488:AF488" si="302">E174</f>
        <v>200206008.80125001</v>
      </c>
      <c r="F488" s="16">
        <f t="shared" si="302"/>
        <v>142443004.04082671</v>
      </c>
      <c r="G488" s="16">
        <f t="shared" si="302"/>
        <v>15825972.671067962</v>
      </c>
      <c r="H488" s="16">
        <f t="shared" si="302"/>
        <v>18329388.327377338</v>
      </c>
      <c r="I488" s="16">
        <f t="shared" si="302"/>
        <v>2773775.3723908262</v>
      </c>
      <c r="J488" s="16">
        <f t="shared" si="302"/>
        <v>1850944.8674697804</v>
      </c>
      <c r="K488" s="16">
        <f t="shared" si="302"/>
        <v>18328.315609605885</v>
      </c>
      <c r="L488" s="16">
        <f t="shared" si="302"/>
        <v>272781.37718562334</v>
      </c>
      <c r="M488" s="16">
        <f t="shared" si="302"/>
        <v>4150385.4639716614</v>
      </c>
      <c r="N488" s="16">
        <f t="shared" si="302"/>
        <v>14541428.36535047</v>
      </c>
      <c r="O488" s="16">
        <f t="shared" si="302"/>
        <v>0</v>
      </c>
      <c r="P488" s="16">
        <f t="shared" si="302"/>
        <v>0</v>
      </c>
      <c r="Q488" s="16">
        <f t="shared" si="302"/>
        <v>0</v>
      </c>
      <c r="R488" s="16">
        <f t="shared" si="302"/>
        <v>0</v>
      </c>
      <c r="S488" s="16">
        <f t="shared" si="302"/>
        <v>0</v>
      </c>
      <c r="T488" s="16">
        <f t="shared" si="302"/>
        <v>0</v>
      </c>
      <c r="U488" s="16">
        <f t="shared" si="302"/>
        <v>0</v>
      </c>
      <c r="V488" s="16">
        <f t="shared" si="302"/>
        <v>0</v>
      </c>
      <c r="W488" s="16">
        <f t="shared" si="302"/>
        <v>0</v>
      </c>
      <c r="X488" s="16">
        <f t="shared" si="302"/>
        <v>0</v>
      </c>
      <c r="Y488" s="16">
        <f t="shared" si="302"/>
        <v>0</v>
      </c>
      <c r="Z488" s="16">
        <f t="shared" si="302"/>
        <v>0</v>
      </c>
      <c r="AA488" s="16">
        <f t="shared" si="302"/>
        <v>0</v>
      </c>
      <c r="AB488" s="16">
        <f t="shared" si="302"/>
        <v>0</v>
      </c>
      <c r="AC488" s="16">
        <f t="shared" si="302"/>
        <v>0</v>
      </c>
      <c r="AD488" s="16">
        <f t="shared" si="302"/>
        <v>0</v>
      </c>
      <c r="AE488" s="16">
        <f t="shared" si="302"/>
        <v>0</v>
      </c>
      <c r="AF488" s="16">
        <f t="shared" si="302"/>
        <v>0</v>
      </c>
      <c r="AG488" s="16">
        <f>SUM(F488:AF488)</f>
        <v>200206008.80124998</v>
      </c>
      <c r="AH488" s="14" t="str">
        <f>IF(ABS(E488-AG488)&lt;0.01,"ok","err")</f>
        <v>ok</v>
      </c>
    </row>
    <row r="489" spans="1:36" ht="15.75" thickBot="1" x14ac:dyDescent="0.3"/>
    <row r="490" spans="1:36" s="7" customFormat="1" ht="15.75" thickBot="1" x14ac:dyDescent="0.3">
      <c r="A490" s="67" t="s">
        <v>703</v>
      </c>
      <c r="B490" s="68"/>
      <c r="C490" s="68"/>
      <c r="D490" s="68"/>
      <c r="E490" s="69">
        <f t="shared" ref="E490:N490" si="303">E486/E488</f>
        <v>2.3628036670348147E-2</v>
      </c>
      <c r="F490" s="69">
        <f t="shared" si="303"/>
        <v>-4.721703589070269E-3</v>
      </c>
      <c r="G490" s="69">
        <f t="shared" si="303"/>
        <v>7.3755028903355863E-2</v>
      </c>
      <c r="H490" s="69">
        <f t="shared" si="303"/>
        <v>0.10202366718138015</v>
      </c>
      <c r="I490" s="69">
        <f t="shared" si="303"/>
        <v>0.10899083222185867</v>
      </c>
      <c r="J490" s="69">
        <f t="shared" si="303"/>
        <v>-3.6464407678829268E-2</v>
      </c>
      <c r="K490" s="69">
        <f t="shared" si="303"/>
        <v>6.9212860449971645</v>
      </c>
      <c r="L490" s="69">
        <f t="shared" si="303"/>
        <v>2.3072001683590466</v>
      </c>
      <c r="M490" s="69">
        <f t="shared" si="303"/>
        <v>-1.8545515356997909E-2</v>
      </c>
      <c r="N490" s="69">
        <f t="shared" si="303"/>
        <v>9.9832275298852885E-2</v>
      </c>
      <c r="O490" s="69" t="e">
        <f t="shared" ref="O490:T490" si="304">O486/O488</f>
        <v>#DIV/0!</v>
      </c>
      <c r="P490" s="69" t="e">
        <f t="shared" si="304"/>
        <v>#DIV/0!</v>
      </c>
      <c r="Q490" s="69" t="e">
        <f t="shared" si="304"/>
        <v>#DIV/0!</v>
      </c>
      <c r="R490" s="69" t="e">
        <f t="shared" si="304"/>
        <v>#DIV/0!</v>
      </c>
      <c r="S490" s="69" t="e">
        <f t="shared" si="304"/>
        <v>#DIV/0!</v>
      </c>
      <c r="T490" s="69" t="e">
        <f t="shared" si="304"/>
        <v>#DIV/0!</v>
      </c>
      <c r="U490" s="69" t="e">
        <f t="shared" ref="U490:AG490" si="305">U486/U488</f>
        <v>#DIV/0!</v>
      </c>
      <c r="V490" s="69" t="e">
        <f t="shared" si="305"/>
        <v>#DIV/0!</v>
      </c>
      <c r="W490" s="69" t="e">
        <f t="shared" si="305"/>
        <v>#DIV/0!</v>
      </c>
      <c r="X490" s="69" t="e">
        <f t="shared" si="305"/>
        <v>#DIV/0!</v>
      </c>
      <c r="Y490" s="69" t="e">
        <f t="shared" si="305"/>
        <v>#DIV/0!</v>
      </c>
      <c r="Z490" s="69" t="e">
        <f t="shared" si="305"/>
        <v>#DIV/0!</v>
      </c>
      <c r="AA490" s="69" t="e">
        <f t="shared" si="305"/>
        <v>#DIV/0!</v>
      </c>
      <c r="AB490" s="69" t="e">
        <f t="shared" si="305"/>
        <v>#DIV/0!</v>
      </c>
      <c r="AC490" s="69" t="e">
        <f t="shared" si="305"/>
        <v>#DIV/0!</v>
      </c>
      <c r="AD490" s="69" t="e">
        <f t="shared" si="305"/>
        <v>#DIV/0!</v>
      </c>
      <c r="AE490" s="69" t="e">
        <f t="shared" si="305"/>
        <v>#DIV/0!</v>
      </c>
      <c r="AF490" s="69" t="e">
        <f t="shared" si="305"/>
        <v>#DIV/0!</v>
      </c>
      <c r="AG490" s="69">
        <f t="shared" si="305"/>
        <v>2.3628036670348115E-2</v>
      </c>
      <c r="AH490" s="14" t="str">
        <f>IF(ABS(E490-AG490)&lt;0.01,"ok","err")</f>
        <v>ok</v>
      </c>
    </row>
    <row r="491" spans="1:36" x14ac:dyDescent="0.25">
      <c r="A491" s="38"/>
    </row>
    <row r="492" spans="1:36" x14ac:dyDescent="0.25">
      <c r="A492" s="2" t="s">
        <v>556</v>
      </c>
      <c r="E492" s="70">
        <f t="shared" ref="E492:AG492" si="306">E465/E621</f>
        <v>9.1748666099205942E-2</v>
      </c>
      <c r="F492" s="70">
        <f t="shared" si="306"/>
        <v>9.5455079593831024E-2</v>
      </c>
      <c r="G492" s="70">
        <f t="shared" si="306"/>
        <v>0.11275950185133232</v>
      </c>
      <c r="H492" s="70">
        <f t="shared" si="306"/>
        <v>8.1774110251273777E-2</v>
      </c>
      <c r="I492" s="70">
        <f t="shared" si="306"/>
        <v>0.10927621472066462</v>
      </c>
      <c r="J492" s="70">
        <f t="shared" si="306"/>
        <v>7.8486034784092967E-2</v>
      </c>
      <c r="K492" s="70">
        <f t="shared" si="306"/>
        <v>0.14721698561544669</v>
      </c>
      <c r="L492" s="70">
        <f t="shared" si="306"/>
        <v>5.1144616238344626E-2</v>
      </c>
      <c r="M492" s="70">
        <f t="shared" si="306"/>
        <v>6.3172062895141171E-2</v>
      </c>
      <c r="N492" s="70">
        <f t="shared" si="306"/>
        <v>0.23234958406304457</v>
      </c>
      <c r="O492" s="70" t="e">
        <f t="shared" si="306"/>
        <v>#DIV/0!</v>
      </c>
      <c r="P492" s="70" t="e">
        <f t="shared" si="306"/>
        <v>#DIV/0!</v>
      </c>
      <c r="Q492" s="70" t="e">
        <f t="shared" si="306"/>
        <v>#DIV/0!</v>
      </c>
      <c r="R492" s="70" t="e">
        <f t="shared" si="306"/>
        <v>#DIV/0!</v>
      </c>
      <c r="S492" s="70" t="e">
        <f t="shared" si="306"/>
        <v>#DIV/0!</v>
      </c>
      <c r="T492" s="70" t="e">
        <f t="shared" si="306"/>
        <v>#DIV/0!</v>
      </c>
      <c r="U492" s="70" t="e">
        <f t="shared" si="306"/>
        <v>#DIV/0!</v>
      </c>
      <c r="V492" s="70" t="e">
        <f t="shared" si="306"/>
        <v>#DIV/0!</v>
      </c>
      <c r="W492" s="70" t="e">
        <f t="shared" si="306"/>
        <v>#DIV/0!</v>
      </c>
      <c r="X492" s="70" t="e">
        <f t="shared" si="306"/>
        <v>#DIV/0!</v>
      </c>
      <c r="Y492" s="70" t="e">
        <f t="shared" si="306"/>
        <v>#DIV/0!</v>
      </c>
      <c r="Z492" s="70" t="e">
        <f t="shared" si="306"/>
        <v>#DIV/0!</v>
      </c>
      <c r="AA492" s="70" t="e">
        <f t="shared" si="306"/>
        <v>#DIV/0!</v>
      </c>
      <c r="AB492" s="70" t="e">
        <f t="shared" si="306"/>
        <v>#DIV/0!</v>
      </c>
      <c r="AC492" s="70" t="e">
        <f t="shared" si="306"/>
        <v>#DIV/0!</v>
      </c>
      <c r="AD492" s="70" t="e">
        <f t="shared" si="306"/>
        <v>#DIV/0!</v>
      </c>
      <c r="AE492" s="70" t="e">
        <f t="shared" si="306"/>
        <v>#DIV/0!</v>
      </c>
      <c r="AF492" s="70" t="e">
        <f t="shared" si="306"/>
        <v>#DIV/0!</v>
      </c>
      <c r="AG492" s="70">
        <f t="shared" si="306"/>
        <v>9.1748666099205942E-2</v>
      </c>
    </row>
    <row r="494" spans="1:36" x14ac:dyDescent="0.25">
      <c r="A494" s="2" t="s">
        <v>636</v>
      </c>
      <c r="E494" s="31">
        <f t="shared" ref="E494:N494" si="307">E621/E629</f>
        <v>13245.378366723278</v>
      </c>
      <c r="F494" s="31">
        <f t="shared" si="307"/>
        <v>12245.91299435622</v>
      </c>
      <c r="G494" s="31">
        <f t="shared" si="307"/>
        <v>15220.238693375324</v>
      </c>
      <c r="H494" s="31">
        <f t="shared" si="307"/>
        <v>445010.40787188883</v>
      </c>
      <c r="I494" s="31">
        <f t="shared" si="307"/>
        <v>82175.287726358147</v>
      </c>
      <c r="J494" s="31">
        <f t="shared" si="307"/>
        <v>659977.95918367349</v>
      </c>
      <c r="K494" s="31">
        <f t="shared" si="307"/>
        <v>11857233</v>
      </c>
      <c r="L494" s="31">
        <f t="shared" si="307"/>
        <v>43050940</v>
      </c>
      <c r="M494" s="31">
        <f t="shared" si="307"/>
        <v>8415920.375</v>
      </c>
      <c r="N494" s="31">
        <f t="shared" si="307"/>
        <v>632.17671174686598</v>
      </c>
      <c r="O494" s="31" t="e">
        <f>O621/O630</f>
        <v>#DIV/0!</v>
      </c>
      <c r="P494" s="31" t="e">
        <f>P621/P629</f>
        <v>#DIV/0!</v>
      </c>
      <c r="Q494" s="31" t="e">
        <f>Q621/Q629</f>
        <v>#DIV/0!</v>
      </c>
      <c r="R494" s="31" t="e">
        <f>R621/R629</f>
        <v>#DIV/0!</v>
      </c>
      <c r="S494" s="31" t="e">
        <f>S621/S629</f>
        <v>#DIV/0!</v>
      </c>
      <c r="T494" s="31" t="e">
        <f>T621/T629</f>
        <v>#DIV/0!</v>
      </c>
      <c r="U494" s="31" t="e">
        <f t="shared" ref="U494:AG494" si="308">U621/U629</f>
        <v>#DIV/0!</v>
      </c>
      <c r="V494" s="31" t="e">
        <f t="shared" si="308"/>
        <v>#DIV/0!</v>
      </c>
      <c r="W494" s="31" t="e">
        <f t="shared" si="308"/>
        <v>#DIV/0!</v>
      </c>
      <c r="X494" s="31" t="e">
        <f t="shared" si="308"/>
        <v>#DIV/0!</v>
      </c>
      <c r="Y494" s="31" t="e">
        <f t="shared" si="308"/>
        <v>#DIV/0!</v>
      </c>
      <c r="Z494" s="31" t="e">
        <f t="shared" si="308"/>
        <v>#DIV/0!</v>
      </c>
      <c r="AA494" s="31" t="e">
        <f t="shared" si="308"/>
        <v>#DIV/0!</v>
      </c>
      <c r="AB494" s="31" t="e">
        <f t="shared" si="308"/>
        <v>#DIV/0!</v>
      </c>
      <c r="AC494" s="31" t="e">
        <f t="shared" si="308"/>
        <v>#DIV/0!</v>
      </c>
      <c r="AD494" s="31" t="e">
        <f t="shared" si="308"/>
        <v>#DIV/0!</v>
      </c>
      <c r="AE494" s="31" t="e">
        <f t="shared" si="308"/>
        <v>#DIV/0!</v>
      </c>
      <c r="AF494" s="31" t="e">
        <f t="shared" si="308"/>
        <v>#DIV/0!</v>
      </c>
      <c r="AG494" s="31">
        <f t="shared" si="308"/>
        <v>13245.378366723278</v>
      </c>
    </row>
    <row r="495" spans="1:36" hidden="1" x14ac:dyDescent="0.25">
      <c r="A495" s="2" t="s">
        <v>593</v>
      </c>
      <c r="F495" s="15" t="e">
        <f>IF(#REF!=0,"N/A",F621/(#REF!*730))</f>
        <v>#REF!</v>
      </c>
      <c r="G495" s="15" t="e">
        <f>IF(#REF!=0,"N/A",G621/(#REF!*730))</f>
        <v>#REF!</v>
      </c>
      <c r="H495" s="15" t="e">
        <f>IF(#REF!=0,"N/A",H621/(#REF!*730))</f>
        <v>#REF!</v>
      </c>
      <c r="I495" s="15" t="e">
        <f>IF(#REF!=0,"N/A",I621/(#REF!*730))</f>
        <v>#REF!</v>
      </c>
      <c r="J495" s="15" t="e">
        <f>IF(#REF!=0,"N/A",J621/(#REF!*730))</f>
        <v>#REF!</v>
      </c>
      <c r="K495" s="15" t="e">
        <f>IF(#REF!=0,"N/A",K621/(#REF!*730))</f>
        <v>#REF!</v>
      </c>
      <c r="L495" s="15" t="e">
        <f>IF(#REF!=0,"N/A",L621/(#REF!*730))</f>
        <v>#REF!</v>
      </c>
      <c r="M495" s="15" t="e">
        <f>IF(#REF!=0,"N/A",M621/(#REF!*730))</f>
        <v>#REF!</v>
      </c>
      <c r="N495" s="15" t="e">
        <f>IF(#REF!=0,"N/A",N621/(#REF!*730))</f>
        <v>#REF!</v>
      </c>
      <c r="O495" s="15" t="e">
        <f>IF(#REF!=0,"N/A",O621/(#REF!*730))</f>
        <v>#REF!</v>
      </c>
      <c r="P495" s="15" t="e">
        <f>IF(#REF!=0,"N/A",P621/(#REF!*730))</f>
        <v>#REF!</v>
      </c>
      <c r="Q495" s="15" t="e">
        <f>IF(#REF!=0,"N/A",Q621/(#REF!*730))</f>
        <v>#REF!</v>
      </c>
      <c r="R495" s="15" t="e">
        <f>IF(#REF!=0,"N/A",R621/(#REF!*730))</f>
        <v>#REF!</v>
      </c>
      <c r="S495" s="15" t="e">
        <f>IF(#REF!=0,"N/A",S621/(#REF!*730))</f>
        <v>#REF!</v>
      </c>
      <c r="T495" s="15" t="e">
        <f>IF(#REF!=0,"N/A",T621/(#REF!*730))</f>
        <v>#REF!</v>
      </c>
      <c r="U495" s="15" t="e">
        <f>IF(#REF!=0,"N/A",U621/(#REF!*730))</f>
        <v>#REF!</v>
      </c>
      <c r="V495" s="15" t="e">
        <f>IF(#REF!=0,"N/A",V621/(#REF!*730))</f>
        <v>#REF!</v>
      </c>
      <c r="W495" s="15" t="e">
        <f>IF(#REF!=0,"N/A",W621/(#REF!*730))</f>
        <v>#REF!</v>
      </c>
      <c r="X495" s="15" t="e">
        <f>IF(#REF!=0,"N/A",X621/(#REF!*730))</f>
        <v>#REF!</v>
      </c>
      <c r="Y495" s="15" t="e">
        <f>IF(#REF!=0,"N/A",Y621/(#REF!*730))</f>
        <v>#REF!</v>
      </c>
      <c r="Z495" s="15" t="e">
        <f>IF(#REF!=0,"N/A",Z621/(#REF!*730))</f>
        <v>#REF!</v>
      </c>
      <c r="AA495" s="15" t="e">
        <f>IF(#REF!=0,"N/A",AA621/(#REF!*730))</f>
        <v>#REF!</v>
      </c>
      <c r="AB495" s="15" t="e">
        <f>IF(#REF!=0,"N/A",AB621/(#REF!*730))</f>
        <v>#REF!</v>
      </c>
      <c r="AC495" s="15" t="e">
        <f>IF(#REF!=0,"N/A",AC621/(#REF!*730))</f>
        <v>#REF!</v>
      </c>
      <c r="AD495" s="15" t="e">
        <f>IF(#REF!=0,"N/A",AD621/(#REF!*730))</f>
        <v>#REF!</v>
      </c>
      <c r="AE495" s="15" t="e">
        <f>IF(#REF!=0,"N/A",AE621/(#REF!*730))</f>
        <v>#REF!</v>
      </c>
      <c r="AF495" s="15" t="e">
        <f>IF(#REF!=0,"N/A",AF621/(#REF!*730))</f>
        <v>#REF!</v>
      </c>
      <c r="AG495" s="15">
        <f>AG621/(AG637*8760)</f>
        <v>0.16761465437916631</v>
      </c>
    </row>
    <row r="496" spans="1:36" x14ac:dyDescent="0.25">
      <c r="A496" s="2" t="s">
        <v>637</v>
      </c>
      <c r="F496" s="15">
        <f t="shared" ref="F496:N496" si="309">F621/(F638*8760)</f>
        <v>0.37728482778922146</v>
      </c>
      <c r="G496" s="15">
        <f t="shared" si="309"/>
        <v>0.51407595398523687</v>
      </c>
      <c r="H496" s="15">
        <f t="shared" si="309"/>
        <v>0.56179550870872219</v>
      </c>
      <c r="I496" s="15">
        <f t="shared" si="309"/>
        <v>0.38706750371040105</v>
      </c>
      <c r="J496" s="15">
        <f t="shared" si="309"/>
        <v>0.31248159253822377</v>
      </c>
      <c r="K496" s="15">
        <f t="shared" si="309"/>
        <v>0.62332624657332381</v>
      </c>
      <c r="L496" s="15">
        <f t="shared" si="309"/>
        <v>0.64296169122329272</v>
      </c>
      <c r="M496" s="15">
        <f t="shared" si="309"/>
        <v>0.66925215270856364</v>
      </c>
      <c r="N496" s="15">
        <f t="shared" si="309"/>
        <v>0.42331097528496425</v>
      </c>
      <c r="O496" s="15" t="e">
        <f t="shared" ref="O496:AG496" si="310">O621/(O638*8760)</f>
        <v>#DIV/0!</v>
      </c>
      <c r="P496" s="15" t="e">
        <f t="shared" si="310"/>
        <v>#DIV/0!</v>
      </c>
      <c r="Q496" s="15" t="e">
        <f t="shared" si="310"/>
        <v>#DIV/0!</v>
      </c>
      <c r="R496" s="15" t="e">
        <f t="shared" si="310"/>
        <v>#DIV/0!</v>
      </c>
      <c r="S496" s="15" t="e">
        <f t="shared" si="310"/>
        <v>#DIV/0!</v>
      </c>
      <c r="T496" s="15" t="e">
        <f t="shared" si="310"/>
        <v>#DIV/0!</v>
      </c>
      <c r="U496" s="15" t="e">
        <f t="shared" si="310"/>
        <v>#DIV/0!</v>
      </c>
      <c r="V496" s="15" t="e">
        <f t="shared" si="310"/>
        <v>#DIV/0!</v>
      </c>
      <c r="W496" s="15" t="e">
        <f t="shared" si="310"/>
        <v>#DIV/0!</v>
      </c>
      <c r="X496" s="15" t="e">
        <f t="shared" si="310"/>
        <v>#DIV/0!</v>
      </c>
      <c r="Y496" s="15" t="e">
        <f t="shared" si="310"/>
        <v>#DIV/0!</v>
      </c>
      <c r="Z496" s="15" t="e">
        <f t="shared" si="310"/>
        <v>#DIV/0!</v>
      </c>
      <c r="AA496" s="15" t="e">
        <f t="shared" si="310"/>
        <v>#DIV/0!</v>
      </c>
      <c r="AB496" s="15" t="e">
        <f t="shared" si="310"/>
        <v>#DIV/0!</v>
      </c>
      <c r="AC496" s="15" t="e">
        <f t="shared" si="310"/>
        <v>#DIV/0!</v>
      </c>
      <c r="AD496" s="15" t="e">
        <f t="shared" si="310"/>
        <v>#DIV/0!</v>
      </c>
      <c r="AE496" s="15" t="e">
        <f t="shared" si="310"/>
        <v>#DIV/0!</v>
      </c>
      <c r="AF496" s="15" t="e">
        <f t="shared" si="310"/>
        <v>#DIV/0!</v>
      </c>
      <c r="AG496" s="15">
        <f t="shared" si="310"/>
        <v>0.42942467473099255</v>
      </c>
    </row>
    <row r="498" spans="1:34" x14ac:dyDescent="0.25">
      <c r="A498" s="2" t="s">
        <v>661</v>
      </c>
      <c r="E498" s="71">
        <f t="shared" ref="E498:Z498" si="311">E188/E621</f>
        <v>5.9686613554000172E-2</v>
      </c>
      <c r="F498" s="71">
        <f t="shared" si="311"/>
        <v>6.3802936155825551E-2</v>
      </c>
      <c r="G498" s="71">
        <f t="shared" si="311"/>
        <v>5.611155061643331E-2</v>
      </c>
      <c r="H498" s="71">
        <f t="shared" si="311"/>
        <v>5.3619728092816038E-2</v>
      </c>
      <c r="I498" s="71">
        <f t="shared" si="311"/>
        <v>5.6681400318176492E-2</v>
      </c>
      <c r="J498" s="71">
        <f t="shared" si="311"/>
        <v>5.6389154120505797E-2</v>
      </c>
      <c r="K498" s="71">
        <f t="shared" si="311"/>
        <v>5.1324646287791986E-2</v>
      </c>
      <c r="L498" s="71">
        <f t="shared" si="311"/>
        <v>5.0017526193788242E-2</v>
      </c>
      <c r="M498" s="71">
        <f t="shared" si="311"/>
        <v>5.0407589625389819E-2</v>
      </c>
      <c r="N498" s="71">
        <f t="shared" si="311"/>
        <v>5.0253665860449909E-2</v>
      </c>
      <c r="O498" s="71" t="e">
        <f t="shared" si="311"/>
        <v>#DIV/0!</v>
      </c>
      <c r="P498" s="71" t="e">
        <f t="shared" si="311"/>
        <v>#DIV/0!</v>
      </c>
      <c r="Q498" s="71" t="e">
        <f t="shared" si="311"/>
        <v>#DIV/0!</v>
      </c>
      <c r="R498" s="71" t="e">
        <f t="shared" si="311"/>
        <v>#DIV/0!</v>
      </c>
      <c r="S498" s="71" t="e">
        <f t="shared" si="311"/>
        <v>#DIV/0!</v>
      </c>
      <c r="T498" s="71" t="e">
        <f t="shared" si="311"/>
        <v>#DIV/0!</v>
      </c>
      <c r="U498" s="71" t="e">
        <f t="shared" si="311"/>
        <v>#DIV/0!</v>
      </c>
      <c r="V498" s="71" t="e">
        <f t="shared" si="311"/>
        <v>#DIV/0!</v>
      </c>
      <c r="W498" s="71" t="e">
        <f t="shared" si="311"/>
        <v>#DIV/0!</v>
      </c>
      <c r="X498" s="71" t="e">
        <f t="shared" si="311"/>
        <v>#DIV/0!</v>
      </c>
      <c r="Y498" s="71" t="e">
        <f t="shared" si="311"/>
        <v>#DIV/0!</v>
      </c>
      <c r="Z498" s="71" t="e">
        <f t="shared" si="311"/>
        <v>#DIV/0!</v>
      </c>
    </row>
    <row r="500" spans="1:34" ht="15.75" thickBot="1" x14ac:dyDescent="0.3"/>
    <row r="501" spans="1:34" ht="15.75" thickBot="1" x14ac:dyDescent="0.3">
      <c r="A501" s="67" t="s">
        <v>704</v>
      </c>
      <c r="B501" s="68"/>
      <c r="C501" s="68"/>
      <c r="D501" s="68"/>
      <c r="E501" s="69">
        <f t="shared" ref="E501:N501" si="312">E486/E476</f>
        <v>4.3093915116772033E-2</v>
      </c>
      <c r="F501" s="69">
        <f t="shared" si="312"/>
        <v>-9.3814201905157279E-3</v>
      </c>
      <c r="G501" s="69">
        <f t="shared" si="312"/>
        <v>0.15385053835166468</v>
      </c>
      <c r="H501" s="69">
        <f t="shared" si="312"/>
        <v>0.1257671356786145</v>
      </c>
      <c r="I501" s="69">
        <f t="shared" si="312"/>
        <v>0.20989629833597317</v>
      </c>
      <c r="J501" s="69">
        <f t="shared" si="312"/>
        <v>-8.401528421134781E-2</v>
      </c>
      <c r="K501" s="69">
        <f t="shared" si="312"/>
        <v>0.17170087018008609</v>
      </c>
      <c r="L501" s="69">
        <f t="shared" si="312"/>
        <v>0.12666970497663158</v>
      </c>
      <c r="M501" s="69">
        <f t="shared" si="312"/>
        <v>-1.947073461862673E-2</v>
      </c>
      <c r="N501" s="69">
        <f t="shared" si="312"/>
        <v>0.39033086244285542</v>
      </c>
      <c r="O501" s="69" t="e">
        <f t="shared" ref="O501:AG501" si="313">O486/O476</f>
        <v>#DIV/0!</v>
      </c>
      <c r="P501" s="69" t="e">
        <f t="shared" si="313"/>
        <v>#DIV/0!</v>
      </c>
      <c r="Q501" s="69" t="e">
        <f t="shared" si="313"/>
        <v>#DIV/0!</v>
      </c>
      <c r="R501" s="69" t="e">
        <f t="shared" si="313"/>
        <v>#DIV/0!</v>
      </c>
      <c r="S501" s="69" t="e">
        <f t="shared" si="313"/>
        <v>#DIV/0!</v>
      </c>
      <c r="T501" s="69" t="e">
        <f t="shared" si="313"/>
        <v>#DIV/0!</v>
      </c>
      <c r="U501" s="69" t="e">
        <f t="shared" si="313"/>
        <v>#DIV/0!</v>
      </c>
      <c r="V501" s="69" t="e">
        <f t="shared" si="313"/>
        <v>#DIV/0!</v>
      </c>
      <c r="W501" s="69" t="e">
        <f t="shared" si="313"/>
        <v>#DIV/0!</v>
      </c>
      <c r="X501" s="69" t="e">
        <f t="shared" si="313"/>
        <v>#DIV/0!</v>
      </c>
      <c r="Y501" s="69" t="e">
        <f t="shared" si="313"/>
        <v>#DIV/0!</v>
      </c>
      <c r="Z501" s="69" t="e">
        <f t="shared" si="313"/>
        <v>#DIV/0!</v>
      </c>
      <c r="AA501" s="69" t="e">
        <f t="shared" si="313"/>
        <v>#DIV/0!</v>
      </c>
      <c r="AB501" s="69" t="e">
        <f t="shared" si="313"/>
        <v>#DIV/0!</v>
      </c>
      <c r="AC501" s="69" t="e">
        <f t="shared" si="313"/>
        <v>#DIV/0!</v>
      </c>
      <c r="AD501" s="69" t="e">
        <f t="shared" si="313"/>
        <v>#DIV/0!</v>
      </c>
      <c r="AE501" s="69" t="e">
        <f t="shared" si="313"/>
        <v>#DIV/0!</v>
      </c>
      <c r="AF501" s="69" t="e">
        <f t="shared" si="313"/>
        <v>#DIV/0!</v>
      </c>
      <c r="AG501" s="69">
        <f t="shared" si="313"/>
        <v>4.3093915116771984E-2</v>
      </c>
      <c r="AH501" s="14" t="str">
        <f>IF(ABS(E501-AG501)&lt;0.01,"ok","err")</f>
        <v>ok</v>
      </c>
    </row>
    <row r="503" spans="1:34" x14ac:dyDescent="0.25">
      <c r="E503" s="30"/>
    </row>
    <row r="505" spans="1:34" x14ac:dyDescent="0.25">
      <c r="A505" s="5" t="s">
        <v>1075</v>
      </c>
    </row>
    <row r="507" spans="1:34" x14ac:dyDescent="0.25">
      <c r="A507" s="7" t="s">
        <v>301</v>
      </c>
    </row>
    <row r="509" spans="1:34" x14ac:dyDescent="0.25">
      <c r="A509" s="2" t="s">
        <v>559</v>
      </c>
      <c r="E509" s="16">
        <f t="shared" ref="E509:N509" si="314">E476</f>
        <v>109771296.12757999</v>
      </c>
      <c r="F509" s="16">
        <f t="shared" si="314"/>
        <v>71692092.429403126</v>
      </c>
      <c r="G509" s="16">
        <f t="shared" si="314"/>
        <v>7586876.7459903248</v>
      </c>
      <c r="H509" s="16">
        <f t="shared" si="314"/>
        <v>14868998.997713521</v>
      </c>
      <c r="I509" s="16">
        <f t="shared" si="314"/>
        <v>1440311.661663828</v>
      </c>
      <c r="J509" s="16">
        <f t="shared" si="314"/>
        <v>803349.16285789839</v>
      </c>
      <c r="K509" s="16">
        <f t="shared" si="314"/>
        <v>738816.96070624597</v>
      </c>
      <c r="L509" s="16">
        <f t="shared" si="314"/>
        <v>4968522.185190131</v>
      </c>
      <c r="M509" s="16">
        <f t="shared" si="314"/>
        <v>3953165.5516434796</v>
      </c>
      <c r="N509" s="16">
        <f t="shared" si="314"/>
        <v>3719162.4324114169</v>
      </c>
      <c r="O509" s="16">
        <f t="shared" ref="O509:T509" si="315">O476</f>
        <v>0</v>
      </c>
      <c r="P509" s="16">
        <f t="shared" si="315"/>
        <v>0</v>
      </c>
      <c r="Q509" s="16">
        <f t="shared" si="315"/>
        <v>0</v>
      </c>
      <c r="R509" s="16">
        <f t="shared" si="315"/>
        <v>0</v>
      </c>
      <c r="S509" s="16">
        <f t="shared" si="315"/>
        <v>0</v>
      </c>
      <c r="T509" s="16">
        <f t="shared" si="315"/>
        <v>0</v>
      </c>
      <c r="U509" s="16">
        <f t="shared" ref="U509:AF509" si="316">U476</f>
        <v>0</v>
      </c>
      <c r="V509" s="16">
        <f t="shared" si="316"/>
        <v>0</v>
      </c>
      <c r="W509" s="16">
        <f t="shared" si="316"/>
        <v>0</v>
      </c>
      <c r="X509" s="16">
        <f t="shared" si="316"/>
        <v>0</v>
      </c>
      <c r="Y509" s="16">
        <f t="shared" si="316"/>
        <v>0</v>
      </c>
      <c r="Z509" s="16">
        <f t="shared" si="316"/>
        <v>0</v>
      </c>
      <c r="AA509" s="16">
        <f t="shared" si="316"/>
        <v>0</v>
      </c>
      <c r="AB509" s="16">
        <f t="shared" si="316"/>
        <v>0</v>
      </c>
      <c r="AC509" s="16">
        <f t="shared" si="316"/>
        <v>0</v>
      </c>
      <c r="AD509" s="16">
        <f t="shared" si="316"/>
        <v>0</v>
      </c>
      <c r="AE509" s="16">
        <f t="shared" si="316"/>
        <v>0</v>
      </c>
      <c r="AF509" s="16">
        <f t="shared" si="316"/>
        <v>0</v>
      </c>
      <c r="AG509" s="16">
        <f>SUM(F509:AF509)</f>
        <v>109771296.12757997</v>
      </c>
      <c r="AH509" s="14" t="str">
        <f>IF(ABS(E509-AG509)&lt;0.01,"ok","err")</f>
        <v>ok</v>
      </c>
    </row>
    <row r="510" spans="1:34" x14ac:dyDescent="0.25"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4"/>
    </row>
    <row r="511" spans="1:34" x14ac:dyDescent="0.25">
      <c r="A511" s="2" t="s">
        <v>560</v>
      </c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4"/>
    </row>
    <row r="512" spans="1:34" x14ac:dyDescent="0.25">
      <c r="B512" s="9" t="s">
        <v>1088</v>
      </c>
      <c r="D512" s="9" t="s">
        <v>1094</v>
      </c>
      <c r="E512" s="16">
        <v>533834.87053623947</v>
      </c>
      <c r="F512" s="65">
        <f>IF(VLOOKUP($D512,$C$5:$AU$836,3,)=0,0,(VLOOKUP($D512,$C$5:$AU$836,4,)/VLOOKUP($D512,$C$5:$AU$836,3,))*$E512)</f>
        <v>124794.8913448298</v>
      </c>
      <c r="G512" s="65">
        <f>IF(VLOOKUP($D512,$C$5:$AU$836,3,)=0,0,(VLOOKUP($D512,$C$5:$AU$836,5,)/VLOOKUP($D512,$C$5:$AU$836,3,))*$E512)</f>
        <v>-27717.803428500523</v>
      </c>
      <c r="H512" s="65">
        <f>IF(VLOOKUP($D512,$C$5:$AU$836,3,)=0,0,(VLOOKUP($D512,$C$5:$AU$836,6,)/VLOOKUP($D512,$C$5:$AU$836,3,))*$E512)</f>
        <v>378049.08201859926</v>
      </c>
      <c r="I512" s="65">
        <f>IF(VLOOKUP($D512,$C$5:$AU$836,3,)=0,0,(VLOOKUP($D512,$C$5:$AU$836,7,)/VLOOKUP($D512,$C$5:$AU$836,3,))*$E512)</f>
        <v>8591.584798341466</v>
      </c>
      <c r="J512" s="65">
        <f>IF(VLOOKUP($D512,$C$5:$AU$836,3,)=0,0,(VLOOKUP($D512,$C$5:$AU$836,8,)/VLOOKUP($D512,$C$5:$AU$836,3,))*$E512)</f>
        <v>49870.618003477197</v>
      </c>
      <c r="K512" s="65">
        <f>IF(VLOOKUP($D512,$C$5:$AU$836,3,)=0,0,(VLOOKUP($D512,$C$5:$AU$836,9,)/VLOOKUP($D512,$C$5:$AU$836,3,))*$E512)</f>
        <v>0</v>
      </c>
      <c r="L512" s="65">
        <f>IF(VLOOKUP($D512,$C$5:$AU$836,3,)=0,0,(VLOOKUP($D512,$C$5:$AU$836,10,)/VLOOKUP($D512,$C$5:$AU$836,3,))*$E512)</f>
        <v>0</v>
      </c>
      <c r="M512" s="65">
        <f>IF(VLOOKUP($D512,$C$5:$AU$836,3,)=0,0,(VLOOKUP($D512,$C$5:$AU$836,11,)/VLOOKUP($D512,$C$5:$AU$836,3,))*$E512)</f>
        <v>0</v>
      </c>
      <c r="N512" s="65">
        <f>IF(VLOOKUP($D512,$C$5:$AU$836,3,)=0,0,(VLOOKUP($D512,$C$5:$AU$836,12,)/VLOOKUP($D512,$C$5:$AU$836,3,))*$E512)</f>
        <v>246.49779949220422</v>
      </c>
      <c r="O512" s="65">
        <f>IF(VLOOKUP($D512,$C$5:$AU$836,3,)=0,0,(VLOOKUP($D512,$C$5:$AU$836,13,)/VLOOKUP($D512,$C$5:$AU$836,3,))*$E512)</f>
        <v>0</v>
      </c>
      <c r="P512" s="65">
        <f>IF(VLOOKUP($D512,$C$5:$AU$836,3,)=0,0,(VLOOKUP($D512,$C$5:$AU$836,14,)/VLOOKUP($D512,$C$5:$AU$836,3,))*$E512)</f>
        <v>0</v>
      </c>
      <c r="Q512" s="65">
        <f>IF(VLOOKUP($D512,$C$5:$AU$836,3,)=0,0,(VLOOKUP($D512,$C$5:$AU$836,15,)/VLOOKUP($D512,$C$5:$AU$836,3,))*$E512)</f>
        <v>0</v>
      </c>
      <c r="R512" s="65">
        <f>IF(VLOOKUP($D512,$C$5:$AU$836,3,)=0,0,(VLOOKUP($D512,$C$5:$AU$836,16,)/VLOOKUP($D512,$C$5:$AU$836,3,))*$E512)</f>
        <v>0</v>
      </c>
      <c r="S512" s="65">
        <f>IF(VLOOKUP($D512,$C$5:$AU$836,3,)=0,0,(VLOOKUP($D512,$C$5:$AU$836,17,)/VLOOKUP($D512,$C$5:$AU$836,3,))*$E512)</f>
        <v>0</v>
      </c>
      <c r="T512" s="65">
        <f>IF(VLOOKUP($D512,$C$5:$AU$836,3,)=0,0,(VLOOKUP($D512,$C$5:$AU$836,18,)/VLOOKUP($D512,$C$5:$AU$836,3,))*$E512)</f>
        <v>0</v>
      </c>
      <c r="U512" s="65">
        <f>IF(VLOOKUP($D512,$C$5:$AU$836,3,)=0,0,(VLOOKUP($D512,$C$5:$AU$836,19,)/VLOOKUP($D512,$C$5:$AU$836,3,))*$E512)</f>
        <v>0</v>
      </c>
      <c r="V512" s="65">
        <f>IF(VLOOKUP($D512,$C$5:$AU$836,3,)=0,0,(VLOOKUP($D512,$C$5:$AU$836,20,)/VLOOKUP($D512,$C$5:$AU$836,3,))*$E512)</f>
        <v>0</v>
      </c>
      <c r="W512" s="65">
        <f>IF(VLOOKUP($D512,$C$5:$AU$836,3,)=0,0,(VLOOKUP($D512,$C$5:$AU$836,21,)/VLOOKUP($D512,$C$5:$AU$836,3,))*$E512)</f>
        <v>0</v>
      </c>
      <c r="X512" s="65">
        <f>IF(VLOOKUP($D512,$C$5:$AU$836,3,)=0,0,(VLOOKUP($D512,$C$5:$AU$836,22,)/VLOOKUP($D512,$C$5:$AU$836,3,))*$E512)</f>
        <v>0</v>
      </c>
      <c r="Y512" s="65">
        <f>IF(VLOOKUP($D512,$C$5:$AU$836,3,)=0,0,(VLOOKUP($D512,$C$5:$AU$836,23,)/VLOOKUP($D512,$C$5:$AU$836,3,))*$E512)</f>
        <v>0</v>
      </c>
      <c r="Z512" s="65">
        <f>IF(VLOOKUP($D512,$C$5:$AU$836,3,)=0,0,(VLOOKUP($D512,$C$5:$AU$836,24,)/VLOOKUP($D512,$C$5:$AU$836,3,))*$E512)</f>
        <v>0</v>
      </c>
      <c r="AA512" s="65">
        <f>IF(VLOOKUP($D512,$C$5:$AU$836,3,)=0,0,(VLOOKUP($D512,$C$5:$AU$836,25,)/VLOOKUP($D512,$C$5:$AU$836,3,))*$E512)</f>
        <v>0</v>
      </c>
      <c r="AB512" s="65">
        <f>IF(VLOOKUP($D512,$C$5:$AU$836,3,)=0,0,(VLOOKUP($D512,$C$5:$AU$836,26,)/VLOOKUP($D512,$C$5:$AU$836,3,))*$E512)</f>
        <v>0</v>
      </c>
      <c r="AC512" s="65">
        <f>IF(VLOOKUP($D512,$C$5:$AU$836,3,)=0,0,(VLOOKUP($D512,$C$5:$AU$836,27,)/VLOOKUP($D512,$C$5:$AU$836,3,))*$E512)</f>
        <v>0</v>
      </c>
      <c r="AD512" s="65">
        <f>IF(VLOOKUP($D512,$C$5:$AU$836,3,)=0,0,(VLOOKUP($D512,$C$5:$AU$836,28,)/VLOOKUP($D512,$C$5:$AU$836,3,))*$E512)</f>
        <v>0</v>
      </c>
      <c r="AE512" s="65">
        <f>IF(VLOOKUP($D512,$C$5:$AU$836,3,)=0,0,(VLOOKUP($D512,$C$5:$AU$836,29,)/VLOOKUP($D512,$C$5:$AU$836,3,))*$E512)</f>
        <v>0</v>
      </c>
      <c r="AF512" s="65">
        <f>IF(VLOOKUP($D512,$C$5:$AU$836,3,)=0,0,(VLOOKUP($D512,$C$5:$AU$836,30,)/VLOOKUP($D512,$C$5:$AU$836,3,))*$E512)</f>
        <v>0</v>
      </c>
      <c r="AG512" s="16">
        <f>SUM(F512:AF512)</f>
        <v>533834.87053623935</v>
      </c>
      <c r="AH512" s="14" t="str">
        <f>IF(ABS(E512-AG512)&lt;0.01,"ok","err")</f>
        <v>ok</v>
      </c>
    </row>
    <row r="513" spans="1:34" x14ac:dyDescent="0.25">
      <c r="B513" s="9" t="s">
        <v>1103</v>
      </c>
      <c r="E513" s="13">
        <v>4106461</v>
      </c>
      <c r="F513" s="17">
        <v>2659973.714951566</v>
      </c>
      <c r="G513" s="17">
        <v>282941.40120048128</v>
      </c>
      <c r="H513" s="17">
        <v>567516.19006242231</v>
      </c>
      <c r="I513" s="17">
        <v>53885.855243395083</v>
      </c>
      <c r="J513" s="17">
        <v>30457.409250820056</v>
      </c>
      <c r="K513" s="17">
        <v>29105.826660827151</v>
      </c>
      <c r="L513" s="17">
        <v>192198.17468800303</v>
      </c>
      <c r="M513" s="17">
        <v>152653.60848468449</v>
      </c>
      <c r="N513" s="17">
        <v>137728.81928203162</v>
      </c>
      <c r="O513" s="17"/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6">
        <f>SUM(F513:AF513)</f>
        <v>4106460.999824231</v>
      </c>
      <c r="AH513" s="14" t="str">
        <f>IF(ABS(E513-AG513)&lt;0.01,"ok","err")</f>
        <v>ok</v>
      </c>
    </row>
    <row r="515" spans="1:34" x14ac:dyDescent="0.25">
      <c r="A515" s="2" t="s">
        <v>561</v>
      </c>
      <c r="E515" s="16">
        <f t="shared" ref="E515:AF515" si="317">SUM(E509:E513)</f>
        <v>114411591.99811623</v>
      </c>
      <c r="F515" s="16">
        <f t="shared" si="317"/>
        <v>74476861.035699517</v>
      </c>
      <c r="G515" s="16">
        <f t="shared" si="317"/>
        <v>7842100.3437623056</v>
      </c>
      <c r="H515" s="16">
        <f t="shared" si="317"/>
        <v>15814564.269794542</v>
      </c>
      <c r="I515" s="16">
        <f t="shared" si="317"/>
        <v>1502789.1017055644</v>
      </c>
      <c r="J515" s="16">
        <f t="shared" si="317"/>
        <v>883677.19011219568</v>
      </c>
      <c r="K515" s="16">
        <f t="shared" si="317"/>
        <v>767922.78736707312</v>
      </c>
      <c r="L515" s="16">
        <f t="shared" si="317"/>
        <v>5160720.359878134</v>
      </c>
      <c r="M515" s="16">
        <f t="shared" si="317"/>
        <v>4105819.1601281641</v>
      </c>
      <c r="N515" s="16">
        <f t="shared" si="317"/>
        <v>3857137.7494929405</v>
      </c>
      <c r="O515" s="16">
        <f t="shared" si="317"/>
        <v>0</v>
      </c>
      <c r="P515" s="16">
        <f t="shared" si="317"/>
        <v>0</v>
      </c>
      <c r="Q515" s="16">
        <f t="shared" si="317"/>
        <v>0</v>
      </c>
      <c r="R515" s="16">
        <f t="shared" si="317"/>
        <v>0</v>
      </c>
      <c r="S515" s="16">
        <f t="shared" si="317"/>
        <v>0</v>
      </c>
      <c r="T515" s="16">
        <f t="shared" si="317"/>
        <v>0</v>
      </c>
      <c r="U515" s="16">
        <f t="shared" si="317"/>
        <v>0</v>
      </c>
      <c r="V515" s="16">
        <f t="shared" si="317"/>
        <v>0</v>
      </c>
      <c r="W515" s="16">
        <f t="shared" si="317"/>
        <v>0</v>
      </c>
      <c r="X515" s="16">
        <f t="shared" si="317"/>
        <v>0</v>
      </c>
      <c r="Y515" s="16">
        <f t="shared" si="317"/>
        <v>0</v>
      </c>
      <c r="Z515" s="16">
        <f t="shared" si="317"/>
        <v>0</v>
      </c>
      <c r="AA515" s="16">
        <f t="shared" si="317"/>
        <v>0</v>
      </c>
      <c r="AB515" s="16">
        <f t="shared" si="317"/>
        <v>0</v>
      </c>
      <c r="AC515" s="16">
        <f t="shared" si="317"/>
        <v>0</v>
      </c>
      <c r="AD515" s="16">
        <f t="shared" si="317"/>
        <v>0</v>
      </c>
      <c r="AE515" s="16">
        <f t="shared" si="317"/>
        <v>0</v>
      </c>
      <c r="AF515" s="16">
        <f t="shared" si="317"/>
        <v>0</v>
      </c>
      <c r="AG515" s="16">
        <f>SUM(F515:AF515)</f>
        <v>114411591.99794044</v>
      </c>
      <c r="AH515" s="14" t="str">
        <f>IF(ABS(E515-AG515)&lt;0.01,"ok","err")</f>
        <v>ok</v>
      </c>
    </row>
    <row r="516" spans="1:34" x14ac:dyDescent="0.25">
      <c r="E516" s="16"/>
    </row>
    <row r="517" spans="1:34" x14ac:dyDescent="0.25"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AG517" s="16"/>
    </row>
    <row r="518" spans="1:34" x14ac:dyDescent="0.25">
      <c r="A518" s="7" t="s">
        <v>306</v>
      </c>
      <c r="E518" s="17"/>
    </row>
    <row r="520" spans="1:34" x14ac:dyDescent="0.25">
      <c r="A520" s="9" t="s">
        <v>311</v>
      </c>
      <c r="E520" s="16">
        <f>E484</f>
        <v>105040821.21000001</v>
      </c>
      <c r="F520" s="16">
        <f t="shared" ref="F520:N520" si="318">F484</f>
        <v>72364666.072820649</v>
      </c>
      <c r="G520" s="16">
        <f t="shared" si="318"/>
        <v>6419631.6742119873</v>
      </c>
      <c r="H520" s="16">
        <f t="shared" si="318"/>
        <v>12998967.583362902</v>
      </c>
      <c r="I520" s="16">
        <f t="shared" si="318"/>
        <v>1137995.5754304559</v>
      </c>
      <c r="J520" s="16">
        <f t="shared" si="318"/>
        <v>870842.77109635307</v>
      </c>
      <c r="K520" s="16">
        <f t="shared" si="318"/>
        <v>611961.44564917707</v>
      </c>
      <c r="L520" s="16">
        <f t="shared" si="318"/>
        <v>4339160.9458222482</v>
      </c>
      <c r="M520" s="16">
        <f t="shared" si="318"/>
        <v>4030136.589003027</v>
      </c>
      <c r="N520" s="16">
        <f t="shared" si="318"/>
        <v>2267458.5526032005</v>
      </c>
      <c r="O520" s="16">
        <f t="shared" ref="O520:AF520" si="319">O484-O185-O186</f>
        <v>0</v>
      </c>
      <c r="P520" s="16">
        <f t="shared" si="319"/>
        <v>0</v>
      </c>
      <c r="Q520" s="16">
        <f t="shared" si="319"/>
        <v>0</v>
      </c>
      <c r="R520" s="16">
        <f t="shared" si="319"/>
        <v>0</v>
      </c>
      <c r="S520" s="16">
        <f t="shared" si="319"/>
        <v>0</v>
      </c>
      <c r="T520" s="16">
        <f t="shared" si="319"/>
        <v>0</v>
      </c>
      <c r="U520" s="16">
        <f t="shared" si="319"/>
        <v>0</v>
      </c>
      <c r="V520" s="16">
        <f t="shared" si="319"/>
        <v>0</v>
      </c>
      <c r="W520" s="16">
        <f t="shared" si="319"/>
        <v>0</v>
      </c>
      <c r="X520" s="16">
        <f t="shared" si="319"/>
        <v>0</v>
      </c>
      <c r="Y520" s="16">
        <f t="shared" si="319"/>
        <v>0</v>
      </c>
      <c r="Z520" s="16">
        <f t="shared" si="319"/>
        <v>0</v>
      </c>
      <c r="AA520" s="16">
        <f t="shared" si="319"/>
        <v>0</v>
      </c>
      <c r="AB520" s="16">
        <f t="shared" si="319"/>
        <v>0</v>
      </c>
      <c r="AC520" s="16">
        <f t="shared" si="319"/>
        <v>0</v>
      </c>
      <c r="AD520" s="16">
        <f t="shared" si="319"/>
        <v>0</v>
      </c>
      <c r="AE520" s="16">
        <f t="shared" si="319"/>
        <v>0</v>
      </c>
      <c r="AF520" s="16">
        <f t="shared" si="319"/>
        <v>0</v>
      </c>
      <c r="AG520" s="16">
        <f>SUM(F520:AF520)</f>
        <v>105040821.21000001</v>
      </c>
      <c r="AH520" s="14" t="str">
        <f>IF(ABS(E520-AG520)&lt;0.01,"ok","err")</f>
        <v>ok</v>
      </c>
    </row>
    <row r="521" spans="1:34" x14ac:dyDescent="0.25">
      <c r="A521" s="9" t="s">
        <v>1101</v>
      </c>
      <c r="E521" s="103">
        <f>E188</f>
        <v>74246944</v>
      </c>
      <c r="F521" s="103">
        <f t="shared" ref="F521:N521" si="320">F188</f>
        <v>49561541.283776186</v>
      </c>
      <c r="G521" s="103">
        <f t="shared" si="320"/>
        <v>3886838.3016868886</v>
      </c>
      <c r="H521" s="103">
        <f t="shared" si="320"/>
        <v>10306109.168863866</v>
      </c>
      <c r="I521" s="103">
        <f t="shared" si="320"/>
        <v>771643.91959996126</v>
      </c>
      <c r="J521" s="103">
        <f t="shared" si="320"/>
        <v>607854.78132356913</v>
      </c>
      <c r="K521" s="103">
        <f t="shared" si="320"/>
        <v>608568.2896769346</v>
      </c>
      <c r="L521" s="103">
        <f t="shared" si="320"/>
        <v>4306603.0382344117</v>
      </c>
      <c r="M521" s="103">
        <f t="shared" si="320"/>
        <v>3393810.0846636542</v>
      </c>
      <c r="N521" s="103">
        <f t="shared" si="320"/>
        <v>803975.13217453845</v>
      </c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>
        <f>SUM(F521:AF521)</f>
        <v>74246944</v>
      </c>
      <c r="AH521" s="14" t="str">
        <f>IF(ABS(E521-AG521)&lt;0.01,"ok","err")</f>
        <v>ok</v>
      </c>
    </row>
    <row r="522" spans="1:34" x14ac:dyDescent="0.25">
      <c r="A522" s="9" t="s">
        <v>1102</v>
      </c>
      <c r="E522" s="16">
        <f>E520-E521</f>
        <v>30793877.210000008</v>
      </c>
      <c r="F522" s="16">
        <f t="shared" ref="F522:AG522" si="321">F520-F521</f>
        <v>22803124.789044462</v>
      </c>
      <c r="G522" s="16">
        <f t="shared" si="321"/>
        <v>2532793.3725250987</v>
      </c>
      <c r="H522" s="16">
        <f t="shared" si="321"/>
        <v>2692858.4144990351</v>
      </c>
      <c r="I522" s="16">
        <f t="shared" si="321"/>
        <v>366351.65583049459</v>
      </c>
      <c r="J522" s="16">
        <f t="shared" si="321"/>
        <v>262987.98977278394</v>
      </c>
      <c r="K522" s="16">
        <f t="shared" si="321"/>
        <v>3393.1559722424718</v>
      </c>
      <c r="L522" s="16">
        <f t="shared" si="321"/>
        <v>32557.907587836497</v>
      </c>
      <c r="M522" s="16">
        <f t="shared" si="321"/>
        <v>636326.50433937274</v>
      </c>
      <c r="N522" s="16">
        <f t="shared" si="321"/>
        <v>1463483.4204286621</v>
      </c>
      <c r="O522" s="16">
        <f t="shared" si="321"/>
        <v>0</v>
      </c>
      <c r="P522" s="16">
        <f t="shared" si="321"/>
        <v>0</v>
      </c>
      <c r="Q522" s="16">
        <f t="shared" si="321"/>
        <v>0</v>
      </c>
      <c r="R522" s="16">
        <f t="shared" si="321"/>
        <v>0</v>
      </c>
      <c r="S522" s="16">
        <f t="shared" si="321"/>
        <v>0</v>
      </c>
      <c r="T522" s="16">
        <f t="shared" si="321"/>
        <v>0</v>
      </c>
      <c r="U522" s="16">
        <f t="shared" si="321"/>
        <v>0</v>
      </c>
      <c r="V522" s="16">
        <f t="shared" si="321"/>
        <v>0</v>
      </c>
      <c r="W522" s="16">
        <f t="shared" si="321"/>
        <v>0</v>
      </c>
      <c r="X522" s="16">
        <f t="shared" si="321"/>
        <v>0</v>
      </c>
      <c r="Y522" s="16">
        <f t="shared" si="321"/>
        <v>0</v>
      </c>
      <c r="Z522" s="16">
        <f t="shared" si="321"/>
        <v>0</v>
      </c>
      <c r="AA522" s="16">
        <f t="shared" si="321"/>
        <v>0</v>
      </c>
      <c r="AB522" s="16">
        <f t="shared" si="321"/>
        <v>0</v>
      </c>
      <c r="AC522" s="16">
        <f t="shared" si="321"/>
        <v>0</v>
      </c>
      <c r="AD522" s="16">
        <f t="shared" si="321"/>
        <v>0</v>
      </c>
      <c r="AE522" s="16">
        <f t="shared" si="321"/>
        <v>0</v>
      </c>
      <c r="AF522" s="16">
        <f t="shared" si="321"/>
        <v>0</v>
      </c>
      <c r="AG522" s="16">
        <f t="shared" si="321"/>
        <v>30793877.210000008</v>
      </c>
      <c r="AH522" s="14" t="str">
        <f>IF(ABS(E522-AG522)&lt;0.01,"ok","err")</f>
        <v>ok</v>
      </c>
    </row>
    <row r="523" spans="1:34" x14ac:dyDescent="0.25">
      <c r="C523" s="16">
        <f>SUM(E525:E530)</f>
        <v>78471119.186253011</v>
      </c>
    </row>
    <row r="524" spans="1:34" x14ac:dyDescent="0.25">
      <c r="A524" s="2" t="s">
        <v>560</v>
      </c>
      <c r="C524" s="16">
        <f>C523-E188</f>
        <v>4224175.1862530112</v>
      </c>
    </row>
    <row r="525" spans="1:34" x14ac:dyDescent="0.25">
      <c r="B525" s="118" t="s">
        <v>1084</v>
      </c>
      <c r="C525" s="16">
        <f>C524-E513</f>
        <v>117714.18625301123</v>
      </c>
      <c r="D525" s="2" t="s">
        <v>858</v>
      </c>
      <c r="E525" s="16">
        <f>'Proforma Purchased Power'!BL105</f>
        <v>21307253.629999999</v>
      </c>
      <c r="F525" s="65">
        <f t="shared" ref="F525:F544" si="322">IF(VLOOKUP($D525,$C$5:$AU$836,3,)=0,0,(VLOOKUP($D525,$C$5:$AU$836,4,)/VLOOKUP($D525,$C$5:$AU$836,3,))*$E525)</f>
        <v>15683147.261739919</v>
      </c>
      <c r="G525" s="65">
        <f t="shared" ref="G525:G544" si="323">IF(VLOOKUP($D525,$C$5:$AU$836,3,)=0,0,(VLOOKUP($D525,$C$5:$AU$836,5,)/VLOOKUP($D525,$C$5:$AU$836,3,))*$E525)</f>
        <v>841042.47090952168</v>
      </c>
      <c r="H525" s="65">
        <f t="shared" ref="H525:H544" si="324">IF(VLOOKUP($D525,$C$5:$AU$836,3,)=0,0,(VLOOKUP($D525,$C$5:$AU$836,6,)/VLOOKUP($D525,$C$5:$AU$836,3,))*$E525)</f>
        <v>1863845.366700487</v>
      </c>
      <c r="I525" s="65">
        <f t="shared" ref="I525:I544" si="325">IF(VLOOKUP($D525,$C$5:$AU$836,3,)=0,0,(VLOOKUP($D525,$C$5:$AU$836,7,)/VLOOKUP($D525,$C$5:$AU$836,3,))*$E525)</f>
        <v>167152.91055473647</v>
      </c>
      <c r="J525" s="65">
        <f t="shared" ref="J525:J544" si="326">IF(VLOOKUP($D525,$C$5:$AU$836,3,)=0,0,(VLOOKUP($D525,$C$5:$AU$836,8,)/VLOOKUP($D525,$C$5:$AU$836,3,))*$E525)</f>
        <v>126444.00022220366</v>
      </c>
      <c r="K525" s="65">
        <f t="shared" ref="K525:K544" si="327">IF(VLOOKUP($D525,$C$5:$AU$836,3,)=0,0,(VLOOKUP($D525,$C$5:$AU$836,9,)/VLOOKUP($D525,$C$5:$AU$836,3,))*$E525)</f>
        <v>206723.99999999997</v>
      </c>
      <c r="L525" s="65">
        <f t="shared" ref="L525:L544" si="328">IF(VLOOKUP($D525,$C$5:$AU$836,3,)=0,0,(VLOOKUP($D525,$C$5:$AU$836,10,)/VLOOKUP($D525,$C$5:$AU$836,3,))*$E525)</f>
        <v>1277119.8999999999</v>
      </c>
      <c r="M525" s="65">
        <f t="shared" ref="M525:M544" si="329">IF(VLOOKUP($D525,$C$5:$AU$836,3,)=0,0,(VLOOKUP($D525,$C$5:$AU$836,11,)/VLOOKUP($D525,$C$5:$AU$836,3,))*$E525)</f>
        <v>1004113.4800000002</v>
      </c>
      <c r="N525" s="65">
        <f t="shared" ref="N525:N544" si="330">IF(VLOOKUP($D525,$C$5:$AU$836,3,)=0,0,(VLOOKUP($D525,$C$5:$AU$836,12,)/VLOOKUP($D525,$C$5:$AU$836,3,))*$E525)</f>
        <v>137664.23987313185</v>
      </c>
      <c r="O525" s="65">
        <f t="shared" ref="O525:O544" si="331">IF(VLOOKUP($D525,$C$5:$AU$836,3,)=0,0,(VLOOKUP($D525,$C$5:$AU$836,13,)/VLOOKUP($D525,$C$5:$AU$836,3,))*$E525)</f>
        <v>0</v>
      </c>
      <c r="P525" s="65">
        <f t="shared" ref="P525:P544" si="332">IF(VLOOKUP($D525,$C$5:$AU$836,3,)=0,0,(VLOOKUP($D525,$C$5:$AU$836,14,)/VLOOKUP($D525,$C$5:$AU$836,3,))*$E525)</f>
        <v>0</v>
      </c>
      <c r="Q525" s="65">
        <f t="shared" ref="Q525:Q544" si="333">IF(VLOOKUP($D525,$C$5:$AU$836,3,)=0,0,(VLOOKUP($D525,$C$5:$AU$836,15,)/VLOOKUP($D525,$C$5:$AU$836,3,))*$E525)</f>
        <v>0</v>
      </c>
      <c r="R525" s="65">
        <f t="shared" ref="R525:R544" si="334">IF(VLOOKUP($D525,$C$5:$AU$836,3,)=0,0,(VLOOKUP($D525,$C$5:$AU$836,16,)/VLOOKUP($D525,$C$5:$AU$836,3,))*$E525)</f>
        <v>0</v>
      </c>
      <c r="S525" s="65">
        <f t="shared" ref="S525:S544" si="335">IF(VLOOKUP($D525,$C$5:$AU$836,3,)=0,0,(VLOOKUP($D525,$C$5:$AU$836,17,)/VLOOKUP($D525,$C$5:$AU$836,3,))*$E525)</f>
        <v>0</v>
      </c>
      <c r="T525" s="65">
        <f t="shared" ref="T525:T544" si="336">IF(VLOOKUP($D525,$C$5:$AU$836,3,)=0,0,(VLOOKUP($D525,$C$5:$AU$836,18,)/VLOOKUP($D525,$C$5:$AU$836,3,))*$E525)</f>
        <v>0</v>
      </c>
      <c r="U525" s="65">
        <f t="shared" ref="U525:U544" si="337">IF(VLOOKUP($D525,$C$5:$AU$836,3,)=0,0,(VLOOKUP($D525,$C$5:$AU$836,19,)/VLOOKUP($D525,$C$5:$AU$836,3,))*$E525)</f>
        <v>0</v>
      </c>
      <c r="V525" s="65">
        <f t="shared" ref="V525:V544" si="338">IF(VLOOKUP($D525,$C$5:$AU$836,3,)=0,0,(VLOOKUP($D525,$C$5:$AU$836,20,)/VLOOKUP($D525,$C$5:$AU$836,3,))*$E525)</f>
        <v>0</v>
      </c>
      <c r="W525" s="65">
        <f t="shared" ref="W525:W544" si="339">IF(VLOOKUP($D525,$C$5:$AU$836,3,)=0,0,(VLOOKUP($D525,$C$5:$AU$836,21,)/VLOOKUP($D525,$C$5:$AU$836,3,))*$E525)</f>
        <v>0</v>
      </c>
      <c r="X525" s="65">
        <f t="shared" ref="X525:X544" si="340">IF(VLOOKUP($D525,$C$5:$AU$836,3,)=0,0,(VLOOKUP($D525,$C$5:$AU$836,22,)/VLOOKUP($D525,$C$5:$AU$836,3,))*$E525)</f>
        <v>0</v>
      </c>
      <c r="Y525" s="65">
        <f t="shared" ref="Y525:Y544" si="341">IF(VLOOKUP($D525,$C$5:$AU$836,3,)=0,0,(VLOOKUP($D525,$C$5:$AU$836,23,)/VLOOKUP($D525,$C$5:$AU$836,3,))*$E525)</f>
        <v>0</v>
      </c>
      <c r="Z525" s="65">
        <f t="shared" ref="Z525:Z544" si="342">IF(VLOOKUP($D525,$C$5:$AU$836,3,)=0,0,(VLOOKUP($D525,$C$5:$AU$836,24,)/VLOOKUP($D525,$C$5:$AU$836,3,))*$E525)</f>
        <v>0</v>
      </c>
      <c r="AA525" s="65">
        <f t="shared" ref="AA525:AA544" si="343">IF(VLOOKUP($D525,$C$5:$AU$836,3,)=0,0,(VLOOKUP($D525,$C$5:$AU$836,25,)/VLOOKUP($D525,$C$5:$AU$836,3,))*$E525)</f>
        <v>0</v>
      </c>
      <c r="AB525" s="65">
        <f t="shared" ref="AB525:AB544" si="344">IF(VLOOKUP($D525,$C$5:$AU$836,3,)=0,0,(VLOOKUP($D525,$C$5:$AU$836,26,)/VLOOKUP($D525,$C$5:$AU$836,3,))*$E525)</f>
        <v>0</v>
      </c>
      <c r="AC525" s="65">
        <f t="shared" ref="AC525:AC544" si="345">IF(VLOOKUP($D525,$C$5:$AU$836,3,)=0,0,(VLOOKUP($D525,$C$5:$AU$836,27,)/VLOOKUP($D525,$C$5:$AU$836,3,))*$E525)</f>
        <v>0</v>
      </c>
      <c r="AD525" s="65">
        <f t="shared" ref="AD525:AD544" si="346">IF(VLOOKUP($D525,$C$5:$AU$836,3,)=0,0,(VLOOKUP($D525,$C$5:$AU$836,28,)/VLOOKUP($D525,$C$5:$AU$836,3,))*$E525)</f>
        <v>0</v>
      </c>
      <c r="AE525" s="65">
        <f t="shared" ref="AE525:AE544" si="347">IF(VLOOKUP($D525,$C$5:$AU$836,3,)=0,0,(VLOOKUP($D525,$C$5:$AU$836,29,)/VLOOKUP($D525,$C$5:$AU$836,3,))*$E525)</f>
        <v>0</v>
      </c>
      <c r="AF525" s="65">
        <f t="shared" ref="AF525:AF544" si="348">IF(VLOOKUP($D525,$C$5:$AU$836,3,)=0,0,(VLOOKUP($D525,$C$5:$AU$836,30,)/VLOOKUP($D525,$C$5:$AU$836,3,))*$E525)</f>
        <v>0</v>
      </c>
      <c r="AG525" s="16">
        <f t="shared" ref="AG525:AG530" si="349">SUM(F525:AF525)</f>
        <v>21307253.629999999</v>
      </c>
      <c r="AH525" s="14" t="str">
        <f t="shared" ref="AH525:AH530" si="350">IF(ABS(E525-AG525)&lt;0.01,"ok","err")</f>
        <v>ok</v>
      </c>
    </row>
    <row r="526" spans="1:34" x14ac:dyDescent="0.25">
      <c r="B526" s="118" t="s">
        <v>1104</v>
      </c>
      <c r="D526" s="2" t="s">
        <v>936</v>
      </c>
      <c r="E526" s="16">
        <f>'Proforma Purchased Power'!BL108+'Proforma Purchased Power'!BL109</f>
        <v>1704216</v>
      </c>
      <c r="F526" s="65">
        <f t="shared" si="322"/>
        <v>1211280.6733461085</v>
      </c>
      <c r="G526" s="65">
        <f t="shared" si="323"/>
        <v>79273.293725205032</v>
      </c>
      <c r="H526" s="65">
        <f t="shared" si="324"/>
        <v>201280.57207980807</v>
      </c>
      <c r="I526" s="65">
        <f t="shared" si="325"/>
        <v>20691.865447061387</v>
      </c>
      <c r="J526" s="65">
        <f t="shared" si="326"/>
        <v>20295.035150816373</v>
      </c>
      <c r="K526" s="65">
        <f t="shared" si="327"/>
        <v>11191.23279093468</v>
      </c>
      <c r="L526" s="65">
        <f t="shared" si="328"/>
        <v>78783.909204411146</v>
      </c>
      <c r="M526" s="65">
        <f t="shared" si="329"/>
        <v>59185.022619652955</v>
      </c>
      <c r="N526" s="65">
        <f t="shared" si="330"/>
        <v>22234.395636001482</v>
      </c>
      <c r="O526" s="65">
        <f t="shared" si="331"/>
        <v>0</v>
      </c>
      <c r="P526" s="65">
        <f t="shared" si="332"/>
        <v>0</v>
      </c>
      <c r="Q526" s="65">
        <f t="shared" si="333"/>
        <v>0</v>
      </c>
      <c r="R526" s="65">
        <f t="shared" si="334"/>
        <v>0</v>
      </c>
      <c r="S526" s="65">
        <f t="shared" si="335"/>
        <v>0</v>
      </c>
      <c r="T526" s="65">
        <f t="shared" si="336"/>
        <v>0</v>
      </c>
      <c r="U526" s="65">
        <f t="shared" si="337"/>
        <v>0</v>
      </c>
      <c r="V526" s="65">
        <f t="shared" si="338"/>
        <v>0</v>
      </c>
      <c r="W526" s="65">
        <f t="shared" si="339"/>
        <v>0</v>
      </c>
      <c r="X526" s="65">
        <f t="shared" si="340"/>
        <v>0</v>
      </c>
      <c r="Y526" s="65">
        <f t="shared" si="341"/>
        <v>0</v>
      </c>
      <c r="Z526" s="65">
        <f t="shared" si="342"/>
        <v>0</v>
      </c>
      <c r="AA526" s="65">
        <f t="shared" si="343"/>
        <v>0</v>
      </c>
      <c r="AB526" s="65">
        <f t="shared" si="344"/>
        <v>0</v>
      </c>
      <c r="AC526" s="65">
        <f t="shared" si="345"/>
        <v>0</v>
      </c>
      <c r="AD526" s="65">
        <f t="shared" si="346"/>
        <v>0</v>
      </c>
      <c r="AE526" s="65">
        <f t="shared" si="347"/>
        <v>0</v>
      </c>
      <c r="AF526" s="65">
        <f t="shared" si="348"/>
        <v>0</v>
      </c>
      <c r="AG526" s="16">
        <f t="shared" si="349"/>
        <v>1704215.9999999995</v>
      </c>
      <c r="AH526" s="14" t="str">
        <f t="shared" si="350"/>
        <v>ok</v>
      </c>
    </row>
    <row r="527" spans="1:34" x14ac:dyDescent="0.25">
      <c r="B527" s="118" t="s">
        <v>1105</v>
      </c>
      <c r="D527" s="2" t="s">
        <v>939</v>
      </c>
      <c r="E527" s="16">
        <f>'Proforma Purchased Power'!BL115</f>
        <v>-130049</v>
      </c>
      <c r="F527" s="65">
        <f t="shared" si="322"/>
        <v>-130049</v>
      </c>
      <c r="G527" s="65">
        <f t="shared" si="323"/>
        <v>0</v>
      </c>
      <c r="H527" s="65">
        <f t="shared" si="324"/>
        <v>0</v>
      </c>
      <c r="I527" s="65">
        <f t="shared" si="325"/>
        <v>0</v>
      </c>
      <c r="J527" s="65">
        <f t="shared" si="326"/>
        <v>0</v>
      </c>
      <c r="K527" s="65">
        <f t="shared" si="327"/>
        <v>0</v>
      </c>
      <c r="L527" s="65">
        <f t="shared" si="328"/>
        <v>0</v>
      </c>
      <c r="M527" s="65">
        <f t="shared" si="329"/>
        <v>0</v>
      </c>
      <c r="N527" s="65">
        <f t="shared" si="330"/>
        <v>0</v>
      </c>
      <c r="O527" s="65">
        <f t="shared" si="331"/>
        <v>0</v>
      </c>
      <c r="P527" s="65">
        <f t="shared" si="332"/>
        <v>0</v>
      </c>
      <c r="Q527" s="65">
        <f t="shared" si="333"/>
        <v>0</v>
      </c>
      <c r="R527" s="65">
        <f t="shared" si="334"/>
        <v>0</v>
      </c>
      <c r="S527" s="65">
        <f t="shared" si="335"/>
        <v>0</v>
      </c>
      <c r="T527" s="65">
        <f t="shared" si="336"/>
        <v>0</v>
      </c>
      <c r="U527" s="65">
        <f t="shared" si="337"/>
        <v>0</v>
      </c>
      <c r="V527" s="65">
        <f t="shared" si="338"/>
        <v>0</v>
      </c>
      <c r="W527" s="65">
        <f t="shared" si="339"/>
        <v>0</v>
      </c>
      <c r="X527" s="65">
        <f t="shared" si="340"/>
        <v>0</v>
      </c>
      <c r="Y527" s="65">
        <f t="shared" si="341"/>
        <v>0</v>
      </c>
      <c r="Z527" s="65">
        <f t="shared" si="342"/>
        <v>0</v>
      </c>
      <c r="AA527" s="65">
        <f t="shared" si="343"/>
        <v>0</v>
      </c>
      <c r="AB527" s="65">
        <f t="shared" si="344"/>
        <v>0</v>
      </c>
      <c r="AC527" s="65">
        <f t="shared" si="345"/>
        <v>0</v>
      </c>
      <c r="AD527" s="65">
        <f t="shared" si="346"/>
        <v>0</v>
      </c>
      <c r="AE527" s="65">
        <f t="shared" si="347"/>
        <v>0</v>
      </c>
      <c r="AF527" s="65">
        <f t="shared" si="348"/>
        <v>0</v>
      </c>
      <c r="AG527" s="16">
        <f t="shared" si="349"/>
        <v>-130049</v>
      </c>
      <c r="AH527" s="14" t="str">
        <f t="shared" si="350"/>
        <v>ok</v>
      </c>
    </row>
    <row r="528" spans="1:34" x14ac:dyDescent="0.25">
      <c r="B528" s="118" t="s">
        <v>1106</v>
      </c>
      <c r="D528" s="2" t="s">
        <v>942</v>
      </c>
      <c r="E528" s="16">
        <f>'Proforma Purchased Power'!BL110</f>
        <v>-4703521.0679199994</v>
      </c>
      <c r="F528" s="65">
        <f t="shared" si="322"/>
        <v>-2979734.3347619004</v>
      </c>
      <c r="G528" s="65">
        <f t="shared" si="323"/>
        <v>-265715.94110267673</v>
      </c>
      <c r="H528" s="65">
        <f t="shared" si="324"/>
        <v>-737298.81799342204</v>
      </c>
      <c r="I528" s="65">
        <f t="shared" si="325"/>
        <v>-52221.551905136512</v>
      </c>
      <c r="J528" s="65">
        <f t="shared" si="326"/>
        <v>-41350.204696552551</v>
      </c>
      <c r="K528" s="65">
        <f t="shared" si="327"/>
        <v>-37149.805840000001</v>
      </c>
      <c r="L528" s="65">
        <f t="shared" si="328"/>
        <v>-291769.64992</v>
      </c>
      <c r="M528" s="65">
        <f t="shared" si="329"/>
        <v>-236911.87080000003</v>
      </c>
      <c r="N528" s="65">
        <f t="shared" si="330"/>
        <v>-61368.890900311628</v>
      </c>
      <c r="O528" s="65">
        <f t="shared" si="331"/>
        <v>0</v>
      </c>
      <c r="P528" s="65">
        <f t="shared" si="332"/>
        <v>0</v>
      </c>
      <c r="Q528" s="65">
        <f t="shared" si="333"/>
        <v>0</v>
      </c>
      <c r="R528" s="65">
        <f t="shared" si="334"/>
        <v>0</v>
      </c>
      <c r="S528" s="65">
        <f t="shared" si="335"/>
        <v>0</v>
      </c>
      <c r="T528" s="65">
        <f t="shared" si="336"/>
        <v>0</v>
      </c>
      <c r="U528" s="65">
        <f t="shared" si="337"/>
        <v>0</v>
      </c>
      <c r="V528" s="65">
        <f t="shared" si="338"/>
        <v>0</v>
      </c>
      <c r="W528" s="65">
        <f t="shared" si="339"/>
        <v>0</v>
      </c>
      <c r="X528" s="65">
        <f t="shared" si="340"/>
        <v>0</v>
      </c>
      <c r="Y528" s="65">
        <f t="shared" si="341"/>
        <v>0</v>
      </c>
      <c r="Z528" s="65">
        <f t="shared" si="342"/>
        <v>0</v>
      </c>
      <c r="AA528" s="65">
        <f t="shared" si="343"/>
        <v>0</v>
      </c>
      <c r="AB528" s="65">
        <f t="shared" si="344"/>
        <v>0</v>
      </c>
      <c r="AC528" s="65">
        <f t="shared" si="345"/>
        <v>0</v>
      </c>
      <c r="AD528" s="65">
        <f t="shared" si="346"/>
        <v>0</v>
      </c>
      <c r="AE528" s="65">
        <f t="shared" si="347"/>
        <v>0</v>
      </c>
      <c r="AF528" s="65">
        <f t="shared" si="348"/>
        <v>0</v>
      </c>
      <c r="AG528" s="16">
        <f t="shared" si="349"/>
        <v>-4703521.0679199994</v>
      </c>
      <c r="AH528" s="14" t="str">
        <f t="shared" si="350"/>
        <v>ok</v>
      </c>
    </row>
    <row r="529" spans="2:34" x14ac:dyDescent="0.25">
      <c r="B529" s="118" t="s">
        <v>1107</v>
      </c>
      <c r="D529" s="2" t="s">
        <v>945</v>
      </c>
      <c r="E529" s="16">
        <f>'Proforma Purchased Power'!BL12</f>
        <v>30010192.978423003</v>
      </c>
      <c r="F529" s="65">
        <f t="shared" si="322"/>
        <v>21994393.914990705</v>
      </c>
      <c r="G529" s="65">
        <f t="shared" si="323"/>
        <v>1941731.1734608253</v>
      </c>
      <c r="H529" s="65">
        <f t="shared" si="324"/>
        <v>5216535.5053079454</v>
      </c>
      <c r="I529" s="65">
        <f t="shared" si="325"/>
        <v>387242.71465931134</v>
      </c>
      <c r="J529" s="65">
        <f t="shared" si="326"/>
        <v>296819.08691619179</v>
      </c>
      <c r="K529" s="65">
        <f t="shared" si="327"/>
        <v>0</v>
      </c>
      <c r="L529" s="65">
        <f t="shared" si="328"/>
        <v>0</v>
      </c>
      <c r="M529" s="65">
        <f t="shared" si="329"/>
        <v>0</v>
      </c>
      <c r="N529" s="65">
        <f t="shared" si="330"/>
        <v>173470.58308802635</v>
      </c>
      <c r="O529" s="65">
        <f t="shared" si="331"/>
        <v>0</v>
      </c>
      <c r="P529" s="65">
        <f t="shared" si="332"/>
        <v>0</v>
      </c>
      <c r="Q529" s="65">
        <f t="shared" si="333"/>
        <v>0</v>
      </c>
      <c r="R529" s="65">
        <f t="shared" si="334"/>
        <v>0</v>
      </c>
      <c r="S529" s="65">
        <f t="shared" si="335"/>
        <v>0</v>
      </c>
      <c r="T529" s="65">
        <f t="shared" si="336"/>
        <v>0</v>
      </c>
      <c r="U529" s="65">
        <f t="shared" si="337"/>
        <v>0</v>
      </c>
      <c r="V529" s="65">
        <f t="shared" si="338"/>
        <v>0</v>
      </c>
      <c r="W529" s="65">
        <f t="shared" si="339"/>
        <v>0</v>
      </c>
      <c r="X529" s="65">
        <f t="shared" si="340"/>
        <v>0</v>
      </c>
      <c r="Y529" s="65">
        <f t="shared" si="341"/>
        <v>0</v>
      </c>
      <c r="Z529" s="65">
        <f t="shared" si="342"/>
        <v>0</v>
      </c>
      <c r="AA529" s="65">
        <f t="shared" si="343"/>
        <v>0</v>
      </c>
      <c r="AB529" s="65">
        <f t="shared" si="344"/>
        <v>0</v>
      </c>
      <c r="AC529" s="65">
        <f t="shared" si="345"/>
        <v>0</v>
      </c>
      <c r="AD529" s="65">
        <f t="shared" si="346"/>
        <v>0</v>
      </c>
      <c r="AE529" s="65">
        <f t="shared" si="347"/>
        <v>0</v>
      </c>
      <c r="AF529" s="65">
        <f t="shared" si="348"/>
        <v>0</v>
      </c>
      <c r="AG529" s="16">
        <f t="shared" si="349"/>
        <v>30010192.978423007</v>
      </c>
      <c r="AH529" s="14" t="str">
        <f t="shared" si="350"/>
        <v>ok</v>
      </c>
    </row>
    <row r="530" spans="2:34" x14ac:dyDescent="0.25">
      <c r="B530" s="118" t="s">
        <v>1108</v>
      </c>
      <c r="D530" s="2" t="s">
        <v>953</v>
      </c>
      <c r="E530" s="16">
        <f>'Proforma Purchased Power'!BL13+'Proforma Purchased Power'!BL76+'Proforma Purchased Power'!BL77+'Proforma Purchased Power'!BL101+'Proforma Purchased Power'!BL102+'Proforma Purchased Power'!BL117</f>
        <v>30283026.645750001</v>
      </c>
      <c r="F530" s="65">
        <f t="shared" si="322"/>
        <v>16811408.53991016</v>
      </c>
      <c r="G530" s="65">
        <f t="shared" si="323"/>
        <v>1515528.4379464241</v>
      </c>
      <c r="H530" s="65">
        <f t="shared" si="324"/>
        <v>4348374.5245107366</v>
      </c>
      <c r="I530" s="65">
        <f t="shared" si="325"/>
        <v>293143.61212518852</v>
      </c>
      <c r="J530" s="65">
        <f t="shared" si="326"/>
        <v>240313.46516341495</v>
      </c>
      <c r="K530" s="65">
        <f t="shared" si="327"/>
        <v>448194.83009200002</v>
      </c>
      <c r="L530" s="65">
        <f t="shared" si="328"/>
        <v>3377114.9182200003</v>
      </c>
      <c r="M530" s="65">
        <f t="shared" si="329"/>
        <v>2669154.8132080003</v>
      </c>
      <c r="N530" s="65">
        <f t="shared" si="330"/>
        <v>579793.50457407825</v>
      </c>
      <c r="O530" s="65">
        <f t="shared" si="331"/>
        <v>0</v>
      </c>
      <c r="P530" s="65">
        <f t="shared" si="332"/>
        <v>0</v>
      </c>
      <c r="Q530" s="65">
        <f t="shared" si="333"/>
        <v>0</v>
      </c>
      <c r="R530" s="65">
        <f t="shared" si="334"/>
        <v>0</v>
      </c>
      <c r="S530" s="65">
        <f t="shared" si="335"/>
        <v>0</v>
      </c>
      <c r="T530" s="65">
        <f t="shared" si="336"/>
        <v>0</v>
      </c>
      <c r="U530" s="65">
        <f t="shared" si="337"/>
        <v>0</v>
      </c>
      <c r="V530" s="65">
        <f t="shared" si="338"/>
        <v>0</v>
      </c>
      <c r="W530" s="65">
        <f t="shared" si="339"/>
        <v>0</v>
      </c>
      <c r="X530" s="65">
        <f t="shared" si="340"/>
        <v>0</v>
      </c>
      <c r="Y530" s="65">
        <f t="shared" si="341"/>
        <v>0</v>
      </c>
      <c r="Z530" s="65">
        <f t="shared" si="342"/>
        <v>0</v>
      </c>
      <c r="AA530" s="65">
        <f t="shared" si="343"/>
        <v>0</v>
      </c>
      <c r="AB530" s="65">
        <f t="shared" si="344"/>
        <v>0</v>
      </c>
      <c r="AC530" s="65">
        <f t="shared" si="345"/>
        <v>0</v>
      </c>
      <c r="AD530" s="65">
        <f t="shared" si="346"/>
        <v>0</v>
      </c>
      <c r="AE530" s="65">
        <f t="shared" si="347"/>
        <v>0</v>
      </c>
      <c r="AF530" s="65">
        <f t="shared" si="348"/>
        <v>0</v>
      </c>
      <c r="AG530" s="16">
        <f t="shared" si="349"/>
        <v>30283026.645750005</v>
      </c>
      <c r="AH530" s="14" t="str">
        <f t="shared" si="350"/>
        <v>ok</v>
      </c>
    </row>
    <row r="531" spans="2:34" x14ac:dyDescent="0.25">
      <c r="B531" s="118" t="s">
        <v>1109</v>
      </c>
      <c r="D531" s="121" t="s">
        <v>258</v>
      </c>
      <c r="E531" s="16">
        <v>-117714</v>
      </c>
      <c r="F531" s="65">
        <f t="shared" si="322"/>
        <v>-78576.80001857625</v>
      </c>
      <c r="G531" s="65">
        <f t="shared" si="323"/>
        <v>-6162.344996243487</v>
      </c>
      <c r="H531" s="65">
        <f t="shared" si="324"/>
        <v>-16339.707324568686</v>
      </c>
      <c r="I531" s="65">
        <f t="shared" si="325"/>
        <v>-1223.3943575076955</v>
      </c>
      <c r="J531" s="65">
        <f t="shared" si="326"/>
        <v>-963.71667133831966</v>
      </c>
      <c r="K531" s="65">
        <f t="shared" si="327"/>
        <v>-964.84789530233968</v>
      </c>
      <c r="L531" s="65">
        <f t="shared" si="328"/>
        <v>-6827.8563767247515</v>
      </c>
      <c r="M531" s="65">
        <f t="shared" si="329"/>
        <v>-5380.6788371801185</v>
      </c>
      <c r="N531" s="65">
        <f t="shared" si="330"/>
        <v>-1274.6535225583646</v>
      </c>
      <c r="O531" s="65">
        <f t="shared" si="331"/>
        <v>0</v>
      </c>
      <c r="P531" s="65">
        <f t="shared" si="332"/>
        <v>0</v>
      </c>
      <c r="Q531" s="65">
        <f t="shared" si="333"/>
        <v>0</v>
      </c>
      <c r="R531" s="65">
        <f t="shared" si="334"/>
        <v>0</v>
      </c>
      <c r="S531" s="65">
        <f t="shared" si="335"/>
        <v>0</v>
      </c>
      <c r="T531" s="65">
        <f t="shared" si="336"/>
        <v>0</v>
      </c>
      <c r="U531" s="65">
        <f t="shared" si="337"/>
        <v>0</v>
      </c>
      <c r="V531" s="65">
        <f t="shared" si="338"/>
        <v>0</v>
      </c>
      <c r="W531" s="65">
        <f t="shared" si="339"/>
        <v>0</v>
      </c>
      <c r="X531" s="65">
        <f t="shared" si="340"/>
        <v>0</v>
      </c>
      <c r="Y531" s="65">
        <f t="shared" si="341"/>
        <v>0</v>
      </c>
      <c r="Z531" s="65">
        <f t="shared" si="342"/>
        <v>0</v>
      </c>
      <c r="AA531" s="65">
        <f t="shared" si="343"/>
        <v>0</v>
      </c>
      <c r="AB531" s="65">
        <f t="shared" si="344"/>
        <v>0</v>
      </c>
      <c r="AC531" s="65">
        <f t="shared" si="345"/>
        <v>0</v>
      </c>
      <c r="AD531" s="65">
        <f t="shared" si="346"/>
        <v>0</v>
      </c>
      <c r="AE531" s="65">
        <f t="shared" si="347"/>
        <v>0</v>
      </c>
      <c r="AF531" s="65">
        <f t="shared" si="348"/>
        <v>0</v>
      </c>
      <c r="AG531" s="16">
        <f t="shared" ref="AG531" si="351">SUM(F531:AF531)</f>
        <v>-117714.00000000003</v>
      </c>
      <c r="AH531" s="14" t="str">
        <f t="shared" ref="AH531" si="352">IF(ABS(E531-AG531)&lt;0.01,"ok","err")</f>
        <v>ok</v>
      </c>
    </row>
    <row r="532" spans="2:34" x14ac:dyDescent="0.25">
      <c r="B532" s="9" t="s">
        <v>1077</v>
      </c>
      <c r="D532" t="s">
        <v>274</v>
      </c>
      <c r="E532" s="16">
        <v>243327.26666666666</v>
      </c>
      <c r="F532" s="65">
        <f t="shared" si="322"/>
        <v>188805.85668417957</v>
      </c>
      <c r="G532" s="65">
        <f t="shared" si="323"/>
        <v>21731.347780134834</v>
      </c>
      <c r="H532" s="65">
        <f t="shared" si="324"/>
        <v>19280.487610831166</v>
      </c>
      <c r="I532" s="65">
        <f t="shared" si="325"/>
        <v>2513.1368149621708</v>
      </c>
      <c r="J532" s="65">
        <f t="shared" si="326"/>
        <v>1815.7638893412714</v>
      </c>
      <c r="K532" s="65">
        <f t="shared" si="327"/>
        <v>29.766864077603248</v>
      </c>
      <c r="L532" s="65">
        <f t="shared" si="328"/>
        <v>201.39452128509188</v>
      </c>
      <c r="M532" s="65">
        <f t="shared" si="329"/>
        <v>4501.1115797213997</v>
      </c>
      <c r="N532" s="65">
        <f t="shared" si="330"/>
        <v>4448.4009221335555</v>
      </c>
      <c r="O532" s="65">
        <f t="shared" si="331"/>
        <v>0</v>
      </c>
      <c r="P532" s="65">
        <f t="shared" si="332"/>
        <v>0</v>
      </c>
      <c r="Q532" s="65">
        <f t="shared" si="333"/>
        <v>0</v>
      </c>
      <c r="R532" s="65">
        <f t="shared" si="334"/>
        <v>0</v>
      </c>
      <c r="S532" s="65">
        <f t="shared" si="335"/>
        <v>0</v>
      </c>
      <c r="T532" s="65">
        <f t="shared" si="336"/>
        <v>0</v>
      </c>
      <c r="U532" s="65">
        <f t="shared" si="337"/>
        <v>0</v>
      </c>
      <c r="V532" s="65">
        <f t="shared" si="338"/>
        <v>0</v>
      </c>
      <c r="W532" s="65">
        <f t="shared" si="339"/>
        <v>0</v>
      </c>
      <c r="X532" s="65">
        <f t="shared" si="340"/>
        <v>0</v>
      </c>
      <c r="Y532" s="65">
        <f t="shared" si="341"/>
        <v>0</v>
      </c>
      <c r="Z532" s="65">
        <f t="shared" si="342"/>
        <v>0</v>
      </c>
      <c r="AA532" s="65">
        <f t="shared" si="343"/>
        <v>0</v>
      </c>
      <c r="AB532" s="65">
        <f t="shared" si="344"/>
        <v>0</v>
      </c>
      <c r="AC532" s="65">
        <f t="shared" si="345"/>
        <v>0</v>
      </c>
      <c r="AD532" s="65">
        <f t="shared" si="346"/>
        <v>0</v>
      </c>
      <c r="AE532" s="65">
        <f t="shared" si="347"/>
        <v>0</v>
      </c>
      <c r="AF532" s="65">
        <f t="shared" si="348"/>
        <v>0</v>
      </c>
      <c r="AG532" s="16">
        <f t="shared" ref="AG532:AG545" si="353">SUM(F532:AF532)</f>
        <v>243327.2666666666</v>
      </c>
      <c r="AH532" s="14" t="str">
        <f t="shared" ref="AH532:AH545" si="354">IF(ABS(E532-AG532)&lt;0.01,"ok","err")</f>
        <v>ok</v>
      </c>
    </row>
    <row r="533" spans="2:34" x14ac:dyDescent="0.25">
      <c r="B533" s="9" t="s">
        <v>1078</v>
      </c>
      <c r="D533" t="s">
        <v>265</v>
      </c>
      <c r="E533" s="16">
        <v>45000</v>
      </c>
      <c r="F533" s="65">
        <f t="shared" si="322"/>
        <v>30908.105768196314</v>
      </c>
      <c r="G533" s="65">
        <f t="shared" si="323"/>
        <v>2654.8794580062822</v>
      </c>
      <c r="H533" s="65">
        <f t="shared" si="324"/>
        <v>5713.9584264687301</v>
      </c>
      <c r="I533" s="65">
        <f t="shared" si="325"/>
        <v>474.54272333102779</v>
      </c>
      <c r="J533" s="65">
        <f t="shared" si="326"/>
        <v>369.38901665031824</v>
      </c>
      <c r="K533" s="65">
        <f t="shared" si="327"/>
        <v>287.56289829712733</v>
      </c>
      <c r="L533" s="65">
        <f t="shared" si="328"/>
        <v>2036.1403812482965</v>
      </c>
      <c r="M533" s="65">
        <f t="shared" si="329"/>
        <v>1806.5340402656468</v>
      </c>
      <c r="N533" s="65">
        <f t="shared" si="330"/>
        <v>748.88728753625719</v>
      </c>
      <c r="O533" s="65">
        <f t="shared" si="331"/>
        <v>0</v>
      </c>
      <c r="P533" s="65">
        <f t="shared" si="332"/>
        <v>0</v>
      </c>
      <c r="Q533" s="65">
        <f t="shared" si="333"/>
        <v>0</v>
      </c>
      <c r="R533" s="65">
        <f t="shared" si="334"/>
        <v>0</v>
      </c>
      <c r="S533" s="65">
        <f t="shared" si="335"/>
        <v>0</v>
      </c>
      <c r="T533" s="65">
        <f t="shared" si="336"/>
        <v>0</v>
      </c>
      <c r="U533" s="65">
        <f t="shared" si="337"/>
        <v>0</v>
      </c>
      <c r="V533" s="65">
        <f t="shared" si="338"/>
        <v>0</v>
      </c>
      <c r="W533" s="65">
        <f t="shared" si="339"/>
        <v>0</v>
      </c>
      <c r="X533" s="65">
        <f t="shared" si="340"/>
        <v>0</v>
      </c>
      <c r="Y533" s="65">
        <f t="shared" si="341"/>
        <v>0</v>
      </c>
      <c r="Z533" s="65">
        <f t="shared" si="342"/>
        <v>0</v>
      </c>
      <c r="AA533" s="65">
        <f t="shared" si="343"/>
        <v>0</v>
      </c>
      <c r="AB533" s="65">
        <f t="shared" si="344"/>
        <v>0</v>
      </c>
      <c r="AC533" s="65">
        <f t="shared" si="345"/>
        <v>0</v>
      </c>
      <c r="AD533" s="65">
        <f t="shared" si="346"/>
        <v>0</v>
      </c>
      <c r="AE533" s="65">
        <f t="shared" si="347"/>
        <v>0</v>
      </c>
      <c r="AF533" s="65">
        <f t="shared" si="348"/>
        <v>0</v>
      </c>
      <c r="AG533" s="16">
        <f t="shared" si="353"/>
        <v>44999.999999999993</v>
      </c>
      <c r="AH533" s="14" t="str">
        <f t="shared" si="354"/>
        <v>ok</v>
      </c>
    </row>
    <row r="534" spans="2:34" x14ac:dyDescent="0.25">
      <c r="B534" s="9" t="s">
        <v>1086</v>
      </c>
      <c r="D534" t="s">
        <v>235</v>
      </c>
      <c r="E534" s="16">
        <v>1427442.3599999999</v>
      </c>
      <c r="F534" s="65">
        <f t="shared" si="322"/>
        <v>1309021.3444400446</v>
      </c>
      <c r="G534" s="65">
        <f t="shared" si="323"/>
        <v>93919.657202451694</v>
      </c>
      <c r="H534" s="65">
        <f t="shared" si="324"/>
        <v>8913.2014369997996</v>
      </c>
      <c r="I534" s="65">
        <f t="shared" si="325"/>
        <v>3418.7621950136217</v>
      </c>
      <c r="J534" s="65">
        <f t="shared" si="326"/>
        <v>337.06106148021621</v>
      </c>
      <c r="K534" s="65">
        <f t="shared" si="327"/>
        <v>20.636391519196913</v>
      </c>
      <c r="L534" s="65">
        <f t="shared" si="328"/>
        <v>41.272783038393825</v>
      </c>
      <c r="M534" s="65">
        <f t="shared" si="329"/>
        <v>165.0911321535753</v>
      </c>
      <c r="N534" s="65">
        <f t="shared" si="330"/>
        <v>11605.33335729859</v>
      </c>
      <c r="O534" s="65">
        <f t="shared" si="331"/>
        <v>0</v>
      </c>
      <c r="P534" s="65">
        <f t="shared" si="332"/>
        <v>0</v>
      </c>
      <c r="Q534" s="65">
        <f t="shared" si="333"/>
        <v>0</v>
      </c>
      <c r="R534" s="65">
        <f t="shared" si="334"/>
        <v>0</v>
      </c>
      <c r="S534" s="65">
        <f t="shared" si="335"/>
        <v>0</v>
      </c>
      <c r="T534" s="65">
        <f t="shared" si="336"/>
        <v>0</v>
      </c>
      <c r="U534" s="65">
        <f t="shared" si="337"/>
        <v>0</v>
      </c>
      <c r="V534" s="65">
        <f t="shared" si="338"/>
        <v>0</v>
      </c>
      <c r="W534" s="65">
        <f t="shared" si="339"/>
        <v>0</v>
      </c>
      <c r="X534" s="65">
        <f t="shared" si="340"/>
        <v>0</v>
      </c>
      <c r="Y534" s="65">
        <f t="shared" si="341"/>
        <v>0</v>
      </c>
      <c r="Z534" s="65">
        <f t="shared" si="342"/>
        <v>0</v>
      </c>
      <c r="AA534" s="65">
        <f t="shared" si="343"/>
        <v>0</v>
      </c>
      <c r="AB534" s="65">
        <f t="shared" si="344"/>
        <v>0</v>
      </c>
      <c r="AC534" s="65">
        <f t="shared" si="345"/>
        <v>0</v>
      </c>
      <c r="AD534" s="65">
        <f t="shared" si="346"/>
        <v>0</v>
      </c>
      <c r="AE534" s="65">
        <f t="shared" si="347"/>
        <v>0</v>
      </c>
      <c r="AF534" s="65">
        <f t="shared" si="348"/>
        <v>0</v>
      </c>
      <c r="AG534" s="16">
        <f t="shared" ref="AG534" si="355">SUM(F534:AF534)</f>
        <v>1427442.3599999996</v>
      </c>
      <c r="AH534" s="14" t="str">
        <f t="shared" ref="AH534" si="356">IF(ABS(E534-AG534)&lt;0.01,"ok","err")</f>
        <v>ok</v>
      </c>
    </row>
    <row r="535" spans="2:34" x14ac:dyDescent="0.25">
      <c r="B535" s="9" t="s">
        <v>1079</v>
      </c>
      <c r="D535" t="s">
        <v>265</v>
      </c>
      <c r="E535" s="16">
        <v>13290</v>
      </c>
      <c r="F535" s="65">
        <f t="shared" si="322"/>
        <v>9128.1939035406449</v>
      </c>
      <c r="G535" s="65">
        <f t="shared" si="323"/>
        <v>784.07439993118874</v>
      </c>
      <c r="H535" s="65">
        <f t="shared" si="324"/>
        <v>1687.5223886170982</v>
      </c>
      <c r="I535" s="65">
        <f t="shared" si="325"/>
        <v>140.14828429043021</v>
      </c>
      <c r="J535" s="65">
        <f t="shared" si="326"/>
        <v>109.09288958406064</v>
      </c>
      <c r="K535" s="65">
        <f t="shared" si="327"/>
        <v>84.926909297084933</v>
      </c>
      <c r="L535" s="65">
        <f t="shared" si="328"/>
        <v>601.34012592866361</v>
      </c>
      <c r="M535" s="65">
        <f t="shared" si="329"/>
        <v>533.52971989178764</v>
      </c>
      <c r="N535" s="65">
        <f t="shared" si="330"/>
        <v>221.1713789190413</v>
      </c>
      <c r="O535" s="65">
        <f t="shared" si="331"/>
        <v>0</v>
      </c>
      <c r="P535" s="65">
        <f t="shared" si="332"/>
        <v>0</v>
      </c>
      <c r="Q535" s="65">
        <f t="shared" si="333"/>
        <v>0</v>
      </c>
      <c r="R535" s="65">
        <f t="shared" si="334"/>
        <v>0</v>
      </c>
      <c r="S535" s="65">
        <f t="shared" si="335"/>
        <v>0</v>
      </c>
      <c r="T535" s="65">
        <f t="shared" si="336"/>
        <v>0</v>
      </c>
      <c r="U535" s="65">
        <f t="shared" si="337"/>
        <v>0</v>
      </c>
      <c r="V535" s="65">
        <f t="shared" si="338"/>
        <v>0</v>
      </c>
      <c r="W535" s="65">
        <f t="shared" si="339"/>
        <v>0</v>
      </c>
      <c r="X535" s="65">
        <f t="shared" si="340"/>
        <v>0</v>
      </c>
      <c r="Y535" s="65">
        <f t="shared" si="341"/>
        <v>0</v>
      </c>
      <c r="Z535" s="65">
        <f t="shared" si="342"/>
        <v>0</v>
      </c>
      <c r="AA535" s="65">
        <f t="shared" si="343"/>
        <v>0</v>
      </c>
      <c r="AB535" s="65">
        <f t="shared" si="344"/>
        <v>0</v>
      </c>
      <c r="AC535" s="65">
        <f t="shared" si="345"/>
        <v>0</v>
      </c>
      <c r="AD535" s="65">
        <f t="shared" si="346"/>
        <v>0</v>
      </c>
      <c r="AE535" s="65">
        <f t="shared" si="347"/>
        <v>0</v>
      </c>
      <c r="AF535" s="65">
        <f t="shared" si="348"/>
        <v>0</v>
      </c>
      <c r="AG535" s="16">
        <f t="shared" si="353"/>
        <v>13290</v>
      </c>
      <c r="AH535" s="14" t="str">
        <f t="shared" si="354"/>
        <v>ok</v>
      </c>
    </row>
    <row r="536" spans="2:34" x14ac:dyDescent="0.25">
      <c r="B536" s="9" t="s">
        <v>1087</v>
      </c>
      <c r="D536" t="s">
        <v>236</v>
      </c>
      <c r="E536" s="16">
        <v>100906</v>
      </c>
      <c r="F536" s="65">
        <f t="shared" si="322"/>
        <v>92534.810149579105</v>
      </c>
      <c r="G536" s="65">
        <f t="shared" si="323"/>
        <v>6639.1871190305646</v>
      </c>
      <c r="H536" s="65">
        <f t="shared" si="324"/>
        <v>630.07483132411869</v>
      </c>
      <c r="I536" s="65">
        <f t="shared" si="325"/>
        <v>241.67253804212771</v>
      </c>
      <c r="J536" s="65">
        <f t="shared" si="326"/>
        <v>23.826869947815407</v>
      </c>
      <c r="K536" s="65">
        <f t="shared" si="327"/>
        <v>1.4587879559886985</v>
      </c>
      <c r="L536" s="65">
        <f t="shared" si="328"/>
        <v>2.917575911977397</v>
      </c>
      <c r="M536" s="65">
        <f t="shared" si="329"/>
        <v>11.670303647909588</v>
      </c>
      <c r="N536" s="65">
        <f t="shared" si="330"/>
        <v>820.38182456037782</v>
      </c>
      <c r="O536" s="65">
        <f t="shared" si="331"/>
        <v>0</v>
      </c>
      <c r="P536" s="65">
        <f t="shared" si="332"/>
        <v>0</v>
      </c>
      <c r="Q536" s="65">
        <f t="shared" si="333"/>
        <v>0</v>
      </c>
      <c r="R536" s="65">
        <f t="shared" si="334"/>
        <v>0</v>
      </c>
      <c r="S536" s="65">
        <f t="shared" si="335"/>
        <v>0</v>
      </c>
      <c r="T536" s="65">
        <f t="shared" si="336"/>
        <v>0</v>
      </c>
      <c r="U536" s="65">
        <f t="shared" si="337"/>
        <v>0</v>
      </c>
      <c r="V536" s="65">
        <f t="shared" si="338"/>
        <v>0</v>
      </c>
      <c r="W536" s="65">
        <f t="shared" si="339"/>
        <v>0</v>
      </c>
      <c r="X536" s="65">
        <f t="shared" si="340"/>
        <v>0</v>
      </c>
      <c r="Y536" s="65">
        <f t="shared" si="341"/>
        <v>0</v>
      </c>
      <c r="Z536" s="65">
        <f t="shared" si="342"/>
        <v>0</v>
      </c>
      <c r="AA536" s="65">
        <f t="shared" si="343"/>
        <v>0</v>
      </c>
      <c r="AB536" s="65">
        <f t="shared" si="344"/>
        <v>0</v>
      </c>
      <c r="AC536" s="65">
        <f t="shared" si="345"/>
        <v>0</v>
      </c>
      <c r="AD536" s="65">
        <f t="shared" si="346"/>
        <v>0</v>
      </c>
      <c r="AE536" s="65">
        <f t="shared" si="347"/>
        <v>0</v>
      </c>
      <c r="AF536" s="65">
        <f t="shared" si="348"/>
        <v>0</v>
      </c>
      <c r="AG536" s="16">
        <f t="shared" si="353"/>
        <v>100906</v>
      </c>
      <c r="AH536" s="14" t="str">
        <f t="shared" si="354"/>
        <v>ok</v>
      </c>
    </row>
    <row r="537" spans="2:34" x14ac:dyDescent="0.25">
      <c r="B537" s="9" t="s">
        <v>1080</v>
      </c>
      <c r="D537" t="s">
        <v>290</v>
      </c>
      <c r="E537" s="16">
        <v>-181484</v>
      </c>
      <c r="F537" s="65">
        <f t="shared" si="322"/>
        <v>-129018.30968043365</v>
      </c>
      <c r="G537" s="65">
        <f t="shared" si="323"/>
        <v>-14338.549530841789</v>
      </c>
      <c r="H537" s="65">
        <f t="shared" si="324"/>
        <v>-16629.301143505345</v>
      </c>
      <c r="I537" s="65">
        <f t="shared" si="325"/>
        <v>-2521.2094629324656</v>
      </c>
      <c r="J537" s="65">
        <f t="shared" si="326"/>
        <v>-1680.2144840827323</v>
      </c>
      <c r="K537" s="65">
        <f t="shared" si="327"/>
        <v>-16.560080767280834</v>
      </c>
      <c r="L537" s="65">
        <f t="shared" si="328"/>
        <v>-248.35686385887462</v>
      </c>
      <c r="M537" s="65">
        <f t="shared" si="329"/>
        <v>-3762.0756708920549</v>
      </c>
      <c r="N537" s="65">
        <f t="shared" si="330"/>
        <v>-13269.423082685767</v>
      </c>
      <c r="O537" s="65">
        <f t="shared" si="331"/>
        <v>0</v>
      </c>
      <c r="P537" s="65">
        <f t="shared" si="332"/>
        <v>0</v>
      </c>
      <c r="Q537" s="65">
        <f t="shared" si="333"/>
        <v>0</v>
      </c>
      <c r="R537" s="65">
        <f t="shared" si="334"/>
        <v>0</v>
      </c>
      <c r="S537" s="65">
        <f t="shared" si="335"/>
        <v>0</v>
      </c>
      <c r="T537" s="65">
        <f t="shared" si="336"/>
        <v>0</v>
      </c>
      <c r="U537" s="65">
        <f t="shared" si="337"/>
        <v>0</v>
      </c>
      <c r="V537" s="65">
        <f t="shared" si="338"/>
        <v>0</v>
      </c>
      <c r="W537" s="65">
        <f t="shared" si="339"/>
        <v>0</v>
      </c>
      <c r="X537" s="65">
        <f t="shared" si="340"/>
        <v>0</v>
      </c>
      <c r="Y537" s="65">
        <f t="shared" si="341"/>
        <v>0</v>
      </c>
      <c r="Z537" s="65">
        <f t="shared" si="342"/>
        <v>0</v>
      </c>
      <c r="AA537" s="65">
        <f t="shared" si="343"/>
        <v>0</v>
      </c>
      <c r="AB537" s="65">
        <f t="shared" si="344"/>
        <v>0</v>
      </c>
      <c r="AC537" s="65">
        <f t="shared" si="345"/>
        <v>0</v>
      </c>
      <c r="AD537" s="65">
        <f t="shared" si="346"/>
        <v>0</v>
      </c>
      <c r="AE537" s="65">
        <f t="shared" si="347"/>
        <v>0</v>
      </c>
      <c r="AF537" s="65">
        <f t="shared" si="348"/>
        <v>0</v>
      </c>
      <c r="AG537" s="16">
        <f t="shared" si="353"/>
        <v>-181483.99999999997</v>
      </c>
      <c r="AH537" s="14" t="str">
        <f t="shared" si="354"/>
        <v>ok</v>
      </c>
    </row>
    <row r="538" spans="2:34" x14ac:dyDescent="0.25">
      <c r="B538" s="9" t="s">
        <v>1081</v>
      </c>
      <c r="D538" s="2" t="s">
        <v>265</v>
      </c>
      <c r="E538" s="16">
        <v>62000</v>
      </c>
      <c r="F538" s="65">
        <f t="shared" si="322"/>
        <v>42584.501280626027</v>
      </c>
      <c r="G538" s="65">
        <f t="shared" si="323"/>
        <v>3657.8339199197667</v>
      </c>
      <c r="H538" s="65">
        <f t="shared" si="324"/>
        <v>7872.5649431346947</v>
      </c>
      <c r="I538" s="65">
        <f t="shared" si="325"/>
        <v>653.81441881163835</v>
      </c>
      <c r="J538" s="65">
        <f t="shared" si="326"/>
        <v>508.93597849599399</v>
      </c>
      <c r="K538" s="65">
        <f t="shared" si="327"/>
        <v>396.19777098715321</v>
      </c>
      <c r="L538" s="65">
        <f t="shared" si="328"/>
        <v>2805.3489697198752</v>
      </c>
      <c r="M538" s="65">
        <f t="shared" si="329"/>
        <v>2489.002455477113</v>
      </c>
      <c r="N538" s="65">
        <f t="shared" si="330"/>
        <v>1031.8002628277322</v>
      </c>
      <c r="O538" s="65">
        <f t="shared" si="331"/>
        <v>0</v>
      </c>
      <c r="P538" s="65">
        <f t="shared" si="332"/>
        <v>0</v>
      </c>
      <c r="Q538" s="65">
        <f t="shared" si="333"/>
        <v>0</v>
      </c>
      <c r="R538" s="65">
        <f t="shared" si="334"/>
        <v>0</v>
      </c>
      <c r="S538" s="65">
        <f t="shared" si="335"/>
        <v>0</v>
      </c>
      <c r="T538" s="65">
        <f t="shared" si="336"/>
        <v>0</v>
      </c>
      <c r="U538" s="65">
        <f t="shared" si="337"/>
        <v>0</v>
      </c>
      <c r="V538" s="65">
        <f t="shared" si="338"/>
        <v>0</v>
      </c>
      <c r="W538" s="65">
        <f t="shared" si="339"/>
        <v>0</v>
      </c>
      <c r="X538" s="65">
        <f t="shared" si="340"/>
        <v>0</v>
      </c>
      <c r="Y538" s="65">
        <f t="shared" si="341"/>
        <v>0</v>
      </c>
      <c r="Z538" s="65">
        <f t="shared" si="342"/>
        <v>0</v>
      </c>
      <c r="AA538" s="65">
        <f t="shared" si="343"/>
        <v>0</v>
      </c>
      <c r="AB538" s="65">
        <f t="shared" si="344"/>
        <v>0</v>
      </c>
      <c r="AC538" s="65">
        <f t="shared" si="345"/>
        <v>0</v>
      </c>
      <c r="AD538" s="65">
        <f t="shared" si="346"/>
        <v>0</v>
      </c>
      <c r="AE538" s="65">
        <f t="shared" si="347"/>
        <v>0</v>
      </c>
      <c r="AF538" s="65">
        <f t="shared" si="348"/>
        <v>0</v>
      </c>
      <c r="AG538" s="16">
        <f t="shared" si="353"/>
        <v>61999.999999999993</v>
      </c>
      <c r="AH538" s="14" t="str">
        <f t="shared" si="354"/>
        <v>ok</v>
      </c>
    </row>
    <row r="539" spans="2:34" x14ac:dyDescent="0.25">
      <c r="B539" s="9" t="s">
        <v>1088</v>
      </c>
      <c r="D539" s="2" t="s">
        <v>1094</v>
      </c>
      <c r="E539" s="16">
        <v>451945.77123045718</v>
      </c>
      <c r="F539" s="65">
        <f t="shared" si="322"/>
        <v>105651.62848542591</v>
      </c>
      <c r="G539" s="65">
        <f t="shared" si="323"/>
        <v>-23465.953122778414</v>
      </c>
      <c r="H539" s="65">
        <f t="shared" si="324"/>
        <v>320057.18128573155</v>
      </c>
      <c r="I539" s="65">
        <f t="shared" si="325"/>
        <v>7273.654517693617</v>
      </c>
      <c r="J539" s="65">
        <f t="shared" si="326"/>
        <v>42220.574487164333</v>
      </c>
      <c r="K539" s="65">
        <f t="shared" si="327"/>
        <v>0</v>
      </c>
      <c r="L539" s="65">
        <f t="shared" si="328"/>
        <v>0</v>
      </c>
      <c r="M539" s="65">
        <f t="shared" si="329"/>
        <v>0</v>
      </c>
      <c r="N539" s="65">
        <f t="shared" si="330"/>
        <v>208.68557722017931</v>
      </c>
      <c r="O539" s="65">
        <f t="shared" si="331"/>
        <v>0</v>
      </c>
      <c r="P539" s="65">
        <f t="shared" si="332"/>
        <v>0</v>
      </c>
      <c r="Q539" s="65">
        <f t="shared" si="333"/>
        <v>0</v>
      </c>
      <c r="R539" s="65">
        <f t="shared" si="334"/>
        <v>0</v>
      </c>
      <c r="S539" s="65">
        <f t="shared" si="335"/>
        <v>0</v>
      </c>
      <c r="T539" s="65">
        <f t="shared" si="336"/>
        <v>0</v>
      </c>
      <c r="U539" s="65">
        <f t="shared" si="337"/>
        <v>0</v>
      </c>
      <c r="V539" s="65">
        <f t="shared" si="338"/>
        <v>0</v>
      </c>
      <c r="W539" s="65">
        <f t="shared" si="339"/>
        <v>0</v>
      </c>
      <c r="X539" s="65">
        <f t="shared" si="340"/>
        <v>0</v>
      </c>
      <c r="Y539" s="65">
        <f t="shared" si="341"/>
        <v>0</v>
      </c>
      <c r="Z539" s="65">
        <f t="shared" si="342"/>
        <v>0</v>
      </c>
      <c r="AA539" s="65">
        <f t="shared" si="343"/>
        <v>0</v>
      </c>
      <c r="AB539" s="65">
        <f t="shared" si="344"/>
        <v>0</v>
      </c>
      <c r="AC539" s="65">
        <f t="shared" si="345"/>
        <v>0</v>
      </c>
      <c r="AD539" s="65">
        <f t="shared" si="346"/>
        <v>0</v>
      </c>
      <c r="AE539" s="65">
        <f t="shared" si="347"/>
        <v>0</v>
      </c>
      <c r="AF539" s="65">
        <f t="shared" si="348"/>
        <v>0</v>
      </c>
      <c r="AG539" s="16">
        <f t="shared" ref="AG539:AG544" si="357">SUM(F539:AF539)</f>
        <v>451945.77123045718</v>
      </c>
      <c r="AH539" s="14" t="str">
        <f t="shared" ref="AH539:AH544" si="358">IF(ABS(E539-AG539)&lt;0.01,"ok","err")</f>
        <v>ok</v>
      </c>
    </row>
    <row r="540" spans="2:34" x14ac:dyDescent="0.25">
      <c r="B540" s="9" t="s">
        <v>1089</v>
      </c>
      <c r="D540" s="2" t="s">
        <v>283</v>
      </c>
      <c r="E540" s="16">
        <v>522000</v>
      </c>
      <c r="F540" s="65">
        <f t="shared" si="322"/>
        <v>370569.56136416941</v>
      </c>
      <c r="G540" s="65">
        <f t="shared" si="323"/>
        <v>43188.891793315583</v>
      </c>
      <c r="H540" s="65">
        <f t="shared" si="324"/>
        <v>47511.412806245185</v>
      </c>
      <c r="I540" s="65">
        <f t="shared" si="325"/>
        <v>7179.6803475910428</v>
      </c>
      <c r="J540" s="65">
        <f t="shared" si="326"/>
        <v>4758.3394036100108</v>
      </c>
      <c r="K540" s="65">
        <f t="shared" si="327"/>
        <v>53.62210549586591</v>
      </c>
      <c r="L540" s="65">
        <f t="shared" si="328"/>
        <v>713.55871237311612</v>
      </c>
      <c r="M540" s="65">
        <f t="shared" si="329"/>
        <v>10607.571582719924</v>
      </c>
      <c r="N540" s="65">
        <f t="shared" si="330"/>
        <v>37417.361884479738</v>
      </c>
      <c r="O540" s="65">
        <f t="shared" si="331"/>
        <v>0</v>
      </c>
      <c r="P540" s="65">
        <f t="shared" si="332"/>
        <v>0</v>
      </c>
      <c r="Q540" s="65">
        <f t="shared" si="333"/>
        <v>0</v>
      </c>
      <c r="R540" s="65">
        <f t="shared" si="334"/>
        <v>0</v>
      </c>
      <c r="S540" s="65">
        <f t="shared" si="335"/>
        <v>0</v>
      </c>
      <c r="T540" s="65">
        <f t="shared" si="336"/>
        <v>0</v>
      </c>
      <c r="U540" s="65">
        <f t="shared" si="337"/>
        <v>0</v>
      </c>
      <c r="V540" s="65">
        <f t="shared" si="338"/>
        <v>0</v>
      </c>
      <c r="W540" s="65">
        <f t="shared" si="339"/>
        <v>0</v>
      </c>
      <c r="X540" s="65">
        <f t="shared" si="340"/>
        <v>0</v>
      </c>
      <c r="Y540" s="65">
        <f t="shared" si="341"/>
        <v>0</v>
      </c>
      <c r="Z540" s="65">
        <f t="shared" si="342"/>
        <v>0</v>
      </c>
      <c r="AA540" s="65">
        <f t="shared" si="343"/>
        <v>0</v>
      </c>
      <c r="AB540" s="65">
        <f t="shared" si="344"/>
        <v>0</v>
      </c>
      <c r="AC540" s="65">
        <f t="shared" si="345"/>
        <v>0</v>
      </c>
      <c r="AD540" s="65">
        <f t="shared" si="346"/>
        <v>0</v>
      </c>
      <c r="AE540" s="65">
        <f t="shared" si="347"/>
        <v>0</v>
      </c>
      <c r="AF540" s="65">
        <f t="shared" si="348"/>
        <v>0</v>
      </c>
      <c r="AG540" s="16">
        <f t="shared" si="357"/>
        <v>522000</v>
      </c>
      <c r="AH540" s="14" t="str">
        <f t="shared" si="358"/>
        <v>ok</v>
      </c>
    </row>
    <row r="541" spans="2:34" x14ac:dyDescent="0.25">
      <c r="B541" s="9" t="s">
        <v>1090</v>
      </c>
      <c r="D541" s="2" t="s">
        <v>274</v>
      </c>
      <c r="E541" s="16">
        <v>-186211</v>
      </c>
      <c r="F541" s="65">
        <f t="shared" si="322"/>
        <v>-144487.41343558606</v>
      </c>
      <c r="G541" s="65">
        <f t="shared" si="323"/>
        <v>-16630.343392753166</v>
      </c>
      <c r="H541" s="65">
        <f t="shared" si="324"/>
        <v>-14754.774208756227</v>
      </c>
      <c r="I541" s="65">
        <f t="shared" si="325"/>
        <v>-1923.2276179389164</v>
      </c>
      <c r="J541" s="65">
        <f t="shared" si="326"/>
        <v>-1389.5492035477905</v>
      </c>
      <c r="K541" s="65">
        <f t="shared" si="327"/>
        <v>-22.779681055423211</v>
      </c>
      <c r="L541" s="65">
        <f t="shared" si="328"/>
        <v>-154.12113782707286</v>
      </c>
      <c r="M541" s="65">
        <f t="shared" si="329"/>
        <v>-3444.5645975207945</v>
      </c>
      <c r="N541" s="65">
        <f t="shared" si="330"/>
        <v>-3404.2267250145615</v>
      </c>
      <c r="O541" s="65">
        <f t="shared" si="331"/>
        <v>0</v>
      </c>
      <c r="P541" s="65">
        <f t="shared" si="332"/>
        <v>0</v>
      </c>
      <c r="Q541" s="65">
        <f t="shared" si="333"/>
        <v>0</v>
      </c>
      <c r="R541" s="65">
        <f t="shared" si="334"/>
        <v>0</v>
      </c>
      <c r="S541" s="65">
        <f t="shared" si="335"/>
        <v>0</v>
      </c>
      <c r="T541" s="65">
        <f t="shared" si="336"/>
        <v>0</v>
      </c>
      <c r="U541" s="65">
        <f t="shared" si="337"/>
        <v>0</v>
      </c>
      <c r="V541" s="65">
        <f t="shared" si="338"/>
        <v>0</v>
      </c>
      <c r="W541" s="65">
        <f t="shared" si="339"/>
        <v>0</v>
      </c>
      <c r="X541" s="65">
        <f t="shared" si="340"/>
        <v>0</v>
      </c>
      <c r="Y541" s="65">
        <f t="shared" si="341"/>
        <v>0</v>
      </c>
      <c r="Z541" s="65">
        <f t="shared" si="342"/>
        <v>0</v>
      </c>
      <c r="AA541" s="65">
        <f t="shared" si="343"/>
        <v>0</v>
      </c>
      <c r="AB541" s="65">
        <f t="shared" si="344"/>
        <v>0</v>
      </c>
      <c r="AC541" s="65">
        <f t="shared" si="345"/>
        <v>0</v>
      </c>
      <c r="AD541" s="65">
        <f t="shared" si="346"/>
        <v>0</v>
      </c>
      <c r="AE541" s="65">
        <f t="shared" si="347"/>
        <v>0</v>
      </c>
      <c r="AF541" s="65">
        <f t="shared" si="348"/>
        <v>0</v>
      </c>
      <c r="AG541" s="16">
        <f t="shared" si="357"/>
        <v>-186211.00000000003</v>
      </c>
      <c r="AH541" s="14" t="str">
        <f t="shared" si="358"/>
        <v>ok</v>
      </c>
    </row>
    <row r="542" spans="2:34" x14ac:dyDescent="0.25">
      <c r="B542" s="9" t="s">
        <v>1091</v>
      </c>
      <c r="D542" s="2" t="s">
        <v>274</v>
      </c>
      <c r="E542" s="16">
        <v>-40500</v>
      </c>
      <c r="F542" s="65">
        <f t="shared" si="322"/>
        <v>-31425.319901301402</v>
      </c>
      <c r="G542" s="65">
        <f t="shared" si="323"/>
        <v>-3617.0199795205613</v>
      </c>
      <c r="H542" s="65">
        <f t="shared" si="324"/>
        <v>-3209.092671510422</v>
      </c>
      <c r="I542" s="65">
        <f t="shared" si="325"/>
        <v>-418.29278896803146</v>
      </c>
      <c r="J542" s="65">
        <f t="shared" si="326"/>
        <v>-302.22029173188218</v>
      </c>
      <c r="K542" s="65">
        <f t="shared" si="327"/>
        <v>-4.9544714476837566</v>
      </c>
      <c r="L542" s="65">
        <f t="shared" si="328"/>
        <v>-33.520608782491102</v>
      </c>
      <c r="M542" s="65">
        <f t="shared" si="329"/>
        <v>-749.17629033511537</v>
      </c>
      <c r="N542" s="65">
        <f t="shared" si="330"/>
        <v>-740.40299640241312</v>
      </c>
      <c r="O542" s="65">
        <f t="shared" si="331"/>
        <v>0</v>
      </c>
      <c r="P542" s="65">
        <f t="shared" si="332"/>
        <v>0</v>
      </c>
      <c r="Q542" s="65">
        <f t="shared" si="333"/>
        <v>0</v>
      </c>
      <c r="R542" s="65">
        <f t="shared" si="334"/>
        <v>0</v>
      </c>
      <c r="S542" s="65">
        <f t="shared" si="335"/>
        <v>0</v>
      </c>
      <c r="T542" s="65">
        <f t="shared" si="336"/>
        <v>0</v>
      </c>
      <c r="U542" s="65">
        <f t="shared" si="337"/>
        <v>0</v>
      </c>
      <c r="V542" s="65">
        <f t="shared" si="338"/>
        <v>0</v>
      </c>
      <c r="W542" s="65">
        <f t="shared" si="339"/>
        <v>0</v>
      </c>
      <c r="X542" s="65">
        <f t="shared" si="340"/>
        <v>0</v>
      </c>
      <c r="Y542" s="65">
        <f t="shared" si="341"/>
        <v>0</v>
      </c>
      <c r="Z542" s="65">
        <f t="shared" si="342"/>
        <v>0</v>
      </c>
      <c r="AA542" s="65">
        <f t="shared" si="343"/>
        <v>0</v>
      </c>
      <c r="AB542" s="65">
        <f t="shared" si="344"/>
        <v>0</v>
      </c>
      <c r="AC542" s="65">
        <f t="shared" si="345"/>
        <v>0</v>
      </c>
      <c r="AD542" s="65">
        <f t="shared" si="346"/>
        <v>0</v>
      </c>
      <c r="AE542" s="65">
        <f t="shared" si="347"/>
        <v>0</v>
      </c>
      <c r="AF542" s="65">
        <f t="shared" si="348"/>
        <v>0</v>
      </c>
      <c r="AG542" s="16">
        <f t="shared" si="357"/>
        <v>-40500</v>
      </c>
      <c r="AH542" s="14" t="str">
        <f t="shared" si="358"/>
        <v>ok</v>
      </c>
    </row>
    <row r="543" spans="2:34" x14ac:dyDescent="0.25">
      <c r="B543" s="9" t="s">
        <v>1092</v>
      </c>
      <c r="D543" s="2" t="s">
        <v>265</v>
      </c>
      <c r="E543" s="16">
        <v>-24586</v>
      </c>
      <c r="F543" s="65">
        <f t="shared" si="322"/>
        <v>-16886.815298152767</v>
      </c>
      <c r="G543" s="65">
        <f t="shared" si="323"/>
        <v>-1450.5081412120546</v>
      </c>
      <c r="H543" s="65">
        <f t="shared" si="324"/>
        <v>-3121.8529305146708</v>
      </c>
      <c r="I543" s="65">
        <f t="shared" si="325"/>
        <v>-259.26905324037</v>
      </c>
      <c r="J543" s="65">
        <f t="shared" si="326"/>
        <v>-201.81774140810498</v>
      </c>
      <c r="K543" s="65">
        <f t="shared" si="327"/>
        <v>-157.11158705629271</v>
      </c>
      <c r="L543" s="65">
        <f t="shared" si="328"/>
        <v>-1112.4566091860138</v>
      </c>
      <c r="M543" s="65">
        <f t="shared" si="329"/>
        <v>-987.00990919935975</v>
      </c>
      <c r="N543" s="65">
        <f t="shared" si="330"/>
        <v>-409.15873003036489</v>
      </c>
      <c r="O543" s="65">
        <f t="shared" si="331"/>
        <v>0</v>
      </c>
      <c r="P543" s="65">
        <f t="shared" si="332"/>
        <v>0</v>
      </c>
      <c r="Q543" s="65">
        <f t="shared" si="333"/>
        <v>0</v>
      </c>
      <c r="R543" s="65">
        <f t="shared" si="334"/>
        <v>0</v>
      </c>
      <c r="S543" s="65">
        <f t="shared" si="335"/>
        <v>0</v>
      </c>
      <c r="T543" s="65">
        <f t="shared" si="336"/>
        <v>0</v>
      </c>
      <c r="U543" s="65">
        <f t="shared" si="337"/>
        <v>0</v>
      </c>
      <c r="V543" s="65">
        <f t="shared" si="338"/>
        <v>0</v>
      </c>
      <c r="W543" s="65">
        <f t="shared" si="339"/>
        <v>0</v>
      </c>
      <c r="X543" s="65">
        <f t="shared" si="340"/>
        <v>0</v>
      </c>
      <c r="Y543" s="65">
        <f t="shared" si="341"/>
        <v>0</v>
      </c>
      <c r="Z543" s="65">
        <f t="shared" si="342"/>
        <v>0</v>
      </c>
      <c r="AA543" s="65">
        <f t="shared" si="343"/>
        <v>0</v>
      </c>
      <c r="AB543" s="65">
        <f t="shared" si="344"/>
        <v>0</v>
      </c>
      <c r="AC543" s="65">
        <f t="shared" si="345"/>
        <v>0</v>
      </c>
      <c r="AD543" s="65">
        <f t="shared" si="346"/>
        <v>0</v>
      </c>
      <c r="AE543" s="65">
        <f t="shared" si="347"/>
        <v>0</v>
      </c>
      <c r="AF543" s="65">
        <f t="shared" si="348"/>
        <v>0</v>
      </c>
      <c r="AG543" s="16">
        <f t="shared" si="357"/>
        <v>-24586</v>
      </c>
      <c r="AH543" s="14" t="str">
        <f t="shared" si="358"/>
        <v>ok</v>
      </c>
    </row>
    <row r="544" spans="2:34" x14ac:dyDescent="0.25">
      <c r="B544" s="9" t="s">
        <v>1093</v>
      </c>
      <c r="D544" s="2" t="s">
        <v>265</v>
      </c>
      <c r="E544" s="16">
        <v>17370.83947799704</v>
      </c>
      <c r="F544" s="65">
        <f t="shared" si="322"/>
        <v>11931.105419295391</v>
      </c>
      <c r="G544" s="65">
        <f t="shared" si="323"/>
        <v>1024.8329977435315</v>
      </c>
      <c r="H544" s="65">
        <f t="shared" si="324"/>
        <v>2205.6945468919303</v>
      </c>
      <c r="I544" s="65">
        <f t="shared" si="325"/>
        <v>183.18234383188545</v>
      </c>
      <c r="J544" s="65">
        <f t="shared" si="326"/>
        <v>142.59105140373009</v>
      </c>
      <c r="K544" s="65">
        <f t="shared" si="327"/>
        <v>111.00464324771082</v>
      </c>
      <c r="L544" s="65">
        <f t="shared" si="328"/>
        <v>785.98817149626348</v>
      </c>
      <c r="M544" s="65">
        <f t="shared" si="329"/>
        <v>697.35584055537754</v>
      </c>
      <c r="N544" s="65">
        <f t="shared" si="330"/>
        <v>289.08446353122082</v>
      </c>
      <c r="O544" s="65">
        <f t="shared" si="331"/>
        <v>0</v>
      </c>
      <c r="P544" s="65">
        <f t="shared" si="332"/>
        <v>0</v>
      </c>
      <c r="Q544" s="65">
        <f t="shared" si="333"/>
        <v>0</v>
      </c>
      <c r="R544" s="65">
        <f t="shared" si="334"/>
        <v>0</v>
      </c>
      <c r="S544" s="65">
        <f t="shared" si="335"/>
        <v>0</v>
      </c>
      <c r="T544" s="65">
        <f t="shared" si="336"/>
        <v>0</v>
      </c>
      <c r="U544" s="65">
        <f t="shared" si="337"/>
        <v>0</v>
      </c>
      <c r="V544" s="65">
        <f t="shared" si="338"/>
        <v>0</v>
      </c>
      <c r="W544" s="65">
        <f t="shared" si="339"/>
        <v>0</v>
      </c>
      <c r="X544" s="65">
        <f t="shared" si="340"/>
        <v>0</v>
      </c>
      <c r="Y544" s="65">
        <f t="shared" si="341"/>
        <v>0</v>
      </c>
      <c r="Z544" s="65">
        <f t="shared" si="342"/>
        <v>0</v>
      </c>
      <c r="AA544" s="65">
        <f t="shared" si="343"/>
        <v>0</v>
      </c>
      <c r="AB544" s="65">
        <f t="shared" si="344"/>
        <v>0</v>
      </c>
      <c r="AC544" s="65">
        <f t="shared" si="345"/>
        <v>0</v>
      </c>
      <c r="AD544" s="65">
        <f t="shared" si="346"/>
        <v>0</v>
      </c>
      <c r="AE544" s="65">
        <f t="shared" si="347"/>
        <v>0</v>
      </c>
      <c r="AF544" s="65">
        <f t="shared" si="348"/>
        <v>0</v>
      </c>
      <c r="AG544" s="16">
        <f t="shared" si="357"/>
        <v>17370.83947799704</v>
      </c>
      <c r="AH544" s="14" t="str">
        <f t="shared" si="358"/>
        <v>ok</v>
      </c>
    </row>
    <row r="545" spans="1:34" x14ac:dyDescent="0.25">
      <c r="B545" s="2" t="s">
        <v>691</v>
      </c>
      <c r="E545" s="16">
        <f>SUM(E525:E544)</f>
        <v>80803906.423628137</v>
      </c>
      <c r="F545" s="16">
        <f t="shared" ref="F545:N545" si="359">SUM(F525:F544)</f>
        <v>54351187.504385993</v>
      </c>
      <c r="G545" s="16">
        <f t="shared" si="359"/>
        <v>4219795.4204464843</v>
      </c>
      <c r="H545" s="16">
        <f t="shared" si="359"/>
        <v>11252554.520602945</v>
      </c>
      <c r="I545" s="16">
        <f t="shared" si="359"/>
        <v>831742.75178414118</v>
      </c>
      <c r="J545" s="16">
        <f t="shared" si="359"/>
        <v>688269.43901164306</v>
      </c>
      <c r="K545" s="16">
        <f t="shared" si="359"/>
        <v>628779.17969818343</v>
      </c>
      <c r="L545" s="16">
        <f t="shared" si="359"/>
        <v>4440060.7271490349</v>
      </c>
      <c r="M545" s="16">
        <f t="shared" si="359"/>
        <v>3502029.8063769592</v>
      </c>
      <c r="N545" s="16">
        <f t="shared" si="359"/>
        <v>889487.07417274162</v>
      </c>
      <c r="O545" s="16">
        <f t="shared" ref="O545:X545" si="360">SUM(O537:O538)</f>
        <v>0</v>
      </c>
      <c r="P545" s="16">
        <f t="shared" si="360"/>
        <v>0</v>
      </c>
      <c r="Q545" s="16">
        <f t="shared" si="360"/>
        <v>0</v>
      </c>
      <c r="R545" s="16">
        <f t="shared" si="360"/>
        <v>0</v>
      </c>
      <c r="S545" s="16">
        <f t="shared" si="360"/>
        <v>0</v>
      </c>
      <c r="T545" s="16">
        <f t="shared" si="360"/>
        <v>0</v>
      </c>
      <c r="U545" s="16">
        <f t="shared" si="360"/>
        <v>0</v>
      </c>
      <c r="V545" s="16">
        <f t="shared" si="360"/>
        <v>0</v>
      </c>
      <c r="W545" s="16">
        <f t="shared" si="360"/>
        <v>0</v>
      </c>
      <c r="X545" s="16">
        <f t="shared" si="360"/>
        <v>0</v>
      </c>
      <c r="Y545" s="33">
        <f t="shared" ref="Y545:AF545" si="361">SUM(Y537:Y537)</f>
        <v>0</v>
      </c>
      <c r="Z545" s="33">
        <f t="shared" si="361"/>
        <v>0</v>
      </c>
      <c r="AA545" s="33">
        <f t="shared" si="361"/>
        <v>0</v>
      </c>
      <c r="AB545" s="33">
        <f t="shared" si="361"/>
        <v>0</v>
      </c>
      <c r="AC545" s="33">
        <f t="shared" si="361"/>
        <v>0</v>
      </c>
      <c r="AD545" s="33">
        <f t="shared" si="361"/>
        <v>0</v>
      </c>
      <c r="AE545" s="33">
        <f t="shared" si="361"/>
        <v>0</v>
      </c>
      <c r="AF545" s="33">
        <f t="shared" si="361"/>
        <v>0</v>
      </c>
      <c r="AG545" s="16">
        <f t="shared" si="353"/>
        <v>80803906.423628137</v>
      </c>
      <c r="AH545" s="14" t="str">
        <f t="shared" si="354"/>
        <v>ok</v>
      </c>
    </row>
    <row r="546" spans="1:34" x14ac:dyDescent="0.25">
      <c r="E546" s="33"/>
    </row>
    <row r="547" spans="1:34" x14ac:dyDescent="0.25">
      <c r="A547" s="2" t="s">
        <v>562</v>
      </c>
      <c r="E547" s="16">
        <f>E522+E545</f>
        <v>111597783.63362814</v>
      </c>
      <c r="F547" s="16">
        <f t="shared" ref="F547:N547" si="362">F522+F545</f>
        <v>77154312.293430448</v>
      </c>
      <c r="G547" s="16">
        <f t="shared" si="362"/>
        <v>6752588.7929715831</v>
      </c>
      <c r="H547" s="16">
        <f t="shared" si="362"/>
        <v>13945412.93510198</v>
      </c>
      <c r="I547" s="16">
        <f t="shared" si="362"/>
        <v>1198094.4076146358</v>
      </c>
      <c r="J547" s="16">
        <f t="shared" si="362"/>
        <v>951257.428784427</v>
      </c>
      <c r="K547" s="16">
        <f t="shared" si="362"/>
        <v>632172.33567042591</v>
      </c>
      <c r="L547" s="16">
        <f t="shared" si="362"/>
        <v>4472618.6347368713</v>
      </c>
      <c r="M547" s="16">
        <f t="shared" si="362"/>
        <v>4138356.3107163319</v>
      </c>
      <c r="N547" s="16">
        <f t="shared" si="362"/>
        <v>2352970.4946014038</v>
      </c>
      <c r="O547" s="16">
        <f t="shared" ref="O547:Z547" si="363">O520+O545</f>
        <v>0</v>
      </c>
      <c r="P547" s="16">
        <f t="shared" si="363"/>
        <v>0</v>
      </c>
      <c r="Q547" s="16">
        <f t="shared" si="363"/>
        <v>0</v>
      </c>
      <c r="R547" s="16">
        <f t="shared" si="363"/>
        <v>0</v>
      </c>
      <c r="S547" s="16">
        <f t="shared" si="363"/>
        <v>0</v>
      </c>
      <c r="T547" s="16">
        <f t="shared" si="363"/>
        <v>0</v>
      </c>
      <c r="U547" s="16">
        <f t="shared" si="363"/>
        <v>0</v>
      </c>
      <c r="V547" s="16">
        <f t="shared" si="363"/>
        <v>0</v>
      </c>
      <c r="W547" s="16">
        <f t="shared" si="363"/>
        <v>0</v>
      </c>
      <c r="X547" s="16">
        <f t="shared" si="363"/>
        <v>0</v>
      </c>
      <c r="Y547" s="16">
        <f t="shared" si="363"/>
        <v>0</v>
      </c>
      <c r="Z547" s="16">
        <f t="shared" si="363"/>
        <v>0</v>
      </c>
      <c r="AA547" s="16">
        <f t="shared" ref="AA547:AF547" si="364">SUM(AA520:AA537)</f>
        <v>0</v>
      </c>
      <c r="AB547" s="16">
        <f t="shared" si="364"/>
        <v>0</v>
      </c>
      <c r="AC547" s="16">
        <f t="shared" si="364"/>
        <v>0</v>
      </c>
      <c r="AD547" s="16">
        <f t="shared" si="364"/>
        <v>0</v>
      </c>
      <c r="AE547" s="16">
        <f t="shared" si="364"/>
        <v>0</v>
      </c>
      <c r="AF547" s="16">
        <f t="shared" si="364"/>
        <v>0</v>
      </c>
      <c r="AG547" s="16">
        <f>SUM(F547:AF547)</f>
        <v>111597783.6336281</v>
      </c>
      <c r="AH547" s="14" t="str">
        <f>IF(ABS(E547-AG547)&lt;0.01,"ok","err")</f>
        <v>ok</v>
      </c>
    </row>
    <row r="550" spans="1:34" x14ac:dyDescent="0.25">
      <c r="A550" s="7" t="s">
        <v>563</v>
      </c>
      <c r="E550" s="16">
        <f t="shared" ref="E550:AF550" si="365">E515-E547</f>
        <v>2813808.3644880801</v>
      </c>
      <c r="F550" s="16">
        <f t="shared" si="365"/>
        <v>-2677451.257730931</v>
      </c>
      <c r="G550" s="16">
        <f t="shared" si="365"/>
        <v>1089511.5507907225</v>
      </c>
      <c r="H550" s="16">
        <f t="shared" si="365"/>
        <v>1869151.334692562</v>
      </c>
      <c r="I550" s="16">
        <f t="shared" si="365"/>
        <v>304694.69409092865</v>
      </c>
      <c r="J550" s="16">
        <f t="shared" si="365"/>
        <v>-67580.238672231324</v>
      </c>
      <c r="K550" s="16">
        <f t="shared" si="365"/>
        <v>135750.45169664721</v>
      </c>
      <c r="L550" s="16">
        <f t="shared" si="365"/>
        <v>688101.72514126264</v>
      </c>
      <c r="M550" s="16">
        <f t="shared" si="365"/>
        <v>-32537.150588167831</v>
      </c>
      <c r="N550" s="16">
        <f t="shared" si="365"/>
        <v>1504167.2548915367</v>
      </c>
      <c r="O550" s="16">
        <f t="shared" si="365"/>
        <v>0</v>
      </c>
      <c r="P550" s="16">
        <f t="shared" si="365"/>
        <v>0</v>
      </c>
      <c r="Q550" s="16">
        <f t="shared" si="365"/>
        <v>0</v>
      </c>
      <c r="R550" s="16">
        <f t="shared" si="365"/>
        <v>0</v>
      </c>
      <c r="S550" s="16">
        <f t="shared" si="365"/>
        <v>0</v>
      </c>
      <c r="T550" s="16">
        <f t="shared" si="365"/>
        <v>0</v>
      </c>
      <c r="U550" s="16">
        <f t="shared" si="365"/>
        <v>0</v>
      </c>
      <c r="V550" s="16">
        <f t="shared" si="365"/>
        <v>0</v>
      </c>
      <c r="W550" s="16">
        <f t="shared" si="365"/>
        <v>0</v>
      </c>
      <c r="X550" s="16">
        <f t="shared" si="365"/>
        <v>0</v>
      </c>
      <c r="Y550" s="16">
        <f t="shared" si="365"/>
        <v>0</v>
      </c>
      <c r="Z550" s="16">
        <f t="shared" si="365"/>
        <v>0</v>
      </c>
      <c r="AA550" s="16">
        <f t="shared" si="365"/>
        <v>0</v>
      </c>
      <c r="AB550" s="16">
        <f t="shared" si="365"/>
        <v>0</v>
      </c>
      <c r="AC550" s="16">
        <f t="shared" si="365"/>
        <v>0</v>
      </c>
      <c r="AD550" s="16">
        <f t="shared" si="365"/>
        <v>0</v>
      </c>
      <c r="AE550" s="16">
        <f t="shared" si="365"/>
        <v>0</v>
      </c>
      <c r="AF550" s="16">
        <f t="shared" si="365"/>
        <v>0</v>
      </c>
      <c r="AG550" s="16">
        <f>SUM(F550:AF550)</f>
        <v>2813808.3643123293</v>
      </c>
      <c r="AH550" s="14" t="str">
        <f>IF(ABS(E550-AG550)&lt;0.01,"ok","err")</f>
        <v>ok</v>
      </c>
    </row>
    <row r="552" spans="1:34" x14ac:dyDescent="0.25">
      <c r="A552" s="8" t="s">
        <v>692</v>
      </c>
      <c r="E552" s="16">
        <f t="shared" ref="E552:AF552" si="366">E488</f>
        <v>200206008.80125001</v>
      </c>
      <c r="F552" s="16">
        <f t="shared" si="366"/>
        <v>142443004.04082671</v>
      </c>
      <c r="G552" s="16">
        <f t="shared" si="366"/>
        <v>15825972.671067962</v>
      </c>
      <c r="H552" s="16">
        <f t="shared" si="366"/>
        <v>18329388.327377338</v>
      </c>
      <c r="I552" s="16">
        <f t="shared" si="366"/>
        <v>2773775.3723908262</v>
      </c>
      <c r="J552" s="16">
        <f t="shared" si="366"/>
        <v>1850944.8674697804</v>
      </c>
      <c r="K552" s="16">
        <f t="shared" si="366"/>
        <v>18328.315609605885</v>
      </c>
      <c r="L552" s="16">
        <f t="shared" si="366"/>
        <v>272781.37718562334</v>
      </c>
      <c r="M552" s="16">
        <f t="shared" si="366"/>
        <v>4150385.4639716614</v>
      </c>
      <c r="N552" s="16">
        <f t="shared" si="366"/>
        <v>14541428.36535047</v>
      </c>
      <c r="O552" s="16">
        <f t="shared" si="366"/>
        <v>0</v>
      </c>
      <c r="P552" s="16">
        <f t="shared" si="366"/>
        <v>0</v>
      </c>
      <c r="Q552" s="16">
        <f t="shared" si="366"/>
        <v>0</v>
      </c>
      <c r="R552" s="16">
        <f t="shared" si="366"/>
        <v>0</v>
      </c>
      <c r="S552" s="16">
        <f t="shared" si="366"/>
        <v>0</v>
      </c>
      <c r="T552" s="16">
        <f t="shared" si="366"/>
        <v>0</v>
      </c>
      <c r="U552" s="16">
        <f t="shared" si="366"/>
        <v>0</v>
      </c>
      <c r="V552" s="16">
        <f t="shared" si="366"/>
        <v>0</v>
      </c>
      <c r="W552" s="16">
        <f t="shared" si="366"/>
        <v>0</v>
      </c>
      <c r="X552" s="16">
        <f t="shared" si="366"/>
        <v>0</v>
      </c>
      <c r="Y552" s="16">
        <f t="shared" si="366"/>
        <v>0</v>
      </c>
      <c r="Z552" s="16">
        <f t="shared" si="366"/>
        <v>0</v>
      </c>
      <c r="AA552" s="16">
        <f t="shared" si="366"/>
        <v>0</v>
      </c>
      <c r="AB552" s="16">
        <f t="shared" si="366"/>
        <v>0</v>
      </c>
      <c r="AC552" s="16">
        <f t="shared" si="366"/>
        <v>0</v>
      </c>
      <c r="AD552" s="16">
        <f t="shared" si="366"/>
        <v>0</v>
      </c>
      <c r="AE552" s="16">
        <f t="shared" si="366"/>
        <v>0</v>
      </c>
      <c r="AF552" s="16">
        <f t="shared" si="366"/>
        <v>0</v>
      </c>
      <c r="AG552" s="16">
        <f>SUM(F552:AF552)</f>
        <v>200206008.80124998</v>
      </c>
      <c r="AH552" s="14" t="str">
        <f>IF(ABS(E552-AG552)&lt;0.01,"ok","err")</f>
        <v>ok</v>
      </c>
    </row>
    <row r="553" spans="1:34" x14ac:dyDescent="0.25">
      <c r="A553" s="8" t="s">
        <v>697</v>
      </c>
      <c r="D553" s="2" t="s">
        <v>237</v>
      </c>
      <c r="E553" s="16">
        <v>0</v>
      </c>
      <c r="F553" s="65">
        <f>IF(VLOOKUP($D553,$C$5:$AU$836,3,)=0,0,(VLOOKUP($D553,$C$5:$AU$836,4,)/VLOOKUP($D553,$C$5:$AU$836,3,))*$E553)</f>
        <v>0</v>
      </c>
      <c r="G553" s="65">
        <f>IF(VLOOKUP($D553,$C$5:$AU$836,3,)=0,0,(VLOOKUP($D553,$C$5:$AU$836,5,)/VLOOKUP($D553,$C$5:$AU$836,3,))*$E553)</f>
        <v>0</v>
      </c>
      <c r="H553" s="65">
        <f>IF(VLOOKUP($D553,$C$5:$AU$836,3,)=0,0,(VLOOKUP($D553,$C$5:$AU$836,6,)/VLOOKUP($D553,$C$5:$AU$836,3,))*$E553)</f>
        <v>0</v>
      </c>
      <c r="I553" s="65">
        <f>IF(VLOOKUP($D553,$C$5:$AU$836,3,)=0,0,(VLOOKUP($D553,$C$5:$AU$836,7,)/VLOOKUP($D553,$C$5:$AU$836,3,))*$E553)</f>
        <v>0</v>
      </c>
      <c r="J553" s="65">
        <f>IF(VLOOKUP($D553,$C$5:$AU$836,3,)=0,0,(VLOOKUP($D553,$C$5:$AU$836,8,)/VLOOKUP($D553,$C$5:$AU$836,3,))*$E553)</f>
        <v>0</v>
      </c>
      <c r="K553" s="65">
        <f>IF(VLOOKUP($D553,$C$5:$AU$836,3,)=0,0,(VLOOKUP($D553,$C$5:$AU$836,9,)/VLOOKUP($D553,$C$5:$AU$836,3,))*$E553)</f>
        <v>0</v>
      </c>
      <c r="L553" s="65">
        <f>IF(VLOOKUP($D553,$C$5:$AU$836,3,)=0,0,(VLOOKUP($D553,$C$5:$AU$836,10,)/VLOOKUP($D553,$C$5:$AU$836,3,))*$E553)</f>
        <v>0</v>
      </c>
      <c r="M553" s="65">
        <f>IF(VLOOKUP($D553,$C$5:$AU$836,3,)=0,0,(VLOOKUP($D553,$C$5:$AU$836,11,)/VLOOKUP($D553,$C$5:$AU$836,3,))*$E553)</f>
        <v>0</v>
      </c>
      <c r="N553" s="65">
        <f>IF(VLOOKUP($D553,$C$5:$AU$836,3,)=0,0,(VLOOKUP($D553,$C$5:$AU$836,12,)/VLOOKUP($D553,$C$5:$AU$836,3,))*$E553)</f>
        <v>0</v>
      </c>
      <c r="O553" s="65">
        <f>IF(VLOOKUP($D553,$C$5:$AU$836,3,)=0,0,(VLOOKUP($D553,$C$5:$AU$836,13,)/VLOOKUP($D553,$C$5:$AU$836,3,))*$E553)</f>
        <v>0</v>
      </c>
      <c r="P553" s="65">
        <f>IF(VLOOKUP($D553,$C$5:$AU$836,3,)=0,0,(VLOOKUP($D553,$C$5:$AU$836,14,)/VLOOKUP($D553,$C$5:$AU$836,3,))*$E553)</f>
        <v>0</v>
      </c>
      <c r="Q553" s="65">
        <f>IF(VLOOKUP($D553,$C$5:$AU$836,3,)=0,0,(VLOOKUP($D553,$C$5:$AU$836,15,)/VLOOKUP($D553,$C$5:$AU$836,3,))*$E553)</f>
        <v>0</v>
      </c>
      <c r="R553" s="65">
        <f>IF(VLOOKUP($D553,$C$5:$AU$836,3,)=0,0,(VLOOKUP($D553,$C$5:$AU$836,16,)/VLOOKUP($D553,$C$5:$AU$836,3,))*$E553)</f>
        <v>0</v>
      </c>
      <c r="S553" s="65">
        <f>IF(VLOOKUP($D553,$C$5:$AU$836,3,)=0,0,(VLOOKUP($D553,$C$5:$AU$836,17,)/VLOOKUP($D553,$C$5:$AU$836,3,))*$E553)</f>
        <v>0</v>
      </c>
      <c r="T553" s="65">
        <f>IF(VLOOKUP($D553,$C$5:$AU$836,3,)=0,0,(VLOOKUP($D553,$C$5:$AU$836,18,)/VLOOKUP($D553,$C$5:$AU$836,3,))*$E553)</f>
        <v>0</v>
      </c>
      <c r="U553" s="65">
        <f>IF(VLOOKUP($D553,$C$5:$AU$836,3,)=0,0,(VLOOKUP($D553,$C$5:$AU$836,19,)/VLOOKUP($D553,$C$5:$AU$836,3,))*$E553)</f>
        <v>0</v>
      </c>
      <c r="V553" s="65">
        <f>IF(VLOOKUP($D553,$C$5:$AU$836,3,)=0,0,(VLOOKUP($D553,$C$5:$AU$836,20,)/VLOOKUP($D553,$C$5:$AU$836,3,))*$E553)</f>
        <v>0</v>
      </c>
      <c r="W553" s="65">
        <f>IF(VLOOKUP($D553,$C$5:$AU$836,3,)=0,0,(VLOOKUP($D553,$C$5:$AU$836,21,)/VLOOKUP($D553,$C$5:$AU$836,3,))*$E553)</f>
        <v>0</v>
      </c>
      <c r="X553" s="65">
        <f>IF(VLOOKUP($D553,$C$5:$AU$836,3,)=0,0,(VLOOKUP($D553,$C$5:$AU$836,22,)/VLOOKUP($D553,$C$5:$AU$836,3,))*$E553)</f>
        <v>0</v>
      </c>
      <c r="Y553" s="65">
        <f>IF(VLOOKUP($D553,$C$5:$AU$836,3,)=0,0,(VLOOKUP($D553,$C$5:$AU$836,23,)/VLOOKUP($D553,$C$5:$AU$836,3,))*$E553)</f>
        <v>0</v>
      </c>
      <c r="Z553" s="65">
        <f>IF(VLOOKUP($D553,$C$5:$AU$836,3,)=0,0,(VLOOKUP($D553,$C$5:$AU$836,24,)/VLOOKUP($D553,$C$5:$AU$836,3,))*$E553)</f>
        <v>0</v>
      </c>
      <c r="AG553" s="16">
        <f>SUM(F553:AF553)</f>
        <v>0</v>
      </c>
      <c r="AH553" s="14" t="str">
        <f>IF(ABS(E553-AG553)&lt;0.01,"ok","err")</f>
        <v>ok</v>
      </c>
    </row>
    <row r="554" spans="1:34" x14ac:dyDescent="0.25">
      <c r="A554" s="8" t="s">
        <v>693</v>
      </c>
      <c r="E554" s="16">
        <f t="shared" ref="E554:N554" si="367">E552+E553</f>
        <v>200206008.80125001</v>
      </c>
      <c r="F554" s="16">
        <f t="shared" si="367"/>
        <v>142443004.04082671</v>
      </c>
      <c r="G554" s="16">
        <f t="shared" si="367"/>
        <v>15825972.671067962</v>
      </c>
      <c r="H554" s="16">
        <f t="shared" si="367"/>
        <v>18329388.327377338</v>
      </c>
      <c r="I554" s="16">
        <f t="shared" si="367"/>
        <v>2773775.3723908262</v>
      </c>
      <c r="J554" s="16">
        <f t="shared" si="367"/>
        <v>1850944.8674697804</v>
      </c>
      <c r="K554" s="16">
        <f t="shared" si="367"/>
        <v>18328.315609605885</v>
      </c>
      <c r="L554" s="16">
        <f t="shared" si="367"/>
        <v>272781.37718562334</v>
      </c>
      <c r="M554" s="16">
        <f t="shared" si="367"/>
        <v>4150385.4639716614</v>
      </c>
      <c r="N554" s="16">
        <f t="shared" si="367"/>
        <v>14541428.36535047</v>
      </c>
      <c r="O554" s="16">
        <f t="shared" ref="O554:X554" si="368">O552+O553</f>
        <v>0</v>
      </c>
      <c r="P554" s="16">
        <f t="shared" si="368"/>
        <v>0</v>
      </c>
      <c r="Q554" s="16">
        <f t="shared" si="368"/>
        <v>0</v>
      </c>
      <c r="R554" s="16">
        <f t="shared" si="368"/>
        <v>0</v>
      </c>
      <c r="S554" s="16">
        <f t="shared" si="368"/>
        <v>0</v>
      </c>
      <c r="T554" s="16">
        <f t="shared" si="368"/>
        <v>0</v>
      </c>
      <c r="U554" s="16">
        <f t="shared" si="368"/>
        <v>0</v>
      </c>
      <c r="V554" s="16">
        <f t="shared" si="368"/>
        <v>0</v>
      </c>
      <c r="W554" s="16">
        <f t="shared" si="368"/>
        <v>0</v>
      </c>
      <c r="X554" s="16">
        <f t="shared" si="368"/>
        <v>0</v>
      </c>
      <c r="Y554" s="16"/>
      <c r="Z554" s="16"/>
      <c r="AA554" s="16"/>
      <c r="AB554" s="16"/>
      <c r="AC554" s="16"/>
      <c r="AD554" s="16"/>
      <c r="AE554" s="16"/>
      <c r="AF554" s="16"/>
      <c r="AG554" s="16">
        <f>SUM(F554:AF554)</f>
        <v>200206008.80124998</v>
      </c>
      <c r="AH554" s="14" t="str">
        <f>IF(ABS(E554-AG554)&lt;0.01,"ok","err")</f>
        <v>ok</v>
      </c>
    </row>
    <row r="555" spans="1:34" ht="15.75" thickBot="1" x14ac:dyDescent="0.3"/>
    <row r="556" spans="1:34" ht="15.75" thickBot="1" x14ac:dyDescent="0.3">
      <c r="A556" s="67" t="s">
        <v>313</v>
      </c>
      <c r="B556" s="68"/>
      <c r="C556" s="68"/>
      <c r="D556" s="68"/>
      <c r="E556" s="69">
        <f t="shared" ref="E556:N556" si="369">E550/E554</f>
        <v>1.405456500199964E-2</v>
      </c>
      <c r="F556" s="69">
        <f t="shared" si="369"/>
        <v>-1.8796649760092998E-2</v>
      </c>
      <c r="G556" s="69">
        <f t="shared" si="369"/>
        <v>6.8843259964836048E-2</v>
      </c>
      <c r="H556" s="69">
        <f t="shared" si="369"/>
        <v>0.10197565250449411</v>
      </c>
      <c r="I556" s="69">
        <f t="shared" si="369"/>
        <v>0.10984836664271783</v>
      </c>
      <c r="J556" s="69">
        <f t="shared" si="369"/>
        <v>-3.6511211036022215E-2</v>
      </c>
      <c r="K556" s="69">
        <f t="shared" si="369"/>
        <v>7.4065972339269575</v>
      </c>
      <c r="L556" s="69">
        <f t="shared" si="369"/>
        <v>2.5225392299160529</v>
      </c>
      <c r="M556" s="69">
        <f t="shared" si="369"/>
        <v>-7.8395490902263797E-3</v>
      </c>
      <c r="N556" s="69">
        <f t="shared" si="369"/>
        <v>0.10344013098986125</v>
      </c>
      <c r="O556" s="69" t="e">
        <f t="shared" ref="O556:V556" si="370">O550/O554</f>
        <v>#DIV/0!</v>
      </c>
      <c r="P556" s="69" t="e">
        <f t="shared" si="370"/>
        <v>#DIV/0!</v>
      </c>
      <c r="Q556" s="69" t="e">
        <f t="shared" si="370"/>
        <v>#DIV/0!</v>
      </c>
      <c r="R556" s="69" t="e">
        <f t="shared" si="370"/>
        <v>#DIV/0!</v>
      </c>
      <c r="S556" s="69" t="e">
        <f t="shared" si="370"/>
        <v>#DIV/0!</v>
      </c>
      <c r="T556" s="69" t="e">
        <f t="shared" si="370"/>
        <v>#DIV/0!</v>
      </c>
      <c r="U556" s="69" t="e">
        <f t="shared" si="370"/>
        <v>#DIV/0!</v>
      </c>
      <c r="V556" s="69" t="e">
        <f t="shared" si="370"/>
        <v>#DIV/0!</v>
      </c>
      <c r="W556" s="69" t="e">
        <f t="shared" ref="W556:AF556" si="371">W550/W552</f>
        <v>#DIV/0!</v>
      </c>
      <c r="X556" s="69" t="e">
        <f t="shared" si="371"/>
        <v>#DIV/0!</v>
      </c>
      <c r="Y556" s="69" t="e">
        <f t="shared" si="371"/>
        <v>#DIV/0!</v>
      </c>
      <c r="Z556" s="69" t="e">
        <f t="shared" si="371"/>
        <v>#DIV/0!</v>
      </c>
      <c r="AA556" s="69" t="e">
        <f t="shared" si="371"/>
        <v>#DIV/0!</v>
      </c>
      <c r="AB556" s="69" t="e">
        <f t="shared" si="371"/>
        <v>#DIV/0!</v>
      </c>
      <c r="AC556" s="69" t="e">
        <f t="shared" si="371"/>
        <v>#DIV/0!</v>
      </c>
      <c r="AD556" s="69" t="e">
        <f t="shared" si="371"/>
        <v>#DIV/0!</v>
      </c>
      <c r="AE556" s="69" t="e">
        <f t="shared" si="371"/>
        <v>#DIV/0!</v>
      </c>
      <c r="AF556" s="69" t="e">
        <f t="shared" si="371"/>
        <v>#DIV/0!</v>
      </c>
      <c r="AG556" s="46"/>
      <c r="AH556" s="46"/>
    </row>
    <row r="558" spans="1:34" x14ac:dyDescent="0.25">
      <c r="D558" s="16"/>
      <c r="E558" s="16"/>
      <c r="Q558" s="72"/>
    </row>
    <row r="559" spans="1:34" ht="15.75" thickBot="1" x14ac:dyDescent="0.3">
      <c r="E559" s="73"/>
    </row>
    <row r="560" spans="1:34" ht="15.75" thickBot="1" x14ac:dyDescent="0.3">
      <c r="A560" s="67" t="s">
        <v>704</v>
      </c>
      <c r="B560" s="68"/>
      <c r="C560" s="68"/>
      <c r="D560" s="68"/>
      <c r="E560" s="69">
        <f t="shared" ref="E560:X560" si="372">E550/E515</f>
        <v>2.4593734912231702E-2</v>
      </c>
      <c r="F560" s="69">
        <f t="shared" si="372"/>
        <v>-3.5950108805572908E-2</v>
      </c>
      <c r="G560" s="69">
        <f t="shared" si="372"/>
        <v>0.13893109027319858</v>
      </c>
      <c r="H560" s="69">
        <f t="shared" si="372"/>
        <v>0.11819176948571378</v>
      </c>
      <c r="I560" s="69">
        <f t="shared" si="372"/>
        <v>0.20275279727882023</v>
      </c>
      <c r="J560" s="69">
        <f t="shared" si="372"/>
        <v>-7.6476160557738315E-2</v>
      </c>
      <c r="K560" s="69">
        <f t="shared" si="372"/>
        <v>0.17677617324273701</v>
      </c>
      <c r="L560" s="69">
        <f t="shared" si="372"/>
        <v>0.1333344334040823</v>
      </c>
      <c r="M560" s="69">
        <f t="shared" si="372"/>
        <v>-7.9246428834805708E-3</v>
      </c>
      <c r="N560" s="69">
        <f t="shared" si="372"/>
        <v>0.38996980470538667</v>
      </c>
      <c r="O560" s="69" t="e">
        <f t="shared" si="372"/>
        <v>#DIV/0!</v>
      </c>
      <c r="P560" s="69" t="e">
        <f t="shared" si="372"/>
        <v>#DIV/0!</v>
      </c>
      <c r="Q560" s="69" t="e">
        <f t="shared" si="372"/>
        <v>#DIV/0!</v>
      </c>
      <c r="R560" s="69" t="e">
        <f t="shared" si="372"/>
        <v>#DIV/0!</v>
      </c>
      <c r="S560" s="69" t="e">
        <f t="shared" si="372"/>
        <v>#DIV/0!</v>
      </c>
      <c r="T560" s="69" t="e">
        <f t="shared" si="372"/>
        <v>#DIV/0!</v>
      </c>
      <c r="U560" s="69" t="e">
        <f t="shared" si="372"/>
        <v>#DIV/0!</v>
      </c>
      <c r="V560" s="69" t="e">
        <f t="shared" si="372"/>
        <v>#DIV/0!</v>
      </c>
      <c r="W560" s="69" t="e">
        <f t="shared" si="372"/>
        <v>#DIV/0!</v>
      </c>
      <c r="X560" s="69" t="e">
        <f t="shared" si="372"/>
        <v>#DIV/0!</v>
      </c>
      <c r="Y560" s="69" t="e">
        <f t="shared" ref="Y560:AF560" si="373">Y556/Y558</f>
        <v>#DIV/0!</v>
      </c>
      <c r="Z560" s="69" t="e">
        <f t="shared" si="373"/>
        <v>#DIV/0!</v>
      </c>
      <c r="AA560" s="69" t="e">
        <f t="shared" si="373"/>
        <v>#DIV/0!</v>
      </c>
      <c r="AB560" s="69" t="e">
        <f t="shared" si="373"/>
        <v>#DIV/0!</v>
      </c>
      <c r="AC560" s="69" t="e">
        <f t="shared" si="373"/>
        <v>#DIV/0!</v>
      </c>
      <c r="AD560" s="69" t="e">
        <f t="shared" si="373"/>
        <v>#DIV/0!</v>
      </c>
      <c r="AE560" s="69" t="e">
        <f t="shared" si="373"/>
        <v>#DIV/0!</v>
      </c>
      <c r="AF560" s="74" t="e">
        <f t="shared" si="373"/>
        <v>#DIV/0!</v>
      </c>
      <c r="AG560" s="75"/>
      <c r="AH560" s="14"/>
    </row>
    <row r="562" spans="1:34" x14ac:dyDescent="0.25">
      <c r="D562" s="16">
        <f>F562+G562+H562+J562+K562+L562+M562+N562</f>
        <v>7485949.2946394244</v>
      </c>
      <c r="E562" s="16">
        <f>0.05*E554-E550</f>
        <v>7196492.0755744204</v>
      </c>
      <c r="F562" s="16">
        <f t="shared" ref="F562:M562" si="374">0.050675*F554-F550</f>
        <v>9895750.4874998238</v>
      </c>
      <c r="G562" s="16">
        <f t="shared" si="374"/>
        <v>-287530.38568435353</v>
      </c>
      <c r="H562" s="16">
        <f t="shared" si="374"/>
        <v>-940309.5812027154</v>
      </c>
      <c r="I562" s="16">
        <f t="shared" si="374"/>
        <v>-164133.62709502355</v>
      </c>
      <c r="J562" s="16">
        <f t="shared" si="374"/>
        <v>161376.86983126245</v>
      </c>
      <c r="K562" s="16">
        <f t="shared" si="374"/>
        <v>-134821.66430313044</v>
      </c>
      <c r="L562" s="16">
        <f t="shared" si="374"/>
        <v>-674278.52885238116</v>
      </c>
      <c r="M562" s="16">
        <f t="shared" si="374"/>
        <v>242857.93397493177</v>
      </c>
      <c r="N562" s="16">
        <f t="shared" ref="N562" si="375">0.05*N554-N550</f>
        <v>-777095.83662401314</v>
      </c>
      <c r="AG562" s="33">
        <f>SUM(F562:N562)</f>
        <v>7321815.6675444013</v>
      </c>
    </row>
    <row r="563" spans="1:34" x14ac:dyDescent="0.25">
      <c r="E563" s="16">
        <v>3303075</v>
      </c>
      <c r="F563" s="33">
        <f>F562/$D$562*$E$563</f>
        <v>4366367.5447153682</v>
      </c>
      <c r="G563" s="33">
        <f t="shared" ref="G563:J563" si="376">G562/$D$562*$E$563</f>
        <v>-126868.936899484</v>
      </c>
      <c r="H563" s="33">
        <f t="shared" si="376"/>
        <v>-414899.02585304133</v>
      </c>
      <c r="I563" s="33">
        <v>0</v>
      </c>
      <c r="J563" s="33">
        <f t="shared" si="376"/>
        <v>71205.385361025503</v>
      </c>
      <c r="K563" s="33">
        <f t="shared" ref="K563" si="377">K562/$D$562*$E$563</f>
        <v>-59488.256103598491</v>
      </c>
      <c r="L563" s="33">
        <f t="shared" ref="L563" si="378">L562/$D$562*$E$563</f>
        <v>-297516.38222876261</v>
      </c>
      <c r="M563" s="33">
        <f t="shared" ref="M563" si="379">M562/$D$562*$E$563</f>
        <v>107157.81508681542</v>
      </c>
      <c r="N563" s="33">
        <f t="shared" ref="N563" si="380">(N562/$D$562)*$E$563</f>
        <v>-342883.14407832193</v>
      </c>
      <c r="AG563" s="33">
        <f>SUM(F563:N563)</f>
        <v>3303075.0000000009</v>
      </c>
    </row>
    <row r="564" spans="1:34" x14ac:dyDescent="0.25">
      <c r="E564" s="24">
        <f t="shared" ref="E564:N564" si="381">(E550+E563)/E554</f>
        <v>3.0552945943597917E-2</v>
      </c>
      <c r="F564" s="24">
        <f t="shared" si="381"/>
        <v>1.1856786497568975E-2</v>
      </c>
      <c r="G564" s="24">
        <f t="shared" si="381"/>
        <v>6.0826758259925506E-2</v>
      </c>
      <c r="H564" s="24">
        <f t="shared" si="381"/>
        <v>7.9339925744679907E-2</v>
      </c>
      <c r="I564" s="24">
        <f t="shared" si="381"/>
        <v>0.10984836664271783</v>
      </c>
      <c r="J564" s="24">
        <f t="shared" si="381"/>
        <v>1.958538448392421E-3</v>
      </c>
      <c r="K564" s="24">
        <f t="shared" si="381"/>
        <v>4.1608949353250804</v>
      </c>
      <c r="L564" s="24">
        <f t="shared" si="381"/>
        <v>1.4318622002069921</v>
      </c>
      <c r="M564" s="24">
        <f t="shared" si="381"/>
        <v>1.7979213050548861E-2</v>
      </c>
      <c r="N564" s="24">
        <f t="shared" si="381"/>
        <v>7.9860387964385923E-2</v>
      </c>
    </row>
    <row r="565" spans="1:34" x14ac:dyDescent="0.25">
      <c r="E565" s="188">
        <f>E562+E512</f>
        <v>7730326.9461106602</v>
      </c>
      <c r="F565" s="187">
        <f t="shared" ref="F565:N565" si="382">F563/F465</f>
        <v>5.8886685106975992E-2</v>
      </c>
      <c r="G565" s="187">
        <f t="shared" si="382"/>
        <v>-1.6242689744091432E-2</v>
      </c>
      <c r="H565" s="187">
        <f t="shared" si="382"/>
        <v>-2.6397114520313219E-2</v>
      </c>
      <c r="I565" s="187">
        <f t="shared" si="382"/>
        <v>0</v>
      </c>
      <c r="J565" s="187">
        <f t="shared" si="382"/>
        <v>8.4162028682218643E-2</v>
      </c>
      <c r="K565" s="187">
        <f t="shared" si="382"/>
        <v>-3.4079244847102355E-2</v>
      </c>
      <c r="L565" s="187">
        <f t="shared" si="382"/>
        <v>-6.7561351083849003E-2</v>
      </c>
      <c r="M565" s="187">
        <f t="shared" si="382"/>
        <v>2.5194583654746281E-2</v>
      </c>
      <c r="N565" s="187">
        <f t="shared" si="382"/>
        <v>-9.2242139723382841E-2</v>
      </c>
    </row>
    <row r="566" spans="1:34" x14ac:dyDescent="0.25">
      <c r="E566" s="17">
        <v>-41000</v>
      </c>
      <c r="F566" s="15">
        <f t="shared" ref="F566:K566" si="383">(F563/$AG$594)*$E$566</f>
        <v>-46654.973798410363</v>
      </c>
      <c r="G566" s="15">
        <f t="shared" si="383"/>
        <v>1355.6043705119312</v>
      </c>
      <c r="H566" s="15">
        <f t="shared" si="383"/>
        <v>4433.228073891215</v>
      </c>
      <c r="I566" s="15">
        <f t="shared" si="383"/>
        <v>0</v>
      </c>
      <c r="J566" s="15">
        <f t="shared" si="383"/>
        <v>-760.83503147715783</v>
      </c>
      <c r="K566" s="15">
        <f t="shared" si="383"/>
        <v>635.63660214212121</v>
      </c>
      <c r="L566" s="15">
        <v>0</v>
      </c>
      <c r="M566" s="15">
        <v>0</v>
      </c>
      <c r="N566" s="15">
        <f>(N563/$AG$594)*$E$566</f>
        <v>3663.7328257563095</v>
      </c>
    </row>
    <row r="567" spans="1:34" x14ac:dyDescent="0.25">
      <c r="F567" s="33">
        <f t="shared" ref="F567:N567" si="384">F563+F566</f>
        <v>4319712.5709169582</v>
      </c>
      <c r="G567" s="33">
        <f t="shared" si="384"/>
        <v>-125513.33252897207</v>
      </c>
      <c r="H567" s="33">
        <f t="shared" si="384"/>
        <v>-410465.79777915013</v>
      </c>
      <c r="I567" s="33">
        <f t="shared" si="384"/>
        <v>0</v>
      </c>
      <c r="J567" s="33">
        <f t="shared" si="384"/>
        <v>70444.55032954835</v>
      </c>
      <c r="K567" s="33">
        <f t="shared" si="384"/>
        <v>-58852.619501456371</v>
      </c>
      <c r="L567" s="33">
        <f t="shared" si="384"/>
        <v>-297516.38222876261</v>
      </c>
      <c r="M567" s="33">
        <f t="shared" si="384"/>
        <v>107157.81508681542</v>
      </c>
      <c r="N567" s="33">
        <f t="shared" si="384"/>
        <v>-339219.41125256562</v>
      </c>
      <c r="AG567" s="33">
        <f>SUM(F567:N567)</f>
        <v>3265747.3930424154</v>
      </c>
    </row>
    <row r="568" spans="1:34" x14ac:dyDescent="0.25">
      <c r="E568" s="24"/>
      <c r="F568" s="24"/>
      <c r="G568" s="24"/>
      <c r="H568" s="24"/>
      <c r="I568" s="24"/>
      <c r="J568" s="24"/>
      <c r="K568" s="24"/>
      <c r="L568" s="24"/>
      <c r="M568" s="24"/>
      <c r="N568" s="24"/>
    </row>
    <row r="569" spans="1:34" x14ac:dyDescent="0.25">
      <c r="A569" s="5" t="s">
        <v>957</v>
      </c>
      <c r="E569" s="24"/>
      <c r="F569" s="24"/>
      <c r="G569" s="24"/>
      <c r="H569" s="24"/>
      <c r="I569" s="24"/>
      <c r="J569" s="24"/>
      <c r="K569" s="24"/>
      <c r="L569" s="24"/>
      <c r="M569" s="24"/>
      <c r="N569" s="24"/>
    </row>
    <row r="570" spans="1:34" x14ac:dyDescent="0.25">
      <c r="E570" s="24"/>
      <c r="F570" s="24"/>
      <c r="G570" s="24"/>
      <c r="H570" s="24"/>
      <c r="I570" s="24"/>
      <c r="J570" s="24"/>
      <c r="K570" s="24"/>
      <c r="L570" s="24"/>
      <c r="M570" s="24"/>
      <c r="N570" s="24"/>
    </row>
    <row r="571" spans="1:34" x14ac:dyDescent="0.25">
      <c r="A571" s="7" t="s">
        <v>301</v>
      </c>
      <c r="E571" s="24"/>
      <c r="F571" s="24"/>
      <c r="G571" s="24"/>
      <c r="H571" s="24"/>
      <c r="I571" s="24"/>
      <c r="J571" s="24"/>
      <c r="K571" s="24"/>
      <c r="L571" s="24"/>
      <c r="M571" s="24"/>
      <c r="N571" s="24"/>
    </row>
    <row r="572" spans="1:34" x14ac:dyDescent="0.25">
      <c r="E572" s="24"/>
      <c r="F572" s="24"/>
      <c r="G572" s="24"/>
      <c r="H572" s="24"/>
      <c r="I572" s="24"/>
      <c r="J572" s="24"/>
      <c r="K572" s="24"/>
      <c r="L572" s="24"/>
      <c r="M572" s="24"/>
      <c r="N572" s="24"/>
    </row>
    <row r="573" spans="1:34" x14ac:dyDescent="0.25">
      <c r="A573" s="2" t="s">
        <v>559</v>
      </c>
      <c r="E573" s="188">
        <f>E515</f>
        <v>114411591.99811623</v>
      </c>
      <c r="F573" s="188">
        <f t="shared" ref="F573:N573" si="385">F515</f>
        <v>74476861.035699517</v>
      </c>
      <c r="G573" s="188">
        <f t="shared" si="385"/>
        <v>7842100.3437623056</v>
      </c>
      <c r="H573" s="188">
        <f t="shared" si="385"/>
        <v>15814564.269794542</v>
      </c>
      <c r="I573" s="188">
        <f t="shared" si="385"/>
        <v>1502789.1017055644</v>
      </c>
      <c r="J573" s="188">
        <f t="shared" si="385"/>
        <v>883677.19011219568</v>
      </c>
      <c r="K573" s="188">
        <f t="shared" si="385"/>
        <v>767922.78736707312</v>
      </c>
      <c r="L573" s="188">
        <f t="shared" si="385"/>
        <v>5160720.359878134</v>
      </c>
      <c r="M573" s="188">
        <f t="shared" si="385"/>
        <v>4105819.1601281641</v>
      </c>
      <c r="N573" s="188">
        <f t="shared" si="385"/>
        <v>3857137.7494929405</v>
      </c>
      <c r="AG573" s="16">
        <f>SUM(F573:N573)</f>
        <v>114411591.99794044</v>
      </c>
      <c r="AH573" s="14" t="str">
        <f>IF(ABS(E573-AG573)&lt;0.01,"ok","err")</f>
        <v>ok</v>
      </c>
    </row>
    <row r="574" spans="1:34" x14ac:dyDescent="0.25">
      <c r="E574" s="24"/>
      <c r="F574" s="24"/>
      <c r="G574" s="24"/>
      <c r="H574" s="24"/>
      <c r="I574" s="24"/>
      <c r="J574" s="24"/>
      <c r="K574" s="24"/>
      <c r="L574" s="24"/>
      <c r="M574" s="24"/>
      <c r="N574" s="24"/>
    </row>
    <row r="575" spans="1:34" x14ac:dyDescent="0.25">
      <c r="A575" s="2" t="s">
        <v>560</v>
      </c>
    </row>
    <row r="576" spans="1:34" x14ac:dyDescent="0.25">
      <c r="B576" s="9" t="s">
        <v>958</v>
      </c>
      <c r="E576" s="13">
        <v>8685395.9902539086</v>
      </c>
      <c r="F576" s="13">
        <v>7173877.8600829812</v>
      </c>
      <c r="G576" s="13">
        <v>309991.66282836534</v>
      </c>
      <c r="H576" s="13">
        <v>633972.33649697341</v>
      </c>
      <c r="I576" s="13">
        <v>59520.755850617075</v>
      </c>
      <c r="J576" s="13">
        <v>97663.559084951994</v>
      </c>
      <c r="K576" s="13">
        <v>7967.1055612857454</v>
      </c>
      <c r="L576" s="13">
        <v>51471.839862884954</v>
      </c>
      <c r="M576" s="13">
        <v>199796.44188148156</v>
      </c>
      <c r="N576" s="13">
        <v>151134.42860436812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6">
        <f>SUM(F576:AF576)</f>
        <v>8685395.9902539086</v>
      </c>
      <c r="AH576" s="14" t="str">
        <f>IF(ABS(E576-AG576)&lt;0.01,"ok","err")</f>
        <v>ok</v>
      </c>
    </row>
    <row r="577" spans="1:34" x14ac:dyDescent="0.25">
      <c r="E577" s="24"/>
      <c r="F577" s="24"/>
      <c r="G577" s="24"/>
      <c r="H577" s="24"/>
      <c r="I577" s="24"/>
      <c r="J577" s="24"/>
      <c r="K577" s="24"/>
      <c r="L577" s="24"/>
      <c r="M577" s="24"/>
      <c r="N577" s="24"/>
    </row>
    <row r="578" spans="1:34" x14ac:dyDescent="0.25">
      <c r="A578" s="2" t="s">
        <v>561</v>
      </c>
      <c r="E578" s="188">
        <f>E573+E576</f>
        <v>123096987.98837014</v>
      </c>
      <c r="F578" s="188">
        <f t="shared" ref="F578:N578" si="386">F573+F576</f>
        <v>81650738.895782501</v>
      </c>
      <c r="G578" s="188">
        <f t="shared" si="386"/>
        <v>8152092.0065906709</v>
      </c>
      <c r="H578" s="188">
        <f t="shared" si="386"/>
        <v>16448536.606291516</v>
      </c>
      <c r="I578" s="188">
        <f t="shared" si="386"/>
        <v>1562309.8575561815</v>
      </c>
      <c r="J578" s="188">
        <f t="shared" si="386"/>
        <v>981340.74919714767</v>
      </c>
      <c r="K578" s="188">
        <f t="shared" si="386"/>
        <v>775889.89292835887</v>
      </c>
      <c r="L578" s="188">
        <f t="shared" si="386"/>
        <v>5212192.1997410189</v>
      </c>
      <c r="M578" s="188">
        <f t="shared" si="386"/>
        <v>4305615.6020096457</v>
      </c>
      <c r="N578" s="188">
        <f t="shared" si="386"/>
        <v>4008272.1780973086</v>
      </c>
      <c r="AG578" s="16">
        <f>SUM(F578:AF578)</f>
        <v>123096987.98819433</v>
      </c>
      <c r="AH578" s="14" t="str">
        <f>IF(ABS(E578-AG578)&lt;0.01,"ok","err")</f>
        <v>ok</v>
      </c>
    </row>
    <row r="579" spans="1:34" x14ac:dyDescent="0.25">
      <c r="E579" s="24"/>
      <c r="F579" s="24"/>
      <c r="G579" s="24"/>
      <c r="H579" s="24"/>
      <c r="I579" s="24"/>
      <c r="J579" s="24"/>
      <c r="K579" s="24"/>
      <c r="L579" s="24"/>
      <c r="M579" s="24"/>
      <c r="N579" s="24"/>
    </row>
    <row r="580" spans="1:34" x14ac:dyDescent="0.25">
      <c r="A580" s="7" t="s">
        <v>306</v>
      </c>
      <c r="E580" s="24"/>
      <c r="F580" s="24"/>
      <c r="G580" s="24"/>
      <c r="H580" s="24"/>
      <c r="I580" s="24"/>
      <c r="J580" s="24"/>
      <c r="K580" s="24"/>
      <c r="L580" s="24"/>
      <c r="M580" s="24"/>
      <c r="N580" s="24"/>
    </row>
    <row r="581" spans="1:34" x14ac:dyDescent="0.25">
      <c r="E581" s="24"/>
      <c r="F581" s="24"/>
      <c r="G581" s="24"/>
      <c r="H581" s="24"/>
      <c r="I581" s="24"/>
      <c r="J581" s="24"/>
      <c r="K581" s="24"/>
      <c r="L581" s="24"/>
      <c r="M581" s="24"/>
      <c r="N581" s="24"/>
    </row>
    <row r="582" spans="1:34" x14ac:dyDescent="0.25">
      <c r="A582" s="2" t="s">
        <v>562</v>
      </c>
      <c r="E582" s="188">
        <f>E547</f>
        <v>111597783.63362814</v>
      </c>
      <c r="F582" s="188">
        <f t="shared" ref="F582:N582" si="387">F547</f>
        <v>77154312.293430448</v>
      </c>
      <c r="G582" s="188">
        <f t="shared" si="387"/>
        <v>6752588.7929715831</v>
      </c>
      <c r="H582" s="188">
        <f t="shared" si="387"/>
        <v>13945412.93510198</v>
      </c>
      <c r="I582" s="188">
        <f t="shared" si="387"/>
        <v>1198094.4076146358</v>
      </c>
      <c r="J582" s="188">
        <f t="shared" si="387"/>
        <v>951257.428784427</v>
      </c>
      <c r="K582" s="188">
        <f t="shared" si="387"/>
        <v>632172.33567042591</v>
      </c>
      <c r="L582" s="188">
        <f t="shared" si="387"/>
        <v>4472618.6347368713</v>
      </c>
      <c r="M582" s="188">
        <f t="shared" si="387"/>
        <v>4138356.3107163319</v>
      </c>
      <c r="N582" s="188">
        <f t="shared" si="387"/>
        <v>2352970.4946014038</v>
      </c>
      <c r="AG582" s="16">
        <f>SUM(F582:AF582)</f>
        <v>111597783.6336281</v>
      </c>
      <c r="AH582" s="14" t="str">
        <f>IF(ABS(E582-AG582)&lt;0.01,"ok","err")</f>
        <v>ok</v>
      </c>
    </row>
    <row r="583" spans="1:34" x14ac:dyDescent="0.25">
      <c r="E583" s="24"/>
      <c r="F583" s="24"/>
      <c r="G583" s="24"/>
      <c r="H583" s="24"/>
      <c r="I583" s="24"/>
      <c r="J583" s="24"/>
      <c r="K583" s="24"/>
      <c r="L583" s="24"/>
      <c r="M583" s="24"/>
      <c r="N583" s="24"/>
    </row>
    <row r="584" spans="1:34" x14ac:dyDescent="0.25">
      <c r="A584" s="7" t="s">
        <v>563</v>
      </c>
      <c r="E584" s="188">
        <f>E578-E582</f>
        <v>11499204.354741991</v>
      </c>
      <c r="F584" s="188">
        <f t="shared" ref="F584:N584" si="388">F578-F582</f>
        <v>4496426.6023520529</v>
      </c>
      <c r="G584" s="188">
        <f t="shared" si="388"/>
        <v>1399503.2136190878</v>
      </c>
      <c r="H584" s="188">
        <f t="shared" si="388"/>
        <v>2503123.6711895354</v>
      </c>
      <c r="I584" s="188">
        <f t="shared" si="388"/>
        <v>364215.44994154572</v>
      </c>
      <c r="J584" s="188">
        <f t="shared" si="388"/>
        <v>30083.32041272067</v>
      </c>
      <c r="K584" s="188">
        <f t="shared" si="388"/>
        <v>143717.55725793296</v>
      </c>
      <c r="L584" s="188">
        <f t="shared" si="388"/>
        <v>739573.56500414759</v>
      </c>
      <c r="M584" s="188">
        <f t="shared" si="388"/>
        <v>167259.29129331373</v>
      </c>
      <c r="N584" s="188">
        <f t="shared" si="388"/>
        <v>1655301.6834959048</v>
      </c>
      <c r="AG584" s="16">
        <f>SUM(F584:AF584)</f>
        <v>11499204.354566243</v>
      </c>
      <c r="AH584" s="14" t="str">
        <f>IF(ABS(E584-AG584)&lt;0.01,"ok","err")</f>
        <v>ok</v>
      </c>
    </row>
    <row r="585" spans="1:34" x14ac:dyDescent="0.25">
      <c r="E585" s="24"/>
      <c r="F585" s="24"/>
      <c r="G585" s="24"/>
      <c r="H585" s="24"/>
      <c r="I585" s="24"/>
      <c r="J585" s="24"/>
      <c r="K585" s="24"/>
      <c r="L585" s="24"/>
      <c r="M585" s="24"/>
      <c r="N585" s="24"/>
    </row>
    <row r="586" spans="1:34" x14ac:dyDescent="0.25">
      <c r="A586" s="8" t="s">
        <v>693</v>
      </c>
      <c r="E586" s="188">
        <f>E554</f>
        <v>200206008.80125001</v>
      </c>
      <c r="F586" s="188">
        <f t="shared" ref="F586:N586" si="389">F554</f>
        <v>142443004.04082671</v>
      </c>
      <c r="G586" s="188">
        <f t="shared" si="389"/>
        <v>15825972.671067962</v>
      </c>
      <c r="H586" s="188">
        <f t="shared" si="389"/>
        <v>18329388.327377338</v>
      </c>
      <c r="I586" s="188">
        <f t="shared" si="389"/>
        <v>2773775.3723908262</v>
      </c>
      <c r="J586" s="188">
        <f t="shared" si="389"/>
        <v>1850944.8674697804</v>
      </c>
      <c r="K586" s="188">
        <f t="shared" si="389"/>
        <v>18328.315609605885</v>
      </c>
      <c r="L586" s="188">
        <f t="shared" si="389"/>
        <v>272781.37718562334</v>
      </c>
      <c r="M586" s="188">
        <f t="shared" si="389"/>
        <v>4150385.4639716614</v>
      </c>
      <c r="N586" s="188">
        <f t="shared" si="389"/>
        <v>14541428.36535047</v>
      </c>
      <c r="AG586" s="16">
        <f>SUM(F586:AF586)</f>
        <v>200206008.80124998</v>
      </c>
      <c r="AH586" s="14" t="str">
        <f>IF(ABS(E586-AG586)&lt;0.01,"ok","err")</f>
        <v>ok</v>
      </c>
    </row>
    <row r="587" spans="1:34" ht="15.75" thickBot="1" x14ac:dyDescent="0.3">
      <c r="E587" s="24"/>
      <c r="F587" s="24"/>
      <c r="G587" s="24"/>
      <c r="H587" s="24"/>
      <c r="I587" s="24"/>
      <c r="J587" s="24"/>
      <c r="K587" s="24"/>
      <c r="L587" s="24"/>
      <c r="M587" s="24"/>
      <c r="N587" s="24"/>
    </row>
    <row r="588" spans="1:34" ht="15.75" thickBot="1" x14ac:dyDescent="0.3">
      <c r="A588" s="67" t="s">
        <v>313</v>
      </c>
      <c r="B588" s="68"/>
      <c r="C588" s="68"/>
      <c r="D588" s="68"/>
      <c r="E588" s="69">
        <f>E584/E586</f>
        <v>5.743685928106966E-2</v>
      </c>
      <c r="F588" s="69">
        <f t="shared" ref="F588:N588" si="390">F584/F586</f>
        <v>3.1566496597216505E-2</v>
      </c>
      <c r="G588" s="69">
        <f t="shared" si="390"/>
        <v>8.8430786701506864E-2</v>
      </c>
      <c r="H588" s="69">
        <f t="shared" si="390"/>
        <v>0.13656340443454912</v>
      </c>
      <c r="I588" s="69">
        <f t="shared" si="390"/>
        <v>0.13130675741331357</v>
      </c>
      <c r="J588" s="69">
        <f t="shared" si="390"/>
        <v>1.6252953257243265E-2</v>
      </c>
      <c r="K588" s="69">
        <f t="shared" si="390"/>
        <v>7.8412855997858566</v>
      </c>
      <c r="L588" s="69">
        <f t="shared" si="390"/>
        <v>2.7112318759974574</v>
      </c>
      <c r="M588" s="69">
        <f t="shared" si="390"/>
        <v>4.0299700532696298E-2</v>
      </c>
      <c r="N588" s="69">
        <f t="shared" si="390"/>
        <v>0.1138334998396844</v>
      </c>
    </row>
    <row r="590" spans="1:34" x14ac:dyDescent="0.25">
      <c r="D590" s="16"/>
      <c r="E590" s="16"/>
    </row>
    <row r="591" spans="1:34" ht="15.75" thickBot="1" x14ac:dyDescent="0.3">
      <c r="E591" s="73"/>
    </row>
    <row r="592" spans="1:34" ht="15.75" thickBot="1" x14ac:dyDescent="0.3">
      <c r="A592" s="67" t="s">
        <v>704</v>
      </c>
      <c r="B592" s="68"/>
      <c r="C592" s="68"/>
      <c r="D592" s="68"/>
      <c r="E592" s="69">
        <f>E584/E578</f>
        <v>9.3415806045785657E-2</v>
      </c>
      <c r="F592" s="69">
        <f t="shared" ref="F592:N592" si="391">F584/F578</f>
        <v>5.5069025255132215E-2</v>
      </c>
      <c r="G592" s="69">
        <f t="shared" si="391"/>
        <v>0.17167411904669871</v>
      </c>
      <c r="H592" s="69">
        <f t="shared" si="391"/>
        <v>0.15217911058617203</v>
      </c>
      <c r="I592" s="69">
        <f t="shared" si="391"/>
        <v>0.2331262573682176</v>
      </c>
      <c r="J592" s="69">
        <f t="shared" si="391"/>
        <v>3.065532582574643E-2</v>
      </c>
      <c r="K592" s="69">
        <f t="shared" si="391"/>
        <v>0.18522931999476761</v>
      </c>
      <c r="L592" s="69">
        <f t="shared" si="391"/>
        <v>0.14189299562684876</v>
      </c>
      <c r="M592" s="69">
        <f t="shared" si="391"/>
        <v>3.884677750035221E-2</v>
      </c>
      <c r="N592" s="69">
        <f t="shared" si="391"/>
        <v>0.41297137767766606</v>
      </c>
    </row>
    <row r="593" spans="1:34" x14ac:dyDescent="0.25">
      <c r="E593" s="24"/>
      <c r="F593" s="24"/>
      <c r="G593" s="24"/>
      <c r="H593" s="24"/>
      <c r="I593" s="24"/>
      <c r="J593" s="24"/>
      <c r="K593" s="24"/>
      <c r="L593" s="24"/>
      <c r="M593" s="24"/>
      <c r="N593" s="24"/>
    </row>
    <row r="594" spans="1:34" x14ac:dyDescent="0.25">
      <c r="A594" s="5" t="s">
        <v>558</v>
      </c>
      <c r="AG594" s="33">
        <f>F563+G563+I563+K563+N563</f>
        <v>3837127.2076339638</v>
      </c>
    </row>
    <row r="596" spans="1:34" x14ac:dyDescent="0.25">
      <c r="A596" s="8" t="s">
        <v>314</v>
      </c>
    </row>
    <row r="597" spans="1:34" x14ac:dyDescent="0.25">
      <c r="A597" s="2" t="s">
        <v>315</v>
      </c>
      <c r="C597" s="2" t="s">
        <v>217</v>
      </c>
      <c r="D597" s="2" t="s">
        <v>867</v>
      </c>
      <c r="E597" s="43">
        <v>1</v>
      </c>
      <c r="F597" s="76">
        <f>IF(VLOOKUP($D597,$C$5:$AU$836,3,)=0,0,(VLOOKUP($D597,$C$5:$AU$836,4,)/VLOOKUP($D597,$C$5:$AU$836,3,))*$E597)</f>
        <v>0.62883394740231535</v>
      </c>
      <c r="G597" s="76">
        <f>IF(VLOOKUP($D597,$C$5:$AU$836,3,)=0,0,(VLOOKUP($D597,$C$5:$AU$836,5,)/VLOOKUP($D597,$C$5:$AU$836,3,))*$E597)</f>
        <v>5.6075873000493187E-2</v>
      </c>
      <c r="H597" s="76">
        <f>IF(VLOOKUP($D597,$C$5:$AU$836,3,)=0,0,(VLOOKUP($D597,$C$5:$AU$836,6,)/VLOOKUP($D597,$C$5:$AU$836,3,))*$E597)</f>
        <v>0.15559726943607294</v>
      </c>
      <c r="I597" s="76">
        <f>IF(VLOOKUP($D597,$C$5:$AU$836,3,)=0,0,(VLOOKUP($D597,$C$5:$AU$836,7,)/VLOOKUP($D597,$C$5:$AU$836,3,))*$E597)</f>
        <v>1.102067531352788E-2</v>
      </c>
      <c r="J597" s="76">
        <f>IF(VLOOKUP($D597,$C$5:$AU$836,3,)=0,0,(VLOOKUP($D597,$C$5:$AU$836,8,)/VLOOKUP($D597,$C$5:$AU$836,3,))*$E597)</f>
        <v>8.7264197153014544E-3</v>
      </c>
      <c r="K597" s="76">
        <f>IF(VLOOKUP($D597,$C$5:$AU$836,3,)=0,0,(VLOOKUP($D597,$C$5:$AU$836,9,)/VLOOKUP($D597,$C$5:$AU$836,3,))*$E597)</f>
        <v>9.0974580969355266E-3</v>
      </c>
      <c r="L597" s="76">
        <f>IF(VLOOKUP($D597,$C$5:$AU$836,3,)=0,0,(VLOOKUP($D597,$C$5:$AU$836,10,)/VLOOKUP($D597,$C$5:$AU$836,3,))*$E597)</f>
        <v>6.6290544050479683E-2</v>
      </c>
      <c r="M597" s="77">
        <f>IF(VLOOKUP($D597,$C$5:$AU$836,3,)=0,0,(VLOOKUP($D597,$C$5:$AU$836,11,)/VLOOKUP($D597,$C$5:$AU$836,3,))*$E597)</f>
        <v>5.1406711450804797E-2</v>
      </c>
      <c r="N597" s="77">
        <f>IF(VLOOKUP($D597,$C$5:$AU$836,3,)=0,0,(VLOOKUP($D597,$C$5:$AU$836,12,)/VLOOKUP($D597,$C$5:$AU$836,3,))*$E597)</f>
        <v>1.295110153356294E-2</v>
      </c>
      <c r="O597" s="76">
        <f>IF(VLOOKUP($D597,$C$5:$AU$836,3,)=0,0,(VLOOKUP($D597,$C$5:$AU$836,13,)/VLOOKUP($D597,$C$5:$AU$836,3,))*$E597)</f>
        <v>0</v>
      </c>
      <c r="P597" s="76">
        <f>IF(VLOOKUP($D597,$C$5:$AU$836,3,)=0,0,(VLOOKUP($D597,$C$5:$AU$836,14,)/VLOOKUP($D597,$C$5:$AU$836,3,))*$E597)</f>
        <v>0</v>
      </c>
      <c r="Q597" s="76">
        <f>IF(VLOOKUP($D597,$C$5:$AU$836,3,)=0,0,(VLOOKUP($D597,$C$5:$AU$836,15,)/VLOOKUP($D597,$C$5:$AU$836,3,))*$E597)</f>
        <v>0</v>
      </c>
      <c r="R597" s="76">
        <f>IF(VLOOKUP($D597,$C$5:$AU$836,3,)=0,0,(VLOOKUP($D597,$C$5:$AU$836,16,)/VLOOKUP($D597,$C$5:$AU$836,3,))*$E597)</f>
        <v>0</v>
      </c>
      <c r="S597" s="76">
        <f>IF(VLOOKUP($D597,$C$5:$AU$836,3,)=0,0,(VLOOKUP($D597,$C$5:$AU$836,17,)/VLOOKUP($D597,$C$5:$AU$836,3,))*$E597)</f>
        <v>0</v>
      </c>
      <c r="T597" s="76">
        <f>IF(VLOOKUP($D597,$C$5:$AU$836,3,)=0,0,(VLOOKUP($D597,$C$5:$AU$836,18,)/VLOOKUP($D597,$C$5:$AU$836,3,))*$E597)</f>
        <v>0</v>
      </c>
      <c r="U597" s="76">
        <f>IF(VLOOKUP($D597,$C$5:$AU$836,3,)=0,0,(VLOOKUP($D597,$C$5:$AU$836,19,)/VLOOKUP($D597,$C$5:$AU$836,3,))*$E597)</f>
        <v>0</v>
      </c>
      <c r="V597" s="76">
        <f>IF(VLOOKUP($D597,$C$5:$AU$836,3,)=0,0,(VLOOKUP($D597,$C$5:$AU$836,20,)/VLOOKUP($D597,$C$5:$AU$836,3,))*$E597)</f>
        <v>0</v>
      </c>
      <c r="W597" s="76">
        <f>IF(VLOOKUP($D597,$C$5:$AU$836,3,)=0,0,(VLOOKUP($D597,$C$5:$AU$836,21,)/VLOOKUP($D597,$C$5:$AU$836,3,))*$E597)</f>
        <v>0</v>
      </c>
      <c r="X597" s="76">
        <f>IF(VLOOKUP($D597,$C$5:$AU$836,3,)=0,0,(VLOOKUP($D597,$C$5:$AU$836,22,)/VLOOKUP($D597,$C$5:$AU$836,3,))*$E597)</f>
        <v>0</v>
      </c>
      <c r="Y597" s="76">
        <f>IF(VLOOKUP($D597,$C$5:$AU$836,3,)=0,0,(VLOOKUP($D597,$C$5:$AU$836,23,)/VLOOKUP($D597,$C$5:$AU$836,3,))*$E597)</f>
        <v>0</v>
      </c>
      <c r="Z597" s="76">
        <f>IF(VLOOKUP($D597,$C$5:$AU$836,3,)=0,0,(VLOOKUP($D597,$C$5:$AU$836,24,)/VLOOKUP($D597,$C$5:$AU$836,3,))*$E597)</f>
        <v>0</v>
      </c>
      <c r="AA597" s="76">
        <f>IF(VLOOKUP($D597,$C$5:$AU$836,3,)=0,0,(VLOOKUP($D597,$C$5:$AU$836,25,)/VLOOKUP($D597,$C$5:$AU$836,3,))*$E597)</f>
        <v>0</v>
      </c>
      <c r="AB597" s="76">
        <f>IF(VLOOKUP($D597,$C$5:$AU$836,3,)=0,0,(VLOOKUP($D597,$C$5:$AU$836,26,)/VLOOKUP($D597,$C$5:$AU$836,3,))*$E597)</f>
        <v>0</v>
      </c>
      <c r="AC597" s="76">
        <f>IF(VLOOKUP($D597,$C$5:$AU$836,3,)=0,0,(VLOOKUP($D597,$C$5:$AU$836,27,)/VLOOKUP($D597,$C$5:$AU$836,3,))*$E597)</f>
        <v>0</v>
      </c>
      <c r="AD597" s="76">
        <f>IF(VLOOKUP($D597,$C$5:$AU$836,3,)=0,0,(VLOOKUP($D597,$C$5:$AU$836,28,)/VLOOKUP($D597,$C$5:$AU$836,3,))*$E597)</f>
        <v>0</v>
      </c>
      <c r="AE597" s="76">
        <f>IF(VLOOKUP($D597,$C$5:$AU$836,3,)=0,0,(VLOOKUP($D597,$C$5:$AU$836,29,)/VLOOKUP($D597,$C$5:$AU$836,3,))*$E597)</f>
        <v>0</v>
      </c>
      <c r="AF597" s="76">
        <f>IF(VLOOKUP($D597,$C$5:$AU$836,3,)=0,0,(VLOOKUP($D597,$C$5:$AU$836,30,)/VLOOKUP($D597,$C$5:$AU$836,3,))*$E597)</f>
        <v>0</v>
      </c>
      <c r="AG597" s="43">
        <f>SUM(F597:AF597)</f>
        <v>0.99999999999949385</v>
      </c>
      <c r="AH597" s="14" t="str">
        <f>IF(ABS(E597-AG597)&lt;0.01,"ok","err")</f>
        <v>ok</v>
      </c>
    </row>
    <row r="598" spans="1:34" x14ac:dyDescent="0.25">
      <c r="M598" s="78"/>
      <c r="N598" s="78"/>
    </row>
    <row r="599" spans="1:34" x14ac:dyDescent="0.25">
      <c r="M599" s="78"/>
      <c r="N599" s="78"/>
    </row>
    <row r="600" spans="1:34" x14ac:dyDescent="0.25">
      <c r="M600" s="78"/>
      <c r="N600" s="78"/>
    </row>
    <row r="601" spans="1:34" x14ac:dyDescent="0.25">
      <c r="A601" s="8" t="s">
        <v>316</v>
      </c>
      <c r="M601" s="78"/>
      <c r="N601" s="78"/>
    </row>
    <row r="602" spans="1:34" x14ac:dyDescent="0.25">
      <c r="A602" s="2" t="s">
        <v>317</v>
      </c>
      <c r="C602" s="2" t="s">
        <v>215</v>
      </c>
      <c r="D602" s="2" t="s">
        <v>722</v>
      </c>
      <c r="E602" s="79">
        <v>1</v>
      </c>
      <c r="F602" s="76">
        <f>IF(VLOOKUP($D602,$C$5:$AU$836,3,)=0,0,(VLOOKUP($D602,$C$5:$AU$836,4,)/VLOOKUP($D602,$C$5:$AU$836,3,))*$E602)</f>
        <v>0.77593515884885422</v>
      </c>
      <c r="G602" s="76">
        <f>IF(VLOOKUP($D602,$C$5:$AU$836,3,)=0,0,(VLOOKUP($D602,$C$5:$AU$836,5,)/VLOOKUP($D602,$C$5:$AU$836,3,))*$E602)</f>
        <v>4.1611190175830336E-2</v>
      </c>
      <c r="H602" s="76">
        <f>IF(VLOOKUP($D602,$C$5:$AU$836,3,)=0,0,(VLOOKUP($D602,$C$5:$AU$836,6,)/VLOOKUP($D602,$C$5:$AU$836,3,))*$E602)</f>
        <v>9.2215110050557311E-2</v>
      </c>
      <c r="I602" s="76">
        <f>IF(VLOOKUP($D602,$C$5:$AU$836,3,)=0,0,(VLOOKUP($D602,$C$5:$AU$836,7,)/VLOOKUP($D602,$C$5:$AU$836,3,))*$E602)</f>
        <v>8.2700122646778389E-3</v>
      </c>
      <c r="J602" s="76">
        <f>IF(VLOOKUP($D602,$C$5:$AU$836,3,)=0,0,(VLOOKUP($D602,$C$5:$AU$836,8,)/VLOOKUP($D602,$C$5:$AU$836,3,))*$E602)</f>
        <v>6.2559092100889554E-3</v>
      </c>
      <c r="K602" s="76">
        <f>IF(VLOOKUP($D602,$C$5:$AU$836,3,)=0,0,(VLOOKUP($D602,$C$5:$AU$836,9,)/VLOOKUP($D602,$C$5:$AU$836,3,))*$E602)</f>
        <v>4.2041186080599589E-3</v>
      </c>
      <c r="L602" s="76">
        <f>IF(VLOOKUP($D602,$C$5:$AU$836,3,)=0,0,(VLOOKUP($D602,$C$5:$AU$836,10,)/VLOOKUP($D602,$C$5:$AU$836,3,))*$E602)</f>
        <v>3.4469042141872082E-2</v>
      </c>
      <c r="M602" s="77">
        <f>IF(VLOOKUP($D602,$C$5:$AU$836,3,)=0,0,(VLOOKUP($D602,$C$5:$AU$836,11,)/VLOOKUP($D602,$C$5:$AU$836,3,))*$E602)</f>
        <v>3.0228419942911491E-2</v>
      </c>
      <c r="N602" s="77">
        <f>IF(VLOOKUP($D602,$C$5:$AU$836,3,)=0,0,(VLOOKUP($D602,$C$5:$AU$836,12,)/VLOOKUP($D602,$C$5:$AU$836,3,))*$E602)</f>
        <v>6.8110387571476945E-3</v>
      </c>
      <c r="O602" s="76">
        <f>IF(VLOOKUP($D602,$C$5:$AU$836,3,)=0,0,(VLOOKUP($D602,$C$5:$AU$836,13,)/VLOOKUP($D602,$C$5:$AU$836,3,))*$E602)</f>
        <v>0</v>
      </c>
      <c r="P602" s="76">
        <f>IF(VLOOKUP($D602,$C$5:$AU$836,3,)=0,0,(VLOOKUP($D602,$C$5:$AU$836,14,)/VLOOKUP($D602,$C$5:$AU$836,3,))*$E602)</f>
        <v>0</v>
      </c>
      <c r="Q602" s="76">
        <f>IF(VLOOKUP($D602,$C$5:$AU$836,3,)=0,0,(VLOOKUP($D602,$C$5:$AU$836,15,)/VLOOKUP($D602,$C$5:$AU$836,3,))*$E602)</f>
        <v>0</v>
      </c>
      <c r="R602" s="76">
        <f>IF(VLOOKUP($D602,$C$5:$AU$836,3,)=0,0,(VLOOKUP($D602,$C$5:$AU$836,16,)/VLOOKUP($D602,$C$5:$AU$836,3,))*$E602)</f>
        <v>0</v>
      </c>
      <c r="S602" s="76">
        <f>IF(VLOOKUP($D602,$C$5:$AU$836,3,)=0,0,(VLOOKUP($D602,$C$5:$AU$836,17,)/VLOOKUP($D602,$C$5:$AU$836,3,))*$E602)</f>
        <v>0</v>
      </c>
      <c r="T602" s="76">
        <f>IF(VLOOKUP($D602,$C$5:$AU$836,3,)=0,0,(VLOOKUP($D602,$C$5:$AU$836,18,)/VLOOKUP($D602,$C$5:$AU$836,3,))*$E602)</f>
        <v>0</v>
      </c>
      <c r="U602" s="76">
        <f>IF(VLOOKUP($D602,$C$5:$AU$836,3,)=0,0,(VLOOKUP($D602,$C$5:$AU$836,19,)/VLOOKUP($D602,$C$5:$AU$836,3,))*$E602)</f>
        <v>0</v>
      </c>
      <c r="V602" s="76">
        <f>IF(VLOOKUP($D602,$C$5:$AU$836,3,)=0,0,(VLOOKUP($D602,$C$5:$AU$836,20,)/VLOOKUP($D602,$C$5:$AU$836,3,))*$E602)</f>
        <v>0</v>
      </c>
      <c r="W602" s="76">
        <f>IF(VLOOKUP($D602,$C$5:$AU$836,3,)=0,0,(VLOOKUP($D602,$C$5:$AU$836,21,)/VLOOKUP($D602,$C$5:$AU$836,3,))*$E602)</f>
        <v>0</v>
      </c>
      <c r="X602" s="76">
        <f>IF(VLOOKUP($D602,$C$5:$AU$836,3,)=0,0,(VLOOKUP($D602,$C$5:$AU$836,22,)/VLOOKUP($D602,$C$5:$AU$836,3,))*$E602)</f>
        <v>0</v>
      </c>
      <c r="Y602" s="76">
        <f>IF(VLOOKUP($D602,$C$5:$AU$836,3,)=0,0,(VLOOKUP($D602,$C$5:$AU$836,23,)/VLOOKUP($D602,$C$5:$AU$836,3,))*$E602)</f>
        <v>0</v>
      </c>
      <c r="Z602" s="76">
        <f>IF(VLOOKUP($D602,$C$5:$AU$836,3,)=0,0,(VLOOKUP($D602,$C$5:$AU$836,24,)/VLOOKUP($D602,$C$5:$AU$836,3,))*$E602)</f>
        <v>0</v>
      </c>
      <c r="AA602" s="76">
        <f>IF(VLOOKUP($D602,$C$5:$AU$836,3,)=0,0,(VLOOKUP($D602,$C$5:$AU$836,25,)/VLOOKUP($D602,$C$5:$AU$836,3,))*$E602)</f>
        <v>0</v>
      </c>
      <c r="AB602" s="76">
        <f>IF(VLOOKUP($D602,$C$5:$AU$836,3,)=0,0,(VLOOKUP($D602,$C$5:$AU$836,26,)/VLOOKUP($D602,$C$5:$AU$836,3,))*$E602)</f>
        <v>0</v>
      </c>
      <c r="AC602" s="76">
        <f>IF(VLOOKUP($D602,$C$5:$AU$836,3,)=0,0,(VLOOKUP($D602,$C$5:$AU$836,27,)/VLOOKUP($D602,$C$5:$AU$836,3,))*$E602)</f>
        <v>0</v>
      </c>
      <c r="AD602" s="76">
        <f>IF(VLOOKUP($D602,$C$5:$AU$836,3,)=0,0,(VLOOKUP($D602,$C$5:$AU$836,28,)/VLOOKUP($D602,$C$5:$AU$836,3,))*$E602)</f>
        <v>0</v>
      </c>
      <c r="AE602" s="76">
        <f>IF(VLOOKUP($D602,$C$5:$AU$836,3,)=0,0,(VLOOKUP($D602,$C$5:$AU$836,29,)/VLOOKUP($D602,$C$5:$AU$836,3,))*$E602)</f>
        <v>0</v>
      </c>
      <c r="AF602" s="76">
        <f>IF(VLOOKUP($D602,$C$5:$AU$836,3,)=0,0,(VLOOKUP($D602,$C$5:$AU$836,30,)/VLOOKUP($D602,$C$5:$AU$836,3,))*$E602)</f>
        <v>0</v>
      </c>
      <c r="AG602" s="43">
        <f>SUM(F602:AF602)</f>
        <v>0.99999999999999989</v>
      </c>
      <c r="AH602" s="14" t="str">
        <f>IF(ABS(E602-AG602)&lt;0.01,"ok","err")</f>
        <v>ok</v>
      </c>
    </row>
    <row r="603" spans="1:34" x14ac:dyDescent="0.25">
      <c r="A603" s="2" t="s">
        <v>318</v>
      </c>
      <c r="C603" s="2" t="s">
        <v>221</v>
      </c>
      <c r="D603" s="2" t="s">
        <v>557</v>
      </c>
      <c r="E603" s="79">
        <v>1</v>
      </c>
      <c r="F603" s="76">
        <f>IF(VLOOKUP($D603,$C$5:$AU$836,3,)=0,0,(VLOOKUP($D603,$C$5:$AU$836,4,)/VLOOKUP($D603,$C$5:$AU$836,3,))*$E603)</f>
        <v>0.71075536982759724</v>
      </c>
      <c r="G603" s="76">
        <f>IF(VLOOKUP($D603,$C$5:$AU$836,3,)=0,0,(VLOOKUP($D603,$C$5:$AU$836,5,)/VLOOKUP($D603,$C$5:$AU$836,3,))*$E603)</f>
        <v>4.6515989595922722E-2</v>
      </c>
      <c r="H603" s="76">
        <f>IF(VLOOKUP($D603,$C$5:$AU$836,3,)=0,0,(VLOOKUP($D603,$C$5:$AU$836,6,)/VLOOKUP($D603,$C$5:$AU$836,3,))*$E603)</f>
        <v>0.11810743009090871</v>
      </c>
      <c r="I603" s="76">
        <f>IF(VLOOKUP($D603,$C$5:$AU$836,3,)=0,0,(VLOOKUP($D603,$C$5:$AU$836,7,)/VLOOKUP($D603,$C$5:$AU$836,3,))*$E603)</f>
        <v>1.214157445245285E-2</v>
      </c>
      <c r="J603" s="76">
        <f>IF(VLOOKUP($D603,$C$5:$AU$836,3,)=0,0,(VLOOKUP($D603,$C$5:$AU$836,8,)/VLOOKUP($D603,$C$5:$AU$836,3,))*$E603)</f>
        <v>1.1908722339666084E-2</v>
      </c>
      <c r="K603" s="76">
        <f>IF(VLOOKUP($D603,$C$5:$AU$836,3,)=0,0,(VLOOKUP($D603,$C$5:$AU$836,9,)/VLOOKUP($D603,$C$5:$AU$836,3,))*$E603)</f>
        <v>6.566792466996367E-3</v>
      </c>
      <c r="L603" s="76">
        <f>IF(VLOOKUP($D603,$C$5:$AU$836,3,)=0,0,(VLOOKUP($D603,$C$5:$AU$836,10,)/VLOOKUP($D603,$C$5:$AU$836,3,))*$E603)</f>
        <v>4.6228828507895212E-2</v>
      </c>
      <c r="M603" s="77">
        <f>IF(VLOOKUP($D603,$C$5:$AU$836,3,)=0,0,(VLOOKUP($D603,$C$5:$AU$836,11,)/VLOOKUP($D603,$C$5:$AU$836,3,))*$E603)</f>
        <v>3.4728592279178787E-2</v>
      </c>
      <c r="N603" s="77">
        <f>IF(VLOOKUP($D603,$C$5:$AU$836,3,)=0,0,(VLOOKUP($D603,$C$5:$AU$836,12,)/VLOOKUP($D603,$C$5:$AU$836,3,))*$E603)</f>
        <v>1.3046700439381793E-2</v>
      </c>
      <c r="O603" s="76">
        <f>IF(VLOOKUP($D603,$C$5:$AU$836,3,)=0,0,(VLOOKUP($D603,$C$5:$AU$836,13,)/VLOOKUP($D603,$C$5:$AU$836,3,))*$E603)</f>
        <v>0</v>
      </c>
      <c r="P603" s="76">
        <f>IF(VLOOKUP($D603,$C$5:$AU$836,3,)=0,0,(VLOOKUP($D603,$C$5:$AU$836,14,)/VLOOKUP($D603,$C$5:$AU$836,3,))*$E603)</f>
        <v>0</v>
      </c>
      <c r="Q603" s="76">
        <f>IF(VLOOKUP($D603,$C$5:$AU$836,3,)=0,0,(VLOOKUP($D603,$C$5:$AU$836,15,)/VLOOKUP($D603,$C$5:$AU$836,3,))*$E603)</f>
        <v>0</v>
      </c>
      <c r="R603" s="76">
        <f>IF(VLOOKUP($D603,$C$5:$AU$836,3,)=0,0,(VLOOKUP($D603,$C$5:$AU$836,16,)/VLOOKUP($D603,$C$5:$AU$836,3,))*$E603)</f>
        <v>0</v>
      </c>
      <c r="S603" s="76">
        <f>IF(VLOOKUP($D603,$C$5:$AU$836,3,)=0,0,(VLOOKUP($D603,$C$5:$AU$836,17,)/VLOOKUP($D603,$C$5:$AU$836,3,))*$E603)</f>
        <v>0</v>
      </c>
      <c r="T603" s="76">
        <f>IF(VLOOKUP($D603,$C$5:$AU$836,3,)=0,0,(VLOOKUP($D603,$C$5:$AU$836,18,)/VLOOKUP($D603,$C$5:$AU$836,3,))*$E603)</f>
        <v>0</v>
      </c>
      <c r="U603" s="76">
        <f>IF(VLOOKUP($D603,$C$5:$AU$836,3,)=0,0,(VLOOKUP($D603,$C$5:$AU$836,19,)/VLOOKUP($D603,$C$5:$AU$836,3,))*$E603)</f>
        <v>0</v>
      </c>
      <c r="V603" s="76">
        <f>IF(VLOOKUP($D603,$C$5:$AU$836,3,)=0,0,(VLOOKUP($D603,$C$5:$AU$836,20,)/VLOOKUP($D603,$C$5:$AU$836,3,))*$E603)</f>
        <v>0</v>
      </c>
      <c r="W603" s="76">
        <f>IF(VLOOKUP($D603,$C$5:$AU$836,3,)=0,0,(VLOOKUP($D603,$C$5:$AU$836,21,)/VLOOKUP($D603,$C$5:$AU$836,3,))*$E603)</f>
        <v>0</v>
      </c>
      <c r="X603" s="76">
        <f>IF(VLOOKUP($D603,$C$5:$AU$836,3,)=0,0,(VLOOKUP($D603,$C$5:$AU$836,22,)/VLOOKUP($D603,$C$5:$AU$836,3,))*$E603)</f>
        <v>0</v>
      </c>
      <c r="Y603" s="76">
        <f>IF(VLOOKUP($D603,$C$5:$AU$836,3,)=0,0,(VLOOKUP($D603,$C$5:$AU$836,23,)/VLOOKUP($D603,$C$5:$AU$836,3,))*$E603)</f>
        <v>0</v>
      </c>
      <c r="Z603" s="76">
        <f>IF(VLOOKUP($D603,$C$5:$AU$836,3,)=0,0,(VLOOKUP($D603,$C$5:$AU$836,24,)/VLOOKUP($D603,$C$5:$AU$836,3,))*$E603)</f>
        <v>0</v>
      </c>
      <c r="AA603" s="76">
        <f>IF(VLOOKUP($D603,$C$5:$AU$836,3,)=0,0,(VLOOKUP($D603,$C$5:$AU$836,25,)/VLOOKUP($D603,$C$5:$AU$836,3,))*$E603)</f>
        <v>0</v>
      </c>
      <c r="AB603" s="76">
        <f>IF(VLOOKUP($D603,$C$5:$AU$836,3,)=0,0,(VLOOKUP($D603,$C$5:$AU$836,26,)/VLOOKUP($D603,$C$5:$AU$836,3,))*$E603)</f>
        <v>0</v>
      </c>
      <c r="AC603" s="76">
        <f>IF(VLOOKUP($D603,$C$5:$AU$836,3,)=0,0,(VLOOKUP($D603,$C$5:$AU$836,27,)/VLOOKUP($D603,$C$5:$AU$836,3,))*$E603)</f>
        <v>0</v>
      </c>
      <c r="AD603" s="76">
        <f>IF(VLOOKUP($D603,$C$5:$AU$836,3,)=0,0,(VLOOKUP($D603,$C$5:$AU$836,28,)/VLOOKUP($D603,$C$5:$AU$836,3,))*$E603)</f>
        <v>0</v>
      </c>
      <c r="AE603" s="76">
        <f>IF(VLOOKUP($D603,$C$5:$AU$836,3,)=0,0,(VLOOKUP($D603,$C$5:$AU$836,29,)/VLOOKUP($D603,$C$5:$AU$836,3,))*$E603)</f>
        <v>0</v>
      </c>
      <c r="AF603" s="76">
        <f>IF(VLOOKUP($D603,$C$5:$AU$836,3,)=0,0,(VLOOKUP($D603,$C$5:$AU$836,30,)/VLOOKUP($D603,$C$5:$AU$836,3,))*$E603)</f>
        <v>0</v>
      </c>
      <c r="AG603" s="43">
        <f>SUM(F603:AF603)</f>
        <v>0.99999999999999989</v>
      </c>
      <c r="AH603" s="14" t="str">
        <f>IF(ABS(E603-AG603)&lt;0.01,"ok","err")</f>
        <v>ok</v>
      </c>
    </row>
    <row r="604" spans="1:34" x14ac:dyDescent="0.25">
      <c r="A604" s="2" t="s">
        <v>319</v>
      </c>
      <c r="C604" s="2" t="s">
        <v>222</v>
      </c>
      <c r="D604" s="2" t="s">
        <v>557</v>
      </c>
      <c r="E604" s="79">
        <v>1</v>
      </c>
      <c r="F604" s="76">
        <f>IF(VLOOKUP($D604,$C$5:$AU$836,3,)=0,0,(VLOOKUP($D604,$C$5:$AU$836,4,)/VLOOKUP($D604,$C$5:$AU$836,3,))*$E604)</f>
        <v>0.71075536982759724</v>
      </c>
      <c r="G604" s="76">
        <f>IF(VLOOKUP($D604,$C$5:$AU$836,3,)=0,0,(VLOOKUP($D604,$C$5:$AU$836,5,)/VLOOKUP($D604,$C$5:$AU$836,3,))*$E604)</f>
        <v>4.6515989595922722E-2</v>
      </c>
      <c r="H604" s="76">
        <f>IF(VLOOKUP($D604,$C$5:$AU$836,3,)=0,0,(VLOOKUP($D604,$C$5:$AU$836,6,)/VLOOKUP($D604,$C$5:$AU$836,3,))*$E604)</f>
        <v>0.11810743009090871</v>
      </c>
      <c r="I604" s="76">
        <f>IF(VLOOKUP($D604,$C$5:$AU$836,3,)=0,0,(VLOOKUP($D604,$C$5:$AU$836,7,)/VLOOKUP($D604,$C$5:$AU$836,3,))*$E604)</f>
        <v>1.214157445245285E-2</v>
      </c>
      <c r="J604" s="76">
        <f>IF(VLOOKUP($D604,$C$5:$AU$836,3,)=0,0,(VLOOKUP($D604,$C$5:$AU$836,8,)/VLOOKUP($D604,$C$5:$AU$836,3,))*$E604)</f>
        <v>1.1908722339666084E-2</v>
      </c>
      <c r="K604" s="76">
        <f>IF(VLOOKUP($D604,$C$5:$AU$836,3,)=0,0,(VLOOKUP($D604,$C$5:$AU$836,9,)/VLOOKUP($D604,$C$5:$AU$836,3,))*$E604)</f>
        <v>6.566792466996367E-3</v>
      </c>
      <c r="L604" s="76">
        <f>IF(VLOOKUP($D604,$C$5:$AU$836,3,)=0,0,(VLOOKUP($D604,$C$5:$AU$836,10,)/VLOOKUP($D604,$C$5:$AU$836,3,))*$E604)</f>
        <v>4.6228828507895212E-2</v>
      </c>
      <c r="M604" s="77">
        <f>IF(VLOOKUP($D604,$C$5:$AU$836,3,)=0,0,(VLOOKUP($D604,$C$5:$AU$836,11,)/VLOOKUP($D604,$C$5:$AU$836,3,))*$E604)</f>
        <v>3.4728592279178787E-2</v>
      </c>
      <c r="N604" s="77">
        <f>IF(VLOOKUP($D604,$C$5:$AU$836,3,)=0,0,(VLOOKUP($D604,$C$5:$AU$836,12,)/VLOOKUP($D604,$C$5:$AU$836,3,))*$E604)</f>
        <v>1.3046700439381793E-2</v>
      </c>
      <c r="O604" s="76">
        <f>IF(VLOOKUP($D604,$C$5:$AU$836,3,)=0,0,(VLOOKUP($D604,$C$5:$AU$836,13,)/VLOOKUP($D604,$C$5:$AU$836,3,))*$E604)</f>
        <v>0</v>
      </c>
      <c r="P604" s="76">
        <f>IF(VLOOKUP($D604,$C$5:$AU$836,3,)=0,0,(VLOOKUP($D604,$C$5:$AU$836,14,)/VLOOKUP($D604,$C$5:$AU$836,3,))*$E604)</f>
        <v>0</v>
      </c>
      <c r="Q604" s="76">
        <f>IF(VLOOKUP($D604,$C$5:$AU$836,3,)=0,0,(VLOOKUP($D604,$C$5:$AU$836,15,)/VLOOKUP($D604,$C$5:$AU$836,3,))*$E604)</f>
        <v>0</v>
      </c>
      <c r="R604" s="76">
        <f>IF(VLOOKUP($D604,$C$5:$AU$836,3,)=0,0,(VLOOKUP($D604,$C$5:$AU$836,16,)/VLOOKUP($D604,$C$5:$AU$836,3,))*$E604)</f>
        <v>0</v>
      </c>
      <c r="S604" s="76">
        <f>IF(VLOOKUP($D604,$C$5:$AU$836,3,)=0,0,(VLOOKUP($D604,$C$5:$AU$836,17,)/VLOOKUP($D604,$C$5:$AU$836,3,))*$E604)</f>
        <v>0</v>
      </c>
      <c r="T604" s="76">
        <f>IF(VLOOKUP($D604,$C$5:$AU$836,3,)=0,0,(VLOOKUP($D604,$C$5:$AU$836,18,)/VLOOKUP($D604,$C$5:$AU$836,3,))*$E604)</f>
        <v>0</v>
      </c>
      <c r="U604" s="76">
        <f>IF(VLOOKUP($D604,$C$5:$AU$836,3,)=0,0,(VLOOKUP($D604,$C$5:$AU$836,19,)/VLOOKUP($D604,$C$5:$AU$836,3,))*$E604)</f>
        <v>0</v>
      </c>
      <c r="V604" s="76">
        <f>IF(VLOOKUP($D604,$C$5:$AU$836,3,)=0,0,(VLOOKUP($D604,$C$5:$AU$836,20,)/VLOOKUP($D604,$C$5:$AU$836,3,))*$E604)</f>
        <v>0</v>
      </c>
      <c r="W604" s="76">
        <f>IF(VLOOKUP($D604,$C$5:$AU$836,3,)=0,0,(VLOOKUP($D604,$C$5:$AU$836,21,)/VLOOKUP($D604,$C$5:$AU$836,3,))*$E604)</f>
        <v>0</v>
      </c>
      <c r="X604" s="76">
        <f>IF(VLOOKUP($D604,$C$5:$AU$836,3,)=0,0,(VLOOKUP($D604,$C$5:$AU$836,22,)/VLOOKUP($D604,$C$5:$AU$836,3,))*$E604)</f>
        <v>0</v>
      </c>
      <c r="Y604" s="76">
        <f>IF(VLOOKUP($D604,$C$5:$AU$836,3,)=0,0,(VLOOKUP($D604,$C$5:$AU$836,23,)/VLOOKUP($D604,$C$5:$AU$836,3,))*$E604)</f>
        <v>0</v>
      </c>
      <c r="Z604" s="76">
        <f>IF(VLOOKUP($D604,$C$5:$AU$836,3,)=0,0,(VLOOKUP($D604,$C$5:$AU$836,24,)/VLOOKUP($D604,$C$5:$AU$836,3,))*$E604)</f>
        <v>0</v>
      </c>
      <c r="AA604" s="76">
        <f>IF(VLOOKUP($D604,$C$5:$AU$836,3,)=0,0,(VLOOKUP($D604,$C$5:$AU$836,25,)/VLOOKUP($D604,$C$5:$AU$836,3,))*$E604)</f>
        <v>0</v>
      </c>
      <c r="AB604" s="76">
        <f>IF(VLOOKUP($D604,$C$5:$AU$836,3,)=0,0,(VLOOKUP($D604,$C$5:$AU$836,26,)/VLOOKUP($D604,$C$5:$AU$836,3,))*$E604)</f>
        <v>0</v>
      </c>
      <c r="AC604" s="76">
        <f>IF(VLOOKUP($D604,$C$5:$AU$836,3,)=0,0,(VLOOKUP($D604,$C$5:$AU$836,27,)/VLOOKUP($D604,$C$5:$AU$836,3,))*$E604)</f>
        <v>0</v>
      </c>
      <c r="AD604" s="76">
        <f>IF(VLOOKUP($D604,$C$5:$AU$836,3,)=0,0,(VLOOKUP($D604,$C$5:$AU$836,28,)/VLOOKUP($D604,$C$5:$AU$836,3,))*$E604)</f>
        <v>0</v>
      </c>
      <c r="AE604" s="76">
        <f>IF(VLOOKUP($D604,$C$5:$AU$836,3,)=0,0,(VLOOKUP($D604,$C$5:$AU$836,29,)/VLOOKUP($D604,$C$5:$AU$836,3,))*$E604)</f>
        <v>0</v>
      </c>
      <c r="AF604" s="76">
        <f>IF(VLOOKUP($D604,$C$5:$AU$836,3,)=0,0,(VLOOKUP($D604,$C$5:$AU$836,30,)/VLOOKUP($D604,$C$5:$AU$836,3,))*$E604)</f>
        <v>0</v>
      </c>
      <c r="AG604" s="43">
        <f>SUM(F604:AF604)</f>
        <v>0.99999999999999989</v>
      </c>
      <c r="AH604" s="14" t="str">
        <f>IF(ABS(E604-AG604)&lt;0.01,"ok","err")</f>
        <v>ok</v>
      </c>
    </row>
    <row r="605" spans="1:34" x14ac:dyDescent="0.25">
      <c r="A605" s="2" t="s">
        <v>320</v>
      </c>
      <c r="C605" s="2" t="s">
        <v>226</v>
      </c>
      <c r="D605" s="2" t="s">
        <v>557</v>
      </c>
      <c r="E605" s="79">
        <v>1</v>
      </c>
      <c r="F605" s="76">
        <f>IF(VLOOKUP($D605,$C$5:$AU$836,3,)=0,0,(VLOOKUP($D605,$C$5:$AU$836,4,)/VLOOKUP($D605,$C$5:$AU$836,3,))*$E605)</f>
        <v>0.71075536982759724</v>
      </c>
      <c r="G605" s="76">
        <f>IF(VLOOKUP($D605,$C$5:$AU$836,3,)=0,0,(VLOOKUP($D605,$C$5:$AU$836,5,)/VLOOKUP($D605,$C$5:$AU$836,3,))*$E605)</f>
        <v>4.6515989595922722E-2</v>
      </c>
      <c r="H605" s="76">
        <f>IF(VLOOKUP($D605,$C$5:$AU$836,3,)=0,0,(VLOOKUP($D605,$C$5:$AU$836,6,)/VLOOKUP($D605,$C$5:$AU$836,3,))*$E605)</f>
        <v>0.11810743009090871</v>
      </c>
      <c r="I605" s="76">
        <f>IF(VLOOKUP($D605,$C$5:$AU$836,3,)=0,0,(VLOOKUP($D605,$C$5:$AU$836,7,)/VLOOKUP($D605,$C$5:$AU$836,3,))*$E605)</f>
        <v>1.214157445245285E-2</v>
      </c>
      <c r="J605" s="76">
        <f>IF(VLOOKUP($D605,$C$5:$AU$836,3,)=0,0,(VLOOKUP($D605,$C$5:$AU$836,8,)/VLOOKUP($D605,$C$5:$AU$836,3,))*$E605)</f>
        <v>1.1908722339666084E-2</v>
      </c>
      <c r="K605" s="76">
        <f>IF(VLOOKUP($D605,$C$5:$AU$836,3,)=0,0,(VLOOKUP($D605,$C$5:$AU$836,9,)/VLOOKUP($D605,$C$5:$AU$836,3,))*$E605)</f>
        <v>6.566792466996367E-3</v>
      </c>
      <c r="L605" s="76">
        <f>IF(VLOOKUP($D605,$C$5:$AU$836,3,)=0,0,(VLOOKUP($D605,$C$5:$AU$836,10,)/VLOOKUP($D605,$C$5:$AU$836,3,))*$E605)</f>
        <v>4.6228828507895212E-2</v>
      </c>
      <c r="M605" s="77">
        <f>IF(VLOOKUP($D605,$C$5:$AU$836,3,)=0,0,(VLOOKUP($D605,$C$5:$AU$836,11,)/VLOOKUP($D605,$C$5:$AU$836,3,))*$E605)</f>
        <v>3.4728592279178787E-2</v>
      </c>
      <c r="N605" s="77">
        <f>IF(VLOOKUP($D605,$C$5:$AU$836,3,)=0,0,(VLOOKUP($D605,$C$5:$AU$836,12,)/VLOOKUP($D605,$C$5:$AU$836,3,))*$E605)</f>
        <v>1.3046700439381793E-2</v>
      </c>
      <c r="O605" s="76">
        <f>IF(VLOOKUP($D605,$C$5:$AU$836,3,)=0,0,(VLOOKUP($D605,$C$5:$AU$836,13,)/VLOOKUP($D605,$C$5:$AU$836,3,))*$E605)</f>
        <v>0</v>
      </c>
      <c r="P605" s="76">
        <f>IF(VLOOKUP($D605,$C$5:$AU$836,3,)=0,0,(VLOOKUP($D605,$C$5:$AU$836,14,)/VLOOKUP($D605,$C$5:$AU$836,3,))*$E605)</f>
        <v>0</v>
      </c>
      <c r="Q605" s="76">
        <f>IF(VLOOKUP($D605,$C$5:$AU$836,3,)=0,0,(VLOOKUP($D605,$C$5:$AU$836,15,)/VLOOKUP($D605,$C$5:$AU$836,3,))*$E605)</f>
        <v>0</v>
      </c>
      <c r="R605" s="76">
        <f>IF(VLOOKUP($D605,$C$5:$AU$836,3,)=0,0,(VLOOKUP($D605,$C$5:$AU$836,16,)/VLOOKUP($D605,$C$5:$AU$836,3,))*$E605)</f>
        <v>0</v>
      </c>
      <c r="S605" s="76">
        <f>IF(VLOOKUP($D605,$C$5:$AU$836,3,)=0,0,(VLOOKUP($D605,$C$5:$AU$836,17,)/VLOOKUP($D605,$C$5:$AU$836,3,))*$E605)</f>
        <v>0</v>
      </c>
      <c r="T605" s="76">
        <f>IF(VLOOKUP($D605,$C$5:$AU$836,3,)=0,0,(VLOOKUP($D605,$C$5:$AU$836,18,)/VLOOKUP($D605,$C$5:$AU$836,3,))*$E605)</f>
        <v>0</v>
      </c>
      <c r="U605" s="76">
        <f>IF(VLOOKUP($D605,$C$5:$AU$836,3,)=0,0,(VLOOKUP($D605,$C$5:$AU$836,19,)/VLOOKUP($D605,$C$5:$AU$836,3,))*$E605)</f>
        <v>0</v>
      </c>
      <c r="V605" s="76">
        <f>IF(VLOOKUP($D605,$C$5:$AU$836,3,)=0,0,(VLOOKUP($D605,$C$5:$AU$836,20,)/VLOOKUP($D605,$C$5:$AU$836,3,))*$E605)</f>
        <v>0</v>
      </c>
      <c r="W605" s="76">
        <f>IF(VLOOKUP($D605,$C$5:$AU$836,3,)=0,0,(VLOOKUP($D605,$C$5:$AU$836,21,)/VLOOKUP($D605,$C$5:$AU$836,3,))*$E605)</f>
        <v>0</v>
      </c>
      <c r="X605" s="76">
        <f>IF(VLOOKUP($D605,$C$5:$AU$836,3,)=0,0,(VLOOKUP($D605,$C$5:$AU$836,22,)/VLOOKUP($D605,$C$5:$AU$836,3,))*$E605)</f>
        <v>0</v>
      </c>
      <c r="Y605" s="76">
        <f>IF(VLOOKUP($D605,$C$5:$AU$836,3,)=0,0,(VLOOKUP($D605,$C$5:$AU$836,23,)/VLOOKUP($D605,$C$5:$AU$836,3,))*$E605)</f>
        <v>0</v>
      </c>
      <c r="Z605" s="76">
        <f>IF(VLOOKUP($D605,$C$5:$AU$836,3,)=0,0,(VLOOKUP($D605,$C$5:$AU$836,24,)/VLOOKUP($D605,$C$5:$AU$836,3,))*$E605)</f>
        <v>0</v>
      </c>
      <c r="AA605" s="76">
        <f>IF(VLOOKUP($D605,$C$5:$AU$836,3,)=0,0,(VLOOKUP($D605,$C$5:$AU$836,25,)/VLOOKUP($D605,$C$5:$AU$836,3,))*$E605)</f>
        <v>0</v>
      </c>
      <c r="AB605" s="76">
        <f>IF(VLOOKUP($D605,$C$5:$AU$836,3,)=0,0,(VLOOKUP($D605,$C$5:$AU$836,26,)/VLOOKUP($D605,$C$5:$AU$836,3,))*$E605)</f>
        <v>0</v>
      </c>
      <c r="AC605" s="76">
        <f>IF(VLOOKUP($D605,$C$5:$AU$836,3,)=0,0,(VLOOKUP($D605,$C$5:$AU$836,27,)/VLOOKUP($D605,$C$5:$AU$836,3,))*$E605)</f>
        <v>0</v>
      </c>
      <c r="AD605" s="76">
        <f>IF(VLOOKUP($D605,$C$5:$AU$836,3,)=0,0,(VLOOKUP($D605,$C$5:$AU$836,28,)/VLOOKUP($D605,$C$5:$AU$836,3,))*$E605)</f>
        <v>0</v>
      </c>
      <c r="AE605" s="76">
        <f>IF(VLOOKUP($D605,$C$5:$AU$836,3,)=0,0,(VLOOKUP($D605,$C$5:$AU$836,29,)/VLOOKUP($D605,$C$5:$AU$836,3,))*$E605)</f>
        <v>0</v>
      </c>
      <c r="AF605" s="76">
        <f>IF(VLOOKUP($D605,$C$5:$AU$836,3,)=0,0,(VLOOKUP($D605,$C$5:$AU$836,30,)/VLOOKUP($D605,$C$5:$AU$836,3,))*$E605)</f>
        <v>0</v>
      </c>
      <c r="AG605" s="43">
        <f>SUM(F605:AF605)</f>
        <v>0.99999999999999989</v>
      </c>
      <c r="AH605" s="14" t="str">
        <f>IF(ABS(E605-AG605)&lt;0.01,"ok","err")</f>
        <v>ok</v>
      </c>
    </row>
    <row r="608" spans="1:34" x14ac:dyDescent="0.25">
      <c r="A608" s="8" t="s">
        <v>321</v>
      </c>
    </row>
    <row r="609" spans="1:36" x14ac:dyDescent="0.25">
      <c r="A609" s="9" t="s">
        <v>758</v>
      </c>
      <c r="C609" s="9" t="s">
        <v>759</v>
      </c>
      <c r="D609" s="2" t="s">
        <v>609</v>
      </c>
      <c r="E609" s="79">
        <v>1</v>
      </c>
      <c r="F609" s="77">
        <f>IF(VLOOKUP($D609,$C$5:$AU$836,3,)=0,0,(VLOOKUP($D609,$C$5:$AU$836,4,)/VLOOKUP($D609,$C$5:$AU$836,3,))*$E609)</f>
        <v>0.91681743329604048</v>
      </c>
      <c r="G609" s="77">
        <f>IF(VLOOKUP($D609,$C$5:$AU$836,3,)=0,0,(VLOOKUP($D609,$C$5:$AU$836,5,)/VLOOKUP($D609,$C$5:$AU$836,3,))*$E609)</f>
        <v>6.5763581808986823E-2</v>
      </c>
      <c r="H609" s="77">
        <f>IF(VLOOKUP($D609,$C$5:$AU$836,3,)=0,0,(VLOOKUP($D609,$C$5:$AU$836,6,)/VLOOKUP($D609,$C$5:$AU$836,3,))*$E609)</f>
        <v>6.4255109707501458E-3</v>
      </c>
      <c r="I609" s="77">
        <f>IF(VLOOKUP($D609,$C$5:$AU$836,3,)=0,0,(VLOOKUP($D609,$C$5:$AU$836,7,)/VLOOKUP($D609,$C$5:$AU$836,3,))*$E609)</f>
        <v>2.4222580860389941E-3</v>
      </c>
      <c r="J609" s="77">
        <f>IF(VLOOKUP($D609,$C$5:$AU$836,3,)=0,0,(VLOOKUP($D609,$C$5:$AU$836,8,)/VLOOKUP($D609,$C$5:$AU$836,3,))*$E609)</f>
        <v>2.4657717043510716E-4</v>
      </c>
      <c r="K609" s="77">
        <f>IF(VLOOKUP($D609,$C$5:$AU$836,3,)=0,0,(VLOOKUP($D609,$C$5:$AU$836,9,)/VLOOKUP($D609,$C$5:$AU$836,3,))*$E609)</f>
        <v>1.4504539437359245E-5</v>
      </c>
      <c r="L609" s="77">
        <f>IF(VLOOKUP($D609,$C$5:$AU$836,3,)=0,0,(VLOOKUP($D609,$C$5:$AU$836,10,)/VLOOKUP($D609,$C$5:$AU$836,3,))*$E609)</f>
        <v>2.900907887471849E-5</v>
      </c>
      <c r="M609" s="77">
        <f>IF(VLOOKUP($D609,$C$5:$AU$836,3,)=0,0,(VLOOKUP($D609,$C$5:$AU$836,11,)/VLOOKUP($D609,$C$5:$AU$836,3,))*$E609)</f>
        <v>1.1603631549887396E-4</v>
      </c>
      <c r="N609" s="77">
        <f>IF(VLOOKUP($D609,$C$5:$AU$836,3,)=0,0,(VLOOKUP($D609,$C$5:$AU$836,12,)/VLOOKUP($D609,$C$5:$AU$836,3,))*$E609)</f>
        <v>8.1650887339374308E-3</v>
      </c>
      <c r="O609" s="77">
        <f>IF(VLOOKUP($D609,$C$5:$AU$836,3,)=0,0,(VLOOKUP($D609,$C$5:$AU$836,13,)/VLOOKUP($D609,$C$5:$AU$836,3,))*$E609)</f>
        <v>0</v>
      </c>
      <c r="P609" s="77">
        <f>IF(VLOOKUP($D609,$C$5:$AU$836,3,)=0,0,(VLOOKUP($D609,$C$5:$AU$836,14,)/VLOOKUP($D609,$C$5:$AU$836,3,))*$E609)</f>
        <v>0</v>
      </c>
      <c r="Q609" s="77">
        <f>IF(VLOOKUP($D609,$C$5:$AU$836,3,)=0,0,(VLOOKUP($D609,$C$5:$AU$836,15,)/VLOOKUP($D609,$C$5:$AU$836,3,))*$E609)</f>
        <v>0</v>
      </c>
      <c r="R609" s="77">
        <f>IF(VLOOKUP($D609,$C$5:$AU$836,3,)=0,0,(VLOOKUP($D609,$C$5:$AU$836,16,)/VLOOKUP($D609,$C$5:$AU$836,3,))*$E609)</f>
        <v>0</v>
      </c>
      <c r="S609" s="77">
        <f>IF(VLOOKUP($D609,$C$5:$AU$836,3,)=0,0,(VLOOKUP($D609,$C$5:$AU$836,17,)/VLOOKUP($D609,$C$5:$AU$836,3,))*$E609)</f>
        <v>0</v>
      </c>
      <c r="T609" s="77">
        <f>IF(VLOOKUP($D609,$C$5:$AU$836,3,)=0,0,(VLOOKUP($D609,$C$5:$AU$836,18,)/VLOOKUP($D609,$C$5:$AU$836,3,))*$E609)</f>
        <v>0</v>
      </c>
      <c r="U609" s="77">
        <f>IF(VLOOKUP($D609,$C$5:$AU$836,3,)=0,0,(VLOOKUP($D609,$C$5:$AU$836,19,)/VLOOKUP($D609,$C$5:$AU$836,3,))*$E609)</f>
        <v>0</v>
      </c>
      <c r="V609" s="77">
        <f>IF(VLOOKUP($D609,$C$5:$AU$836,3,)=0,0,(VLOOKUP($D609,$C$5:$AU$836,20,)/VLOOKUP($D609,$C$5:$AU$836,3,))*$E609)</f>
        <v>0</v>
      </c>
      <c r="W609" s="77">
        <f>IF(VLOOKUP($D609,$C$5:$AU$836,3,)=0,0,(VLOOKUP($D609,$C$5:$AU$836,21,)/VLOOKUP($D609,$C$5:$AU$836,3,))*$E609)</f>
        <v>0</v>
      </c>
      <c r="X609" s="77">
        <f>IF(VLOOKUP($D609,$C$5:$AU$836,3,)=0,0,(VLOOKUP($D609,$C$5:$AU$836,22,)/VLOOKUP($D609,$C$5:$AU$836,3,))*$E609)</f>
        <v>0</v>
      </c>
      <c r="Y609" s="77">
        <f>IF(VLOOKUP($D609,$C$5:$AU$836,3,)=0,0,(VLOOKUP($D609,$C$5:$AU$836,23,)/VLOOKUP($D609,$C$5:$AU$836,3,))*$E609)</f>
        <v>0</v>
      </c>
      <c r="Z609" s="77">
        <f>IF(VLOOKUP($D609,$C$5:$AU$836,3,)=0,0,(VLOOKUP($D609,$C$5:$AU$836,24,)/VLOOKUP($D609,$C$5:$AU$836,3,))*$E609)</f>
        <v>0</v>
      </c>
      <c r="AA609" s="77">
        <f>IF(VLOOKUP($D609,$C$5:$AU$836,3,)=0,0,(VLOOKUP($D609,$C$5:$AU$836,25,)/VLOOKUP($D609,$C$5:$AU$836,3,))*$E609)</f>
        <v>0</v>
      </c>
      <c r="AB609" s="77">
        <f>IF(VLOOKUP($D609,$C$5:$AU$836,3,)=0,0,(VLOOKUP($D609,$C$5:$AU$836,26,)/VLOOKUP($D609,$C$5:$AU$836,3,))*$E609)</f>
        <v>0</v>
      </c>
      <c r="AC609" s="77">
        <f>IF(VLOOKUP($D609,$C$5:$AU$836,3,)=0,0,(VLOOKUP($D609,$C$5:$AU$836,27,)/VLOOKUP($D609,$C$5:$AU$836,3,))*$E609)</f>
        <v>0</v>
      </c>
      <c r="AD609" s="77">
        <f>IF(VLOOKUP($D609,$C$5:$AU$836,3,)=0,0,(VLOOKUP($D609,$C$5:$AU$836,28,)/VLOOKUP($D609,$C$5:$AU$836,3,))*$E609)</f>
        <v>0</v>
      </c>
      <c r="AE609" s="77">
        <f>IF(VLOOKUP($D609,$C$5:$AU$836,3,)=0,0,(VLOOKUP($D609,$C$5:$AU$836,29,)/VLOOKUP($D609,$C$5:$AU$836,3,))*$E609)</f>
        <v>0</v>
      </c>
      <c r="AF609" s="77">
        <f>IF(VLOOKUP($D609,$C$5:$AU$836,3,)=0,0,(VLOOKUP($D609,$C$5:$AU$836,30,)/VLOOKUP($D609,$C$5:$AU$836,3,))*$E609)</f>
        <v>0</v>
      </c>
      <c r="AG609" s="78">
        <f t="shared" ref="AG609:AG616" si="392">SUM(F609:AF609)</f>
        <v>0.99999999999999989</v>
      </c>
      <c r="AH609" s="14" t="str">
        <f t="shared" ref="AH609:AH616" si="393">IF(ABS(E609-AG609)&lt;0.01,"ok","err")</f>
        <v>ok</v>
      </c>
    </row>
    <row r="610" spans="1:36" x14ac:dyDescent="0.25">
      <c r="A610" s="9" t="s">
        <v>757</v>
      </c>
      <c r="C610" s="9" t="s">
        <v>760</v>
      </c>
      <c r="D610" s="9" t="s">
        <v>761</v>
      </c>
      <c r="E610" s="79">
        <v>1</v>
      </c>
      <c r="F610" s="77">
        <f>IF(VLOOKUP($D610,$C$5:$AU$836,3,)=0,0,(VLOOKUP($D610,$C$5:$AU$836,4,)/VLOOKUP($D610,$C$5:$AU$836,3,))*$E610)</f>
        <v>0.91697119890533607</v>
      </c>
      <c r="G610" s="77">
        <f>IF(VLOOKUP($D610,$C$5:$AU$836,3,)=0,0,(VLOOKUP($D610,$C$5:$AU$836,5,)/VLOOKUP($D610,$C$5:$AU$836,3,))*$E610)</f>
        <v>6.5774611460975393E-2</v>
      </c>
      <c r="H610" s="77">
        <f>IF(VLOOKUP($D610,$C$5:$AU$836,3,)=0,0,(VLOOKUP($D610,$C$5:$AU$836,6,)/VLOOKUP($D610,$C$5:$AU$836,3,))*$E610)</f>
        <v>6.4265886363502646E-3</v>
      </c>
      <c r="I610" s="77">
        <f>IF(VLOOKUP($D610,$C$5:$AU$836,3,)=0,0,(VLOOKUP($D610,$C$5:$AU$836,7,)/VLOOKUP($D610,$C$5:$AU$836,3,))*$E610)</f>
        <v>2.4226643392110479E-3</v>
      </c>
      <c r="J610" s="77">
        <f>IF(VLOOKUP($D610,$C$5:$AU$836,3,)=0,0,(VLOOKUP($D610,$C$5:$AU$836,8,)/VLOOKUP($D610,$C$5:$AU$836,3,))*$E610)</f>
        <v>2.4661852554843001E-4</v>
      </c>
      <c r="K610" s="77">
        <f>IF(VLOOKUP($D610,$C$5:$AU$836,3,)=0,0,(VLOOKUP($D610,$C$5:$AU$836,9,)/VLOOKUP($D610,$C$5:$AU$836,3,))*$E610)</f>
        <v>0</v>
      </c>
      <c r="L610" s="77">
        <f>IF(VLOOKUP($D610,$C$5:$AU$836,3,)=0,0,(VLOOKUP($D610,$C$5:$AU$836,10,)/VLOOKUP($D610,$C$5:$AU$836,3,))*$E610)</f>
        <v>0</v>
      </c>
      <c r="M610" s="77">
        <f>IF(VLOOKUP($D610,$C$5:$AU$836,3,)=0,0,(VLOOKUP($D610,$C$5:$AU$836,11,)/VLOOKUP($D610,$C$5:$AU$836,3,))*$E610)</f>
        <v>0</v>
      </c>
      <c r="N610" s="77">
        <f>IF(VLOOKUP($D610,$C$5:$AU$836,3,)=0,0,(VLOOKUP($D610,$C$5:$AU$836,12,)/VLOOKUP($D610,$C$5:$AU$836,3,))*$E610)</f>
        <v>8.1583181325787339E-3</v>
      </c>
      <c r="O610" s="77">
        <f>IF(VLOOKUP($D610,$C$5:$AU$836,3,)=0,0,(VLOOKUP($D610,$C$5:$AU$836,13,)/VLOOKUP($D610,$C$5:$AU$836,3,))*$E610)</f>
        <v>0</v>
      </c>
      <c r="P610" s="77">
        <f>IF(VLOOKUP($D610,$C$5:$AU$836,3,)=0,0,(VLOOKUP($D610,$C$5:$AU$836,14,)/VLOOKUP($D610,$C$5:$AU$836,3,))*$E610)</f>
        <v>0</v>
      </c>
      <c r="Q610" s="77">
        <f>IF(VLOOKUP($D610,$C$5:$AU$836,3,)=0,0,(VLOOKUP($D610,$C$5:$AU$836,15,)/VLOOKUP($D610,$C$5:$AU$836,3,))*$E610)</f>
        <v>0</v>
      </c>
      <c r="R610" s="77">
        <f>IF(VLOOKUP($D610,$C$5:$AU$836,3,)=0,0,(VLOOKUP($D610,$C$5:$AU$836,16,)/VLOOKUP($D610,$C$5:$AU$836,3,))*$E610)</f>
        <v>0</v>
      </c>
      <c r="S610" s="77">
        <f>IF(VLOOKUP($D610,$C$5:$AU$836,3,)=0,0,(VLOOKUP($D610,$C$5:$AU$836,17,)/VLOOKUP($D610,$C$5:$AU$836,3,))*$E610)</f>
        <v>0</v>
      </c>
      <c r="T610" s="77">
        <f>IF(VLOOKUP($D610,$C$5:$AU$836,3,)=0,0,(VLOOKUP($D610,$C$5:$AU$836,18,)/VLOOKUP($D610,$C$5:$AU$836,3,))*$E610)</f>
        <v>0</v>
      </c>
      <c r="U610" s="77">
        <f>IF(VLOOKUP($D610,$C$5:$AU$836,3,)=0,0,(VLOOKUP($D610,$C$5:$AU$836,19,)/VLOOKUP($D610,$C$5:$AU$836,3,))*$E610)</f>
        <v>0</v>
      </c>
      <c r="V610" s="77">
        <f>IF(VLOOKUP($D610,$C$5:$AU$836,3,)=0,0,(VLOOKUP($D610,$C$5:$AU$836,20,)/VLOOKUP($D610,$C$5:$AU$836,3,))*$E610)</f>
        <v>0</v>
      </c>
      <c r="W610" s="77">
        <f>IF(VLOOKUP($D610,$C$5:$AU$836,3,)=0,0,(VLOOKUP($D610,$C$5:$AU$836,21,)/VLOOKUP($D610,$C$5:$AU$836,3,))*$E610)</f>
        <v>0</v>
      </c>
      <c r="X610" s="77">
        <f>IF(VLOOKUP($D610,$C$5:$AU$836,3,)=0,0,(VLOOKUP($D610,$C$5:$AU$836,22,)/VLOOKUP($D610,$C$5:$AU$836,3,))*$E610)</f>
        <v>0</v>
      </c>
      <c r="Y610" s="77">
        <f>IF(VLOOKUP($D610,$C$5:$AU$836,3,)=0,0,(VLOOKUP($D610,$C$5:$AU$836,23,)/VLOOKUP($D610,$C$5:$AU$836,3,))*$E610)</f>
        <v>0</v>
      </c>
      <c r="Z610" s="77">
        <f>IF(VLOOKUP($D610,$C$5:$AU$836,3,)=0,0,(VLOOKUP($D610,$C$5:$AU$836,24,)/VLOOKUP($D610,$C$5:$AU$836,3,))*$E610)</f>
        <v>0</v>
      </c>
      <c r="AA610" s="77">
        <f>IF(VLOOKUP($D610,$C$5:$AU$836,3,)=0,0,(VLOOKUP($D610,$C$5:$AU$836,25,)/VLOOKUP($D610,$C$5:$AU$836,3,))*$E610)</f>
        <v>0</v>
      </c>
      <c r="AB610" s="77">
        <f>IF(VLOOKUP($D610,$C$5:$AU$836,3,)=0,0,(VLOOKUP($D610,$C$5:$AU$836,26,)/VLOOKUP($D610,$C$5:$AU$836,3,))*$E610)</f>
        <v>0</v>
      </c>
      <c r="AC610" s="77">
        <f>IF(VLOOKUP($D610,$C$5:$AU$836,3,)=0,0,(VLOOKUP($D610,$C$5:$AU$836,27,)/VLOOKUP($D610,$C$5:$AU$836,3,))*$E610)</f>
        <v>0</v>
      </c>
      <c r="AD610" s="77">
        <f>IF(VLOOKUP($D610,$C$5:$AU$836,3,)=0,0,(VLOOKUP($D610,$C$5:$AU$836,28,)/VLOOKUP($D610,$C$5:$AU$836,3,))*$E610)</f>
        <v>0</v>
      </c>
      <c r="AE610" s="77">
        <f>IF(VLOOKUP($D610,$C$5:$AU$836,3,)=0,0,(VLOOKUP($D610,$C$5:$AU$836,29,)/VLOOKUP($D610,$C$5:$AU$836,3,))*$E610)</f>
        <v>0</v>
      </c>
      <c r="AF610" s="77">
        <f>IF(VLOOKUP($D610,$C$5:$AU$836,3,)=0,0,(VLOOKUP($D610,$C$5:$AU$836,30,)/VLOOKUP($D610,$C$5:$AU$836,3,))*$E610)</f>
        <v>0</v>
      </c>
      <c r="AG610" s="78">
        <f>SUM(F610:AF610)</f>
        <v>0.99999999999999989</v>
      </c>
      <c r="AH610" s="14" t="str">
        <f t="shared" si="393"/>
        <v>ok</v>
      </c>
    </row>
    <row r="611" spans="1:36" x14ac:dyDescent="0.25">
      <c r="A611" s="9" t="s">
        <v>757</v>
      </c>
      <c r="C611" s="9" t="s">
        <v>853</v>
      </c>
      <c r="D611" s="9" t="s">
        <v>852</v>
      </c>
      <c r="E611" s="79">
        <v>1</v>
      </c>
      <c r="F611" s="77">
        <f>IF(VLOOKUP($D611,$C$5:$AU$836,3,)=0,0,(VLOOKUP($D611,$C$5:$AU$836,4,)/VLOOKUP($D611,$C$5:$AU$836,3,))*$E611)</f>
        <v>0.91697119890533607</v>
      </c>
      <c r="G611" s="77">
        <f>IF(VLOOKUP($D611,$C$5:$AU$836,3,)=0,0,(VLOOKUP($D611,$C$5:$AU$836,5,)/VLOOKUP($D611,$C$5:$AU$836,3,))*$E611)</f>
        <v>6.5774611460975393E-2</v>
      </c>
      <c r="H611" s="77">
        <f>IF(VLOOKUP($D611,$C$5:$AU$836,3,)=0,0,(VLOOKUP($D611,$C$5:$AU$836,6,)/VLOOKUP($D611,$C$5:$AU$836,3,))*$E611)</f>
        <v>6.4265886363502646E-3</v>
      </c>
      <c r="I611" s="77">
        <f>IF(VLOOKUP($D611,$C$5:$AU$836,3,)=0,0,(VLOOKUP($D611,$C$5:$AU$836,7,)/VLOOKUP($D611,$C$5:$AU$836,3,))*$E611)</f>
        <v>2.4226643392110479E-3</v>
      </c>
      <c r="J611" s="77">
        <f>IF(VLOOKUP($D611,$C$5:$AU$836,3,)=0,0,(VLOOKUP($D611,$C$5:$AU$836,8,)/VLOOKUP($D611,$C$5:$AU$836,3,))*$E611)</f>
        <v>2.4661852554843001E-4</v>
      </c>
      <c r="K611" s="77">
        <f>IF(VLOOKUP($D611,$C$5:$AU$836,3,)=0,0,(VLOOKUP($D611,$C$5:$AU$836,9,)/VLOOKUP($D611,$C$5:$AU$836,3,))*$E611)</f>
        <v>0</v>
      </c>
      <c r="L611" s="77">
        <f>IF(VLOOKUP($D611,$C$5:$AU$836,3,)=0,0,(VLOOKUP($D611,$C$5:$AU$836,10,)/VLOOKUP($D611,$C$5:$AU$836,3,))*$E611)</f>
        <v>0</v>
      </c>
      <c r="M611" s="77">
        <f>IF(VLOOKUP($D611,$C$5:$AU$836,3,)=0,0,(VLOOKUP($D611,$C$5:$AU$836,11,)/VLOOKUP($D611,$C$5:$AU$836,3,))*$E611)</f>
        <v>0</v>
      </c>
      <c r="N611" s="77">
        <f>IF(VLOOKUP($D611,$C$5:$AU$836,3,)=0,0,(VLOOKUP($D611,$C$5:$AU$836,12,)/VLOOKUP($D611,$C$5:$AU$836,3,))*$E611)</f>
        <v>8.1583181325787339E-3</v>
      </c>
      <c r="O611" s="77">
        <f>IF(VLOOKUP($D611,$C$5:$AU$836,3,)=0,0,(VLOOKUP($D611,$C$5:$AU$836,13,)/VLOOKUP($D611,$C$5:$AU$836,3,))*$E611)</f>
        <v>0</v>
      </c>
      <c r="P611" s="77">
        <f>IF(VLOOKUP($D611,$C$5:$AU$836,3,)=0,0,(VLOOKUP($D611,$C$5:$AU$836,14,)/VLOOKUP($D611,$C$5:$AU$836,3,))*$E611)</f>
        <v>0</v>
      </c>
      <c r="Q611" s="77">
        <f>IF(VLOOKUP($D611,$C$5:$AU$836,3,)=0,0,(VLOOKUP($D611,$C$5:$AU$836,15,)/VLOOKUP($D611,$C$5:$AU$836,3,))*$E611)</f>
        <v>0</v>
      </c>
      <c r="R611" s="77">
        <f>IF(VLOOKUP($D611,$C$5:$AU$836,3,)=0,0,(VLOOKUP($D611,$C$5:$AU$836,16,)/VLOOKUP($D611,$C$5:$AU$836,3,))*$E611)</f>
        <v>0</v>
      </c>
      <c r="S611" s="77">
        <f>IF(VLOOKUP($D611,$C$5:$AU$836,3,)=0,0,(VLOOKUP($D611,$C$5:$AU$836,17,)/VLOOKUP($D611,$C$5:$AU$836,3,))*$E611)</f>
        <v>0</v>
      </c>
      <c r="T611" s="77">
        <f>IF(VLOOKUP($D611,$C$5:$AU$836,3,)=0,0,(VLOOKUP($D611,$C$5:$AU$836,18,)/VLOOKUP($D611,$C$5:$AU$836,3,))*$E611)</f>
        <v>0</v>
      </c>
      <c r="U611" s="77">
        <f>IF(VLOOKUP($D611,$C$5:$AU$836,3,)=0,0,(VLOOKUP($D611,$C$5:$AU$836,19,)/VLOOKUP($D611,$C$5:$AU$836,3,))*$E611)</f>
        <v>0</v>
      </c>
      <c r="V611" s="77">
        <f>IF(VLOOKUP($D611,$C$5:$AU$836,3,)=0,0,(VLOOKUP($D611,$C$5:$AU$836,20,)/VLOOKUP($D611,$C$5:$AU$836,3,))*$E611)</f>
        <v>0</v>
      </c>
      <c r="W611" s="77">
        <f>IF(VLOOKUP($D611,$C$5:$AU$836,3,)=0,0,(VLOOKUP($D611,$C$5:$AU$836,21,)/VLOOKUP($D611,$C$5:$AU$836,3,))*$E611)</f>
        <v>0</v>
      </c>
      <c r="X611" s="77">
        <f>IF(VLOOKUP($D611,$C$5:$AU$836,3,)=0,0,(VLOOKUP($D611,$C$5:$AU$836,22,)/VLOOKUP($D611,$C$5:$AU$836,3,))*$E611)</f>
        <v>0</v>
      </c>
      <c r="Y611" s="77">
        <f>IF(VLOOKUP($D611,$C$5:$AU$836,3,)=0,0,(VLOOKUP($D611,$C$5:$AU$836,23,)/VLOOKUP($D611,$C$5:$AU$836,3,))*$E611)</f>
        <v>0</v>
      </c>
      <c r="Z611" s="77">
        <f>IF(VLOOKUP($D611,$C$5:$AU$836,3,)=0,0,(VLOOKUP($D611,$C$5:$AU$836,24,)/VLOOKUP($D611,$C$5:$AU$836,3,))*$E611)</f>
        <v>0</v>
      </c>
      <c r="AA611" s="77">
        <f>IF(VLOOKUP($D611,$C$5:$AU$836,3,)=0,0,(VLOOKUP($D611,$C$5:$AU$836,25,)/VLOOKUP($D611,$C$5:$AU$836,3,))*$E611)</f>
        <v>0</v>
      </c>
      <c r="AB611" s="77">
        <f>IF(VLOOKUP($D611,$C$5:$AU$836,3,)=0,0,(VLOOKUP($D611,$C$5:$AU$836,26,)/VLOOKUP($D611,$C$5:$AU$836,3,))*$E611)</f>
        <v>0</v>
      </c>
      <c r="AC611" s="77">
        <f>IF(VLOOKUP($D611,$C$5:$AU$836,3,)=0,0,(VLOOKUP($D611,$C$5:$AU$836,27,)/VLOOKUP($D611,$C$5:$AU$836,3,))*$E611)</f>
        <v>0</v>
      </c>
      <c r="AD611" s="77">
        <f>IF(VLOOKUP($D611,$C$5:$AU$836,3,)=0,0,(VLOOKUP($D611,$C$5:$AU$836,28,)/VLOOKUP($D611,$C$5:$AU$836,3,))*$E611)</f>
        <v>0</v>
      </c>
      <c r="AE611" s="77">
        <f>IF(VLOOKUP($D611,$C$5:$AU$836,3,)=0,0,(VLOOKUP($D611,$C$5:$AU$836,29,)/VLOOKUP($D611,$C$5:$AU$836,3,))*$E611)</f>
        <v>0</v>
      </c>
      <c r="AF611" s="77">
        <f>IF(VLOOKUP($D611,$C$5:$AU$836,3,)=0,0,(VLOOKUP($D611,$C$5:$AU$836,30,)/VLOOKUP($D611,$C$5:$AU$836,3,))*$E611)</f>
        <v>0</v>
      </c>
      <c r="AG611" s="78">
        <f>SUM(F611:AF611)</f>
        <v>0.99999999999999989</v>
      </c>
      <c r="AH611" s="14" t="str">
        <f>IF(ABS(E611-AG611)&lt;0.01,"ok","err")</f>
        <v>ok</v>
      </c>
    </row>
    <row r="612" spans="1:36" x14ac:dyDescent="0.25">
      <c r="A612" s="2" t="s">
        <v>682</v>
      </c>
      <c r="C612" s="2" t="s">
        <v>228</v>
      </c>
      <c r="E612" s="79">
        <v>1</v>
      </c>
      <c r="F612" s="77">
        <f>Services!F10</f>
        <v>0.78748183534056104</v>
      </c>
      <c r="G612" s="77">
        <f>Services!F12</f>
        <v>8.965159036884722E-2</v>
      </c>
      <c r="H612" s="77">
        <f>Services!F14</f>
        <v>1.1211767005518196E-2</v>
      </c>
      <c r="I612" s="77">
        <f>Services!F16</f>
        <v>3.5359701516872481E-3</v>
      </c>
      <c r="J612" s="77">
        <f>Services!F18</f>
        <v>3.4861677551846108E-4</v>
      </c>
      <c r="K612" s="77">
        <f>Services!F20</f>
        <v>7.456150162147771E-6</v>
      </c>
      <c r="L612" s="77">
        <f>Services!F22</f>
        <v>1.4912300324295542E-5</v>
      </c>
      <c r="M612" s="77">
        <f>Services!F24</f>
        <v>5.9649201297182168E-5</v>
      </c>
      <c r="N612" s="77">
        <f>Services!F26</f>
        <v>0.10768820270608419</v>
      </c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7"/>
      <c r="AE612" s="77"/>
      <c r="AF612" s="77"/>
      <c r="AG612" s="78">
        <f t="shared" si="392"/>
        <v>0.99999999999999989</v>
      </c>
      <c r="AH612" s="14" t="str">
        <f t="shared" si="393"/>
        <v>ok</v>
      </c>
    </row>
    <row r="613" spans="1:36" x14ac:dyDescent="0.25">
      <c r="A613" s="2" t="s">
        <v>322</v>
      </c>
      <c r="C613" s="2" t="s">
        <v>231</v>
      </c>
      <c r="E613" s="79">
        <v>1</v>
      </c>
      <c r="F613" s="77">
        <f>Meters!F10</f>
        <v>0.66222728775714879</v>
      </c>
      <c r="G613" s="77">
        <f>Meters!F12</f>
        <v>0.25986964733391499</v>
      </c>
      <c r="H613" s="77">
        <f>Meters!F14</f>
        <v>6.19777186160844E-2</v>
      </c>
      <c r="I613" s="77">
        <f>Meters!F16</f>
        <v>7.2005111050446775E-3</v>
      </c>
      <c r="J613" s="77">
        <f>Meters!F18</f>
        <v>2.3437454849995257E-3</v>
      </c>
      <c r="K613" s="77">
        <f>Meters!F20</f>
        <v>6.4769658419149662E-4</v>
      </c>
      <c r="L613" s="77">
        <f>Meters!F22</f>
        <v>1.2953931683829932E-3</v>
      </c>
      <c r="M613" s="77">
        <f>Meters!F24</f>
        <v>9.2254151629907243E-4</v>
      </c>
      <c r="N613" s="77">
        <f>Meters!F26</f>
        <v>3.5154584339341095E-3</v>
      </c>
      <c r="O613" s="77">
        <v>0</v>
      </c>
      <c r="P613" s="77">
        <v>0</v>
      </c>
      <c r="Q613" s="77">
        <v>0</v>
      </c>
      <c r="R613" s="77">
        <v>0</v>
      </c>
      <c r="S613" s="77">
        <v>0</v>
      </c>
      <c r="T613" s="77">
        <v>0</v>
      </c>
      <c r="U613" s="77">
        <v>0</v>
      </c>
      <c r="V613" s="77">
        <v>0</v>
      </c>
      <c r="W613" s="77">
        <v>0</v>
      </c>
      <c r="X613" s="77">
        <v>0</v>
      </c>
      <c r="Y613" s="77">
        <v>0</v>
      </c>
      <c r="Z613" s="77">
        <v>0</v>
      </c>
      <c r="AA613" s="77">
        <v>0</v>
      </c>
      <c r="AB613" s="77">
        <v>0</v>
      </c>
      <c r="AC613" s="77">
        <v>0</v>
      </c>
      <c r="AD613" s="77">
        <v>0</v>
      </c>
      <c r="AE613" s="77">
        <v>0</v>
      </c>
      <c r="AF613" s="77">
        <v>0</v>
      </c>
      <c r="AG613" s="78">
        <f t="shared" si="392"/>
        <v>1</v>
      </c>
      <c r="AH613" s="14" t="str">
        <f t="shared" si="393"/>
        <v>ok</v>
      </c>
    </row>
    <row r="614" spans="1:36" x14ac:dyDescent="0.25">
      <c r="A614" s="2" t="s">
        <v>323</v>
      </c>
      <c r="C614" s="2" t="s">
        <v>233</v>
      </c>
      <c r="D614" s="2" t="s">
        <v>555</v>
      </c>
      <c r="E614" s="79">
        <v>1</v>
      </c>
      <c r="F614" s="77">
        <f>IF(VLOOKUP($D614,$C$5:$AU$836,3,)=0,0,(VLOOKUP($D614,$C$5:$AU$836,4,)/VLOOKUP($D614,$C$5:$AU$836,3,))*$E614)</f>
        <v>0</v>
      </c>
      <c r="G614" s="77">
        <f>IF(VLOOKUP($D614,$C$5:$AU$836,3,)=0,0,(VLOOKUP($D614,$C$5:$AU$836,5,)/VLOOKUP($D614,$C$5:$AU$836,3,))*$E614)</f>
        <v>0</v>
      </c>
      <c r="H614" s="77">
        <f>IF(VLOOKUP($D614,$C$5:$AU$836,3,)=0,0,(VLOOKUP($D614,$C$5:$AU$836,6,)/VLOOKUP($D614,$C$5:$AU$836,3,))*$E614)</f>
        <v>0</v>
      </c>
      <c r="I614" s="77">
        <f>IF(VLOOKUP($D614,$C$5:$AU$836,3,)=0,0,(VLOOKUP($D614,$C$5:$AU$836,7,)/VLOOKUP($D614,$C$5:$AU$836,3,))*$E614)</f>
        <v>0</v>
      </c>
      <c r="J614" s="77">
        <f>IF(VLOOKUP($D614,$C$5:$AU$836,3,)=0,0,(VLOOKUP($D614,$C$5:$AU$836,8,)/VLOOKUP($D614,$C$5:$AU$836,3,))*$E614)</f>
        <v>0</v>
      </c>
      <c r="K614" s="77">
        <f>IF(VLOOKUP($D614,$C$5:$AU$836,3,)=0,0,(VLOOKUP($D614,$C$5:$AU$836,9,)/VLOOKUP($D614,$C$5:$AU$836,3,))*$E614)</f>
        <v>0</v>
      </c>
      <c r="L614" s="77">
        <f>IF(VLOOKUP($D614,$C$5:$AU$836,3,)=0,0,(VLOOKUP($D614,$C$5:$AU$836,10,)/VLOOKUP($D614,$C$5:$AU$836,3,))*$E614)</f>
        <v>0</v>
      </c>
      <c r="M614" s="80">
        <f>IF(VLOOKUP($D614,$C$5:$AU$836,3,)=0,0,(VLOOKUP($D614,$C$5:$AU$836,11,)/VLOOKUP($D614,$C$5:$AU$836,3,))*$E614)</f>
        <v>0</v>
      </c>
      <c r="N614" s="80">
        <f>IF(VLOOKUP($D614,$C$5:$AU$836,3,)=0,0,(VLOOKUP($D614,$C$5:$AU$836,12,)/VLOOKUP($D614,$C$5:$AU$836,3,))*$E614)</f>
        <v>1</v>
      </c>
      <c r="O614" s="77">
        <f>IF(VLOOKUP($D614,$C$5:$AU$836,3,)=0,0,(VLOOKUP($D614,$C$5:$AU$836,13,)/VLOOKUP($D614,$C$5:$AU$836,3,))*$E614)</f>
        <v>0</v>
      </c>
      <c r="P614" s="77">
        <v>0</v>
      </c>
      <c r="Q614" s="77">
        <f>IF(VLOOKUP($D614,$C$5:$AU$836,3,)=0,0,(VLOOKUP($D614,$C$5:$AU$836,15,)/VLOOKUP($D614,$C$5:$AU$836,3,))*$E614)</f>
        <v>0</v>
      </c>
      <c r="R614" s="77">
        <f>IF(VLOOKUP($D614,$C$5:$AU$836,3,)=0,0,(VLOOKUP($D614,$C$5:$AU$836,16,)/VLOOKUP($D614,$C$5:$AU$836,3,))*$E614)</f>
        <v>0</v>
      </c>
      <c r="S614" s="77">
        <f>IF(VLOOKUP($D614,$C$5:$AU$836,3,)=0,0,(VLOOKUP($D614,$C$5:$AU$836,17,)/VLOOKUP($D614,$C$5:$AU$836,3,))*$E614)</f>
        <v>0</v>
      </c>
      <c r="T614" s="77">
        <f>IF(VLOOKUP($D614,$C$5:$AU$836,3,)=0,0,(VLOOKUP($D614,$C$5:$AU$836,18,)/VLOOKUP($D614,$C$5:$AU$836,3,))*$E614)</f>
        <v>0</v>
      </c>
      <c r="U614" s="77">
        <f>IF(VLOOKUP($D614,$C$5:$AU$836,3,)=0,0,(VLOOKUP($D614,$C$5:$AU$836,19,)/VLOOKUP($D614,$C$5:$AU$836,3,))*$E614)</f>
        <v>0</v>
      </c>
      <c r="V614" s="77">
        <f>IF(VLOOKUP($D614,$C$5:$AU$836,3,)=0,0,(VLOOKUP($D614,$C$5:$AU$836,20,)/VLOOKUP($D614,$C$5:$AU$836,3,))*$E614)</f>
        <v>0</v>
      </c>
      <c r="W614" s="77">
        <f>IF(VLOOKUP($D614,$C$5:$AU$836,3,)=0,0,(VLOOKUP($D614,$C$5:$AU$836,21,)/VLOOKUP($D614,$C$5:$AU$836,3,))*$E614)</f>
        <v>0</v>
      </c>
      <c r="X614" s="77">
        <f>IF(VLOOKUP($D614,$C$5:$AU$836,3,)=0,0,(VLOOKUP($D614,$C$5:$AU$836,22,)/VLOOKUP($D614,$C$5:$AU$836,3,))*$E614)</f>
        <v>0</v>
      </c>
      <c r="Y614" s="77">
        <f>IF(VLOOKUP($D614,$C$5:$AU$836,3,)=0,0,(VLOOKUP($D614,$C$5:$AU$836,23,)/VLOOKUP($D614,$C$5:$AU$836,3,))*$E614)</f>
        <v>0</v>
      </c>
      <c r="Z614" s="77">
        <f>IF(VLOOKUP($D614,$C$5:$AU$836,3,)=0,0,(VLOOKUP($D614,$C$5:$AU$836,24,)/VLOOKUP($D614,$C$5:$AU$836,3,))*$E614)</f>
        <v>0</v>
      </c>
      <c r="AA614" s="77">
        <f>IF(VLOOKUP($D614,$C$5:$AU$836,3,)=0,0,(VLOOKUP($D614,$C$5:$AU$836,25,)/VLOOKUP($D614,$C$5:$AU$836,3,))*$E614)</f>
        <v>0</v>
      </c>
      <c r="AB614" s="77">
        <f>IF(VLOOKUP($D614,$C$5:$AU$836,3,)=0,0,(VLOOKUP($D614,$C$5:$AU$836,26,)/VLOOKUP($D614,$C$5:$AU$836,3,))*$E614)</f>
        <v>0</v>
      </c>
      <c r="AC614" s="77">
        <f>IF(VLOOKUP($D614,$C$5:$AU$836,3,)=0,0,(VLOOKUP($D614,$C$5:$AU$836,27,)/VLOOKUP($D614,$C$5:$AU$836,3,))*$E614)</f>
        <v>0</v>
      </c>
      <c r="AD614" s="77">
        <f>IF(VLOOKUP($D614,$C$5:$AU$836,3,)=0,0,(VLOOKUP($D614,$C$5:$AU$836,28,)/VLOOKUP($D614,$C$5:$AU$836,3,))*$E614)</f>
        <v>0</v>
      </c>
      <c r="AE614" s="77">
        <f>IF(VLOOKUP($D614,$C$5:$AU$836,3,)=0,0,(VLOOKUP($D614,$C$5:$AU$836,29,)/VLOOKUP($D614,$C$5:$AU$836,3,))*$E614)</f>
        <v>0</v>
      </c>
      <c r="AF614" s="77">
        <f>IF(VLOOKUP($D614,$C$5:$AU$836,3,)=0,0,(VLOOKUP($D614,$C$5:$AU$836,30,)/VLOOKUP($D614,$C$5:$AU$836,3,))*$E614)</f>
        <v>0</v>
      </c>
      <c r="AG614" s="78">
        <f t="shared" si="392"/>
        <v>1</v>
      </c>
      <c r="AH614" s="14" t="str">
        <f t="shared" si="393"/>
        <v>ok</v>
      </c>
    </row>
    <row r="615" spans="1:36" x14ac:dyDescent="0.25">
      <c r="A615" s="2" t="s">
        <v>324</v>
      </c>
      <c r="C615" s="2" t="s">
        <v>235</v>
      </c>
      <c r="D615" s="2" t="s">
        <v>554</v>
      </c>
      <c r="E615" s="79">
        <v>1</v>
      </c>
      <c r="F615" s="77">
        <f>IF(VLOOKUP($D615,$C$5:$AU$836,3,)=0,0,(VLOOKUP($D615,$C$5:$AU$836,4,)/VLOOKUP($D615,$C$5:$AU$836,3,))*$E615)</f>
        <v>0.91703972161793257</v>
      </c>
      <c r="G615" s="77">
        <f>IF(VLOOKUP($D615,$C$5:$AU$836,3,)=0,0,(VLOOKUP($D615,$C$5:$AU$836,5,)/VLOOKUP($D615,$C$5:$AU$836,3,))*$E615)</f>
        <v>6.5795761590297555E-2</v>
      </c>
      <c r="H615" s="77">
        <f>IF(VLOOKUP($D615,$C$5:$AU$836,3,)=0,0,(VLOOKUP($D615,$C$5:$AU$836,6,)/VLOOKUP($D615,$C$5:$AU$836,3,))*$E615)</f>
        <v>6.2441760779747358E-3</v>
      </c>
      <c r="I615" s="77">
        <f>IF(VLOOKUP($D615,$C$5:$AU$836,3,)=0,0,(VLOOKUP($D615,$C$5:$AU$836,7,)/VLOOKUP($D615,$C$5:$AU$836,3,))*$E615)</f>
        <v>2.3950264408670219E-3</v>
      </c>
      <c r="J615" s="77">
        <f>IF(VLOOKUP($D615,$C$5:$AU$836,3,)=0,0,(VLOOKUP($D615,$C$5:$AU$836,8,)/VLOOKUP($D615,$C$5:$AU$836,3,))*$E615)</f>
        <v>2.3612936740942468E-4</v>
      </c>
      <c r="K615" s="77">
        <f>IF(VLOOKUP($D615,$C$5:$AU$836,3,)=0,0,(VLOOKUP($D615,$C$5:$AU$836,9,)/VLOOKUP($D615,$C$5:$AU$836,3,))*$E615)</f>
        <v>1.4456900045474982E-5</v>
      </c>
      <c r="L615" s="77">
        <f>IF(VLOOKUP($D615,$C$5:$AU$836,3,)=0,0,(VLOOKUP($D615,$C$5:$AU$836,10,)/VLOOKUP($D615,$C$5:$AU$836,3,))*$E615)</f>
        <v>2.8913800090949964E-5</v>
      </c>
      <c r="M615" s="65">
        <f>IF(VLOOKUP($D615,$C$5:$AU$836,3,)=0,0,(VLOOKUP($D615,$C$5:$AU$836,11,)/VLOOKUP($D615,$C$5:$AU$836,3,))*$E615)</f>
        <v>1.1565520036379985E-4</v>
      </c>
      <c r="N615" s="65">
        <f>IF(VLOOKUP($D615,$C$5:$AU$836,3,)=0,0,(VLOOKUP($D615,$C$5:$AU$836,12,)/VLOOKUP($D615,$C$5:$AU$836,3,))*$E615)</f>
        <v>8.1301590050183118E-3</v>
      </c>
      <c r="O615" s="77">
        <f>IF(VLOOKUP($D615,$C$5:$AU$836,3,)=0,0,(VLOOKUP($D615,$C$5:$AU$836,13,)/VLOOKUP($D615,$C$5:$AU$836,3,))*$E615)</f>
        <v>0</v>
      </c>
      <c r="P615" s="77">
        <f>IF(VLOOKUP($D615,$C$5:$AU$836,3,)=0,0,(VLOOKUP($D615,$C$5:$AU$836,14,)/VLOOKUP($D615,$C$5:$AU$836,3,))*$E615)</f>
        <v>0</v>
      </c>
      <c r="Q615" s="77">
        <f>IF(VLOOKUP($D615,$C$5:$AU$836,3,)=0,0,(VLOOKUP($D615,$C$5:$AU$836,15,)/VLOOKUP($D615,$C$5:$AU$836,3,))*$E615)</f>
        <v>0</v>
      </c>
      <c r="R615" s="77">
        <f>IF(VLOOKUP($D615,$C$5:$AU$836,3,)=0,0,(VLOOKUP($D615,$C$5:$AU$836,16,)/VLOOKUP($D615,$C$5:$AU$836,3,))*$E615)</f>
        <v>0</v>
      </c>
      <c r="S615" s="77">
        <f>IF(VLOOKUP($D615,$C$5:$AU$836,3,)=0,0,(VLOOKUP($D615,$C$5:$AU$836,17,)/VLOOKUP($D615,$C$5:$AU$836,3,))*$E615)</f>
        <v>0</v>
      </c>
      <c r="T615" s="77">
        <f>IF(VLOOKUP($D615,$C$5:$AU$836,3,)=0,0,(VLOOKUP($D615,$C$5:$AU$836,18,)/VLOOKUP($D615,$C$5:$AU$836,3,))*$E615)</f>
        <v>0</v>
      </c>
      <c r="U615" s="77">
        <f>IF(VLOOKUP($D615,$C$5:$AU$836,3,)=0,0,(VLOOKUP($D615,$C$5:$AU$836,19,)/VLOOKUP($D615,$C$5:$AU$836,3,))*$E615)</f>
        <v>0</v>
      </c>
      <c r="V615" s="77">
        <f>IF(VLOOKUP($D615,$C$5:$AU$836,3,)=0,0,(VLOOKUP($D615,$C$5:$AU$836,20,)/VLOOKUP($D615,$C$5:$AU$836,3,))*$E615)</f>
        <v>0</v>
      </c>
      <c r="W615" s="77">
        <f>IF(VLOOKUP($D615,$C$5:$AU$836,3,)=0,0,(VLOOKUP($D615,$C$5:$AU$836,21,)/VLOOKUP($D615,$C$5:$AU$836,3,))*$E615)</f>
        <v>0</v>
      </c>
      <c r="X615" s="77">
        <f>IF(VLOOKUP($D615,$C$5:$AU$836,3,)=0,0,(VLOOKUP($D615,$C$5:$AU$836,22,)/VLOOKUP($D615,$C$5:$AU$836,3,))*$E615)</f>
        <v>0</v>
      </c>
      <c r="Y615" s="77">
        <f>IF(VLOOKUP($D615,$C$5:$AU$836,3,)=0,0,(VLOOKUP($D615,$C$5:$AU$836,23,)/VLOOKUP($D615,$C$5:$AU$836,3,))*$E615)</f>
        <v>0</v>
      </c>
      <c r="Z615" s="77">
        <f>IF(VLOOKUP($D615,$C$5:$AU$836,3,)=0,0,(VLOOKUP($D615,$C$5:$AU$836,24,)/VLOOKUP($D615,$C$5:$AU$836,3,))*$E615)</f>
        <v>0</v>
      </c>
      <c r="AA615" s="77">
        <f>IF(VLOOKUP($D615,$C$5:$AU$836,3,)=0,0,(VLOOKUP($D615,$C$5:$AU$836,25,)/VLOOKUP($D615,$C$5:$AU$836,3,))*$E615)</f>
        <v>0</v>
      </c>
      <c r="AB615" s="77">
        <f>IF(VLOOKUP($D615,$C$5:$AU$836,3,)=0,0,(VLOOKUP($D615,$C$5:$AU$836,26,)/VLOOKUP($D615,$C$5:$AU$836,3,))*$E615)</f>
        <v>0</v>
      </c>
      <c r="AC615" s="77">
        <f>IF(VLOOKUP($D615,$C$5:$AU$836,3,)=0,0,(VLOOKUP($D615,$C$5:$AU$836,27,)/VLOOKUP($D615,$C$5:$AU$836,3,))*$E615)</f>
        <v>0</v>
      </c>
      <c r="AD615" s="77">
        <f>IF(VLOOKUP($D615,$C$5:$AU$836,3,)=0,0,(VLOOKUP($D615,$C$5:$AU$836,28,)/VLOOKUP($D615,$C$5:$AU$836,3,))*$E615)</f>
        <v>0</v>
      </c>
      <c r="AE615" s="77">
        <f>IF(VLOOKUP($D615,$C$5:$AU$836,3,)=0,0,(VLOOKUP($D615,$C$5:$AU$836,29,)/VLOOKUP($D615,$C$5:$AU$836,3,))*$E615)</f>
        <v>0</v>
      </c>
      <c r="AF615" s="77">
        <f>IF(VLOOKUP($D615,$C$5:$AU$836,3,)=0,0,(VLOOKUP($D615,$C$5:$AU$836,30,)/VLOOKUP($D615,$C$5:$AU$836,3,))*$E615)</f>
        <v>0</v>
      </c>
      <c r="AG615" s="78">
        <f t="shared" si="392"/>
        <v>0.99999999999999989</v>
      </c>
      <c r="AH615" s="14" t="str">
        <f t="shared" si="393"/>
        <v>ok</v>
      </c>
    </row>
    <row r="616" spans="1:36" x14ac:dyDescent="0.25">
      <c r="A616" s="2" t="s">
        <v>662</v>
      </c>
      <c r="C616" s="2" t="s">
        <v>236</v>
      </c>
      <c r="D616" s="2" t="s">
        <v>610</v>
      </c>
      <c r="E616" s="79">
        <v>1</v>
      </c>
      <c r="F616" s="77">
        <f>IF(VLOOKUP($D616,$C$5:$AU$836,3,)=0,0,(VLOOKUP($D616,$C$5:$AU$836,4,)/VLOOKUP($D616,$C$5:$AU$836,3,))*$E616)</f>
        <v>0.91703972161793257</v>
      </c>
      <c r="G616" s="77">
        <f>IF(VLOOKUP($D616,$C$5:$AU$836,3,)=0,0,(VLOOKUP($D616,$C$5:$AU$836,5,)/VLOOKUP($D616,$C$5:$AU$836,3,))*$E616)</f>
        <v>6.5795761590297555E-2</v>
      </c>
      <c r="H616" s="77">
        <f>IF(VLOOKUP($D616,$C$5:$AU$836,3,)=0,0,(VLOOKUP($D616,$C$5:$AU$836,6,)/VLOOKUP($D616,$C$5:$AU$836,3,))*$E616)</f>
        <v>6.2441760779747358E-3</v>
      </c>
      <c r="I616" s="77">
        <f>IF(VLOOKUP($D616,$C$5:$AU$836,3,)=0,0,(VLOOKUP($D616,$C$5:$AU$836,7,)/VLOOKUP($D616,$C$5:$AU$836,3,))*$E616)</f>
        <v>2.3950264408670219E-3</v>
      </c>
      <c r="J616" s="77">
        <f>IF(VLOOKUP($D616,$C$5:$AU$836,3,)=0,0,(VLOOKUP($D616,$C$5:$AU$836,8,)/VLOOKUP($D616,$C$5:$AU$836,3,))*$E616)</f>
        <v>2.3612936740942468E-4</v>
      </c>
      <c r="K616" s="77">
        <f>IF(VLOOKUP($D616,$C$5:$AU$836,3,)=0,0,(VLOOKUP($D616,$C$5:$AU$836,9,)/VLOOKUP($D616,$C$5:$AU$836,3,))*$E616)</f>
        <v>1.4456900045474982E-5</v>
      </c>
      <c r="L616" s="77">
        <f>IF(VLOOKUP($D616,$C$5:$AU$836,3,)=0,0,(VLOOKUP($D616,$C$5:$AU$836,10,)/VLOOKUP($D616,$C$5:$AU$836,3,))*$E616)</f>
        <v>2.8913800090949964E-5</v>
      </c>
      <c r="M616" s="65">
        <f>IF(VLOOKUP($D616,$C$5:$AU$836,3,)=0,0,(VLOOKUP($D616,$C$5:$AU$836,11,)/VLOOKUP($D616,$C$5:$AU$836,3,))*$E616)</f>
        <v>1.1565520036379985E-4</v>
      </c>
      <c r="N616" s="65">
        <f>IF(VLOOKUP($D616,$C$5:$AU$836,3,)=0,0,(VLOOKUP($D616,$C$5:$AU$836,12,)/VLOOKUP($D616,$C$5:$AU$836,3,))*$E616)</f>
        <v>8.1301590050183118E-3</v>
      </c>
      <c r="O616" s="77">
        <f>IF(VLOOKUP($D616,$C$5:$AU$836,3,)=0,0,(VLOOKUP($D616,$C$5:$AU$836,13,)/VLOOKUP($D616,$C$5:$AU$836,3,))*$E616)</f>
        <v>0</v>
      </c>
      <c r="P616" s="77">
        <f>IF(VLOOKUP($D616,$C$5:$AU$836,3,)=0,0,(VLOOKUP($D616,$C$5:$AU$836,14,)/VLOOKUP($D616,$C$5:$AU$836,3,))*$E616)</f>
        <v>0</v>
      </c>
      <c r="Q616" s="77">
        <f>IF(VLOOKUP($D616,$C$5:$AU$836,3,)=0,0,(VLOOKUP($D616,$C$5:$AU$836,15,)/VLOOKUP($D616,$C$5:$AU$836,3,))*$E616)</f>
        <v>0</v>
      </c>
      <c r="R616" s="77">
        <f>IF(VLOOKUP($D616,$C$5:$AU$836,3,)=0,0,(VLOOKUP($D616,$C$5:$AU$836,16,)/VLOOKUP($D616,$C$5:$AU$836,3,))*$E616)</f>
        <v>0</v>
      </c>
      <c r="S616" s="77">
        <f>IF(VLOOKUP($D616,$C$5:$AU$836,3,)=0,0,(VLOOKUP($D616,$C$5:$AU$836,17,)/VLOOKUP($D616,$C$5:$AU$836,3,))*$E616)</f>
        <v>0</v>
      </c>
      <c r="T616" s="77">
        <f>IF(VLOOKUP($D616,$C$5:$AU$836,3,)=0,0,(VLOOKUP($D616,$C$5:$AU$836,18,)/VLOOKUP($D616,$C$5:$AU$836,3,))*$E616)</f>
        <v>0</v>
      </c>
      <c r="U616" s="77">
        <f>IF(VLOOKUP($D616,$C$5:$AU$836,3,)=0,0,(VLOOKUP($D616,$C$5:$AU$836,19,)/VLOOKUP($D616,$C$5:$AU$836,3,))*$E616)</f>
        <v>0</v>
      </c>
      <c r="V616" s="77">
        <f>IF(VLOOKUP($D616,$C$5:$AU$836,3,)=0,0,(VLOOKUP($D616,$C$5:$AU$836,20,)/VLOOKUP($D616,$C$5:$AU$836,3,))*$E616)</f>
        <v>0</v>
      </c>
      <c r="W616" s="77">
        <f>IF(VLOOKUP($D616,$C$5:$AU$836,3,)=0,0,(VLOOKUP($D616,$C$5:$AU$836,21,)/VLOOKUP($D616,$C$5:$AU$836,3,))*$E616)</f>
        <v>0</v>
      </c>
      <c r="X616" s="77">
        <f>IF(VLOOKUP($D616,$C$5:$AU$836,3,)=0,0,(VLOOKUP($D616,$C$5:$AU$836,22,)/VLOOKUP($D616,$C$5:$AU$836,3,))*$E616)</f>
        <v>0</v>
      </c>
      <c r="Y616" s="77">
        <f>IF(VLOOKUP($D616,$C$5:$AU$836,3,)=0,0,(VLOOKUP($D616,$C$5:$AU$836,23,)/VLOOKUP($D616,$C$5:$AU$836,3,))*$E616)</f>
        <v>0</v>
      </c>
      <c r="Z616" s="77">
        <f>IF(VLOOKUP($D616,$C$5:$AU$836,3,)=0,0,(VLOOKUP($D616,$C$5:$AU$836,24,)/VLOOKUP($D616,$C$5:$AU$836,3,))*$E616)</f>
        <v>0</v>
      </c>
      <c r="AA616" s="77">
        <f>IF(VLOOKUP($D616,$C$5:$AU$836,3,)=0,0,(VLOOKUP($D616,$C$5:$AU$836,25,)/VLOOKUP($D616,$C$5:$AU$836,3,))*$E616)</f>
        <v>0</v>
      </c>
      <c r="AB616" s="77">
        <f>IF(VLOOKUP($D616,$C$5:$AU$836,3,)=0,0,(VLOOKUP($D616,$C$5:$AU$836,26,)/VLOOKUP($D616,$C$5:$AU$836,3,))*$E616)</f>
        <v>0</v>
      </c>
      <c r="AC616" s="77">
        <f>IF(VLOOKUP($D616,$C$5:$AU$836,3,)=0,0,(VLOOKUP($D616,$C$5:$AU$836,27,)/VLOOKUP($D616,$C$5:$AU$836,3,))*$E616)</f>
        <v>0</v>
      </c>
      <c r="AD616" s="77">
        <f>IF(VLOOKUP($D616,$C$5:$AU$836,3,)=0,0,(VLOOKUP($D616,$C$5:$AU$836,28,)/VLOOKUP($D616,$C$5:$AU$836,3,))*$E616)</f>
        <v>0</v>
      </c>
      <c r="AE616" s="77">
        <f>IF(VLOOKUP($D616,$C$5:$AU$836,3,)=0,0,(VLOOKUP($D616,$C$5:$AU$836,29,)/VLOOKUP($D616,$C$5:$AU$836,3,))*$E616)</f>
        <v>0</v>
      </c>
      <c r="AF616" s="77">
        <f>IF(VLOOKUP($D616,$C$5:$AU$836,3,)=0,0,(VLOOKUP($D616,$C$5:$AU$836,30,)/VLOOKUP($D616,$C$5:$AU$836,3,))*$E616)</f>
        <v>0</v>
      </c>
      <c r="AG616" s="78">
        <f t="shared" si="392"/>
        <v>0.99999999999999989</v>
      </c>
      <c r="AH616" s="14" t="str">
        <f t="shared" si="393"/>
        <v>ok</v>
      </c>
    </row>
    <row r="619" spans="1:36" x14ac:dyDescent="0.25">
      <c r="A619" s="2" t="s">
        <v>713</v>
      </c>
      <c r="C619" s="2" t="s">
        <v>702</v>
      </c>
      <c r="E619" s="17">
        <v>0</v>
      </c>
      <c r="F619" s="20"/>
      <c r="G619" s="20"/>
      <c r="H619" s="20"/>
      <c r="AG619" s="17">
        <f>SUM(F619:AF619)</f>
        <v>0</v>
      </c>
      <c r="AH619" s="14" t="str">
        <f t="shared" ref="AH619:AH635" si="394">IF(ABS(E619-AG619)&lt;0.01,"ok","err")</f>
        <v>ok</v>
      </c>
    </row>
    <row r="620" spans="1:36" x14ac:dyDescent="0.25">
      <c r="A620" s="2" t="s">
        <v>327</v>
      </c>
      <c r="C620" s="2" t="s">
        <v>551</v>
      </c>
      <c r="E620" s="31">
        <v>114130416.65999998</v>
      </c>
      <c r="F620" s="31">
        <f>'Billing Det (Proforma)'!E8</f>
        <v>74148638.809999987</v>
      </c>
      <c r="G620" s="31">
        <f>'Billing Det (Proforma)'!E10</f>
        <v>7810832.9899999993</v>
      </c>
      <c r="H620" s="31">
        <f>'Billing Det (Proforma)'!E12</f>
        <v>15717590.100000001</v>
      </c>
      <c r="I620" s="31">
        <f>'Billing Det (Proforma)'!E14</f>
        <v>1487654.2600000002</v>
      </c>
      <c r="J620" s="31">
        <f>'Billing Det (Proforma)'!E16</f>
        <v>846051.2</v>
      </c>
      <c r="K620" s="31">
        <f>'Billing Det (Proforma)'!E18</f>
        <v>1745586.0999999999</v>
      </c>
      <c r="L620" s="31">
        <f>'Billing Det (Proforma)'!E20</f>
        <v>4403647.6100000003</v>
      </c>
      <c r="M620" s="31">
        <f>'Billing Det (Proforma)'!E22</f>
        <v>4253208.41</v>
      </c>
      <c r="N620" s="31">
        <f>'Billing Det (Proforma)'!E24</f>
        <v>3717207.18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0</v>
      </c>
      <c r="AD620" s="31">
        <v>0</v>
      </c>
      <c r="AE620" s="31">
        <v>0</v>
      </c>
      <c r="AF620" s="31">
        <v>0</v>
      </c>
      <c r="AG620" s="17">
        <f t="shared" ref="AG620:AG635" si="395">SUM(F620:AF620)</f>
        <v>114130416.65999998</v>
      </c>
      <c r="AH620" s="14" t="str">
        <f t="shared" si="394"/>
        <v>ok</v>
      </c>
    </row>
    <row r="621" spans="1:36" x14ac:dyDescent="0.25">
      <c r="A621" s="2" t="s">
        <v>919</v>
      </c>
      <c r="C621" s="2" t="s">
        <v>13</v>
      </c>
      <c r="E621" s="31">
        <v>1243946332</v>
      </c>
      <c r="F621" s="31">
        <f>'Billing Det (Proforma)'!D8</f>
        <v>776790917</v>
      </c>
      <c r="G621" s="31">
        <f>'Billing Det (Proforma)'!D10</f>
        <v>69269843</v>
      </c>
      <c r="H621" s="31">
        <f>'Billing Det (Proforma)'!D12</f>
        <v>192207412</v>
      </c>
      <c r="I621" s="31">
        <f>'Billing Det (Proforma)'!D14</f>
        <v>13613706</v>
      </c>
      <c r="J621" s="31">
        <f>'Billing Det (Proforma)'!D16</f>
        <v>10779640</v>
      </c>
      <c r="K621" s="31">
        <f>'Billing Det (Proforma)'!D18</f>
        <v>11857233</v>
      </c>
      <c r="L621" s="31">
        <f>'Billing Det (Proforma)'!D20</f>
        <v>86101880</v>
      </c>
      <c r="M621" s="31">
        <f>'Billing Det (Proforma)'!D22</f>
        <v>67327363</v>
      </c>
      <c r="N621" s="31">
        <f>'Billing Det (Proforma)'!D24</f>
        <v>15998338</v>
      </c>
      <c r="O621" s="31">
        <v>0</v>
      </c>
      <c r="P621" s="31">
        <v>0</v>
      </c>
      <c r="Q621" s="31">
        <v>0</v>
      </c>
      <c r="R621" s="31">
        <v>0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0</v>
      </c>
      <c r="AD621" s="31">
        <v>0</v>
      </c>
      <c r="AE621" s="31">
        <v>0</v>
      </c>
      <c r="AF621" s="31">
        <v>0</v>
      </c>
      <c r="AG621" s="17">
        <f t="shared" si="395"/>
        <v>1243946332</v>
      </c>
      <c r="AH621" s="14" t="str">
        <f t="shared" si="394"/>
        <v>ok</v>
      </c>
      <c r="AJ621" s="20"/>
    </row>
    <row r="622" spans="1:36" x14ac:dyDescent="0.25">
      <c r="A622" s="2" t="s">
        <v>920</v>
      </c>
      <c r="C622" s="2" t="s">
        <v>930</v>
      </c>
      <c r="E622" s="31">
        <v>553538475.70848143</v>
      </c>
      <c r="F622" s="31">
        <f>'Billing Det (Proforma)'!L8</f>
        <v>405686937.45452952</v>
      </c>
      <c r="G622" s="31">
        <f>'Billing Det (Proforma)'!L10</f>
        <v>35815261.660127677</v>
      </c>
      <c r="H622" s="31">
        <f>'Billing Det (Proforma)'!L12</f>
        <v>96219078.436564922</v>
      </c>
      <c r="I622" s="31">
        <f>'Billing Det (Proforma)'!L14</f>
        <v>7142697.8878758829</v>
      </c>
      <c r="J622" s="31">
        <f>'Billing Det (Proforma)'!L16</f>
        <v>5474832.6693834495</v>
      </c>
      <c r="K622" s="31">
        <f>'Billing Det (Proforma)'!L18</f>
        <v>0</v>
      </c>
      <c r="L622" s="31">
        <f>'Billing Det (Proforma)'!L20</f>
        <v>0</v>
      </c>
      <c r="M622" s="31">
        <f>'Billing Det (Proforma)'!L22</f>
        <v>0</v>
      </c>
      <c r="N622" s="31">
        <f>'Billing Det (Proforma)'!L24</f>
        <v>3199667.6</v>
      </c>
      <c r="O622" s="31">
        <v>0</v>
      </c>
      <c r="P622" s="31">
        <v>0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1">
        <v>0</v>
      </c>
      <c r="Y622" s="31"/>
      <c r="Z622" s="31"/>
      <c r="AA622" s="31"/>
      <c r="AB622" s="31"/>
      <c r="AC622" s="31"/>
      <c r="AD622" s="31"/>
      <c r="AE622" s="31"/>
      <c r="AF622" s="31"/>
      <c r="AG622" s="17">
        <f>SUM(F622:AF622)</f>
        <v>553538475.70848143</v>
      </c>
      <c r="AH622" s="14" t="str">
        <f>IF(ABS(E622-AG622)&lt;0.01,"ok","err")</f>
        <v>ok</v>
      </c>
      <c r="AJ622" s="20"/>
    </row>
    <row r="623" spans="1:36" x14ac:dyDescent="0.25">
      <c r="A623" s="2" t="s">
        <v>921</v>
      </c>
      <c r="C623" s="2" t="s">
        <v>931</v>
      </c>
      <c r="E623" s="31">
        <v>525121380.29151851</v>
      </c>
      <c r="F623" s="31">
        <f>'Billing Det (Proforma)'!M8</f>
        <v>371103979.54547048</v>
      </c>
      <c r="G623" s="31">
        <f>'Billing Det (Proforma)'!M10</f>
        <v>33454581.339872323</v>
      </c>
      <c r="H623" s="31">
        <f>'Billing Det (Proforma)'!M12</f>
        <v>95988333.563435078</v>
      </c>
      <c r="I623" s="31">
        <f>'Billing Det (Proforma)'!M14</f>
        <v>6471008.1121241171</v>
      </c>
      <c r="J623" s="31">
        <f>'Billing Det (Proforma)'!M16</f>
        <v>5304807.3306165505</v>
      </c>
      <c r="K623" s="31">
        <f>'Billing Det (Proforma)'!M18</f>
        <v>0</v>
      </c>
      <c r="L623" s="31">
        <f>'Billing Det (Proforma)'!M20</f>
        <v>0</v>
      </c>
      <c r="M623" s="31">
        <f>'Billing Det (Proforma)'!M22</f>
        <v>0</v>
      </c>
      <c r="N623" s="31">
        <f>'Billing Det (Proforma)'!M24</f>
        <v>12798670.4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1"/>
      <c r="Z623" s="31"/>
      <c r="AA623" s="31"/>
      <c r="AB623" s="31"/>
      <c r="AC623" s="31"/>
      <c r="AD623" s="31"/>
      <c r="AE623" s="31"/>
      <c r="AF623" s="31"/>
      <c r="AG623" s="17">
        <f>SUM(F623:AF623)</f>
        <v>525121380.29151851</v>
      </c>
      <c r="AH623" s="14" t="str">
        <f>IF(ABS(E623-AG623)&lt;0.01,"ok","err")</f>
        <v>ok</v>
      </c>
      <c r="AJ623" s="20"/>
    </row>
    <row r="624" spans="1:36" x14ac:dyDescent="0.25">
      <c r="A624" s="2" t="s">
        <v>866</v>
      </c>
      <c r="C624" s="2" t="s">
        <v>867</v>
      </c>
      <c r="E624" s="31">
        <f>'Purchased Power'!BK106</f>
        <v>1303356704</v>
      </c>
      <c r="F624" s="31">
        <f>F621*(1+$AI$624)</f>
        <v>819594941.04959106</v>
      </c>
      <c r="G624" s="31">
        <f t="shared" ref="G624:N624" si="396">G621*(1+$AI$624)</f>
        <v>73086865.007845387</v>
      </c>
      <c r="H624" s="31">
        <f t="shared" si="396"/>
        <v>202798744.24359995</v>
      </c>
      <c r="I624" s="31">
        <f t="shared" si="396"/>
        <v>14363871.052493865</v>
      </c>
      <c r="J624" s="31">
        <f t="shared" si="396"/>
        <v>11373637.637855921</v>
      </c>
      <c r="K624" s="31">
        <f>'Purchased Power'!BK89+'Purchased Power'!BK90</f>
        <v>11857233</v>
      </c>
      <c r="L624" s="31">
        <f>'Purchased Power'!BK83+'Purchased Power'!BK84+'Purchased Power'!BK95</f>
        <v>86400225</v>
      </c>
      <c r="M624" s="31">
        <f>'Purchased Power'!BK76+'Purchased Power'!BK77</f>
        <v>67001282</v>
      </c>
      <c r="N624" s="31">
        <f t="shared" si="396"/>
        <v>16879905.007953938</v>
      </c>
      <c r="O624" s="31">
        <v>0</v>
      </c>
      <c r="P624" s="31">
        <v>0</v>
      </c>
      <c r="Q624" s="31">
        <v>0</v>
      </c>
      <c r="R624" s="31">
        <v>0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v>0</v>
      </c>
      <c r="AD624" s="31">
        <v>0</v>
      </c>
      <c r="AE624" s="31">
        <v>0</v>
      </c>
      <c r="AF624" s="31">
        <v>0</v>
      </c>
      <c r="AG624" s="17">
        <f>SUM(F624:AF624)</f>
        <v>1303356703.9993401</v>
      </c>
      <c r="AH624" s="14" t="str">
        <f>IF(ABS(E624-AG624)&lt;0.01,"ok","err")</f>
        <v>ok</v>
      </c>
      <c r="AI624" s="2">
        <v>5.5103661890000002E-2</v>
      </c>
      <c r="AJ624" s="20"/>
    </row>
    <row r="625" spans="1:36" x14ac:dyDescent="0.25">
      <c r="A625" s="2" t="s">
        <v>922</v>
      </c>
      <c r="E625" s="31">
        <v>0</v>
      </c>
      <c r="F625" s="31">
        <v>0</v>
      </c>
      <c r="G625" s="31">
        <v>0</v>
      </c>
      <c r="H625" s="31">
        <v>0</v>
      </c>
      <c r="I625" s="31">
        <v>0</v>
      </c>
      <c r="J625" s="31">
        <v>0</v>
      </c>
      <c r="K625" s="31">
        <v>0</v>
      </c>
      <c r="L625" s="31">
        <v>0</v>
      </c>
      <c r="M625" s="31">
        <v>0</v>
      </c>
      <c r="N625" s="31">
        <v>0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1"/>
      <c r="Z625" s="31"/>
      <c r="AA625" s="31"/>
      <c r="AB625" s="31"/>
      <c r="AC625" s="31"/>
      <c r="AD625" s="31"/>
      <c r="AE625" s="31"/>
      <c r="AF625" s="31"/>
      <c r="AG625" s="17">
        <f>SUM(F625:AF625)</f>
        <v>0</v>
      </c>
      <c r="AH625" s="14" t="str">
        <f>IF(ABS(E625-AG625)&lt;0.01,"ok","err")</f>
        <v>ok</v>
      </c>
      <c r="AJ625" s="20"/>
    </row>
    <row r="626" spans="1:36" x14ac:dyDescent="0.25">
      <c r="A626" s="2" t="s">
        <v>923</v>
      </c>
      <c r="E626" s="31">
        <v>0</v>
      </c>
      <c r="F626" s="31">
        <v>0</v>
      </c>
      <c r="G626" s="31">
        <v>0</v>
      </c>
      <c r="H626" s="31">
        <v>0</v>
      </c>
      <c r="I626" s="31">
        <v>0</v>
      </c>
      <c r="J626" s="31">
        <v>0</v>
      </c>
      <c r="K626" s="31">
        <v>0</v>
      </c>
      <c r="L626" s="31">
        <v>0</v>
      </c>
      <c r="M626" s="31">
        <v>0</v>
      </c>
      <c r="N626" s="31">
        <v>0</v>
      </c>
      <c r="O626" s="31">
        <f t="shared" ref="O626:X626" si="397">O624-O625</f>
        <v>0</v>
      </c>
      <c r="P626" s="31">
        <f t="shared" si="397"/>
        <v>0</v>
      </c>
      <c r="Q626" s="31">
        <f t="shared" si="397"/>
        <v>0</v>
      </c>
      <c r="R626" s="31">
        <f t="shared" si="397"/>
        <v>0</v>
      </c>
      <c r="S626" s="31">
        <f t="shared" si="397"/>
        <v>0</v>
      </c>
      <c r="T626" s="31">
        <f t="shared" si="397"/>
        <v>0</v>
      </c>
      <c r="U626" s="31">
        <f t="shared" si="397"/>
        <v>0</v>
      </c>
      <c r="V626" s="31">
        <f t="shared" si="397"/>
        <v>0</v>
      </c>
      <c r="W626" s="31">
        <f t="shared" si="397"/>
        <v>0</v>
      </c>
      <c r="X626" s="31">
        <f t="shared" si="397"/>
        <v>0</v>
      </c>
      <c r="Y626" s="31"/>
      <c r="Z626" s="31"/>
      <c r="AA626" s="31"/>
      <c r="AB626" s="31"/>
      <c r="AC626" s="31"/>
      <c r="AD626" s="31"/>
      <c r="AE626" s="31"/>
      <c r="AF626" s="31"/>
      <c r="AG626" s="17">
        <f>SUM(F626:AF626)</f>
        <v>0</v>
      </c>
      <c r="AH626" s="14" t="str">
        <f>IF(ABS(E626-AG626)&lt;0.01,"ok","err")</f>
        <v>ok</v>
      </c>
      <c r="AJ626" s="20"/>
    </row>
    <row r="627" spans="1:36" x14ac:dyDescent="0.25">
      <c r="A627" s="2" t="s">
        <v>548</v>
      </c>
      <c r="E627" s="31">
        <v>1126986</v>
      </c>
      <c r="F627" s="31">
        <f>'Billing Det (Proforma)'!B8*12</f>
        <v>761192</v>
      </c>
      <c r="G627" s="31">
        <f>'Billing Det (Proforma)'!B10*12</f>
        <v>54614</v>
      </c>
      <c r="H627" s="31">
        <f>'Billing Det (Proforma)'!B12*12</f>
        <v>5183</v>
      </c>
      <c r="I627" s="31">
        <f>'Billing Det (Proforma)'!B14*12</f>
        <v>1988</v>
      </c>
      <c r="J627" s="31">
        <f>'Billing Det (Proforma)'!B16*12</f>
        <v>196</v>
      </c>
      <c r="K627" s="31">
        <f>'Billing Det (Proforma)'!B18*12</f>
        <v>12</v>
      </c>
      <c r="L627" s="31">
        <f>'Billing Det (Proforma)'!B20*12</f>
        <v>24</v>
      </c>
      <c r="M627" s="31">
        <f>'Billing Det (Proforma)'!B22*12</f>
        <v>96</v>
      </c>
      <c r="N627" s="31">
        <f>'Billing Det (Proforma)'!B24*12</f>
        <v>303681</v>
      </c>
      <c r="O627" s="31">
        <v>0</v>
      </c>
      <c r="P627" s="31">
        <v>0</v>
      </c>
      <c r="Q627" s="31">
        <v>0</v>
      </c>
      <c r="R627" s="31">
        <v>0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0</v>
      </c>
      <c r="AD627" s="31">
        <v>0</v>
      </c>
      <c r="AE627" s="31">
        <v>0</v>
      </c>
      <c r="AF627" s="31">
        <v>0</v>
      </c>
      <c r="AG627" s="17">
        <f t="shared" si="395"/>
        <v>1126986</v>
      </c>
      <c r="AH627" s="14" t="str">
        <f t="shared" si="394"/>
        <v>ok</v>
      </c>
      <c r="AJ627" s="15"/>
    </row>
    <row r="628" spans="1:36" x14ac:dyDescent="0.25">
      <c r="A628" s="2" t="s">
        <v>549</v>
      </c>
      <c r="C628" s="2" t="s">
        <v>552</v>
      </c>
      <c r="E628" s="31">
        <v>93915.5</v>
      </c>
      <c r="F628" s="31">
        <f t="shared" ref="F628:O628" si="398">F627/12</f>
        <v>63432.666666666664</v>
      </c>
      <c r="G628" s="31">
        <f t="shared" si="398"/>
        <v>4551.166666666667</v>
      </c>
      <c r="H628" s="31">
        <f t="shared" si="398"/>
        <v>431.91666666666669</v>
      </c>
      <c r="I628" s="31">
        <f t="shared" si="398"/>
        <v>165.66666666666666</v>
      </c>
      <c r="J628" s="31">
        <f t="shared" si="398"/>
        <v>16.333333333333332</v>
      </c>
      <c r="K628" s="31">
        <f t="shared" si="398"/>
        <v>1</v>
      </c>
      <c r="L628" s="31">
        <f t="shared" si="398"/>
        <v>2</v>
      </c>
      <c r="M628" s="31">
        <f t="shared" si="398"/>
        <v>8</v>
      </c>
      <c r="N628" s="31">
        <f t="shared" si="398"/>
        <v>25306.75</v>
      </c>
      <c r="O628" s="31">
        <f t="shared" si="398"/>
        <v>0</v>
      </c>
      <c r="P628" s="31">
        <f t="shared" ref="P628:X628" si="399">P626-P627</f>
        <v>0</v>
      </c>
      <c r="Q628" s="31">
        <f t="shared" si="399"/>
        <v>0</v>
      </c>
      <c r="R628" s="31">
        <f t="shared" si="399"/>
        <v>0</v>
      </c>
      <c r="S628" s="31">
        <f t="shared" si="399"/>
        <v>0</v>
      </c>
      <c r="T628" s="31">
        <f t="shared" si="399"/>
        <v>0</v>
      </c>
      <c r="U628" s="31">
        <f t="shared" si="399"/>
        <v>0</v>
      </c>
      <c r="V628" s="31">
        <f t="shared" si="399"/>
        <v>0</v>
      </c>
      <c r="W628" s="31">
        <f t="shared" si="399"/>
        <v>0</v>
      </c>
      <c r="X628" s="31">
        <f t="shared" si="399"/>
        <v>0</v>
      </c>
      <c r="Y628" s="31">
        <v>0</v>
      </c>
      <c r="Z628" s="31">
        <v>0</v>
      </c>
      <c r="AA628" s="31">
        <f t="shared" ref="AA628:AF628" si="400">AA627/12</f>
        <v>0</v>
      </c>
      <c r="AB628" s="31">
        <f t="shared" si="400"/>
        <v>0</v>
      </c>
      <c r="AC628" s="31">
        <f t="shared" si="400"/>
        <v>0</v>
      </c>
      <c r="AD628" s="31">
        <f t="shared" si="400"/>
        <v>0</v>
      </c>
      <c r="AE628" s="31">
        <f t="shared" si="400"/>
        <v>0</v>
      </c>
      <c r="AF628" s="31">
        <f t="shared" si="400"/>
        <v>0</v>
      </c>
      <c r="AG628" s="17">
        <f t="shared" si="395"/>
        <v>93915.5</v>
      </c>
      <c r="AH628" s="14" t="str">
        <f t="shared" si="394"/>
        <v>ok</v>
      </c>
    </row>
    <row r="629" spans="1:36" x14ac:dyDescent="0.25">
      <c r="A629" s="2" t="s">
        <v>550</v>
      </c>
      <c r="C629" s="2" t="s">
        <v>553</v>
      </c>
      <c r="E629" s="17">
        <v>93915.5</v>
      </c>
      <c r="F629" s="20">
        <f t="shared" ref="F629:O630" si="401">F628</f>
        <v>63432.666666666664</v>
      </c>
      <c r="G629" s="20">
        <f t="shared" si="401"/>
        <v>4551.166666666667</v>
      </c>
      <c r="H629" s="20">
        <f t="shared" si="401"/>
        <v>431.91666666666669</v>
      </c>
      <c r="I629" s="20">
        <f t="shared" si="401"/>
        <v>165.66666666666666</v>
      </c>
      <c r="J629" s="20">
        <f t="shared" si="401"/>
        <v>16.333333333333332</v>
      </c>
      <c r="K629" s="20">
        <f t="shared" si="401"/>
        <v>1</v>
      </c>
      <c r="L629" s="20">
        <f t="shared" si="401"/>
        <v>2</v>
      </c>
      <c r="M629" s="20">
        <f t="shared" si="401"/>
        <v>8</v>
      </c>
      <c r="N629" s="20">
        <f t="shared" si="401"/>
        <v>25306.75</v>
      </c>
      <c r="O629" s="20">
        <f t="shared" si="401"/>
        <v>0</v>
      </c>
      <c r="P629" s="31">
        <f t="shared" ref="P629:X629" si="402">P627-P628</f>
        <v>0</v>
      </c>
      <c r="Q629" s="31">
        <f t="shared" si="402"/>
        <v>0</v>
      </c>
      <c r="R629" s="31">
        <f t="shared" si="402"/>
        <v>0</v>
      </c>
      <c r="S629" s="31">
        <f t="shared" si="402"/>
        <v>0</v>
      </c>
      <c r="T629" s="31">
        <f t="shared" si="402"/>
        <v>0</v>
      </c>
      <c r="U629" s="31">
        <f t="shared" si="402"/>
        <v>0</v>
      </c>
      <c r="V629" s="31">
        <f t="shared" si="402"/>
        <v>0</v>
      </c>
      <c r="W629" s="31">
        <f t="shared" si="402"/>
        <v>0</v>
      </c>
      <c r="X629" s="31">
        <f t="shared" si="402"/>
        <v>0</v>
      </c>
      <c r="Y629" s="31">
        <v>0</v>
      </c>
      <c r="Z629" s="31">
        <v>0</v>
      </c>
      <c r="AA629" s="20">
        <f t="shared" ref="AA629:AF630" si="403">AA628</f>
        <v>0</v>
      </c>
      <c r="AB629" s="20">
        <f t="shared" si="403"/>
        <v>0</v>
      </c>
      <c r="AC629" s="20">
        <f t="shared" si="403"/>
        <v>0</v>
      </c>
      <c r="AD629" s="20">
        <f t="shared" si="403"/>
        <v>0</v>
      </c>
      <c r="AE629" s="20">
        <f t="shared" si="403"/>
        <v>0</v>
      </c>
      <c r="AF629" s="20">
        <f t="shared" si="403"/>
        <v>0</v>
      </c>
      <c r="AG629" s="17">
        <f t="shared" si="395"/>
        <v>93915.5</v>
      </c>
      <c r="AH629" s="14" t="str">
        <f t="shared" si="394"/>
        <v>ok</v>
      </c>
    </row>
    <row r="630" spans="1:36" x14ac:dyDescent="0.25">
      <c r="A630" s="2" t="s">
        <v>655</v>
      </c>
      <c r="C630" s="2" t="s">
        <v>554</v>
      </c>
      <c r="E630" s="66">
        <v>69171.122222222228</v>
      </c>
      <c r="F630" s="20">
        <f t="shared" si="401"/>
        <v>63432.666666666664</v>
      </c>
      <c r="G630" s="20">
        <f t="shared" si="401"/>
        <v>4551.166666666667</v>
      </c>
      <c r="H630" s="20">
        <f>H629</f>
        <v>431.91666666666669</v>
      </c>
      <c r="I630" s="20">
        <f t="shared" si="401"/>
        <v>165.66666666666666</v>
      </c>
      <c r="J630" s="20">
        <f>J629</f>
        <v>16.333333333333332</v>
      </c>
      <c r="K630" s="20">
        <f>K629</f>
        <v>1</v>
      </c>
      <c r="L630" s="20">
        <f>L629</f>
        <v>2</v>
      </c>
      <c r="M630" s="20">
        <f>M629</f>
        <v>8</v>
      </c>
      <c r="N630" s="219">
        <f>N629/45</f>
        <v>562.37222222222226</v>
      </c>
      <c r="O630" s="20">
        <f>O629/45</f>
        <v>0</v>
      </c>
      <c r="P630" s="31">
        <f t="shared" ref="P630:X630" si="404">P628-P629</f>
        <v>0</v>
      </c>
      <c r="Q630" s="31">
        <f t="shared" si="404"/>
        <v>0</v>
      </c>
      <c r="R630" s="31">
        <f t="shared" si="404"/>
        <v>0</v>
      </c>
      <c r="S630" s="31">
        <f t="shared" si="404"/>
        <v>0</v>
      </c>
      <c r="T630" s="31">
        <f t="shared" si="404"/>
        <v>0</v>
      </c>
      <c r="U630" s="31">
        <f t="shared" si="404"/>
        <v>0</v>
      </c>
      <c r="V630" s="31">
        <f t="shared" si="404"/>
        <v>0</v>
      </c>
      <c r="W630" s="31">
        <f t="shared" si="404"/>
        <v>0</v>
      </c>
      <c r="X630" s="31">
        <f t="shared" si="404"/>
        <v>0</v>
      </c>
      <c r="Y630" s="20">
        <f>Y629</f>
        <v>0</v>
      </c>
      <c r="Z630" s="20">
        <f>Z629</f>
        <v>0</v>
      </c>
      <c r="AA630" s="20">
        <f t="shared" si="403"/>
        <v>0</v>
      </c>
      <c r="AB630" s="20">
        <f t="shared" si="403"/>
        <v>0</v>
      </c>
      <c r="AC630" s="20">
        <f t="shared" si="403"/>
        <v>0</v>
      </c>
      <c r="AD630" s="20">
        <f t="shared" si="403"/>
        <v>0</v>
      </c>
      <c r="AE630" s="20">
        <f t="shared" si="403"/>
        <v>0</v>
      </c>
      <c r="AF630" s="20">
        <f t="shared" si="403"/>
        <v>0</v>
      </c>
      <c r="AG630" s="66">
        <f t="shared" si="395"/>
        <v>69171.122222222228</v>
      </c>
      <c r="AH630" s="14" t="str">
        <f t="shared" si="394"/>
        <v>ok</v>
      </c>
    </row>
    <row r="631" spans="1:36" x14ac:dyDescent="0.25">
      <c r="A631" s="2" t="s">
        <v>210</v>
      </c>
      <c r="C631" s="2" t="s">
        <v>555</v>
      </c>
      <c r="E631" s="31">
        <v>1</v>
      </c>
      <c r="F631" s="20">
        <v>0</v>
      </c>
      <c r="G631" s="20">
        <v>0</v>
      </c>
      <c r="H631" s="20">
        <v>0</v>
      </c>
      <c r="I631" s="20">
        <v>0</v>
      </c>
      <c r="J631" s="20">
        <v>0</v>
      </c>
      <c r="K631" s="20">
        <v>0</v>
      </c>
      <c r="L631" s="66">
        <v>0</v>
      </c>
      <c r="M631" s="66">
        <v>0</v>
      </c>
      <c r="N631" s="20">
        <v>1</v>
      </c>
      <c r="O631" s="20">
        <v>0</v>
      </c>
      <c r="P631" s="31">
        <f t="shared" ref="P631:X631" si="405">P629-P630</f>
        <v>0</v>
      </c>
      <c r="Q631" s="31">
        <f t="shared" si="405"/>
        <v>0</v>
      </c>
      <c r="R631" s="31">
        <f t="shared" si="405"/>
        <v>0</v>
      </c>
      <c r="S631" s="31">
        <f t="shared" si="405"/>
        <v>0</v>
      </c>
      <c r="T631" s="31">
        <f t="shared" si="405"/>
        <v>0</v>
      </c>
      <c r="U631" s="31">
        <f t="shared" si="405"/>
        <v>0</v>
      </c>
      <c r="V631" s="31">
        <f t="shared" si="405"/>
        <v>0</v>
      </c>
      <c r="W631" s="31">
        <f t="shared" si="405"/>
        <v>0</v>
      </c>
      <c r="X631" s="31">
        <f t="shared" si="405"/>
        <v>0</v>
      </c>
      <c r="Y631" s="31">
        <v>0</v>
      </c>
      <c r="Z631" s="31">
        <v>0</v>
      </c>
      <c r="AA631" s="20"/>
      <c r="AB631" s="20"/>
      <c r="AC631" s="20"/>
      <c r="AD631" s="20"/>
      <c r="AE631" s="20"/>
      <c r="AF631" s="20"/>
      <c r="AG631" s="66">
        <f t="shared" si="395"/>
        <v>1</v>
      </c>
      <c r="AH631" s="14" t="str">
        <f t="shared" si="394"/>
        <v>ok</v>
      </c>
    </row>
    <row r="632" spans="1:36" x14ac:dyDescent="0.25">
      <c r="A632" s="9" t="s">
        <v>1066</v>
      </c>
      <c r="C632" s="2" t="s">
        <v>609</v>
      </c>
      <c r="E632" s="31">
        <v>68943.933333333334</v>
      </c>
      <c r="F632" s="31">
        <f>'Billing Det (Proforma)'!C8</f>
        <v>63209</v>
      </c>
      <c r="G632" s="31">
        <f>'Billing Det (Proforma)'!C10</f>
        <v>4534</v>
      </c>
      <c r="H632" s="31">
        <f>'Billing Det (Proforma)'!C12</f>
        <v>443</v>
      </c>
      <c r="I632" s="31">
        <f>'Billing Det (Proforma)'!C14</f>
        <v>167</v>
      </c>
      <c r="J632" s="31">
        <f>'Billing Det (Proforma)'!C16</f>
        <v>17</v>
      </c>
      <c r="K632" s="31">
        <f>'Billing Det (Proforma)'!C18</f>
        <v>1</v>
      </c>
      <c r="L632" s="31">
        <f>'Billing Det (Proforma)'!C20</f>
        <v>2</v>
      </c>
      <c r="M632" s="31">
        <f>'Billing Det (Proforma)'!C22</f>
        <v>8</v>
      </c>
      <c r="N632" s="20">
        <f>'Billing Det (Proforma)'!C24/45</f>
        <v>562.93333333333328</v>
      </c>
      <c r="O632" s="20">
        <f>O630</f>
        <v>0</v>
      </c>
      <c r="P632" s="31">
        <f t="shared" ref="P632:X632" si="406">P630-P631</f>
        <v>0</v>
      </c>
      <c r="Q632" s="31">
        <f t="shared" si="406"/>
        <v>0</v>
      </c>
      <c r="R632" s="31">
        <f t="shared" si="406"/>
        <v>0</v>
      </c>
      <c r="S632" s="31">
        <f t="shared" si="406"/>
        <v>0</v>
      </c>
      <c r="T632" s="31">
        <f t="shared" si="406"/>
        <v>0</v>
      </c>
      <c r="U632" s="31">
        <f t="shared" si="406"/>
        <v>0</v>
      </c>
      <c r="V632" s="31">
        <f t="shared" si="406"/>
        <v>0</v>
      </c>
      <c r="W632" s="31">
        <f t="shared" si="406"/>
        <v>0</v>
      </c>
      <c r="X632" s="31">
        <f t="shared" si="406"/>
        <v>0</v>
      </c>
      <c r="Y632" s="31">
        <v>0</v>
      </c>
      <c r="Z632" s="31">
        <v>0</v>
      </c>
      <c r="AA632" s="20">
        <f t="shared" ref="AA632:AF632" si="407">AA630</f>
        <v>0</v>
      </c>
      <c r="AB632" s="20">
        <f t="shared" si="407"/>
        <v>0</v>
      </c>
      <c r="AC632" s="20">
        <f t="shared" si="407"/>
        <v>0</v>
      </c>
      <c r="AD632" s="20">
        <f t="shared" si="407"/>
        <v>0</v>
      </c>
      <c r="AE632" s="20">
        <f t="shared" si="407"/>
        <v>0</v>
      </c>
      <c r="AF632" s="20">
        <f t="shared" si="407"/>
        <v>0</v>
      </c>
      <c r="AG632" s="66">
        <f t="shared" si="395"/>
        <v>68943.933333333334</v>
      </c>
      <c r="AH632" s="14" t="str">
        <f t="shared" si="394"/>
        <v>ok</v>
      </c>
    </row>
    <row r="633" spans="1:36" x14ac:dyDescent="0.25">
      <c r="A633" s="9" t="s">
        <v>1067</v>
      </c>
      <c r="C633" s="121" t="s">
        <v>761</v>
      </c>
      <c r="E633" s="31">
        <v>68932.372222222228</v>
      </c>
      <c r="F633" s="31">
        <f>F632</f>
        <v>63209</v>
      </c>
      <c r="G633" s="31">
        <f t="shared" ref="G633:J633" si="408">G632</f>
        <v>4534</v>
      </c>
      <c r="H633" s="31">
        <f t="shared" si="408"/>
        <v>443</v>
      </c>
      <c r="I633" s="31">
        <f t="shared" si="408"/>
        <v>167</v>
      </c>
      <c r="J633" s="31">
        <f t="shared" si="408"/>
        <v>17</v>
      </c>
      <c r="K633" s="31">
        <v>0</v>
      </c>
      <c r="L633" s="31">
        <v>0</v>
      </c>
      <c r="M633" s="31">
        <v>0</v>
      </c>
      <c r="N633" s="31">
        <f t="shared" ref="N633" si="409">N630</f>
        <v>562.37222222222226</v>
      </c>
      <c r="O633" s="20">
        <f>O630</f>
        <v>0</v>
      </c>
      <c r="P633" s="31">
        <f t="shared" ref="P633:X633" si="410">P631-P632</f>
        <v>0</v>
      </c>
      <c r="Q633" s="31">
        <f t="shared" si="410"/>
        <v>0</v>
      </c>
      <c r="R633" s="31">
        <f t="shared" si="410"/>
        <v>0</v>
      </c>
      <c r="S633" s="31">
        <f t="shared" si="410"/>
        <v>0</v>
      </c>
      <c r="T633" s="31">
        <f t="shared" si="410"/>
        <v>0</v>
      </c>
      <c r="U633" s="31">
        <f t="shared" si="410"/>
        <v>0</v>
      </c>
      <c r="V633" s="31">
        <f t="shared" si="410"/>
        <v>0</v>
      </c>
      <c r="W633" s="31">
        <f t="shared" si="410"/>
        <v>0</v>
      </c>
      <c r="X633" s="31">
        <f t="shared" si="410"/>
        <v>0</v>
      </c>
      <c r="Y633" s="20">
        <f t="shared" ref="Y633:AF633" si="411">Y630</f>
        <v>0</v>
      </c>
      <c r="Z633" s="20">
        <f t="shared" si="411"/>
        <v>0</v>
      </c>
      <c r="AA633" s="20">
        <f t="shared" si="411"/>
        <v>0</v>
      </c>
      <c r="AB633" s="20">
        <f t="shared" si="411"/>
        <v>0</v>
      </c>
      <c r="AC633" s="20">
        <f t="shared" si="411"/>
        <v>0</v>
      </c>
      <c r="AD633" s="20">
        <f t="shared" si="411"/>
        <v>0</v>
      </c>
      <c r="AE633" s="20">
        <f t="shared" si="411"/>
        <v>0</v>
      </c>
      <c r="AF633" s="20">
        <f t="shared" si="411"/>
        <v>0</v>
      </c>
      <c r="AG633" s="66">
        <f>SUM(F633:AF633)</f>
        <v>68932.372222222228</v>
      </c>
      <c r="AH633" s="14" t="str">
        <f t="shared" si="394"/>
        <v>ok</v>
      </c>
    </row>
    <row r="634" spans="1:36" x14ac:dyDescent="0.25">
      <c r="A634" s="9" t="s">
        <v>1068</v>
      </c>
      <c r="C634" s="9" t="s">
        <v>852</v>
      </c>
      <c r="E634" s="31">
        <v>68932.372222222228</v>
      </c>
      <c r="F634" s="31">
        <f>F632</f>
        <v>63209</v>
      </c>
      <c r="G634" s="31">
        <f t="shared" ref="G634:J634" si="412">G632</f>
        <v>4534</v>
      </c>
      <c r="H634" s="31">
        <f t="shared" si="412"/>
        <v>443</v>
      </c>
      <c r="I634" s="31">
        <f t="shared" si="412"/>
        <v>167</v>
      </c>
      <c r="J634" s="31">
        <f t="shared" si="412"/>
        <v>17</v>
      </c>
      <c r="K634" s="31">
        <v>0</v>
      </c>
      <c r="L634" s="31">
        <v>0</v>
      </c>
      <c r="M634" s="31">
        <v>0</v>
      </c>
      <c r="N634" s="31">
        <f t="shared" ref="N634" si="413">N630</f>
        <v>562.37222222222226</v>
      </c>
      <c r="O634" s="20">
        <f>O630</f>
        <v>0</v>
      </c>
      <c r="P634" s="31">
        <f t="shared" ref="P634:X634" si="414">P632-P633</f>
        <v>0</v>
      </c>
      <c r="Q634" s="31">
        <f t="shared" si="414"/>
        <v>0</v>
      </c>
      <c r="R634" s="31">
        <f t="shared" si="414"/>
        <v>0</v>
      </c>
      <c r="S634" s="31">
        <f t="shared" si="414"/>
        <v>0</v>
      </c>
      <c r="T634" s="31">
        <f t="shared" si="414"/>
        <v>0</v>
      </c>
      <c r="U634" s="31">
        <f t="shared" si="414"/>
        <v>0</v>
      </c>
      <c r="V634" s="31">
        <f t="shared" si="414"/>
        <v>0</v>
      </c>
      <c r="W634" s="31">
        <f t="shared" si="414"/>
        <v>0</v>
      </c>
      <c r="X634" s="31">
        <f t="shared" si="414"/>
        <v>0</v>
      </c>
      <c r="Y634" s="20">
        <f t="shared" ref="Y634:AF634" si="415">Y630</f>
        <v>0</v>
      </c>
      <c r="Z634" s="20">
        <f t="shared" si="415"/>
        <v>0</v>
      </c>
      <c r="AA634" s="20">
        <f t="shared" si="415"/>
        <v>0</v>
      </c>
      <c r="AB634" s="20">
        <f t="shared" si="415"/>
        <v>0</v>
      </c>
      <c r="AC634" s="20">
        <f t="shared" si="415"/>
        <v>0</v>
      </c>
      <c r="AD634" s="20">
        <f t="shared" si="415"/>
        <v>0</v>
      </c>
      <c r="AE634" s="20">
        <f t="shared" si="415"/>
        <v>0</v>
      </c>
      <c r="AF634" s="20">
        <f t="shared" si="415"/>
        <v>0</v>
      </c>
      <c r="AG634" s="66">
        <f>SUM(F634:AF634)</f>
        <v>68932.372222222228</v>
      </c>
      <c r="AH634" s="14" t="str">
        <f>IF(ABS(E634-AG634)&lt;0.01,"ok","err")</f>
        <v>ok</v>
      </c>
    </row>
    <row r="635" spans="1:36" x14ac:dyDescent="0.25">
      <c r="A635" s="2" t="s">
        <v>662</v>
      </c>
      <c r="C635" s="2" t="s">
        <v>610</v>
      </c>
      <c r="E635" s="31">
        <v>69171.122222222228</v>
      </c>
      <c r="F635" s="31">
        <f>F630</f>
        <v>63432.666666666664</v>
      </c>
      <c r="G635" s="31">
        <f t="shared" ref="G635:N635" si="416">G630</f>
        <v>4551.166666666667</v>
      </c>
      <c r="H635" s="31">
        <f t="shared" si="416"/>
        <v>431.91666666666669</v>
      </c>
      <c r="I635" s="31">
        <f t="shared" si="416"/>
        <v>165.66666666666666</v>
      </c>
      <c r="J635" s="31">
        <f t="shared" si="416"/>
        <v>16.333333333333332</v>
      </c>
      <c r="K635" s="31">
        <f t="shared" si="416"/>
        <v>1</v>
      </c>
      <c r="L635" s="31">
        <f t="shared" si="416"/>
        <v>2</v>
      </c>
      <c r="M635" s="31">
        <f t="shared" si="416"/>
        <v>8</v>
      </c>
      <c r="N635" s="31">
        <f t="shared" si="416"/>
        <v>562.37222222222226</v>
      </c>
      <c r="O635" s="20">
        <f t="shared" ref="O635:AF635" si="417">O629</f>
        <v>0</v>
      </c>
      <c r="P635" s="31">
        <f t="shared" ref="P635:X635" si="418">P633-P634</f>
        <v>0</v>
      </c>
      <c r="Q635" s="31">
        <f t="shared" si="418"/>
        <v>0</v>
      </c>
      <c r="R635" s="31">
        <f t="shared" si="418"/>
        <v>0</v>
      </c>
      <c r="S635" s="31">
        <f t="shared" si="418"/>
        <v>0</v>
      </c>
      <c r="T635" s="31">
        <f t="shared" si="418"/>
        <v>0</v>
      </c>
      <c r="U635" s="31">
        <f t="shared" si="418"/>
        <v>0</v>
      </c>
      <c r="V635" s="31">
        <f t="shared" si="418"/>
        <v>0</v>
      </c>
      <c r="W635" s="31">
        <f t="shared" si="418"/>
        <v>0</v>
      </c>
      <c r="X635" s="31">
        <f t="shared" si="418"/>
        <v>0</v>
      </c>
      <c r="Y635" s="20">
        <f t="shared" si="417"/>
        <v>0</v>
      </c>
      <c r="Z635" s="20">
        <f t="shared" si="417"/>
        <v>0</v>
      </c>
      <c r="AA635" s="20">
        <f t="shared" si="417"/>
        <v>0</v>
      </c>
      <c r="AB635" s="20">
        <f t="shared" si="417"/>
        <v>0</v>
      </c>
      <c r="AC635" s="20">
        <f t="shared" si="417"/>
        <v>0</v>
      </c>
      <c r="AD635" s="20">
        <f t="shared" si="417"/>
        <v>0</v>
      </c>
      <c r="AE635" s="20">
        <f t="shared" si="417"/>
        <v>0</v>
      </c>
      <c r="AF635" s="20">
        <f t="shared" si="417"/>
        <v>0</v>
      </c>
      <c r="AG635" s="66">
        <f t="shared" si="395"/>
        <v>69171.122222222228</v>
      </c>
      <c r="AH635" s="14" t="str">
        <f t="shared" si="394"/>
        <v>ok</v>
      </c>
    </row>
    <row r="636" spans="1:36" x14ac:dyDescent="0.25">
      <c r="P636" s="31">
        <f t="shared" ref="P636:X636" si="419">P634-P635</f>
        <v>0</v>
      </c>
      <c r="Q636" s="31">
        <f t="shared" si="419"/>
        <v>0</v>
      </c>
      <c r="R636" s="31">
        <f t="shared" si="419"/>
        <v>0</v>
      </c>
      <c r="S636" s="31">
        <f t="shared" si="419"/>
        <v>0</v>
      </c>
      <c r="T636" s="31">
        <f t="shared" si="419"/>
        <v>0</v>
      </c>
      <c r="U636" s="31">
        <f t="shared" si="419"/>
        <v>0</v>
      </c>
      <c r="V636" s="31">
        <f t="shared" si="419"/>
        <v>0</v>
      </c>
      <c r="W636" s="31">
        <f t="shared" si="419"/>
        <v>0</v>
      </c>
      <c r="X636" s="31">
        <f t="shared" si="419"/>
        <v>0</v>
      </c>
      <c r="Y636" s="31">
        <v>0</v>
      </c>
      <c r="Z636" s="31">
        <v>0</v>
      </c>
    </row>
    <row r="637" spans="1:36" x14ac:dyDescent="0.25">
      <c r="A637" s="2" t="s">
        <v>690</v>
      </c>
      <c r="C637" s="2" t="s">
        <v>673</v>
      </c>
      <c r="E637" s="31">
        <v>847199.22886243381</v>
      </c>
      <c r="F637" s="31">
        <f>'Billing Det (Proforma)'!K8</f>
        <v>609075</v>
      </c>
      <c r="G637" s="31">
        <f>'Billing Det (Proforma)'!K10</f>
        <v>95152</v>
      </c>
      <c r="H637" s="31">
        <f>'Billing Det (Proforma)'!K12</f>
        <v>72232</v>
      </c>
      <c r="I637" s="31">
        <f>'Billing Det (Proforma)'!K14</f>
        <v>26014</v>
      </c>
      <c r="J637" s="31">
        <f>'Billing Det (Proforma)'!K16</f>
        <v>9171</v>
      </c>
      <c r="K637" s="31">
        <f>'Billing Det (Proforma)'!K18</f>
        <v>2171.52</v>
      </c>
      <c r="L637" s="31">
        <f>'Billing Det (Proforma)'!K20</f>
        <v>16099.2</v>
      </c>
      <c r="M637" s="31">
        <f>'Billing Det (Proforma)'!K22</f>
        <v>12970.199999999999</v>
      </c>
      <c r="N637" s="31">
        <f>'Billing Det (Proforma)'!K24</f>
        <v>4314.3088624338625</v>
      </c>
      <c r="O637" s="31">
        <v>0</v>
      </c>
      <c r="P637" s="31">
        <f t="shared" ref="P637:X637" si="420">P635-P636</f>
        <v>0</v>
      </c>
      <c r="Q637" s="31">
        <f t="shared" si="420"/>
        <v>0</v>
      </c>
      <c r="R637" s="31">
        <f t="shared" si="420"/>
        <v>0</v>
      </c>
      <c r="S637" s="31">
        <f t="shared" si="420"/>
        <v>0</v>
      </c>
      <c r="T637" s="31">
        <f t="shared" si="420"/>
        <v>0</v>
      </c>
      <c r="U637" s="31">
        <f t="shared" si="420"/>
        <v>0</v>
      </c>
      <c r="V637" s="31">
        <f t="shared" si="420"/>
        <v>0</v>
      </c>
      <c r="W637" s="31">
        <f t="shared" si="420"/>
        <v>0</v>
      </c>
      <c r="X637" s="31">
        <f t="shared" si="420"/>
        <v>0</v>
      </c>
      <c r="Y637" s="31">
        <v>0</v>
      </c>
      <c r="Z637" s="31">
        <v>0</v>
      </c>
      <c r="AA637" s="31">
        <v>0</v>
      </c>
      <c r="AB637" s="31">
        <v>0</v>
      </c>
      <c r="AC637" s="31">
        <v>0</v>
      </c>
      <c r="AD637" s="31">
        <v>0</v>
      </c>
      <c r="AE637" s="31">
        <v>0</v>
      </c>
      <c r="AF637" s="31">
        <v>0</v>
      </c>
      <c r="AG637" s="17">
        <f>SUM(F637:AF637)</f>
        <v>847199.22886243381</v>
      </c>
      <c r="AH637" s="14" t="str">
        <f>IF(ABS(E637-AG637)&lt;0.01,"ok","err")</f>
        <v>ok</v>
      </c>
    </row>
    <row r="638" spans="1:36" x14ac:dyDescent="0.25">
      <c r="A638" s="2" t="s">
        <v>687</v>
      </c>
      <c r="C638" s="2" t="s">
        <v>557</v>
      </c>
      <c r="E638" s="31">
        <v>330681.98986243393</v>
      </c>
      <c r="F638" s="31">
        <f>'Billing Det (Proforma)'!J8</f>
        <v>235034</v>
      </c>
      <c r="G638" s="31">
        <f>'Billing Det (Proforma)'!J10</f>
        <v>15382</v>
      </c>
      <c r="H638" s="31">
        <f>'Billing Det (Proforma)'!J12</f>
        <v>39056</v>
      </c>
      <c r="I638" s="31">
        <f>'Billing Det (Proforma)'!J14</f>
        <v>4015</v>
      </c>
      <c r="J638" s="31">
        <f>'Billing Det (Proforma)'!J16</f>
        <v>3938</v>
      </c>
      <c r="K638" s="31">
        <f>'Billing Det (Proforma)'!J18</f>
        <v>2171.52</v>
      </c>
      <c r="L638" s="31">
        <f>'Billing Det (Proforma)'!J20</f>
        <v>15287.041000000001</v>
      </c>
      <c r="M638" s="31">
        <f>'Billing Det (Proforma)'!J22</f>
        <v>11484.12</v>
      </c>
      <c r="N638" s="31">
        <f>'Billing Det (Proforma)'!J24</f>
        <v>4314.3088624338625</v>
      </c>
      <c r="O638" s="31">
        <v>0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31">
        <v>0</v>
      </c>
      <c r="AC638" s="31">
        <v>0</v>
      </c>
      <c r="AD638" s="31">
        <v>0</v>
      </c>
      <c r="AE638" s="31">
        <v>0</v>
      </c>
      <c r="AF638" s="31">
        <v>0</v>
      </c>
      <c r="AG638" s="17">
        <f>SUM(F638:AF638)</f>
        <v>330681.98986243393</v>
      </c>
      <c r="AH638" s="14" t="str">
        <f>IF(ABS(E638-AG638)&lt;0.01,"ok","err")</f>
        <v>ok</v>
      </c>
    </row>
    <row r="639" spans="1:36" x14ac:dyDescent="0.25"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>
        <f t="shared" ref="P639:X639" si="421">P637-P638</f>
        <v>0</v>
      </c>
      <c r="Q639" s="31">
        <f t="shared" si="421"/>
        <v>0</v>
      </c>
      <c r="R639" s="31">
        <f t="shared" si="421"/>
        <v>0</v>
      </c>
      <c r="S639" s="31">
        <f t="shared" si="421"/>
        <v>0</v>
      </c>
      <c r="T639" s="31">
        <f t="shared" si="421"/>
        <v>0</v>
      </c>
      <c r="U639" s="31">
        <f t="shared" si="421"/>
        <v>0</v>
      </c>
      <c r="V639" s="31">
        <f t="shared" si="421"/>
        <v>0</v>
      </c>
      <c r="W639" s="31">
        <f t="shared" si="421"/>
        <v>0</v>
      </c>
      <c r="X639" s="31">
        <f t="shared" si="421"/>
        <v>0</v>
      </c>
      <c r="Y639" s="31"/>
      <c r="Z639" s="31"/>
      <c r="AA639" s="31"/>
      <c r="AB639" s="31"/>
      <c r="AC639" s="31"/>
      <c r="AD639" s="31"/>
      <c r="AE639" s="31"/>
      <c r="AF639" s="31"/>
      <c r="AG639" s="17"/>
      <c r="AH639" s="14"/>
    </row>
    <row r="640" spans="1:36" x14ac:dyDescent="0.25">
      <c r="A640" s="2" t="s">
        <v>717</v>
      </c>
      <c r="C640" s="2" t="s">
        <v>722</v>
      </c>
      <c r="E640" s="31">
        <v>3576778.2505401522</v>
      </c>
      <c r="F640" s="31">
        <f>'Billing Det (Proforma)'!F8</f>
        <v>2775348</v>
      </c>
      <c r="G640" s="31">
        <f>'Billing Det (Proforma)'!F10</f>
        <v>148834</v>
      </c>
      <c r="H640" s="31">
        <f>'Billing Det (Proforma)'!F12</f>
        <v>329833</v>
      </c>
      <c r="I640" s="31">
        <f>'Billing Det (Proforma)'!F14</f>
        <v>29580</v>
      </c>
      <c r="J640" s="31">
        <f>'Billing Det (Proforma)'!F16</f>
        <v>22376</v>
      </c>
      <c r="K640" s="31">
        <f>'Billing Det (Proforma)'!F18</f>
        <v>15037.2</v>
      </c>
      <c r="L640" s="31">
        <f>'Billing Det (Proforma)'!F20</f>
        <v>123288.12025000001</v>
      </c>
      <c r="M640" s="31">
        <f>'Billing Det (Proforma)'!F22</f>
        <v>108120.35500000001</v>
      </c>
      <c r="N640" s="31">
        <f>'Billing Det (Proforma)'!F24</f>
        <v>24361.575290151904</v>
      </c>
      <c r="O640" s="31">
        <v>0</v>
      </c>
      <c r="P640" s="31">
        <v>0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0</v>
      </c>
      <c r="AA640" s="31">
        <v>0</v>
      </c>
      <c r="AB640" s="31">
        <v>0</v>
      </c>
      <c r="AC640" s="31">
        <v>0</v>
      </c>
      <c r="AD640" s="31">
        <v>0</v>
      </c>
      <c r="AE640" s="31">
        <v>0</v>
      </c>
      <c r="AF640" s="31">
        <v>0</v>
      </c>
      <c r="AG640" s="17">
        <f>SUM(F640:AF640)</f>
        <v>3576778.2505401522</v>
      </c>
      <c r="AH640" s="14" t="str">
        <f>IF(ABS(E640-AG640)&lt;0.01,"ok","err")</f>
        <v>ok</v>
      </c>
    </row>
    <row r="641" spans="1:34" x14ac:dyDescent="0.25">
      <c r="A641" s="2" t="s">
        <v>718</v>
      </c>
      <c r="C641" s="2" t="s">
        <v>720</v>
      </c>
      <c r="E641" s="31">
        <v>894325.96025</v>
      </c>
      <c r="F641" s="31">
        <f>'Billing Det (Proforma)'!G8</f>
        <v>693837</v>
      </c>
      <c r="G641" s="31">
        <f>'Billing Det (Proforma)'!G10</f>
        <v>39791</v>
      </c>
      <c r="H641" s="31">
        <f>'Billing Det (Proforma)'!G12</f>
        <v>82856</v>
      </c>
      <c r="I641" s="31">
        <f>'Billing Det (Proforma)'!G14</f>
        <v>7471</v>
      </c>
      <c r="J641" s="31">
        <f>'Billing Det (Proforma)'!G16</f>
        <v>3740</v>
      </c>
      <c r="K641" s="31">
        <f>'Billing Det (Proforma)'!G18</f>
        <v>4734.3600000000006</v>
      </c>
      <c r="L641" s="31">
        <f>'Billing Det (Proforma)'!G20</f>
        <v>34330.680250000005</v>
      </c>
      <c r="M641" s="31">
        <f>'Billing Det (Proforma)'!G22</f>
        <v>27565.919999999998</v>
      </c>
      <c r="N641" s="31">
        <f>'Billing Det (Proforma)'!G24</f>
        <v>0</v>
      </c>
      <c r="O641" s="31">
        <f>'Billing Det (Proforma)'!$G24</f>
        <v>0</v>
      </c>
      <c r="P641" s="31">
        <f>'Billing Det (Proforma)'!$G24</f>
        <v>0</v>
      </c>
      <c r="Q641" s="31">
        <f>'Billing Det (Proforma)'!$G24</f>
        <v>0</v>
      </c>
      <c r="R641" s="31">
        <f>'Billing Det (Proforma)'!$G24</f>
        <v>0</v>
      </c>
      <c r="S641" s="31">
        <f>'Billing Det (Proforma)'!$G24</f>
        <v>0</v>
      </c>
      <c r="T641" s="31">
        <f>'Billing Det (Proforma)'!$G24</f>
        <v>0</v>
      </c>
      <c r="U641" s="31">
        <f>'Billing Det (Proforma)'!$G24</f>
        <v>0</v>
      </c>
      <c r="V641" s="31">
        <f>'Billing Det (Proforma)'!$G24</f>
        <v>0</v>
      </c>
      <c r="W641" s="31">
        <f>'Billing Det (Proforma)'!$G24</f>
        <v>0</v>
      </c>
      <c r="X641" s="31">
        <f>'Billing Det (Proforma)'!$G24</f>
        <v>0</v>
      </c>
      <c r="Y641" s="31">
        <f>'Billing Det (Proforma)'!$G24</f>
        <v>0</v>
      </c>
      <c r="Z641" s="31">
        <f>'Billing Det (Proforma)'!$G24</f>
        <v>0</v>
      </c>
      <c r="AA641" s="31">
        <f>'Billing Det (Proforma)'!$G24</f>
        <v>0</v>
      </c>
      <c r="AB641" s="31">
        <f>'Billing Det (Proforma)'!$G24</f>
        <v>0</v>
      </c>
      <c r="AC641" s="31">
        <f>'Billing Det (Proforma)'!$G24</f>
        <v>0</v>
      </c>
      <c r="AD641" s="31">
        <f>'Billing Det (Proforma)'!$G24</f>
        <v>0</v>
      </c>
      <c r="AE641" s="31">
        <f>'Billing Det (Proforma)'!$G24</f>
        <v>0</v>
      </c>
      <c r="AF641" s="31">
        <f>'Billing Det (Proforma)'!$G24</f>
        <v>0</v>
      </c>
      <c r="AG641" s="17">
        <f>SUM(F641:AF641)</f>
        <v>894325.96025</v>
      </c>
      <c r="AH641" s="14" t="str">
        <f>IF(ABS(E641-AG641)&lt;0.01,"ok","err")</f>
        <v>ok</v>
      </c>
    </row>
    <row r="642" spans="1:34" x14ac:dyDescent="0.25">
      <c r="A642" s="2" t="s">
        <v>719</v>
      </c>
      <c r="C642" s="2" t="s">
        <v>721</v>
      </c>
      <c r="E642" s="31">
        <v>899812.65411332995</v>
      </c>
      <c r="F642" s="31">
        <f>'Billing Det (Proforma)'!H8</f>
        <v>693837</v>
      </c>
      <c r="G642" s="31">
        <f>'Billing Det (Proforma)'!H10</f>
        <v>38604</v>
      </c>
      <c r="H642" s="31">
        <f>'Billing Det (Proforma)'!H12</f>
        <v>83945</v>
      </c>
      <c r="I642" s="31">
        <f>'Billing Det (Proforma)'!H14</f>
        <v>7516</v>
      </c>
      <c r="J642" s="31">
        <f>'Billing Det (Proforma)'!H16</f>
        <v>7988</v>
      </c>
      <c r="K642" s="31">
        <f>'Billing Det (Proforma)'!H18</f>
        <v>2340</v>
      </c>
      <c r="L642" s="31">
        <f>'Billing Det (Proforma)'!H20</f>
        <v>26674.559999999998</v>
      </c>
      <c r="M642" s="31">
        <f>'Billing Det (Proforma)'!H22</f>
        <v>26736.114999999998</v>
      </c>
      <c r="N642" s="31">
        <f>'Billing Det (Proforma)'!H24</f>
        <v>12171.979113329919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0</v>
      </c>
      <c r="AE642" s="31">
        <v>0</v>
      </c>
      <c r="AF642" s="31">
        <v>0</v>
      </c>
      <c r="AG642" s="17">
        <f>SUM(F642:AF642)</f>
        <v>899812.65411332995</v>
      </c>
      <c r="AH642" s="14" t="str">
        <f>IF(ABS(E642-AG642)&lt;0.01,"ok","err")</f>
        <v>ok</v>
      </c>
    </row>
    <row r="643" spans="1:34" x14ac:dyDescent="0.25"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>
        <f t="shared" ref="P643:X643" si="422">P641-P642</f>
        <v>0</v>
      </c>
      <c r="Q643" s="31">
        <f t="shared" si="422"/>
        <v>0</v>
      </c>
      <c r="R643" s="31">
        <f t="shared" si="422"/>
        <v>0</v>
      </c>
      <c r="S643" s="31">
        <f t="shared" si="422"/>
        <v>0</v>
      </c>
      <c r="T643" s="31">
        <f t="shared" si="422"/>
        <v>0</v>
      </c>
      <c r="U643" s="31">
        <f t="shared" si="422"/>
        <v>0</v>
      </c>
      <c r="V643" s="31">
        <f t="shared" si="422"/>
        <v>0</v>
      </c>
      <c r="W643" s="31">
        <f t="shared" si="422"/>
        <v>0</v>
      </c>
      <c r="X643" s="31">
        <f t="shared" si="422"/>
        <v>0</v>
      </c>
      <c r="Y643" s="31"/>
      <c r="Z643" s="31"/>
      <c r="AA643" s="31"/>
      <c r="AB643" s="31"/>
      <c r="AC643" s="31"/>
      <c r="AD643" s="31"/>
      <c r="AE643" s="31"/>
      <c r="AF643" s="31"/>
      <c r="AG643" s="31"/>
      <c r="AH643" s="14"/>
    </row>
    <row r="644" spans="1:34" x14ac:dyDescent="0.25">
      <c r="A644" s="2" t="s">
        <v>597</v>
      </c>
      <c r="C644" s="2" t="s">
        <v>598</v>
      </c>
      <c r="E644" s="66">
        <v>3576778.2505401522</v>
      </c>
      <c r="F644" s="66">
        <f>F640</f>
        <v>2775348</v>
      </c>
      <c r="G644" s="66">
        <f t="shared" ref="G644:O644" si="423">G640</f>
        <v>148834</v>
      </c>
      <c r="H644" s="66">
        <f t="shared" si="423"/>
        <v>329833</v>
      </c>
      <c r="I644" s="66">
        <f t="shared" si="423"/>
        <v>29580</v>
      </c>
      <c r="J644" s="66">
        <f t="shared" si="423"/>
        <v>22376</v>
      </c>
      <c r="K644" s="66">
        <f t="shared" si="423"/>
        <v>15037.2</v>
      </c>
      <c r="L644" s="66">
        <f t="shared" si="423"/>
        <v>123288.12025000001</v>
      </c>
      <c r="M644" s="66">
        <f t="shared" si="423"/>
        <v>108120.35500000001</v>
      </c>
      <c r="N644" s="66">
        <f t="shared" si="423"/>
        <v>24361.575290151904</v>
      </c>
      <c r="O644" s="66">
        <f t="shared" si="423"/>
        <v>0</v>
      </c>
      <c r="P644" s="31">
        <f t="shared" ref="P644:X644" si="424">P642-P643</f>
        <v>0</v>
      </c>
      <c r="Q644" s="31">
        <f t="shared" si="424"/>
        <v>0</v>
      </c>
      <c r="R644" s="31">
        <f t="shared" si="424"/>
        <v>0</v>
      </c>
      <c r="S644" s="31">
        <f t="shared" si="424"/>
        <v>0</v>
      </c>
      <c r="T644" s="31">
        <f t="shared" si="424"/>
        <v>0</v>
      </c>
      <c r="U644" s="31">
        <f t="shared" si="424"/>
        <v>0</v>
      </c>
      <c r="V644" s="31">
        <f t="shared" si="424"/>
        <v>0</v>
      </c>
      <c r="W644" s="31">
        <f t="shared" si="424"/>
        <v>0</v>
      </c>
      <c r="X644" s="31">
        <f t="shared" si="424"/>
        <v>0</v>
      </c>
      <c r="Y644" s="66">
        <f t="shared" ref="Y644:AE644" si="425">Y638</f>
        <v>0</v>
      </c>
      <c r="Z644" s="66">
        <f t="shared" si="425"/>
        <v>0</v>
      </c>
      <c r="AA644" s="66">
        <f t="shared" si="425"/>
        <v>0</v>
      </c>
      <c r="AB644" s="66">
        <f t="shared" si="425"/>
        <v>0</v>
      </c>
      <c r="AC644" s="66">
        <f t="shared" si="425"/>
        <v>0</v>
      </c>
      <c r="AD644" s="66">
        <f t="shared" si="425"/>
        <v>0</v>
      </c>
      <c r="AE644" s="66">
        <f t="shared" si="425"/>
        <v>0</v>
      </c>
      <c r="AF644" s="66">
        <v>0</v>
      </c>
      <c r="AG644" s="66">
        <f>SUM(F644:AF644)</f>
        <v>3576778.2505401522</v>
      </c>
      <c r="AH644" s="14" t="str">
        <f t="shared" ref="AH644:AH649" si="426">IF(ABS(E644-AG644)&lt;0.01,"ok","err")</f>
        <v>ok</v>
      </c>
    </row>
    <row r="645" spans="1:34" x14ac:dyDescent="0.25">
      <c r="A645" s="2" t="s">
        <v>596</v>
      </c>
      <c r="E645" s="16">
        <f>'[1]Functional Assignment'!O31</f>
        <v>0</v>
      </c>
      <c r="P645" s="31">
        <f t="shared" ref="P645:X645" si="427">P643-P644</f>
        <v>0</v>
      </c>
      <c r="Q645" s="31">
        <f t="shared" si="427"/>
        <v>0</v>
      </c>
      <c r="R645" s="31">
        <f t="shared" si="427"/>
        <v>0</v>
      </c>
      <c r="S645" s="31">
        <f t="shared" si="427"/>
        <v>0</v>
      </c>
      <c r="T645" s="31">
        <f t="shared" si="427"/>
        <v>0</v>
      </c>
      <c r="U645" s="31">
        <f t="shared" si="427"/>
        <v>0</v>
      </c>
      <c r="V645" s="31">
        <f t="shared" si="427"/>
        <v>0</v>
      </c>
      <c r="W645" s="31">
        <f t="shared" si="427"/>
        <v>0</v>
      </c>
      <c r="X645" s="31">
        <f t="shared" si="427"/>
        <v>0</v>
      </c>
      <c r="AG645" s="16">
        <f>E645</f>
        <v>0</v>
      </c>
      <c r="AH645" s="14" t="str">
        <f t="shared" si="426"/>
        <v>ok</v>
      </c>
    </row>
    <row r="646" spans="1:34" x14ac:dyDescent="0.25">
      <c r="A646" s="2" t="s">
        <v>594</v>
      </c>
      <c r="E646" s="110">
        <v>0</v>
      </c>
      <c r="P646" s="31">
        <f t="shared" ref="P646:X646" si="428">P644-P645</f>
        <v>0</v>
      </c>
      <c r="Q646" s="31">
        <f t="shared" si="428"/>
        <v>0</v>
      </c>
      <c r="R646" s="31">
        <f t="shared" si="428"/>
        <v>0</v>
      </c>
      <c r="S646" s="31">
        <f t="shared" si="428"/>
        <v>0</v>
      </c>
      <c r="T646" s="31">
        <f t="shared" si="428"/>
        <v>0</v>
      </c>
      <c r="U646" s="31">
        <f t="shared" si="428"/>
        <v>0</v>
      </c>
      <c r="V646" s="31">
        <f t="shared" si="428"/>
        <v>0</v>
      </c>
      <c r="W646" s="31">
        <f t="shared" si="428"/>
        <v>0</v>
      </c>
      <c r="X646" s="31">
        <f t="shared" si="428"/>
        <v>0</v>
      </c>
      <c r="AG646" s="16">
        <f>ROUND(SUM(F646:AF646),2)</f>
        <v>0</v>
      </c>
      <c r="AH646" s="14" t="str">
        <f t="shared" si="426"/>
        <v>ok</v>
      </c>
    </row>
    <row r="647" spans="1:34" x14ac:dyDescent="0.25">
      <c r="A647" s="2" t="s">
        <v>595</v>
      </c>
      <c r="D647" s="2" t="s">
        <v>598</v>
      </c>
      <c r="E647" s="16">
        <f>E645-E646</f>
        <v>0</v>
      </c>
      <c r="F647" s="65">
        <f>IF(VLOOKUP($D647,$C$5:$AU$836,3,)=0,0,(VLOOKUP($D647,$C$5:$AU$836,4,)/VLOOKUP($D647,$C$5:$AU$836,3,))*$E647)</f>
        <v>0</v>
      </c>
      <c r="G647" s="65">
        <f>IF(VLOOKUP($D647,$C$5:$AU$836,3,)=0,0,(VLOOKUP($D647,$C$5:$AU$836,5,)/VLOOKUP($D647,$C$5:$AU$836,3,))*$E647)</f>
        <v>0</v>
      </c>
      <c r="H647" s="65">
        <f>IF(VLOOKUP($D647,$C$5:$AU$836,3,)=0,0,(VLOOKUP($D647,$C$5:$AU$836,6,)/VLOOKUP($D647,$C$5:$AU$836,3,))*$E647)</f>
        <v>0</v>
      </c>
      <c r="I647" s="65">
        <f>IF(VLOOKUP($D647,$C$5:$AU$836,3,)=0,0,(VLOOKUP($D647,$C$5:$AU$836,7,)/VLOOKUP($D647,$C$5:$AU$836,3,))*$E647)</f>
        <v>0</v>
      </c>
      <c r="J647" s="65">
        <f>IF(VLOOKUP($D647,$C$5:$AU$836,3,)=0,0,(VLOOKUP($D647,$C$5:$AU$836,8,)/VLOOKUP($D647,$C$5:$AU$836,3,))*$E647)</f>
        <v>0</v>
      </c>
      <c r="K647" s="65">
        <f>IF(VLOOKUP($D647,$C$5:$AU$836,3,)=0,0,(VLOOKUP($D647,$C$5:$AU$836,9,)/VLOOKUP($D647,$C$5:$AU$836,3,))*$E647)</f>
        <v>0</v>
      </c>
      <c r="L647" s="65">
        <f>IF(VLOOKUP($D647,$C$5:$AU$836,3,)=0,0,(VLOOKUP($D647,$C$5:$AU$836,10,)/VLOOKUP($D647,$C$5:$AU$836,3,))*$E647)</f>
        <v>0</v>
      </c>
      <c r="M647" s="65">
        <f>IF(VLOOKUP($D647,$C$5:$AU$836,3,)=0,0,(VLOOKUP($D647,$C$5:$AU$836,11,)/VLOOKUP($D647,$C$5:$AU$836,3,))*$E647)</f>
        <v>0</v>
      </c>
      <c r="N647" s="65">
        <f>IF(VLOOKUP($D647,$C$5:$AU$836,3,)=0,0,(VLOOKUP($D647,$C$5:$AU$836,12,)/VLOOKUP($D647,$C$5:$AU$836,3,))*$E647)</f>
        <v>0</v>
      </c>
      <c r="O647" s="65">
        <f>IF(VLOOKUP($D647,$C$5:$AU$836,3,)=0,0,(VLOOKUP($D647,$C$5:$AU$836,13,)/VLOOKUP($D647,$C$5:$AU$836,3,))*$E647)</f>
        <v>0</v>
      </c>
      <c r="P647" s="31">
        <f t="shared" ref="P647:X647" si="429">P645-P646</f>
        <v>0</v>
      </c>
      <c r="Q647" s="31">
        <f t="shared" si="429"/>
        <v>0</v>
      </c>
      <c r="R647" s="31">
        <f t="shared" si="429"/>
        <v>0</v>
      </c>
      <c r="S647" s="31">
        <f t="shared" si="429"/>
        <v>0</v>
      </c>
      <c r="T647" s="31">
        <f t="shared" si="429"/>
        <v>0</v>
      </c>
      <c r="U647" s="31">
        <f t="shared" si="429"/>
        <v>0</v>
      </c>
      <c r="V647" s="31">
        <f t="shared" si="429"/>
        <v>0</v>
      </c>
      <c r="W647" s="31">
        <f t="shared" si="429"/>
        <v>0</v>
      </c>
      <c r="X647" s="31">
        <f t="shared" si="429"/>
        <v>0</v>
      </c>
      <c r="Y647" s="65">
        <f>IF(VLOOKUP($D647,$C$5:$AU$836,3,)=0,0,(VLOOKUP($D647,$C$5:$AU$836,23,)/VLOOKUP($D647,$C$5:$AU$836,3,))*$E647)</f>
        <v>0</v>
      </c>
      <c r="Z647" s="65">
        <f>IF(VLOOKUP($D647,$C$5:$AU$836,3,)=0,0,(VLOOKUP($D647,$C$5:$AU$836,24,)/VLOOKUP($D647,$C$5:$AU$836,3,))*$E647)</f>
        <v>0</v>
      </c>
      <c r="AA647" s="65">
        <f>IF(VLOOKUP($D647,$C$5:$AU$836,3,)=0,0,(VLOOKUP($D647,$C$5:$AU$836,25,)/VLOOKUP($D647,$C$5:$AU$836,3,))*$E647)</f>
        <v>0</v>
      </c>
      <c r="AB647" s="65">
        <f>IF(VLOOKUP($D647,$C$5:$AU$836,3,)=0,0,(VLOOKUP($D647,$C$5:$AU$836,26,)/VLOOKUP($D647,$C$5:$AU$836,3,))*$E647)</f>
        <v>0</v>
      </c>
      <c r="AC647" s="65">
        <f>IF(VLOOKUP($D647,$C$5:$AU$836,3,)=0,0,(VLOOKUP($D647,$C$5:$AU$836,27,)/VLOOKUP($D647,$C$5:$AU$836,3,))*$E647)</f>
        <v>0</v>
      </c>
      <c r="AD647" s="65">
        <f>IF(VLOOKUP($D647,$C$5:$AU$836,3,)=0,0,(VLOOKUP($D647,$C$5:$AU$836,28,)/VLOOKUP($D647,$C$5:$AU$836,3,))*$E647)</f>
        <v>0</v>
      </c>
      <c r="AE647" s="65">
        <f>IF(VLOOKUP($D647,$C$5:$AU$836,3,)=0,0,(VLOOKUP($D647,$C$5:$AU$836,29,)/VLOOKUP($D647,$C$5:$AU$836,3,))*$E647)</f>
        <v>0</v>
      </c>
      <c r="AF647" s="65">
        <f>IF(VLOOKUP($D647,$C$5:$AU$836,3,)=0,0,(VLOOKUP($D647,$C$5:$AU$836,30,)/VLOOKUP($D647,$C$5:$AU$836,3,))*$E647)</f>
        <v>0</v>
      </c>
      <c r="AG647" s="16">
        <f>SUM(F647:AF647)</f>
        <v>0</v>
      </c>
      <c r="AH647" s="14" t="str">
        <f t="shared" si="426"/>
        <v>ok</v>
      </c>
    </row>
    <row r="648" spans="1:34" x14ac:dyDescent="0.25">
      <c r="A648" s="2" t="s">
        <v>600</v>
      </c>
      <c r="C648" s="2" t="s">
        <v>599</v>
      </c>
      <c r="E648" s="16">
        <f t="shared" ref="E648:O648" si="430">E646+E647</f>
        <v>0</v>
      </c>
      <c r="F648" s="16">
        <f t="shared" si="430"/>
        <v>0</v>
      </c>
      <c r="G648" s="16">
        <f t="shared" si="430"/>
        <v>0</v>
      </c>
      <c r="H648" s="16">
        <f t="shared" si="430"/>
        <v>0</v>
      </c>
      <c r="I648" s="16">
        <f t="shared" si="430"/>
        <v>0</v>
      </c>
      <c r="J648" s="16">
        <f t="shared" si="430"/>
        <v>0</v>
      </c>
      <c r="K648" s="16">
        <f t="shared" si="430"/>
        <v>0</v>
      </c>
      <c r="L648" s="16">
        <f t="shared" si="430"/>
        <v>0</v>
      </c>
      <c r="M648" s="16">
        <f t="shared" si="430"/>
        <v>0</v>
      </c>
      <c r="N648" s="16">
        <f t="shared" si="430"/>
        <v>0</v>
      </c>
      <c r="O648" s="16">
        <f t="shared" si="430"/>
        <v>0</v>
      </c>
      <c r="P648" s="31">
        <f t="shared" ref="P648:X648" si="431">P646-P647</f>
        <v>0</v>
      </c>
      <c r="Q648" s="31">
        <f t="shared" si="431"/>
        <v>0</v>
      </c>
      <c r="R648" s="31">
        <f t="shared" si="431"/>
        <v>0</v>
      </c>
      <c r="S648" s="31">
        <f t="shared" si="431"/>
        <v>0</v>
      </c>
      <c r="T648" s="31">
        <f t="shared" si="431"/>
        <v>0</v>
      </c>
      <c r="U648" s="31">
        <f t="shared" si="431"/>
        <v>0</v>
      </c>
      <c r="V648" s="31">
        <f t="shared" si="431"/>
        <v>0</v>
      </c>
      <c r="W648" s="31">
        <f t="shared" si="431"/>
        <v>0</v>
      </c>
      <c r="X648" s="31">
        <f t="shared" si="431"/>
        <v>0</v>
      </c>
      <c r="Y648" s="16"/>
      <c r="Z648" s="16"/>
      <c r="AA648" s="16"/>
      <c r="AB648" s="16"/>
      <c r="AC648" s="16"/>
      <c r="AD648" s="16"/>
      <c r="AE648" s="16"/>
      <c r="AF648" s="16"/>
      <c r="AG648" s="16">
        <f>ROUND(SUM(F648:AF648),2)</f>
        <v>0</v>
      </c>
      <c r="AH648" s="14" t="str">
        <f t="shared" si="426"/>
        <v>ok</v>
      </c>
    </row>
    <row r="649" spans="1:34" x14ac:dyDescent="0.25">
      <c r="A649" s="2" t="s">
        <v>614</v>
      </c>
      <c r="C649" s="2" t="s">
        <v>601</v>
      </c>
      <c r="D649" s="2" t="s">
        <v>599</v>
      </c>
      <c r="E649" s="144">
        <v>0</v>
      </c>
      <c r="F649" s="77">
        <f>IF(VLOOKUP($D649,$C$5:$AU$836,3,)=0,0,(VLOOKUP($D649,$C$5:$AU$836,4,)/VLOOKUP($D649,$C$5:$AU$836,3,))*$E649)</f>
        <v>0</v>
      </c>
      <c r="G649" s="77">
        <f>IF(VLOOKUP($D649,$C$5:$AU$836,3,)=0,0,(VLOOKUP($D649,$C$5:$AU$836,5,)/VLOOKUP($D649,$C$5:$AU$836,3,))*$E649)</f>
        <v>0</v>
      </c>
      <c r="H649" s="77">
        <f>IF(VLOOKUP($D649,$C$5:$AU$836,3,)=0,0,(VLOOKUP($D649,$C$5:$AU$836,6,)/VLOOKUP($D649,$C$5:$AU$836,3,))*$E649)</f>
        <v>0</v>
      </c>
      <c r="I649" s="77">
        <f>IF(VLOOKUP($D649,$C$5:$AU$836,3,)=0,0,(VLOOKUP($D649,$C$5:$AU$836,7,)/VLOOKUP($D649,$C$5:$AU$836,3,))*$E649)</f>
        <v>0</v>
      </c>
      <c r="J649" s="77">
        <f>IF(VLOOKUP($D649,$C$5:$AU$836,3,)=0,0,(VLOOKUP($D649,$C$5:$AU$836,8,)/VLOOKUP($D649,$C$5:$AU$836,3,))*$E649)</f>
        <v>0</v>
      </c>
      <c r="K649" s="77">
        <f>IF(VLOOKUP($D649,$C$5:$AU$836,3,)=0,0,(VLOOKUP($D649,$C$5:$AU$836,9,)/VLOOKUP($D649,$C$5:$AU$836,3,))*$E649)</f>
        <v>0</v>
      </c>
      <c r="L649" s="77">
        <f>IF(VLOOKUP($D649,$C$5:$AU$836,3,)=0,0,(VLOOKUP($D649,$C$5:$AU$836,10,)/VLOOKUP($D649,$C$5:$AU$836,3,))*$E649)</f>
        <v>0</v>
      </c>
      <c r="M649" s="65">
        <f>IF(VLOOKUP($D649,$C$5:$AU$836,3,)=0,0,(VLOOKUP($D649,$C$5:$AU$836,11,)/VLOOKUP($D649,$C$5:$AU$836,3,))*$E649)</f>
        <v>0</v>
      </c>
      <c r="N649" s="65">
        <f>IF(VLOOKUP($D649,$C$5:$AU$836,3,)=0,0,(VLOOKUP($D649,$C$5:$AU$836,12,)/VLOOKUP($D649,$C$5:$AU$836,3,))*$E649)</f>
        <v>0</v>
      </c>
      <c r="O649" s="77">
        <f>IF(VLOOKUP($D649,$C$5:$AU$836,3,)=0,0,(VLOOKUP($D649,$C$5:$AU$836,13,)/VLOOKUP($D649,$C$5:$AU$836,3,))*$E649)</f>
        <v>0</v>
      </c>
      <c r="P649" s="31">
        <f t="shared" ref="P649:X649" si="432">P647-P648</f>
        <v>0</v>
      </c>
      <c r="Q649" s="31">
        <f t="shared" si="432"/>
        <v>0</v>
      </c>
      <c r="R649" s="31">
        <f t="shared" si="432"/>
        <v>0</v>
      </c>
      <c r="S649" s="31">
        <f t="shared" si="432"/>
        <v>0</v>
      </c>
      <c r="T649" s="31">
        <f t="shared" si="432"/>
        <v>0</v>
      </c>
      <c r="U649" s="31">
        <f t="shared" si="432"/>
        <v>0</v>
      </c>
      <c r="V649" s="31">
        <f t="shared" si="432"/>
        <v>0</v>
      </c>
      <c r="W649" s="31">
        <f t="shared" si="432"/>
        <v>0</v>
      </c>
      <c r="X649" s="31">
        <f t="shared" si="432"/>
        <v>0</v>
      </c>
      <c r="Y649" s="77">
        <f>IF(VLOOKUP($D649,$C$5:$AU$836,3,)=0,0,(VLOOKUP($D649,$C$5:$AU$836,23,)/VLOOKUP($D649,$C$5:$AU$836,3,))*$E649)</f>
        <v>0</v>
      </c>
      <c r="Z649" s="77">
        <f>IF(VLOOKUP($D649,$C$5:$AU$836,3,)=0,0,(VLOOKUP($D649,$C$5:$AU$836,24,)/VLOOKUP($D649,$C$5:$AU$836,3,))*$E649)</f>
        <v>0</v>
      </c>
      <c r="AA649" s="77">
        <f>IF(VLOOKUP($D649,$C$5:$AU$836,3,)=0,0,(VLOOKUP($D649,$C$5:$AU$836,25,)/VLOOKUP($D649,$C$5:$AU$836,3,))*$E649)</f>
        <v>0</v>
      </c>
      <c r="AB649" s="77">
        <f>IF(VLOOKUP($D649,$C$5:$AU$836,3,)=0,0,(VLOOKUP($D649,$C$5:$AU$836,26,)/VLOOKUP($D649,$C$5:$AU$836,3,))*$E649)</f>
        <v>0</v>
      </c>
      <c r="AC649" s="77">
        <f>IF(VLOOKUP($D649,$C$5:$AU$836,3,)=0,0,(VLOOKUP($D649,$C$5:$AU$836,27,)/VLOOKUP($D649,$C$5:$AU$836,3,))*$E649)</f>
        <v>0</v>
      </c>
      <c r="AD649" s="77">
        <f>IF(VLOOKUP($D649,$C$5:$AU$836,3,)=0,0,(VLOOKUP($D649,$C$5:$AU$836,28,)/VLOOKUP($D649,$C$5:$AU$836,3,))*$E649)</f>
        <v>0</v>
      </c>
      <c r="AE649" s="77">
        <f>IF(VLOOKUP($D649,$C$5:$AU$836,3,)=0,0,(VLOOKUP($D649,$C$5:$AU$836,29,)/VLOOKUP($D649,$C$5:$AU$836,3,))*$E649)</f>
        <v>0</v>
      </c>
      <c r="AF649" s="77">
        <f>IF(VLOOKUP($D649,$C$5:$AU$836,3,)=0,0,(VLOOKUP($D649,$C$5:$AU$836,30,)/VLOOKUP($D649,$C$5:$AU$836,3,))*$E649)</f>
        <v>0</v>
      </c>
      <c r="AG649" s="145">
        <f>SUM(F649:AF649)</f>
        <v>0</v>
      </c>
      <c r="AH649" s="14" t="str">
        <f t="shared" si="426"/>
        <v>ok</v>
      </c>
    </row>
    <row r="650" spans="1:34" x14ac:dyDescent="0.25">
      <c r="E650" s="144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31">
        <f t="shared" ref="P650:X650" si="433">P648-P649</f>
        <v>0</v>
      </c>
      <c r="Q650" s="31">
        <f t="shared" si="433"/>
        <v>0</v>
      </c>
      <c r="R650" s="31">
        <f t="shared" si="433"/>
        <v>0</v>
      </c>
      <c r="S650" s="31">
        <f t="shared" si="433"/>
        <v>0</v>
      </c>
      <c r="T650" s="31">
        <f t="shared" si="433"/>
        <v>0</v>
      </c>
      <c r="U650" s="31">
        <f t="shared" si="433"/>
        <v>0</v>
      </c>
      <c r="V650" s="31">
        <f t="shared" si="433"/>
        <v>0</v>
      </c>
      <c r="W650" s="31">
        <f t="shared" si="433"/>
        <v>0</v>
      </c>
      <c r="X650" s="31">
        <f t="shared" si="433"/>
        <v>0</v>
      </c>
      <c r="Y650" s="76"/>
      <c r="Z650" s="76"/>
      <c r="AA650" s="76"/>
      <c r="AB650" s="76"/>
      <c r="AC650" s="76"/>
      <c r="AD650" s="76"/>
      <c r="AE650" s="76"/>
      <c r="AF650" s="76"/>
      <c r="AG650" s="144"/>
      <c r="AH650" s="14"/>
    </row>
    <row r="651" spans="1:34" x14ac:dyDescent="0.25">
      <c r="A651" s="2" t="s">
        <v>597</v>
      </c>
      <c r="C651" s="2" t="s">
        <v>615</v>
      </c>
      <c r="E651" s="66">
        <f t="shared" ref="E651:AF651" si="434">E644</f>
        <v>3576778.2505401522</v>
      </c>
      <c r="F651" s="66">
        <f t="shared" si="434"/>
        <v>2775348</v>
      </c>
      <c r="G651" s="66">
        <f t="shared" si="434"/>
        <v>148834</v>
      </c>
      <c r="H651" s="66">
        <f t="shared" si="434"/>
        <v>329833</v>
      </c>
      <c r="I651" s="66">
        <f t="shared" si="434"/>
        <v>29580</v>
      </c>
      <c r="J651" s="66">
        <f t="shared" si="434"/>
        <v>22376</v>
      </c>
      <c r="K651" s="66">
        <f t="shared" si="434"/>
        <v>15037.2</v>
      </c>
      <c r="L651" s="66">
        <f t="shared" si="434"/>
        <v>123288.12025000001</v>
      </c>
      <c r="M651" s="66">
        <f t="shared" si="434"/>
        <v>108120.35500000001</v>
      </c>
      <c r="N651" s="66">
        <f t="shared" si="434"/>
        <v>24361.575290151904</v>
      </c>
      <c r="O651" s="66">
        <f t="shared" si="434"/>
        <v>0</v>
      </c>
      <c r="P651" s="31">
        <f t="shared" ref="P651:X651" si="435">P649-P650</f>
        <v>0</v>
      </c>
      <c r="Q651" s="31">
        <f t="shared" si="435"/>
        <v>0</v>
      </c>
      <c r="R651" s="31">
        <f t="shared" si="435"/>
        <v>0</v>
      </c>
      <c r="S651" s="31">
        <f t="shared" si="435"/>
        <v>0</v>
      </c>
      <c r="T651" s="31">
        <f t="shared" si="435"/>
        <v>0</v>
      </c>
      <c r="U651" s="31">
        <f t="shared" si="435"/>
        <v>0</v>
      </c>
      <c r="V651" s="31">
        <f t="shared" si="435"/>
        <v>0</v>
      </c>
      <c r="W651" s="31">
        <f t="shared" si="435"/>
        <v>0</v>
      </c>
      <c r="X651" s="31">
        <f t="shared" si="435"/>
        <v>0</v>
      </c>
      <c r="Y651" s="66">
        <f t="shared" si="434"/>
        <v>0</v>
      </c>
      <c r="Z651" s="66">
        <f t="shared" si="434"/>
        <v>0</v>
      </c>
      <c r="AA651" s="66">
        <f t="shared" si="434"/>
        <v>0</v>
      </c>
      <c r="AB651" s="66">
        <f t="shared" si="434"/>
        <v>0</v>
      </c>
      <c r="AC651" s="66">
        <f t="shared" si="434"/>
        <v>0</v>
      </c>
      <c r="AD651" s="66">
        <f t="shared" si="434"/>
        <v>0</v>
      </c>
      <c r="AE651" s="66">
        <f t="shared" si="434"/>
        <v>0</v>
      </c>
      <c r="AF651" s="66">
        <f t="shared" si="434"/>
        <v>0</v>
      </c>
      <c r="AG651" s="66">
        <f>SUM(F651:AF651)</f>
        <v>3576778.2505401522</v>
      </c>
      <c r="AH651" s="14" t="str">
        <f t="shared" ref="AH651:AH656" si="436">IF(ABS(E651-AG651)&lt;0.01,"ok","err")</f>
        <v>ok</v>
      </c>
    </row>
    <row r="652" spans="1:34" x14ac:dyDescent="0.25">
      <c r="A652" s="2" t="s">
        <v>596</v>
      </c>
      <c r="E652" s="16">
        <f>E645</f>
        <v>0</v>
      </c>
      <c r="P652" s="31">
        <f t="shared" ref="P652:X652" si="437">P650-P651</f>
        <v>0</v>
      </c>
      <c r="Q652" s="31">
        <f t="shared" si="437"/>
        <v>0</v>
      </c>
      <c r="R652" s="31">
        <f t="shared" si="437"/>
        <v>0</v>
      </c>
      <c r="S652" s="31">
        <f t="shared" si="437"/>
        <v>0</v>
      </c>
      <c r="T652" s="31">
        <f t="shared" si="437"/>
        <v>0</v>
      </c>
      <c r="U652" s="31">
        <f t="shared" si="437"/>
        <v>0</v>
      </c>
      <c r="V652" s="31">
        <f t="shared" si="437"/>
        <v>0</v>
      </c>
      <c r="W652" s="31">
        <f t="shared" si="437"/>
        <v>0</v>
      </c>
      <c r="X652" s="31">
        <f t="shared" si="437"/>
        <v>0</v>
      </c>
      <c r="AG652" s="16">
        <f>E652</f>
        <v>0</v>
      </c>
      <c r="AH652" s="14" t="str">
        <f t="shared" si="436"/>
        <v>ok</v>
      </c>
    </row>
    <row r="653" spans="1:34" x14ac:dyDescent="0.25">
      <c r="A653" s="2" t="s">
        <v>594</v>
      </c>
      <c r="E653" s="110">
        <v>0</v>
      </c>
      <c r="P653" s="31">
        <f t="shared" ref="P653:X653" si="438">P651-P652</f>
        <v>0</v>
      </c>
      <c r="Q653" s="31">
        <f t="shared" si="438"/>
        <v>0</v>
      </c>
      <c r="R653" s="31">
        <f t="shared" si="438"/>
        <v>0</v>
      </c>
      <c r="S653" s="31">
        <f t="shared" si="438"/>
        <v>0</v>
      </c>
      <c r="T653" s="31">
        <f t="shared" si="438"/>
        <v>0</v>
      </c>
      <c r="U653" s="31">
        <f t="shared" si="438"/>
        <v>0</v>
      </c>
      <c r="V653" s="31">
        <f t="shared" si="438"/>
        <v>0</v>
      </c>
      <c r="W653" s="31">
        <f t="shared" si="438"/>
        <v>0</v>
      </c>
      <c r="X653" s="31">
        <f t="shared" si="438"/>
        <v>0</v>
      </c>
      <c r="AG653" s="16">
        <f>ROUND(SUM(F653:AF653),2)</f>
        <v>0</v>
      </c>
      <c r="AH653" s="14" t="str">
        <f t="shared" si="436"/>
        <v>ok</v>
      </c>
    </row>
    <row r="654" spans="1:34" x14ac:dyDescent="0.25">
      <c r="A654" s="2" t="s">
        <v>595</v>
      </c>
      <c r="D654" s="2" t="s">
        <v>615</v>
      </c>
      <c r="E654" s="16">
        <f>E652-E653</f>
        <v>0</v>
      </c>
      <c r="F654" s="65">
        <f>IF(VLOOKUP($D654,$C$5:$AU$836,3,)=0,0,(VLOOKUP($D654,$C$5:$AU$836,4,)/VLOOKUP($D654,$C$5:$AU$836,3,))*$E654)</f>
        <v>0</v>
      </c>
      <c r="G654" s="65">
        <f>IF(VLOOKUP($D654,$C$5:$AU$836,3,)=0,0,(VLOOKUP($D654,$C$5:$AU$836,5,)/VLOOKUP($D654,$C$5:$AU$836,3,))*$E654)</f>
        <v>0</v>
      </c>
      <c r="H654" s="65">
        <f>IF(VLOOKUP($D654,$C$5:$AU$836,3,)=0,0,(VLOOKUP($D654,$C$5:$AU$836,6,)/VLOOKUP($D654,$C$5:$AU$836,3,))*$E654)</f>
        <v>0</v>
      </c>
      <c r="I654" s="65">
        <f>IF(VLOOKUP($D654,$C$5:$AU$836,3,)=0,0,(VLOOKUP($D654,$C$5:$AU$836,7,)/VLOOKUP($D654,$C$5:$AU$836,3,))*$E654)</f>
        <v>0</v>
      </c>
      <c r="J654" s="65">
        <f>IF(VLOOKUP($D654,$C$5:$AU$836,3,)=0,0,(VLOOKUP($D654,$C$5:$AU$836,8,)/VLOOKUP($D654,$C$5:$AU$836,3,))*$E654)</f>
        <v>0</v>
      </c>
      <c r="K654" s="65">
        <f>IF(VLOOKUP($D654,$C$5:$AU$836,3,)=0,0,(VLOOKUP($D654,$C$5:$AU$836,9,)/VLOOKUP($D654,$C$5:$AU$836,3,))*$E654)</f>
        <v>0</v>
      </c>
      <c r="L654" s="65">
        <f>IF(VLOOKUP($D654,$C$5:$AU$836,3,)=0,0,(VLOOKUP($D654,$C$5:$AU$836,10,)/VLOOKUP($D654,$C$5:$AU$836,3,))*$E654)</f>
        <v>0</v>
      </c>
      <c r="M654" s="65">
        <f>IF(VLOOKUP($D654,$C$5:$AU$836,3,)=0,0,(VLOOKUP($D654,$C$5:$AU$836,11,)/VLOOKUP($D654,$C$5:$AU$836,3,))*$E654)</f>
        <v>0</v>
      </c>
      <c r="N654" s="65">
        <f>IF(VLOOKUP($D654,$C$5:$AU$836,3,)=0,0,(VLOOKUP($D654,$C$5:$AU$836,12,)/VLOOKUP($D654,$C$5:$AU$836,3,))*$E654)</f>
        <v>0</v>
      </c>
      <c r="O654" s="65">
        <f>IF(VLOOKUP($D654,$C$5:$AU$836,3,)=0,0,(VLOOKUP($D654,$C$5:$AU$836,13,)/VLOOKUP($D654,$C$5:$AU$836,3,))*$E654)</f>
        <v>0</v>
      </c>
      <c r="P654" s="31">
        <f t="shared" ref="P654:X654" si="439">P652-P653</f>
        <v>0</v>
      </c>
      <c r="Q654" s="31">
        <f t="shared" si="439"/>
        <v>0</v>
      </c>
      <c r="R654" s="31">
        <f t="shared" si="439"/>
        <v>0</v>
      </c>
      <c r="S654" s="31">
        <f t="shared" si="439"/>
        <v>0</v>
      </c>
      <c r="T654" s="31">
        <f t="shared" si="439"/>
        <v>0</v>
      </c>
      <c r="U654" s="31">
        <f t="shared" si="439"/>
        <v>0</v>
      </c>
      <c r="V654" s="31">
        <f t="shared" si="439"/>
        <v>0</v>
      </c>
      <c r="W654" s="31">
        <f t="shared" si="439"/>
        <v>0</v>
      </c>
      <c r="X654" s="31">
        <f t="shared" si="439"/>
        <v>0</v>
      </c>
      <c r="Y654" s="65">
        <f>IF(VLOOKUP($D654,$C$5:$AU$836,3,)=0,0,(VLOOKUP($D654,$C$5:$AU$836,23,)/VLOOKUP($D654,$C$5:$AU$836,3,))*$E654)</f>
        <v>0</v>
      </c>
      <c r="Z654" s="65">
        <f>IF(VLOOKUP($D654,$C$5:$AU$836,3,)=0,0,(VLOOKUP($D654,$C$5:$AU$836,24,)/VLOOKUP($D654,$C$5:$AU$836,3,))*$E654)</f>
        <v>0</v>
      </c>
      <c r="AA654" s="65">
        <f>IF(VLOOKUP($D654,$C$5:$AU$836,3,)=0,0,(VLOOKUP($D654,$C$5:$AU$836,25,)/VLOOKUP($D654,$C$5:$AU$836,3,))*$E654)</f>
        <v>0</v>
      </c>
      <c r="AB654" s="65">
        <f>IF(VLOOKUP($D654,$C$5:$AU$836,3,)=0,0,(VLOOKUP($D654,$C$5:$AU$836,26,)/VLOOKUP($D654,$C$5:$AU$836,3,))*$E654)</f>
        <v>0</v>
      </c>
      <c r="AC654" s="65">
        <f>IF(VLOOKUP($D654,$C$5:$AU$836,3,)=0,0,(VLOOKUP($D654,$C$5:$AU$836,27,)/VLOOKUP($D654,$C$5:$AU$836,3,))*$E654)</f>
        <v>0</v>
      </c>
      <c r="AD654" s="65">
        <f>IF(VLOOKUP($D654,$C$5:$AU$836,3,)=0,0,(VLOOKUP($D654,$C$5:$AU$836,28,)/VLOOKUP($D654,$C$5:$AU$836,3,))*$E654)</f>
        <v>0</v>
      </c>
      <c r="AE654" s="65">
        <f>IF(VLOOKUP($D654,$C$5:$AU$836,3,)=0,0,(VLOOKUP($D654,$C$5:$AU$836,29,)/VLOOKUP($D654,$C$5:$AU$836,3,))*$E654)</f>
        <v>0</v>
      </c>
      <c r="AF654" s="65">
        <f>IF(VLOOKUP($D654,$C$5:$AU$836,3,)=0,0,(VLOOKUP($D654,$C$5:$AU$836,30,)/VLOOKUP($D654,$C$5:$AU$836,3,))*$E654)</f>
        <v>0</v>
      </c>
      <c r="AG654" s="16">
        <f>SUM(F654:AF654)</f>
        <v>0</v>
      </c>
      <c r="AH654" s="14" t="str">
        <f t="shared" si="436"/>
        <v>ok</v>
      </c>
    </row>
    <row r="655" spans="1:34" x14ac:dyDescent="0.25">
      <c r="A655" s="2" t="s">
        <v>600</v>
      </c>
      <c r="C655" s="2" t="s">
        <v>616</v>
      </c>
      <c r="E655" s="16">
        <f t="shared" ref="E655:O655" si="440">E653+E654</f>
        <v>0</v>
      </c>
      <c r="F655" s="16">
        <f t="shared" si="440"/>
        <v>0</v>
      </c>
      <c r="G655" s="16">
        <f t="shared" si="440"/>
        <v>0</v>
      </c>
      <c r="H655" s="16">
        <f t="shared" si="440"/>
        <v>0</v>
      </c>
      <c r="I655" s="16">
        <f t="shared" si="440"/>
        <v>0</v>
      </c>
      <c r="J655" s="16">
        <f t="shared" si="440"/>
        <v>0</v>
      </c>
      <c r="K655" s="16">
        <f t="shared" si="440"/>
        <v>0</v>
      </c>
      <c r="L655" s="16">
        <f t="shared" si="440"/>
        <v>0</v>
      </c>
      <c r="M655" s="16">
        <f t="shared" si="440"/>
        <v>0</v>
      </c>
      <c r="N655" s="16">
        <f t="shared" si="440"/>
        <v>0</v>
      </c>
      <c r="O655" s="16">
        <f t="shared" si="440"/>
        <v>0</v>
      </c>
      <c r="P655" s="31">
        <f t="shared" ref="P655:X655" si="441">P653-P654</f>
        <v>0</v>
      </c>
      <c r="Q655" s="31">
        <f t="shared" si="441"/>
        <v>0</v>
      </c>
      <c r="R655" s="31">
        <f t="shared" si="441"/>
        <v>0</v>
      </c>
      <c r="S655" s="31">
        <f t="shared" si="441"/>
        <v>0</v>
      </c>
      <c r="T655" s="31">
        <f t="shared" si="441"/>
        <v>0</v>
      </c>
      <c r="U655" s="31">
        <f t="shared" si="441"/>
        <v>0</v>
      </c>
      <c r="V655" s="31">
        <f t="shared" si="441"/>
        <v>0</v>
      </c>
      <c r="W655" s="31">
        <f t="shared" si="441"/>
        <v>0</v>
      </c>
      <c r="X655" s="31">
        <f t="shared" si="441"/>
        <v>0</v>
      </c>
      <c r="Y655" s="16"/>
      <c r="Z655" s="16"/>
      <c r="AA655" s="16"/>
      <c r="AB655" s="16"/>
      <c r="AC655" s="16"/>
      <c r="AD655" s="16"/>
      <c r="AE655" s="16"/>
      <c r="AF655" s="16"/>
      <c r="AG655" s="16">
        <f>ROUND(SUM(F655:AF655),2)</f>
        <v>0</v>
      </c>
      <c r="AH655" s="14" t="str">
        <f t="shared" si="436"/>
        <v>ok</v>
      </c>
    </row>
    <row r="656" spans="1:34" x14ac:dyDescent="0.25">
      <c r="A656" s="2" t="s">
        <v>621</v>
      </c>
      <c r="C656" s="2" t="s">
        <v>617</v>
      </c>
      <c r="D656" s="2" t="s">
        <v>616</v>
      </c>
      <c r="E656" s="144">
        <v>0</v>
      </c>
      <c r="F656" s="77">
        <f>IF(VLOOKUP($D656,$C$5:$AU$836,3,)=0,0,(VLOOKUP($D656,$C$5:$AU$836,4,)/VLOOKUP($D656,$C$5:$AU$836,3,))*$E656)</f>
        <v>0</v>
      </c>
      <c r="G656" s="77">
        <f>IF(VLOOKUP($D656,$C$5:$AU$836,3,)=0,0,(VLOOKUP($D656,$C$5:$AU$836,5,)/VLOOKUP($D656,$C$5:$AU$836,3,))*$E656)</f>
        <v>0</v>
      </c>
      <c r="H656" s="77">
        <f>IF(VLOOKUP($D656,$C$5:$AU$836,3,)=0,0,(VLOOKUP($D656,$C$5:$AU$836,6,)/VLOOKUP($D656,$C$5:$AU$836,3,))*$E656)</f>
        <v>0</v>
      </c>
      <c r="I656" s="77">
        <f>IF(VLOOKUP($D656,$C$5:$AU$836,3,)=0,0,(VLOOKUP($D656,$C$5:$AU$836,7,)/VLOOKUP($D656,$C$5:$AU$836,3,))*$E656)</f>
        <v>0</v>
      </c>
      <c r="J656" s="77">
        <f>IF(VLOOKUP($D656,$C$5:$AU$836,3,)=0,0,(VLOOKUP($D656,$C$5:$AU$836,8,)/VLOOKUP($D656,$C$5:$AU$836,3,))*$E656)</f>
        <v>0</v>
      </c>
      <c r="K656" s="77">
        <f>IF(VLOOKUP($D656,$C$5:$AU$836,3,)=0,0,(VLOOKUP($D656,$C$5:$AU$836,9,)/VLOOKUP($D656,$C$5:$AU$836,3,))*$E656)</f>
        <v>0</v>
      </c>
      <c r="L656" s="77">
        <f>IF(VLOOKUP($D656,$C$5:$AU$836,3,)=0,0,(VLOOKUP($D656,$C$5:$AU$836,10,)/VLOOKUP($D656,$C$5:$AU$836,3,))*$E656)</f>
        <v>0</v>
      </c>
      <c r="M656" s="77">
        <f>IF(VLOOKUP($D656,$C$5:$AU$836,3,)=0,0,(VLOOKUP($D656,$C$5:$AU$836,11,)/VLOOKUP($D656,$C$5:$AU$836,3,))*$E656)</f>
        <v>0</v>
      </c>
      <c r="N656" s="77">
        <f>IF(VLOOKUP($D656,$C$5:$AU$836,3,)=0,0,(VLOOKUP($D656,$C$5:$AU$836,12,)/VLOOKUP($D656,$C$5:$AU$836,3,))*$E656)</f>
        <v>0</v>
      </c>
      <c r="O656" s="77">
        <f>IF(VLOOKUP($D656,$C$5:$AU$836,3,)=0,0,(VLOOKUP($D656,$C$5:$AU$836,13,)/VLOOKUP($D656,$C$5:$AU$836,3,))*$E656)</f>
        <v>0</v>
      </c>
      <c r="P656" s="31">
        <f t="shared" ref="P656:X656" si="442">P654-P655</f>
        <v>0</v>
      </c>
      <c r="Q656" s="31">
        <f t="shared" si="442"/>
        <v>0</v>
      </c>
      <c r="R656" s="31">
        <f t="shared" si="442"/>
        <v>0</v>
      </c>
      <c r="S656" s="31">
        <f t="shared" si="442"/>
        <v>0</v>
      </c>
      <c r="T656" s="31">
        <f t="shared" si="442"/>
        <v>0</v>
      </c>
      <c r="U656" s="31">
        <f t="shared" si="442"/>
        <v>0</v>
      </c>
      <c r="V656" s="31">
        <f t="shared" si="442"/>
        <v>0</v>
      </c>
      <c r="W656" s="31">
        <f t="shared" si="442"/>
        <v>0</v>
      </c>
      <c r="X656" s="31">
        <f t="shared" si="442"/>
        <v>0</v>
      </c>
      <c r="Y656" s="77">
        <f>IF(VLOOKUP($D656,$C$5:$AU$836,3,)=0,0,(VLOOKUP($D656,$C$5:$AU$836,23,)/VLOOKUP($D656,$C$5:$AU$836,3,))*$E656)</f>
        <v>0</v>
      </c>
      <c r="Z656" s="77">
        <f>IF(VLOOKUP($D656,$C$5:$AU$836,3,)=0,0,(VLOOKUP($D656,$C$5:$AU$836,24,)/VLOOKUP($D656,$C$5:$AU$836,3,))*$E656)</f>
        <v>0</v>
      </c>
      <c r="AA656" s="77">
        <f>IF(VLOOKUP($D656,$C$5:$AU$836,3,)=0,0,(VLOOKUP($D656,$C$5:$AU$836,25,)/VLOOKUP($D656,$C$5:$AU$836,3,))*$E656)</f>
        <v>0</v>
      </c>
      <c r="AB656" s="77">
        <f>IF(VLOOKUP($D656,$C$5:$AU$836,3,)=0,0,(VLOOKUP($D656,$C$5:$AU$836,26,)/VLOOKUP($D656,$C$5:$AU$836,3,))*$E656)</f>
        <v>0</v>
      </c>
      <c r="AC656" s="77">
        <f>IF(VLOOKUP($D656,$C$5:$AU$836,3,)=0,0,(VLOOKUP($D656,$C$5:$AU$836,27,)/VLOOKUP($D656,$C$5:$AU$836,3,))*$E656)</f>
        <v>0</v>
      </c>
      <c r="AD656" s="77">
        <f>IF(VLOOKUP($D656,$C$5:$AU$836,3,)=0,0,(VLOOKUP($D656,$C$5:$AU$836,28,)/VLOOKUP($D656,$C$5:$AU$836,3,))*$E656)</f>
        <v>0</v>
      </c>
      <c r="AE656" s="77">
        <f>IF(VLOOKUP($D656,$C$5:$AU$836,3,)=0,0,(VLOOKUP($D656,$C$5:$AU$836,29,)/VLOOKUP($D656,$C$5:$AU$836,3,))*$E656)</f>
        <v>0</v>
      </c>
      <c r="AF656" s="77">
        <f>IF(VLOOKUP($D656,$C$5:$AU$836,3,)=0,0,(VLOOKUP($D656,$C$5:$AU$836,30,)/VLOOKUP($D656,$C$5:$AU$836,3,))*$E656)</f>
        <v>0</v>
      </c>
      <c r="AG656" s="145">
        <f>SUM(F656:AF656)</f>
        <v>0</v>
      </c>
      <c r="AH656" s="14" t="str">
        <f t="shared" si="436"/>
        <v>ok</v>
      </c>
    </row>
    <row r="657" spans="1:34" x14ac:dyDescent="0.25">
      <c r="E657" s="144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31">
        <f t="shared" ref="P657:X657" si="443">P655-P656</f>
        <v>0</v>
      </c>
      <c r="Q657" s="31">
        <f t="shared" si="443"/>
        <v>0</v>
      </c>
      <c r="R657" s="31">
        <f t="shared" si="443"/>
        <v>0</v>
      </c>
      <c r="S657" s="31">
        <f t="shared" si="443"/>
        <v>0</v>
      </c>
      <c r="T657" s="31">
        <f t="shared" si="443"/>
        <v>0</v>
      </c>
      <c r="U657" s="31">
        <f t="shared" si="443"/>
        <v>0</v>
      </c>
      <c r="V657" s="31">
        <f t="shared" si="443"/>
        <v>0</v>
      </c>
      <c r="W657" s="31">
        <f t="shared" si="443"/>
        <v>0</v>
      </c>
      <c r="X657" s="31">
        <f t="shared" si="443"/>
        <v>0</v>
      </c>
      <c r="Y657" s="76"/>
      <c r="Z657" s="76"/>
      <c r="AA657" s="76"/>
      <c r="AB657" s="76"/>
      <c r="AC657" s="76"/>
      <c r="AD657" s="76"/>
      <c r="AE657" s="76"/>
      <c r="AF657" s="76"/>
      <c r="AG657" s="144"/>
      <c r="AH657" s="14"/>
    </row>
    <row r="658" spans="1:34" x14ac:dyDescent="0.25">
      <c r="A658" s="9" t="s">
        <v>735</v>
      </c>
      <c r="C658" s="9" t="s">
        <v>745</v>
      </c>
      <c r="E658" s="31">
        <v>364618.9648624339</v>
      </c>
      <c r="F658" s="31">
        <f>F638</f>
        <v>235034</v>
      </c>
      <c r="G658" s="31">
        <f>(G638*0.4*1.8)+(G638*0.6)</f>
        <v>20304.239999999998</v>
      </c>
      <c r="H658" s="31">
        <f>H638*1.8</f>
        <v>70300.800000000003</v>
      </c>
      <c r="I658" s="31">
        <f>(I638*0.9*1.8)+(I638*0.1)</f>
        <v>6905.8</v>
      </c>
      <c r="J658" s="31">
        <f>J638*1.8</f>
        <v>7088.4000000000005</v>
      </c>
      <c r="K658" s="31">
        <v>0</v>
      </c>
      <c r="L658" s="31">
        <v>0</v>
      </c>
      <c r="M658" s="31">
        <f t="shared" ref="M658" si="444">M638*1.8</f>
        <v>20671.416000000001</v>
      </c>
      <c r="N658" s="31">
        <f t="shared" ref="N658" si="445">N638</f>
        <v>4314.3088624338625</v>
      </c>
      <c r="O658" s="31">
        <f t="shared" ref="O658:AF658" si="446">O638</f>
        <v>0</v>
      </c>
      <c r="P658" s="31">
        <f t="shared" ref="P658:X658" si="447">P656-P657</f>
        <v>0</v>
      </c>
      <c r="Q658" s="31">
        <f t="shared" si="447"/>
        <v>0</v>
      </c>
      <c r="R658" s="31">
        <f t="shared" si="447"/>
        <v>0</v>
      </c>
      <c r="S658" s="31">
        <f t="shared" si="447"/>
        <v>0</v>
      </c>
      <c r="T658" s="31">
        <f t="shared" si="447"/>
        <v>0</v>
      </c>
      <c r="U658" s="31">
        <f t="shared" si="447"/>
        <v>0</v>
      </c>
      <c r="V658" s="31">
        <f t="shared" si="447"/>
        <v>0</v>
      </c>
      <c r="W658" s="31">
        <f t="shared" si="447"/>
        <v>0</v>
      </c>
      <c r="X658" s="31">
        <f t="shared" si="447"/>
        <v>0</v>
      </c>
      <c r="Y658" s="31">
        <f t="shared" si="446"/>
        <v>0</v>
      </c>
      <c r="Z658" s="31">
        <f t="shared" si="446"/>
        <v>0</v>
      </c>
      <c r="AA658" s="31">
        <f t="shared" si="446"/>
        <v>0</v>
      </c>
      <c r="AB658" s="31">
        <f t="shared" si="446"/>
        <v>0</v>
      </c>
      <c r="AC658" s="31">
        <f t="shared" si="446"/>
        <v>0</v>
      </c>
      <c r="AD658" s="31">
        <f t="shared" si="446"/>
        <v>0</v>
      </c>
      <c r="AE658" s="31">
        <f t="shared" si="446"/>
        <v>0</v>
      </c>
      <c r="AF658" s="31">
        <f t="shared" si="446"/>
        <v>0</v>
      </c>
      <c r="AG658" s="66">
        <f>SUM(F658:AF658)</f>
        <v>364618.9648624339</v>
      </c>
      <c r="AH658" s="14" t="str">
        <f t="shared" ref="AH658:AH663" si="448">IF(ABS(E658-AG658)&lt;0.01,"ok","err")</f>
        <v>ok</v>
      </c>
    </row>
    <row r="659" spans="1:34" x14ac:dyDescent="0.25">
      <c r="A659" s="9" t="s">
        <v>738</v>
      </c>
      <c r="E659" s="16">
        <f>'[1]Functional Assignment'!S48</f>
        <v>108538108.16360888</v>
      </c>
      <c r="P659" s="31">
        <f t="shared" ref="P659:X659" si="449">P657-P658</f>
        <v>0</v>
      </c>
      <c r="Q659" s="31">
        <f t="shared" si="449"/>
        <v>0</v>
      </c>
      <c r="R659" s="31">
        <f t="shared" si="449"/>
        <v>0</v>
      </c>
      <c r="S659" s="31">
        <f t="shared" si="449"/>
        <v>0</v>
      </c>
      <c r="T659" s="31">
        <f t="shared" si="449"/>
        <v>0</v>
      </c>
      <c r="U659" s="31">
        <f t="shared" si="449"/>
        <v>0</v>
      </c>
      <c r="V659" s="31">
        <f t="shared" si="449"/>
        <v>0</v>
      </c>
      <c r="W659" s="31">
        <f t="shared" si="449"/>
        <v>0</v>
      </c>
      <c r="X659" s="31">
        <f t="shared" si="449"/>
        <v>0</v>
      </c>
      <c r="AG659" s="16">
        <f>E659</f>
        <v>108538108.16360888</v>
      </c>
      <c r="AH659" s="14" t="str">
        <f t="shared" si="448"/>
        <v>ok</v>
      </c>
    </row>
    <row r="660" spans="1:34" x14ac:dyDescent="0.25">
      <c r="A660" s="2" t="s">
        <v>594</v>
      </c>
      <c r="E660" s="110">
        <v>197622.96</v>
      </c>
      <c r="H660" s="2">
        <v>0</v>
      </c>
      <c r="I660" s="21">
        <v>0</v>
      </c>
      <c r="K660" s="17">
        <v>9843</v>
      </c>
      <c r="L660" s="30">
        <f>188968.1-1188.14</f>
        <v>187779.96</v>
      </c>
      <c r="O660" s="66">
        <v>0</v>
      </c>
      <c r="P660" s="31">
        <f t="shared" ref="P660:X660" si="450">P658-P659</f>
        <v>0</v>
      </c>
      <c r="Q660" s="31">
        <f t="shared" si="450"/>
        <v>0</v>
      </c>
      <c r="R660" s="31">
        <f t="shared" si="450"/>
        <v>0</v>
      </c>
      <c r="S660" s="31">
        <f t="shared" si="450"/>
        <v>0</v>
      </c>
      <c r="T660" s="31">
        <f t="shared" si="450"/>
        <v>0</v>
      </c>
      <c r="U660" s="31">
        <f t="shared" si="450"/>
        <v>0</v>
      </c>
      <c r="V660" s="31">
        <f t="shared" si="450"/>
        <v>0</v>
      </c>
      <c r="W660" s="31">
        <f t="shared" si="450"/>
        <v>0</v>
      </c>
      <c r="X660" s="31">
        <f t="shared" si="450"/>
        <v>0</v>
      </c>
      <c r="AG660" s="16">
        <f>ROUND(SUM(F660:AF660),2)</f>
        <v>197622.96</v>
      </c>
      <c r="AH660" s="14" t="str">
        <f t="shared" si="448"/>
        <v>ok</v>
      </c>
    </row>
    <row r="661" spans="1:34" x14ac:dyDescent="0.25">
      <c r="A661" s="9" t="s">
        <v>737</v>
      </c>
      <c r="D661" s="9" t="s">
        <v>745</v>
      </c>
      <c r="E661" s="16">
        <f>E659-E660</f>
        <v>108340485.20360889</v>
      </c>
      <c r="F661" s="65">
        <f>IF(VLOOKUP($D661,$C$5:$AU$836,3,)=0,0,(VLOOKUP($D661,$C$5:$AU$836,4,)/VLOOKUP($D661,$C$5:$AU$836,3,))*$E661)</f>
        <v>69836459.573495135</v>
      </c>
      <c r="G661" s="65">
        <f>IF(VLOOKUP($D661,$C$5:$AU$836,3,)=0,0,(VLOOKUP($D661,$C$5:$AU$836,5,)/VLOOKUP($D661,$C$5:$AU$836,3,))*$E661)</f>
        <v>6033068.5599978846</v>
      </c>
      <c r="H661" s="65">
        <f>IF(VLOOKUP($D661,$C$5:$AU$836,3,)=0,0,(VLOOKUP($D661,$C$5:$AU$836,6,)/VLOOKUP($D661,$C$5:$AU$836,3,))*$E661)</f>
        <v>20888718.130927302</v>
      </c>
      <c r="I661" s="65">
        <f>IF(VLOOKUP($D661,$C$5:$AU$836,3,)=0,0,(VLOOKUP($D661,$C$5:$AU$836,7,)/VLOOKUP($D661,$C$5:$AU$836,3,))*$E661)</f>
        <v>2051944.0698904956</v>
      </c>
      <c r="J661" s="65">
        <f>IF(VLOOKUP($D661,$C$5:$AU$836,3,)=0,0,(VLOOKUP($D661,$C$5:$AU$836,8,)/VLOOKUP($D661,$C$5:$AU$836,3,))*$E661)</f>
        <v>2106200.634975208</v>
      </c>
      <c r="K661" s="65">
        <f>IF(VLOOKUP($D661,$C$5:$AU$836,3,)=0,0,(VLOOKUP($D661,$C$5:$AU$836,9,)/VLOOKUP($D661,$C$5:$AU$836,3,))*$E661)</f>
        <v>0</v>
      </c>
      <c r="L661" s="65">
        <f>IF(VLOOKUP($D661,$C$5:$AU$836,3,)=0,0,(VLOOKUP($D661,$C$5:$AU$836,10,)/VLOOKUP($D661,$C$5:$AU$836,3,))*$E661)</f>
        <v>0</v>
      </c>
      <c r="M661" s="65">
        <f>IF(VLOOKUP($D661,$C$5:$AU$836,3,)=0,0,(VLOOKUP($D661,$C$5:$AU$836,11,)/VLOOKUP($D661,$C$5:$AU$836,3,))*$E661)</f>
        <v>6142168.8258332862</v>
      </c>
      <c r="N661" s="65">
        <f>IF(VLOOKUP($D661,$C$5:$AU$836,3,)=0,0,(VLOOKUP($D661,$C$5:$AU$836,12,)/VLOOKUP($D661,$C$5:$AU$836,3,))*$E661)</f>
        <v>1281925.4084895556</v>
      </c>
      <c r="O661" s="65">
        <f>IF(VLOOKUP($D661,$C$5:$AU$836,3,)=0,0,(VLOOKUP($D661,$C$5:$AU$836,13,)/VLOOKUP($D661,$C$5:$AU$836,3,))*$E661)</f>
        <v>0</v>
      </c>
      <c r="P661" s="31">
        <f t="shared" ref="P661:X661" si="451">P659-P660</f>
        <v>0</v>
      </c>
      <c r="Q661" s="31">
        <f t="shared" si="451"/>
        <v>0</v>
      </c>
      <c r="R661" s="31">
        <f t="shared" si="451"/>
        <v>0</v>
      </c>
      <c r="S661" s="31">
        <f t="shared" si="451"/>
        <v>0</v>
      </c>
      <c r="T661" s="31">
        <f t="shared" si="451"/>
        <v>0</v>
      </c>
      <c r="U661" s="31">
        <f t="shared" si="451"/>
        <v>0</v>
      </c>
      <c r="V661" s="31">
        <f t="shared" si="451"/>
        <v>0</v>
      </c>
      <c r="W661" s="31">
        <f t="shared" si="451"/>
        <v>0</v>
      </c>
      <c r="X661" s="31">
        <f t="shared" si="451"/>
        <v>0</v>
      </c>
      <c r="Y661" s="65">
        <f>IF(VLOOKUP($D661,$C$5:$AU$836,3,)=0,0,(VLOOKUP($D661,$C$5:$AU$836,23,)/VLOOKUP($D661,$C$5:$AU$836,3,))*$E661)</f>
        <v>0</v>
      </c>
      <c r="Z661" s="65">
        <f>IF(VLOOKUP($D661,$C$5:$AU$836,3,)=0,0,(VLOOKUP($D661,$C$5:$AU$836,24,)/VLOOKUP($D661,$C$5:$AU$836,3,))*$E661)</f>
        <v>0</v>
      </c>
      <c r="AA661" s="65">
        <f>IF(VLOOKUP($D661,$C$5:$AU$836,3,)=0,0,(VLOOKUP($D661,$C$5:$AU$836,25,)/VLOOKUP($D661,$C$5:$AU$836,3,))*$E661)</f>
        <v>0</v>
      </c>
      <c r="AB661" s="65">
        <f>IF(VLOOKUP($D661,$C$5:$AU$836,3,)=0,0,(VLOOKUP($D661,$C$5:$AU$836,26,)/VLOOKUP($D661,$C$5:$AU$836,3,))*$E661)</f>
        <v>0</v>
      </c>
      <c r="AC661" s="65">
        <f>IF(VLOOKUP($D661,$C$5:$AU$836,3,)=0,0,(VLOOKUP($D661,$C$5:$AU$836,27,)/VLOOKUP($D661,$C$5:$AU$836,3,))*$E661)</f>
        <v>0</v>
      </c>
      <c r="AD661" s="65">
        <f>IF(VLOOKUP($D661,$C$5:$AU$836,3,)=0,0,(VLOOKUP($D661,$C$5:$AU$836,28,)/VLOOKUP($D661,$C$5:$AU$836,3,))*$E661)</f>
        <v>0</v>
      </c>
      <c r="AE661" s="65">
        <f>IF(VLOOKUP($D661,$C$5:$AU$836,3,)=0,0,(VLOOKUP($D661,$C$5:$AU$836,29,)/VLOOKUP($D661,$C$5:$AU$836,3,))*$E661)</f>
        <v>0</v>
      </c>
      <c r="AF661" s="65">
        <f>IF(VLOOKUP($D661,$C$5:$AU$836,3,)=0,0,(VLOOKUP($D661,$C$5:$AU$836,30,)/VLOOKUP($D661,$C$5:$AU$836,3,))*$E661)</f>
        <v>0</v>
      </c>
      <c r="AG661" s="16">
        <f>SUM(F661:AF661)</f>
        <v>108340485.20360889</v>
      </c>
      <c r="AH661" s="14" t="str">
        <f t="shared" si="448"/>
        <v>ok</v>
      </c>
    </row>
    <row r="662" spans="1:34" x14ac:dyDescent="0.25">
      <c r="A662" s="9" t="s">
        <v>736</v>
      </c>
      <c r="C662" s="9" t="s">
        <v>747</v>
      </c>
      <c r="E662" s="16">
        <f t="shared" ref="E662:AF662" si="452">E660+E661</f>
        <v>108538108.16360888</v>
      </c>
      <c r="F662" s="16">
        <f t="shared" si="452"/>
        <v>69836459.573495135</v>
      </c>
      <c r="G662" s="16">
        <f t="shared" si="452"/>
        <v>6033068.5599978846</v>
      </c>
      <c r="H662" s="16">
        <f t="shared" si="452"/>
        <v>20888718.130927302</v>
      </c>
      <c r="I662" s="16">
        <f t="shared" si="452"/>
        <v>2051944.0698904956</v>
      </c>
      <c r="J662" s="16">
        <f t="shared" si="452"/>
        <v>2106200.634975208</v>
      </c>
      <c r="K662" s="16">
        <f t="shared" si="452"/>
        <v>9843</v>
      </c>
      <c r="L662" s="16">
        <f t="shared" si="452"/>
        <v>187779.96</v>
      </c>
      <c r="M662" s="16">
        <f>M660+M661</f>
        <v>6142168.8258332862</v>
      </c>
      <c r="N662" s="16">
        <f>N660+N661</f>
        <v>1281925.4084895556</v>
      </c>
      <c r="O662" s="16">
        <f t="shared" si="452"/>
        <v>0</v>
      </c>
      <c r="P662" s="31">
        <f t="shared" ref="P662:X662" si="453">P660-P661</f>
        <v>0</v>
      </c>
      <c r="Q662" s="31">
        <f t="shared" si="453"/>
        <v>0</v>
      </c>
      <c r="R662" s="31">
        <f t="shared" si="453"/>
        <v>0</v>
      </c>
      <c r="S662" s="31">
        <f t="shared" si="453"/>
        <v>0</v>
      </c>
      <c r="T662" s="31">
        <f t="shared" si="453"/>
        <v>0</v>
      </c>
      <c r="U662" s="31">
        <f t="shared" si="453"/>
        <v>0</v>
      </c>
      <c r="V662" s="31">
        <f t="shared" si="453"/>
        <v>0</v>
      </c>
      <c r="W662" s="31">
        <f t="shared" si="453"/>
        <v>0</v>
      </c>
      <c r="X662" s="31">
        <f t="shared" si="453"/>
        <v>0</v>
      </c>
      <c r="Y662" s="16">
        <f t="shared" si="452"/>
        <v>0</v>
      </c>
      <c r="Z662" s="16">
        <f t="shared" si="452"/>
        <v>0</v>
      </c>
      <c r="AA662" s="16">
        <f t="shared" si="452"/>
        <v>0</v>
      </c>
      <c r="AB662" s="16">
        <f t="shared" si="452"/>
        <v>0</v>
      </c>
      <c r="AC662" s="16">
        <f t="shared" si="452"/>
        <v>0</v>
      </c>
      <c r="AD662" s="16">
        <f t="shared" si="452"/>
        <v>0</v>
      </c>
      <c r="AE662" s="16">
        <f t="shared" si="452"/>
        <v>0</v>
      </c>
      <c r="AF662" s="16">
        <f t="shared" si="452"/>
        <v>0</v>
      </c>
      <c r="AG662" s="16">
        <f>ROUND(SUM(F662:AF662),2)</f>
        <v>108538108.16</v>
      </c>
      <c r="AH662" s="14" t="str">
        <f t="shared" si="448"/>
        <v>ok</v>
      </c>
    </row>
    <row r="663" spans="1:34" x14ac:dyDescent="0.25">
      <c r="A663" s="9" t="s">
        <v>739</v>
      </c>
      <c r="C663" s="9" t="s">
        <v>748</v>
      </c>
      <c r="D663" s="9" t="s">
        <v>747</v>
      </c>
      <c r="E663" s="144">
        <v>1</v>
      </c>
      <c r="F663" s="77">
        <f>IF(VLOOKUP($D663,$C$5:$AU$836,3,)=0,0,(VLOOKUP($D663,$C$5:$AU$836,4,)/VLOOKUP($D663,$C$5:$AU$836,3,))*$E663)</f>
        <v>0.64342801579169406</v>
      </c>
      <c r="G663" s="77">
        <f>IF(VLOOKUP($D663,$C$5:$AU$836,3,)=0,0,(VLOOKUP($D663,$C$5:$AU$836,5,)/VLOOKUP($D663,$C$5:$AU$836,3,))*$E663)</f>
        <v>5.5584795626838442E-2</v>
      </c>
      <c r="H663" s="77">
        <f>IF(VLOOKUP($D663,$C$5:$AU$836,3,)=0,0,(VLOOKUP($D663,$C$5:$AU$836,6,)/VLOOKUP($D663,$C$5:$AU$836,3,))*$E663)</f>
        <v>0.1924551522442231</v>
      </c>
      <c r="I663" s="77">
        <f>IF(VLOOKUP($D663,$C$5:$AU$836,3,)=0,0,(VLOOKUP($D663,$C$5:$AU$836,7,)/VLOOKUP($D663,$C$5:$AU$836,3,))*$E663)</f>
        <v>1.8905286858302551E-2</v>
      </c>
      <c r="J663" s="77">
        <f>IF(VLOOKUP($D663,$C$5:$AU$836,3,)=0,0,(VLOOKUP($D663,$C$5:$AU$836,8,)/VLOOKUP($D663,$C$5:$AU$836,3,))*$E663)</f>
        <v>1.940517179275273E-2</v>
      </c>
      <c r="K663" s="77">
        <f>IF(VLOOKUP($D663,$C$5:$AU$836,3,)=0,0,(VLOOKUP($D663,$C$5:$AU$836,9,)/VLOOKUP($D663,$C$5:$AU$836,3,))*$E663)</f>
        <v>9.0687042242921666E-5</v>
      </c>
      <c r="L663" s="77">
        <f>IF(VLOOKUP($D663,$C$5:$AU$836,3,)=0,0,(VLOOKUP($D663,$C$5:$AU$836,10,)/VLOOKUP($D663,$C$5:$AU$836,3,))*$E663)</f>
        <v>1.7300832230919578E-3</v>
      </c>
      <c r="M663" s="77">
        <f>IF(VLOOKUP($D663,$C$5:$AU$836,3,)=0,0,(VLOOKUP($D663,$C$5:$AU$836,11,)/VLOOKUP($D663,$C$5:$AU$836,3,))*$E663)</f>
        <v>5.6589974984405142E-2</v>
      </c>
      <c r="N663" s="77">
        <f>IF(VLOOKUP($D663,$C$5:$AU$836,3,)=0,0,(VLOOKUP($D663,$C$5:$AU$836,12,)/VLOOKUP($D663,$C$5:$AU$836,3,))*$E663)</f>
        <v>1.1810832436448943E-2</v>
      </c>
      <c r="O663" s="77">
        <f>IF(VLOOKUP($D663,$C$5:$AU$836,3,)=0,0,(VLOOKUP($D663,$C$5:$AU$836,13,)/VLOOKUP($D663,$C$5:$AU$836,3,))*$E663)</f>
        <v>0</v>
      </c>
      <c r="P663" s="31">
        <f t="shared" ref="P663:X663" si="454">P661-P662</f>
        <v>0</v>
      </c>
      <c r="Q663" s="31">
        <f t="shared" si="454"/>
        <v>0</v>
      </c>
      <c r="R663" s="31">
        <f t="shared" si="454"/>
        <v>0</v>
      </c>
      <c r="S663" s="31">
        <f t="shared" si="454"/>
        <v>0</v>
      </c>
      <c r="T663" s="31">
        <f t="shared" si="454"/>
        <v>0</v>
      </c>
      <c r="U663" s="31">
        <f t="shared" si="454"/>
        <v>0</v>
      </c>
      <c r="V663" s="31">
        <f t="shared" si="454"/>
        <v>0</v>
      </c>
      <c r="W663" s="31">
        <f t="shared" si="454"/>
        <v>0</v>
      </c>
      <c r="X663" s="31">
        <f t="shared" si="454"/>
        <v>0</v>
      </c>
      <c r="Y663" s="77">
        <f>IF(VLOOKUP($D663,$C$5:$AU$836,3,)=0,0,(VLOOKUP($D663,$C$5:$AU$836,23,)/VLOOKUP($D663,$C$5:$AU$836,3,))*$E663)</f>
        <v>0</v>
      </c>
      <c r="Z663" s="77">
        <f>IF(VLOOKUP($D663,$C$5:$AU$836,3,)=0,0,(VLOOKUP($D663,$C$5:$AU$836,24,)/VLOOKUP($D663,$C$5:$AU$836,3,))*$E663)</f>
        <v>0</v>
      </c>
      <c r="AA663" s="77">
        <f>IF(VLOOKUP($D663,$C$5:$AU$836,3,)=0,0,(VLOOKUP($D663,$C$5:$AU$836,25,)/VLOOKUP($D663,$C$5:$AU$836,3,))*$E663)</f>
        <v>0</v>
      </c>
      <c r="AB663" s="77">
        <f>IF(VLOOKUP($D663,$C$5:$AU$836,3,)=0,0,(VLOOKUP($D663,$C$5:$AU$836,26,)/VLOOKUP($D663,$C$5:$AU$836,3,))*$E663)</f>
        <v>0</v>
      </c>
      <c r="AC663" s="77">
        <f>IF(VLOOKUP($D663,$C$5:$AU$836,3,)=0,0,(VLOOKUP($D663,$C$5:$AU$836,27,)/VLOOKUP($D663,$C$5:$AU$836,3,))*$E663)</f>
        <v>0</v>
      </c>
      <c r="AD663" s="77">
        <f>IF(VLOOKUP($D663,$C$5:$AU$836,3,)=0,0,(VLOOKUP($D663,$C$5:$AU$836,28,)/VLOOKUP($D663,$C$5:$AU$836,3,))*$E663)</f>
        <v>0</v>
      </c>
      <c r="AE663" s="77">
        <f>IF(VLOOKUP($D663,$C$5:$AU$836,3,)=0,0,(VLOOKUP($D663,$C$5:$AU$836,29,)/VLOOKUP($D663,$C$5:$AU$836,3,))*$E663)</f>
        <v>0</v>
      </c>
      <c r="AF663" s="77">
        <f>IF(VLOOKUP($D663,$C$5:$AU$836,3,)=0,0,(VLOOKUP($D663,$C$5:$AU$836,30,)/VLOOKUP($D663,$C$5:$AU$836,3,))*$E663)</f>
        <v>0</v>
      </c>
      <c r="AG663" s="145">
        <f>SUM(F663:AF663)</f>
        <v>0.99999999999999978</v>
      </c>
      <c r="AH663" s="14" t="str">
        <f t="shared" si="448"/>
        <v>ok</v>
      </c>
    </row>
    <row r="664" spans="1:34" x14ac:dyDescent="0.25">
      <c r="P664" s="31">
        <f t="shared" ref="P664:X664" si="455">P662-P663</f>
        <v>0</v>
      </c>
      <c r="Q664" s="31">
        <f t="shared" si="455"/>
        <v>0</v>
      </c>
      <c r="R664" s="31">
        <f t="shared" si="455"/>
        <v>0</v>
      </c>
      <c r="S664" s="31">
        <f t="shared" si="455"/>
        <v>0</v>
      </c>
      <c r="T664" s="31">
        <f t="shared" si="455"/>
        <v>0</v>
      </c>
      <c r="U664" s="31">
        <f t="shared" si="455"/>
        <v>0</v>
      </c>
      <c r="V664" s="31">
        <f t="shared" si="455"/>
        <v>0</v>
      </c>
      <c r="W664" s="31">
        <f t="shared" si="455"/>
        <v>0</v>
      </c>
      <c r="X664" s="31">
        <f t="shared" si="455"/>
        <v>0</v>
      </c>
    </row>
    <row r="665" spans="1:34" x14ac:dyDescent="0.25">
      <c r="A665" s="9" t="s">
        <v>735</v>
      </c>
      <c r="C665" s="9" t="s">
        <v>746</v>
      </c>
      <c r="E665" s="66">
        <f t="shared" ref="E665:AF665" si="456">E658</f>
        <v>364618.9648624339</v>
      </c>
      <c r="F665" s="123">
        <f t="shared" si="456"/>
        <v>235034</v>
      </c>
      <c r="G665" s="31">
        <f t="shared" si="456"/>
        <v>20304.239999999998</v>
      </c>
      <c r="H665" s="31">
        <f t="shared" si="456"/>
        <v>70300.800000000003</v>
      </c>
      <c r="I665" s="31">
        <f t="shared" si="456"/>
        <v>6905.8</v>
      </c>
      <c r="J665" s="31">
        <f t="shared" si="456"/>
        <v>7088.4000000000005</v>
      </c>
      <c r="K665" s="31">
        <f t="shared" si="456"/>
        <v>0</v>
      </c>
      <c r="L665" s="31">
        <f t="shared" si="456"/>
        <v>0</v>
      </c>
      <c r="M665" s="31">
        <f t="shared" si="456"/>
        <v>20671.416000000001</v>
      </c>
      <c r="N665" s="31">
        <f t="shared" si="456"/>
        <v>4314.3088624338625</v>
      </c>
      <c r="O665" s="31">
        <f t="shared" si="456"/>
        <v>0</v>
      </c>
      <c r="P665" s="31">
        <f t="shared" ref="P665:X665" si="457">P663-P664</f>
        <v>0</v>
      </c>
      <c r="Q665" s="31">
        <f t="shared" si="457"/>
        <v>0</v>
      </c>
      <c r="R665" s="31">
        <f t="shared" si="457"/>
        <v>0</v>
      </c>
      <c r="S665" s="31">
        <f t="shared" si="457"/>
        <v>0</v>
      </c>
      <c r="T665" s="31">
        <f t="shared" si="457"/>
        <v>0</v>
      </c>
      <c r="U665" s="31">
        <f t="shared" si="457"/>
        <v>0</v>
      </c>
      <c r="V665" s="31">
        <f t="shared" si="457"/>
        <v>0</v>
      </c>
      <c r="W665" s="31">
        <f t="shared" si="457"/>
        <v>0</v>
      </c>
      <c r="X665" s="31">
        <f t="shared" si="457"/>
        <v>0</v>
      </c>
      <c r="Y665" s="31">
        <f t="shared" si="456"/>
        <v>0</v>
      </c>
      <c r="Z665" s="31">
        <f t="shared" si="456"/>
        <v>0</v>
      </c>
      <c r="AA665" s="31">
        <f t="shared" si="456"/>
        <v>0</v>
      </c>
      <c r="AB665" s="31">
        <f t="shared" si="456"/>
        <v>0</v>
      </c>
      <c r="AC665" s="31">
        <f t="shared" si="456"/>
        <v>0</v>
      </c>
      <c r="AD665" s="31">
        <f t="shared" si="456"/>
        <v>0</v>
      </c>
      <c r="AE665" s="31">
        <f t="shared" si="456"/>
        <v>0</v>
      </c>
      <c r="AF665" s="31">
        <f t="shared" si="456"/>
        <v>0</v>
      </c>
      <c r="AG665" s="66">
        <f>SUM(F665:AF665)</f>
        <v>364618.9648624339</v>
      </c>
      <c r="AH665" s="14" t="str">
        <f t="shared" ref="AH665:AH670" si="458">IF(ABS(E665-AG665)&lt;0.01,"ok","err")</f>
        <v>ok</v>
      </c>
    </row>
    <row r="666" spans="1:34" x14ac:dyDescent="0.25">
      <c r="A666" s="9" t="s">
        <v>738</v>
      </c>
      <c r="E666" s="16">
        <f>E659</f>
        <v>108538108.16360888</v>
      </c>
      <c r="P666" s="31">
        <f t="shared" ref="P666:X666" si="459">P664-P665</f>
        <v>0</v>
      </c>
      <c r="Q666" s="31">
        <f t="shared" si="459"/>
        <v>0</v>
      </c>
      <c r="R666" s="31">
        <f t="shared" si="459"/>
        <v>0</v>
      </c>
      <c r="S666" s="31">
        <f t="shared" si="459"/>
        <v>0</v>
      </c>
      <c r="T666" s="31">
        <f t="shared" si="459"/>
        <v>0</v>
      </c>
      <c r="U666" s="31">
        <f t="shared" si="459"/>
        <v>0</v>
      </c>
      <c r="V666" s="31">
        <f t="shared" si="459"/>
        <v>0</v>
      </c>
      <c r="W666" s="31">
        <f t="shared" si="459"/>
        <v>0</v>
      </c>
      <c r="X666" s="31">
        <f t="shared" si="459"/>
        <v>0</v>
      </c>
      <c r="AG666" s="16">
        <f>E666</f>
        <v>108538108.16360888</v>
      </c>
      <c r="AH666" s="14" t="str">
        <f t="shared" si="458"/>
        <v>ok</v>
      </c>
    </row>
    <row r="667" spans="1:34" x14ac:dyDescent="0.25">
      <c r="A667" s="2" t="s">
        <v>594</v>
      </c>
      <c r="E667" s="110">
        <v>197622.96</v>
      </c>
      <c r="H667" s="2">
        <v>0</v>
      </c>
      <c r="I667" s="2">
        <v>0</v>
      </c>
      <c r="K667" s="17">
        <v>9843</v>
      </c>
      <c r="L667" s="30">
        <f>188968.1-1188.14</f>
        <v>187779.96</v>
      </c>
      <c r="O667" s="20">
        <f>O660</f>
        <v>0</v>
      </c>
      <c r="P667" s="31">
        <f t="shared" ref="P667:X667" si="460">P665-P666</f>
        <v>0</v>
      </c>
      <c r="Q667" s="31">
        <f t="shared" si="460"/>
        <v>0</v>
      </c>
      <c r="R667" s="31">
        <f t="shared" si="460"/>
        <v>0</v>
      </c>
      <c r="S667" s="31">
        <f t="shared" si="460"/>
        <v>0</v>
      </c>
      <c r="T667" s="31">
        <f t="shared" si="460"/>
        <v>0</v>
      </c>
      <c r="U667" s="31">
        <f t="shared" si="460"/>
        <v>0</v>
      </c>
      <c r="V667" s="31">
        <f t="shared" si="460"/>
        <v>0</v>
      </c>
      <c r="W667" s="31">
        <f t="shared" si="460"/>
        <v>0</v>
      </c>
      <c r="X667" s="31">
        <f t="shared" si="460"/>
        <v>0</v>
      </c>
      <c r="AG667" s="16">
        <f>ROUND(SUM(F667:AF667),2)</f>
        <v>197622.96</v>
      </c>
      <c r="AH667" s="14" t="str">
        <f t="shared" si="458"/>
        <v>ok</v>
      </c>
    </row>
    <row r="668" spans="1:34" x14ac:dyDescent="0.25">
      <c r="A668" s="9" t="s">
        <v>737</v>
      </c>
      <c r="D668" s="9" t="s">
        <v>746</v>
      </c>
      <c r="E668" s="16">
        <f>E666-E667</f>
        <v>108340485.20360889</v>
      </c>
      <c r="F668" s="124">
        <f>IF(VLOOKUP($D668,$C$5:$AU$836,3,)=0,0,(VLOOKUP($D668,$C$5:$AU$836,4,)/VLOOKUP($D668,$C$5:$AU$836,3,))*$E668)</f>
        <v>69836459.573495135</v>
      </c>
      <c r="G668" s="65">
        <f>IF(VLOOKUP($D668,$C$5:$AU$836,3,)=0,0,(VLOOKUP($D668,$C$5:$AU$836,5,)/VLOOKUP($D668,$C$5:$AU$836,3,))*$E668)</f>
        <v>6033068.5599978846</v>
      </c>
      <c r="H668" s="65">
        <f>IF(VLOOKUP($D668,$C$5:$AU$836,3,)=0,0,(VLOOKUP($D668,$C$5:$AU$836,6,)/VLOOKUP($D668,$C$5:$AU$836,3,))*$E668)</f>
        <v>20888718.130927302</v>
      </c>
      <c r="I668" s="65">
        <f>IF(VLOOKUP($D668,$C$5:$AU$836,3,)=0,0,(VLOOKUP($D668,$C$5:$AU$836,7,)/VLOOKUP($D668,$C$5:$AU$836,3,))*$E668)</f>
        <v>2051944.0698904956</v>
      </c>
      <c r="J668" s="65">
        <f>IF(VLOOKUP($D668,$C$5:$AU$836,3,)=0,0,(VLOOKUP($D668,$C$5:$AU$836,8,)/VLOOKUP($D668,$C$5:$AU$836,3,))*$E668)</f>
        <v>2106200.634975208</v>
      </c>
      <c r="K668" s="65">
        <f>IF(VLOOKUP($D668,$C$5:$AU$836,3,)=0,0,(VLOOKUP($D668,$C$5:$AU$836,9,)/VLOOKUP($D668,$C$5:$AU$836,3,))*$E668)</f>
        <v>0</v>
      </c>
      <c r="L668" s="65">
        <f>IF(VLOOKUP($D668,$C$5:$AU$836,3,)=0,0,(VLOOKUP($D668,$C$5:$AU$836,10,)/VLOOKUP($D668,$C$5:$AU$836,3,))*$E668)</f>
        <v>0</v>
      </c>
      <c r="M668" s="65">
        <f>IF(VLOOKUP($D668,$C$5:$AU$836,3,)=0,0,(VLOOKUP($D668,$C$5:$AU$836,11,)/VLOOKUP($D668,$C$5:$AU$836,3,))*$E668)</f>
        <v>6142168.8258332862</v>
      </c>
      <c r="N668" s="65">
        <f>IF(VLOOKUP($D668,$C$5:$AU$836,3,)=0,0,(VLOOKUP($D668,$C$5:$AU$836,12,)/VLOOKUP($D668,$C$5:$AU$836,3,))*$E668)</f>
        <v>1281925.4084895556</v>
      </c>
      <c r="O668" s="65">
        <f>IF(VLOOKUP($D668,$C$5:$AU$836,3,)=0,0,(VLOOKUP($D668,$C$5:$AU$836,13,)/VLOOKUP($D668,$C$5:$AU$836,3,))*$E668)</f>
        <v>0</v>
      </c>
      <c r="P668" s="31">
        <f t="shared" ref="P668:X668" si="461">P666-P667</f>
        <v>0</v>
      </c>
      <c r="Q668" s="31">
        <f t="shared" si="461"/>
        <v>0</v>
      </c>
      <c r="R668" s="31">
        <f t="shared" si="461"/>
        <v>0</v>
      </c>
      <c r="S668" s="31">
        <f t="shared" si="461"/>
        <v>0</v>
      </c>
      <c r="T668" s="31">
        <f t="shared" si="461"/>
        <v>0</v>
      </c>
      <c r="U668" s="31">
        <f t="shared" si="461"/>
        <v>0</v>
      </c>
      <c r="V668" s="31">
        <f t="shared" si="461"/>
        <v>0</v>
      </c>
      <c r="W668" s="31">
        <f t="shared" si="461"/>
        <v>0</v>
      </c>
      <c r="X668" s="31">
        <f t="shared" si="461"/>
        <v>0</v>
      </c>
      <c r="Y668" s="65">
        <f>IF(VLOOKUP($D668,$C$5:$AU$836,3,)=0,0,(VLOOKUP($D668,$C$5:$AU$836,23,)/VLOOKUP($D668,$C$5:$AU$836,3,))*$E668)</f>
        <v>0</v>
      </c>
      <c r="Z668" s="65">
        <f>IF(VLOOKUP($D668,$C$5:$AU$836,3,)=0,0,(VLOOKUP($D668,$C$5:$AU$836,24,)/VLOOKUP($D668,$C$5:$AU$836,3,))*$E668)</f>
        <v>0</v>
      </c>
      <c r="AA668" s="65">
        <f>IF(VLOOKUP($D668,$C$5:$AU$836,3,)=0,0,(VLOOKUP($D668,$C$5:$AU$836,25,)/VLOOKUP($D668,$C$5:$AU$836,3,))*$E668)</f>
        <v>0</v>
      </c>
      <c r="AB668" s="65">
        <f>IF(VLOOKUP($D668,$C$5:$AU$836,3,)=0,0,(VLOOKUP($D668,$C$5:$AU$836,26,)/VLOOKUP($D668,$C$5:$AU$836,3,))*$E668)</f>
        <v>0</v>
      </c>
      <c r="AC668" s="65">
        <f>IF(VLOOKUP($D668,$C$5:$AU$836,3,)=0,0,(VLOOKUP($D668,$C$5:$AU$836,27,)/VLOOKUP($D668,$C$5:$AU$836,3,))*$E668)</f>
        <v>0</v>
      </c>
      <c r="AD668" s="65">
        <f>IF(VLOOKUP($D668,$C$5:$AU$836,3,)=0,0,(VLOOKUP($D668,$C$5:$AU$836,28,)/VLOOKUP($D668,$C$5:$AU$836,3,))*$E668)</f>
        <v>0</v>
      </c>
      <c r="AE668" s="65">
        <f>IF(VLOOKUP($D668,$C$5:$AU$836,3,)=0,0,(VLOOKUP($D668,$C$5:$AU$836,29,)/VLOOKUP($D668,$C$5:$AU$836,3,))*$E668)</f>
        <v>0</v>
      </c>
      <c r="AF668" s="65">
        <f>IF(VLOOKUP($D668,$C$5:$AU$836,3,)=0,0,(VLOOKUP($D668,$C$5:$AU$836,30,)/VLOOKUP($D668,$C$5:$AU$836,3,))*$E668)</f>
        <v>0</v>
      </c>
      <c r="AG668" s="16">
        <f>SUM(F668:AF668)</f>
        <v>108340485.20360889</v>
      </c>
      <c r="AH668" s="14" t="str">
        <f t="shared" si="458"/>
        <v>ok</v>
      </c>
    </row>
    <row r="669" spans="1:34" x14ac:dyDescent="0.25">
      <c r="A669" s="9" t="s">
        <v>736</v>
      </c>
      <c r="C669" s="9" t="s">
        <v>749</v>
      </c>
      <c r="E669" s="16">
        <f t="shared" ref="E669:AF669" si="462">E667+E668</f>
        <v>108538108.16360888</v>
      </c>
      <c r="F669" s="81">
        <f t="shared" si="462"/>
        <v>69836459.573495135</v>
      </c>
      <c r="G669" s="16">
        <f t="shared" si="462"/>
        <v>6033068.5599978846</v>
      </c>
      <c r="H669" s="16">
        <f t="shared" si="462"/>
        <v>20888718.130927302</v>
      </c>
      <c r="I669" s="16">
        <f t="shared" si="462"/>
        <v>2051944.0698904956</v>
      </c>
      <c r="J669" s="16">
        <f t="shared" si="462"/>
        <v>2106200.634975208</v>
      </c>
      <c r="K669" s="16">
        <f t="shared" si="462"/>
        <v>9843</v>
      </c>
      <c r="L669" s="16">
        <f t="shared" si="462"/>
        <v>187779.96</v>
      </c>
      <c r="M669" s="16">
        <f t="shared" si="462"/>
        <v>6142168.8258332862</v>
      </c>
      <c r="N669" s="16">
        <f t="shared" si="462"/>
        <v>1281925.4084895556</v>
      </c>
      <c r="O669" s="16">
        <f t="shared" si="462"/>
        <v>0</v>
      </c>
      <c r="P669" s="31">
        <f t="shared" ref="P669:X669" si="463">P667-P668</f>
        <v>0</v>
      </c>
      <c r="Q669" s="31">
        <f t="shared" si="463"/>
        <v>0</v>
      </c>
      <c r="R669" s="31">
        <f t="shared" si="463"/>
        <v>0</v>
      </c>
      <c r="S669" s="31">
        <f t="shared" si="463"/>
        <v>0</v>
      </c>
      <c r="T669" s="31">
        <f t="shared" si="463"/>
        <v>0</v>
      </c>
      <c r="U669" s="31">
        <f t="shared" si="463"/>
        <v>0</v>
      </c>
      <c r="V669" s="31">
        <f t="shared" si="463"/>
        <v>0</v>
      </c>
      <c r="W669" s="31">
        <f t="shared" si="463"/>
        <v>0</v>
      </c>
      <c r="X669" s="31">
        <f t="shared" si="463"/>
        <v>0</v>
      </c>
      <c r="Y669" s="16">
        <f t="shared" si="462"/>
        <v>0</v>
      </c>
      <c r="Z669" s="16">
        <f t="shared" si="462"/>
        <v>0</v>
      </c>
      <c r="AA669" s="16">
        <f t="shared" si="462"/>
        <v>0</v>
      </c>
      <c r="AB669" s="16">
        <f t="shared" si="462"/>
        <v>0</v>
      </c>
      <c r="AC669" s="16">
        <f t="shared" si="462"/>
        <v>0</v>
      </c>
      <c r="AD669" s="16">
        <f t="shared" si="462"/>
        <v>0</v>
      </c>
      <c r="AE669" s="16">
        <f t="shared" si="462"/>
        <v>0</v>
      </c>
      <c r="AF669" s="16">
        <f t="shared" si="462"/>
        <v>0</v>
      </c>
      <c r="AG669" s="16">
        <f>ROUND(SUM(F669:AF669),2)</f>
        <v>108538108.16</v>
      </c>
      <c r="AH669" s="14" t="str">
        <f t="shared" si="458"/>
        <v>ok</v>
      </c>
    </row>
    <row r="670" spans="1:34" x14ac:dyDescent="0.25">
      <c r="A670" s="9" t="s">
        <v>739</v>
      </c>
      <c r="C670" s="9" t="s">
        <v>750</v>
      </c>
      <c r="D670" s="9" t="s">
        <v>749</v>
      </c>
      <c r="E670" s="144">
        <v>1</v>
      </c>
      <c r="F670" s="77">
        <f>IF(VLOOKUP($D670,$C$5:$AU$836,3,)=0,0,(VLOOKUP($D670,$C$5:$AU$836,4,)/VLOOKUP($D670,$C$5:$AU$836,3,))*$E670)</f>
        <v>0.64342801579169406</v>
      </c>
      <c r="G670" s="77">
        <f>IF(VLOOKUP($D670,$C$5:$AU$836,3,)=0,0,(VLOOKUP($D670,$C$5:$AU$836,5,)/VLOOKUP($D670,$C$5:$AU$836,3,))*$E670)</f>
        <v>5.5584795626838442E-2</v>
      </c>
      <c r="H670" s="77">
        <f>IF(VLOOKUP($D670,$C$5:$AU$836,3,)=0,0,(VLOOKUP($D670,$C$5:$AU$836,6,)/VLOOKUP($D670,$C$5:$AU$836,3,))*$E670)</f>
        <v>0.1924551522442231</v>
      </c>
      <c r="I670" s="77">
        <f>IF(VLOOKUP($D670,$C$5:$AU$836,3,)=0,0,(VLOOKUP($D670,$C$5:$AU$836,7,)/VLOOKUP($D670,$C$5:$AU$836,3,))*$E670)</f>
        <v>1.8905286858302551E-2</v>
      </c>
      <c r="J670" s="77">
        <f>IF(VLOOKUP($D670,$C$5:$AU$836,3,)=0,0,(VLOOKUP($D670,$C$5:$AU$836,8,)/VLOOKUP($D670,$C$5:$AU$836,3,))*$E670)</f>
        <v>1.940517179275273E-2</v>
      </c>
      <c r="K670" s="77">
        <f>IF(VLOOKUP($D670,$C$5:$AU$836,3,)=0,0,(VLOOKUP($D670,$C$5:$AU$836,9,)/VLOOKUP($D670,$C$5:$AU$836,3,))*$E670)</f>
        <v>9.0687042242921666E-5</v>
      </c>
      <c r="L670" s="77">
        <f>IF(VLOOKUP($D670,$C$5:$AU$836,3,)=0,0,(VLOOKUP($D670,$C$5:$AU$836,10,)/VLOOKUP($D670,$C$5:$AU$836,3,))*$E670)</f>
        <v>1.7300832230919578E-3</v>
      </c>
      <c r="M670" s="77">
        <f>IF(VLOOKUP($D670,$C$5:$AU$836,3,)=0,0,(VLOOKUP($D670,$C$5:$AU$836,11,)/VLOOKUP($D670,$C$5:$AU$836,3,))*$E670)</f>
        <v>5.6589974984405142E-2</v>
      </c>
      <c r="N670" s="77">
        <f>IF(VLOOKUP($D670,$C$5:$AU$836,3,)=0,0,(VLOOKUP($D670,$C$5:$AU$836,12,)/VLOOKUP($D670,$C$5:$AU$836,3,))*$E670)</f>
        <v>1.1810832436448943E-2</v>
      </c>
      <c r="O670" s="77">
        <f>IF(VLOOKUP($D670,$C$5:$AU$836,3,)=0,0,(VLOOKUP($D670,$C$5:$AU$836,13,)/VLOOKUP($D670,$C$5:$AU$836,3,))*$E670)</f>
        <v>0</v>
      </c>
      <c r="P670" s="31">
        <f t="shared" ref="P670:X670" si="464">P668-P669</f>
        <v>0</v>
      </c>
      <c r="Q670" s="31">
        <f t="shared" si="464"/>
        <v>0</v>
      </c>
      <c r="R670" s="31">
        <f t="shared" si="464"/>
        <v>0</v>
      </c>
      <c r="S670" s="31">
        <f t="shared" si="464"/>
        <v>0</v>
      </c>
      <c r="T670" s="31">
        <f t="shared" si="464"/>
        <v>0</v>
      </c>
      <c r="U670" s="31">
        <f t="shared" si="464"/>
        <v>0</v>
      </c>
      <c r="V670" s="31">
        <f t="shared" si="464"/>
        <v>0</v>
      </c>
      <c r="W670" s="31">
        <f t="shared" si="464"/>
        <v>0</v>
      </c>
      <c r="X670" s="31">
        <f t="shared" si="464"/>
        <v>0</v>
      </c>
      <c r="Y670" s="77">
        <f>IF(VLOOKUP($D670,$C$5:$AU$836,3,)=0,0,(VLOOKUP($D670,$C$5:$AU$836,23,)/VLOOKUP($D670,$C$5:$AU$836,3,))*$E670)</f>
        <v>0</v>
      </c>
      <c r="Z670" s="77">
        <f>IF(VLOOKUP($D670,$C$5:$AU$836,3,)=0,0,(VLOOKUP($D670,$C$5:$AU$836,24,)/VLOOKUP($D670,$C$5:$AU$836,3,))*$E670)</f>
        <v>0</v>
      </c>
      <c r="AA670" s="77">
        <f>IF(VLOOKUP($D670,$C$5:$AU$836,3,)=0,0,(VLOOKUP($D670,$C$5:$AU$836,25,)/VLOOKUP($D670,$C$5:$AU$836,3,))*$E670)</f>
        <v>0</v>
      </c>
      <c r="AB670" s="77">
        <f>IF(VLOOKUP($D670,$C$5:$AU$836,3,)=0,0,(VLOOKUP($D670,$C$5:$AU$836,26,)/VLOOKUP($D670,$C$5:$AU$836,3,))*$E670)</f>
        <v>0</v>
      </c>
      <c r="AC670" s="77">
        <f>IF(VLOOKUP($D670,$C$5:$AU$836,3,)=0,0,(VLOOKUP($D670,$C$5:$AU$836,27,)/VLOOKUP($D670,$C$5:$AU$836,3,))*$E670)</f>
        <v>0</v>
      </c>
      <c r="AD670" s="77">
        <f>IF(VLOOKUP($D670,$C$5:$AU$836,3,)=0,0,(VLOOKUP($D670,$C$5:$AU$836,28,)/VLOOKUP($D670,$C$5:$AU$836,3,))*$E670)</f>
        <v>0</v>
      </c>
      <c r="AE670" s="77">
        <f>IF(VLOOKUP($D670,$C$5:$AU$836,3,)=0,0,(VLOOKUP($D670,$C$5:$AU$836,29,)/VLOOKUP($D670,$C$5:$AU$836,3,))*$E670)</f>
        <v>0</v>
      </c>
      <c r="AF670" s="77">
        <f>IF(VLOOKUP($D670,$C$5:$AU$836,3,)=0,0,(VLOOKUP($D670,$C$5:$AU$836,30,)/VLOOKUP($D670,$C$5:$AU$836,3,))*$E670)</f>
        <v>0</v>
      </c>
      <c r="AG670" s="145">
        <f>SUM(F670:AF670)</f>
        <v>0.99999999999999978</v>
      </c>
      <c r="AH670" s="14" t="str">
        <f t="shared" si="458"/>
        <v>ok</v>
      </c>
    </row>
    <row r="671" spans="1:34" x14ac:dyDescent="0.25">
      <c r="A671" s="9"/>
      <c r="E671" s="144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31">
        <f t="shared" ref="P671:X671" si="465">P669-P670</f>
        <v>0</v>
      </c>
      <c r="Q671" s="31">
        <f t="shared" si="465"/>
        <v>0</v>
      </c>
      <c r="R671" s="31">
        <f t="shared" si="465"/>
        <v>0</v>
      </c>
      <c r="S671" s="31">
        <f t="shared" si="465"/>
        <v>0</v>
      </c>
      <c r="T671" s="31">
        <f t="shared" si="465"/>
        <v>0</v>
      </c>
      <c r="U671" s="31">
        <f t="shared" si="465"/>
        <v>0</v>
      </c>
      <c r="V671" s="31">
        <f t="shared" si="465"/>
        <v>0</v>
      </c>
      <c r="W671" s="31">
        <f t="shared" si="465"/>
        <v>0</v>
      </c>
      <c r="X671" s="31">
        <f t="shared" si="465"/>
        <v>0</v>
      </c>
      <c r="Y671" s="77"/>
      <c r="Z671" s="77"/>
      <c r="AA671" s="77"/>
      <c r="AB671" s="77"/>
      <c r="AC671" s="77"/>
      <c r="AD671" s="77"/>
      <c r="AE671" s="77"/>
      <c r="AF671" s="77"/>
      <c r="AG671" s="145"/>
      <c r="AH671" s="14"/>
    </row>
    <row r="672" spans="1:34" x14ac:dyDescent="0.25">
      <c r="A672" s="9" t="s">
        <v>740</v>
      </c>
      <c r="C672" s="9" t="s">
        <v>751</v>
      </c>
      <c r="E672" s="31">
        <v>930259.42886243388</v>
      </c>
      <c r="F672" s="31">
        <f>F637</f>
        <v>609075</v>
      </c>
      <c r="G672" s="31">
        <f>(G637*0.4*1.8)+(G637*0.6)</f>
        <v>125600.64</v>
      </c>
      <c r="H672" s="31">
        <f>H637*1.8</f>
        <v>130017.60000000001</v>
      </c>
      <c r="I672" s="31">
        <f>(I637*0.9*1.8)+(I637*0.1)</f>
        <v>44744.080000000009</v>
      </c>
      <c r="J672" s="31">
        <f>J637*1.8</f>
        <v>16507.8</v>
      </c>
      <c r="K672" s="31">
        <v>0</v>
      </c>
      <c r="L672" s="31">
        <v>0</v>
      </c>
      <c r="M672" s="31">
        <v>0</v>
      </c>
      <c r="N672" s="20">
        <f>N637</f>
        <v>4314.3088624338625</v>
      </c>
      <c r="O672" s="31">
        <f>O637</f>
        <v>0</v>
      </c>
      <c r="P672" s="31">
        <f t="shared" ref="P672:X672" si="466">P670-P671</f>
        <v>0</v>
      </c>
      <c r="Q672" s="31">
        <f t="shared" si="466"/>
        <v>0</v>
      </c>
      <c r="R672" s="31">
        <f t="shared" si="466"/>
        <v>0</v>
      </c>
      <c r="S672" s="31">
        <f t="shared" si="466"/>
        <v>0</v>
      </c>
      <c r="T672" s="31">
        <f t="shared" si="466"/>
        <v>0</v>
      </c>
      <c r="U672" s="31">
        <f t="shared" si="466"/>
        <v>0</v>
      </c>
      <c r="V672" s="31">
        <f t="shared" si="466"/>
        <v>0</v>
      </c>
      <c r="W672" s="31">
        <f t="shared" si="466"/>
        <v>0</v>
      </c>
      <c r="X672" s="31">
        <f t="shared" si="466"/>
        <v>0</v>
      </c>
      <c r="Y672" s="31">
        <f t="shared" ref="Y672:AF672" si="467">Y637</f>
        <v>0</v>
      </c>
      <c r="Z672" s="31">
        <f t="shared" si="467"/>
        <v>0</v>
      </c>
      <c r="AA672" s="31">
        <f t="shared" si="467"/>
        <v>0</v>
      </c>
      <c r="AB672" s="31">
        <f t="shared" si="467"/>
        <v>0</v>
      </c>
      <c r="AC672" s="31">
        <f t="shared" si="467"/>
        <v>0</v>
      </c>
      <c r="AD672" s="31">
        <f t="shared" si="467"/>
        <v>0</v>
      </c>
      <c r="AE672" s="31">
        <f t="shared" si="467"/>
        <v>0</v>
      </c>
      <c r="AF672" s="31">
        <f t="shared" si="467"/>
        <v>0</v>
      </c>
      <c r="AG672" s="66">
        <f>SUM(F672:AF672)</f>
        <v>930259.42886243388</v>
      </c>
      <c r="AH672" s="14" t="str">
        <f t="shared" ref="AH672:AH677" si="468">IF(ABS(E672-AG672)&lt;0.01,"ok","err")</f>
        <v>ok</v>
      </c>
    </row>
    <row r="673" spans="1:34" x14ac:dyDescent="0.25">
      <c r="A673" s="9" t="s">
        <v>741</v>
      </c>
      <c r="E673" s="16">
        <f>'[1]Functional Assignment'!V48</f>
        <v>63829191.786388144</v>
      </c>
      <c r="P673" s="31">
        <f t="shared" ref="P673:X673" si="469">P671-P672</f>
        <v>0</v>
      </c>
      <c r="Q673" s="31">
        <f t="shared" si="469"/>
        <v>0</v>
      </c>
      <c r="R673" s="31">
        <f t="shared" si="469"/>
        <v>0</v>
      </c>
      <c r="S673" s="31">
        <f t="shared" si="469"/>
        <v>0</v>
      </c>
      <c r="T673" s="31">
        <f t="shared" si="469"/>
        <v>0</v>
      </c>
      <c r="U673" s="31">
        <f t="shared" si="469"/>
        <v>0</v>
      </c>
      <c r="V673" s="31">
        <f t="shared" si="469"/>
        <v>0</v>
      </c>
      <c r="W673" s="31">
        <f t="shared" si="469"/>
        <v>0</v>
      </c>
      <c r="X673" s="31">
        <f t="shared" si="469"/>
        <v>0</v>
      </c>
      <c r="AG673" s="16">
        <f>E673</f>
        <v>63829191.786388144</v>
      </c>
      <c r="AH673" s="14" t="str">
        <f t="shared" si="468"/>
        <v>ok</v>
      </c>
    </row>
    <row r="674" spans="1:34" x14ac:dyDescent="0.25">
      <c r="A674" s="2" t="s">
        <v>594</v>
      </c>
      <c r="E674" s="110">
        <v>0</v>
      </c>
      <c r="H674" s="2">
        <v>0</v>
      </c>
      <c r="O674" s="66">
        <v>0</v>
      </c>
      <c r="P674" s="31">
        <f t="shared" ref="P674:X674" si="470">P672-P673</f>
        <v>0</v>
      </c>
      <c r="Q674" s="31">
        <f t="shared" si="470"/>
        <v>0</v>
      </c>
      <c r="R674" s="31">
        <f t="shared" si="470"/>
        <v>0</v>
      </c>
      <c r="S674" s="31">
        <f t="shared" si="470"/>
        <v>0</v>
      </c>
      <c r="T674" s="31">
        <f t="shared" si="470"/>
        <v>0</v>
      </c>
      <c r="U674" s="31">
        <f t="shared" si="470"/>
        <v>0</v>
      </c>
      <c r="V674" s="31">
        <f t="shared" si="470"/>
        <v>0</v>
      </c>
      <c r="W674" s="31">
        <f t="shared" si="470"/>
        <v>0</v>
      </c>
      <c r="X674" s="31">
        <f t="shared" si="470"/>
        <v>0</v>
      </c>
      <c r="AG674" s="16">
        <f>ROUND(SUM(F674:AF674),2)</f>
        <v>0</v>
      </c>
      <c r="AH674" s="14" t="str">
        <f t="shared" si="468"/>
        <v>ok</v>
      </c>
    </row>
    <row r="675" spans="1:34" x14ac:dyDescent="0.25">
      <c r="A675" s="9" t="s">
        <v>742</v>
      </c>
      <c r="D675" s="9" t="s">
        <v>751</v>
      </c>
      <c r="E675" s="16">
        <f>E673-E674</f>
        <v>63829191.786388144</v>
      </c>
      <c r="F675" s="65">
        <f>IF(VLOOKUP($D675,$C$5:$AU$836,3,)=0,0,(VLOOKUP($D675,$C$5:$AU$836,4,)/VLOOKUP($D675,$C$5:$AU$836,3,))*$E675)</f>
        <v>41791315.176278017</v>
      </c>
      <c r="G675" s="65">
        <f>IF(VLOOKUP($D675,$C$5:$AU$836,3,)=0,0,(VLOOKUP($D675,$C$5:$AU$836,5,)/VLOOKUP($D675,$C$5:$AU$836,3,))*$E675)</f>
        <v>8618012.4493407756</v>
      </c>
      <c r="H675" s="65">
        <f>IF(VLOOKUP($D675,$C$5:$AU$836,3,)=0,0,(VLOOKUP($D675,$C$5:$AU$836,6,)/VLOOKUP($D675,$C$5:$AU$836,3,))*$E675)</f>
        <v>8921079.5059118252</v>
      </c>
      <c r="I675" s="65">
        <f>IF(VLOOKUP($D675,$C$5:$AU$836,3,)=0,0,(VLOOKUP($D675,$C$5:$AU$836,7,)/VLOOKUP($D675,$C$5:$AU$836,3,))*$E675)</f>
        <v>3070088.1657474013</v>
      </c>
      <c r="J675" s="65">
        <f>IF(VLOOKUP($D675,$C$5:$AU$836,3,)=0,0,(VLOOKUP($D675,$C$5:$AU$836,8,)/VLOOKUP($D675,$C$5:$AU$836,3,))*$E675)</f>
        <v>1132672.7786675899</v>
      </c>
      <c r="K675" s="65">
        <f>IF(VLOOKUP($D675,$C$5:$AU$836,3,)=0,0,(VLOOKUP($D675,$C$5:$AU$836,9,)/VLOOKUP($D675,$C$5:$AU$836,3,))*$E675)</f>
        <v>0</v>
      </c>
      <c r="L675" s="65">
        <f>IF(VLOOKUP($D675,$C$5:$AU$836,3,)=0,0,(VLOOKUP($D675,$C$5:$AU$836,10,)/VLOOKUP($D675,$C$5:$AU$836,3,))*$E675)</f>
        <v>0</v>
      </c>
      <c r="M675" s="65">
        <f>IF(VLOOKUP($D675,$C$5:$AU$836,3,)=0,0,(VLOOKUP($D675,$C$5:$AU$836,11,)/VLOOKUP($D675,$C$5:$AU$836,3,))*$E675)</f>
        <v>0</v>
      </c>
      <c r="N675" s="65">
        <f>IF(VLOOKUP($D675,$C$5:$AU$836,3,)=0,0,(VLOOKUP($D675,$C$5:$AU$836,12,)/VLOOKUP($D675,$C$5:$AU$836,3,))*$E675)</f>
        <v>296023.71044252854</v>
      </c>
      <c r="O675" s="65">
        <f>IF(VLOOKUP($D675,$C$5:$AU$836,3,)=0,0,(VLOOKUP($D675,$C$5:$AU$836,13,)/VLOOKUP($D675,$C$5:$AU$836,3,))*$E675)</f>
        <v>0</v>
      </c>
      <c r="P675" s="31">
        <f t="shared" ref="P675:X675" si="471">P673-P674</f>
        <v>0</v>
      </c>
      <c r="Q675" s="31">
        <f t="shared" si="471"/>
        <v>0</v>
      </c>
      <c r="R675" s="31">
        <f t="shared" si="471"/>
        <v>0</v>
      </c>
      <c r="S675" s="31">
        <f t="shared" si="471"/>
        <v>0</v>
      </c>
      <c r="T675" s="31">
        <f t="shared" si="471"/>
        <v>0</v>
      </c>
      <c r="U675" s="31">
        <f t="shared" si="471"/>
        <v>0</v>
      </c>
      <c r="V675" s="31">
        <f t="shared" si="471"/>
        <v>0</v>
      </c>
      <c r="W675" s="31">
        <f t="shared" si="471"/>
        <v>0</v>
      </c>
      <c r="X675" s="31">
        <f t="shared" si="471"/>
        <v>0</v>
      </c>
      <c r="Y675" s="65">
        <f>IF(VLOOKUP($D675,$C$5:$AU$836,3,)=0,0,(VLOOKUP($D675,$C$5:$AU$836,23,)/VLOOKUP($D675,$C$5:$AU$836,3,))*$E675)</f>
        <v>0</v>
      </c>
      <c r="Z675" s="65">
        <f>IF(VLOOKUP($D675,$C$5:$AU$836,3,)=0,0,(VLOOKUP($D675,$C$5:$AU$836,24,)/VLOOKUP($D675,$C$5:$AU$836,3,))*$E675)</f>
        <v>0</v>
      </c>
      <c r="AA675" s="65">
        <f>IF(VLOOKUP($D675,$C$5:$AU$836,3,)=0,0,(VLOOKUP($D675,$C$5:$AU$836,25,)/VLOOKUP($D675,$C$5:$AU$836,3,))*$E675)</f>
        <v>0</v>
      </c>
      <c r="AB675" s="65">
        <f>IF(VLOOKUP($D675,$C$5:$AU$836,3,)=0,0,(VLOOKUP($D675,$C$5:$AU$836,26,)/VLOOKUP($D675,$C$5:$AU$836,3,))*$E675)</f>
        <v>0</v>
      </c>
      <c r="AC675" s="65">
        <f>IF(VLOOKUP($D675,$C$5:$AU$836,3,)=0,0,(VLOOKUP($D675,$C$5:$AU$836,27,)/VLOOKUP($D675,$C$5:$AU$836,3,))*$E675)</f>
        <v>0</v>
      </c>
      <c r="AD675" s="65">
        <f>IF(VLOOKUP($D675,$C$5:$AU$836,3,)=0,0,(VLOOKUP($D675,$C$5:$AU$836,28,)/VLOOKUP($D675,$C$5:$AU$836,3,))*$E675)</f>
        <v>0</v>
      </c>
      <c r="AE675" s="65">
        <f>IF(VLOOKUP($D675,$C$5:$AU$836,3,)=0,0,(VLOOKUP($D675,$C$5:$AU$836,29,)/VLOOKUP($D675,$C$5:$AU$836,3,))*$E675)</f>
        <v>0</v>
      </c>
      <c r="AF675" s="65">
        <f>IF(VLOOKUP($D675,$C$5:$AU$836,3,)=0,0,(VLOOKUP($D675,$C$5:$AU$836,30,)/VLOOKUP($D675,$C$5:$AU$836,3,))*$E675)</f>
        <v>0</v>
      </c>
      <c r="AG675" s="16">
        <f>SUM(F675:AF675)</f>
        <v>63829191.786388144</v>
      </c>
      <c r="AH675" s="14" t="str">
        <f t="shared" si="468"/>
        <v>ok</v>
      </c>
    </row>
    <row r="676" spans="1:34" x14ac:dyDescent="0.25">
      <c r="A676" s="9" t="s">
        <v>743</v>
      </c>
      <c r="C676" s="9" t="s">
        <v>752</v>
      </c>
      <c r="E676" s="16">
        <f t="shared" ref="E676:AF676" si="472">E674+E675</f>
        <v>63829191.786388144</v>
      </c>
      <c r="F676" s="16">
        <f t="shared" si="472"/>
        <v>41791315.176278017</v>
      </c>
      <c r="G676" s="16">
        <f t="shared" si="472"/>
        <v>8618012.4493407756</v>
      </c>
      <c r="H676" s="16">
        <f t="shared" si="472"/>
        <v>8921079.5059118252</v>
      </c>
      <c r="I676" s="16">
        <f t="shared" si="472"/>
        <v>3070088.1657474013</v>
      </c>
      <c r="J676" s="16">
        <f t="shared" si="472"/>
        <v>1132672.7786675899</v>
      </c>
      <c r="K676" s="16">
        <f t="shared" si="472"/>
        <v>0</v>
      </c>
      <c r="L676" s="16">
        <f t="shared" si="472"/>
        <v>0</v>
      </c>
      <c r="M676" s="16">
        <f t="shared" si="472"/>
        <v>0</v>
      </c>
      <c r="N676" s="16">
        <f t="shared" si="472"/>
        <v>296023.71044252854</v>
      </c>
      <c r="O676" s="16">
        <f t="shared" si="472"/>
        <v>0</v>
      </c>
      <c r="P676" s="31">
        <f t="shared" ref="P676:X676" si="473">P674-P675</f>
        <v>0</v>
      </c>
      <c r="Q676" s="31">
        <f t="shared" si="473"/>
        <v>0</v>
      </c>
      <c r="R676" s="31">
        <f t="shared" si="473"/>
        <v>0</v>
      </c>
      <c r="S676" s="31">
        <f t="shared" si="473"/>
        <v>0</v>
      </c>
      <c r="T676" s="31">
        <f t="shared" si="473"/>
        <v>0</v>
      </c>
      <c r="U676" s="31">
        <f t="shared" si="473"/>
        <v>0</v>
      </c>
      <c r="V676" s="31">
        <f t="shared" si="473"/>
        <v>0</v>
      </c>
      <c r="W676" s="31">
        <f t="shared" si="473"/>
        <v>0</v>
      </c>
      <c r="X676" s="31">
        <f t="shared" si="473"/>
        <v>0</v>
      </c>
      <c r="Y676" s="16">
        <f t="shared" si="472"/>
        <v>0</v>
      </c>
      <c r="Z676" s="16">
        <f t="shared" si="472"/>
        <v>0</v>
      </c>
      <c r="AA676" s="16">
        <f t="shared" si="472"/>
        <v>0</v>
      </c>
      <c r="AB676" s="16">
        <f t="shared" si="472"/>
        <v>0</v>
      </c>
      <c r="AC676" s="16">
        <f t="shared" si="472"/>
        <v>0</v>
      </c>
      <c r="AD676" s="16">
        <f t="shared" si="472"/>
        <v>0</v>
      </c>
      <c r="AE676" s="16">
        <f t="shared" si="472"/>
        <v>0</v>
      </c>
      <c r="AF676" s="16">
        <f t="shared" si="472"/>
        <v>0</v>
      </c>
      <c r="AG676" s="16">
        <f>ROUND(SUM(F676:AF676),2)</f>
        <v>63829191.789999999</v>
      </c>
      <c r="AH676" s="14" t="str">
        <f t="shared" si="468"/>
        <v>ok</v>
      </c>
    </row>
    <row r="677" spans="1:34" x14ac:dyDescent="0.25">
      <c r="A677" s="9" t="s">
        <v>744</v>
      </c>
      <c r="C677" s="9" t="s">
        <v>753</v>
      </c>
      <c r="D677" s="9" t="s">
        <v>752</v>
      </c>
      <c r="E677" s="144">
        <v>1</v>
      </c>
      <c r="F677" s="77">
        <f>IF(VLOOKUP($D677,$C$5:$AU$836,3,)=0,0,(VLOOKUP($D677,$C$5:$AU$836,4,)/VLOOKUP($D677,$C$5:$AU$836,3,))*$E677)</f>
        <v>0.65473671225757557</v>
      </c>
      <c r="G677" s="77">
        <f>IF(VLOOKUP($D677,$C$5:$AU$836,3,)=0,0,(VLOOKUP($D677,$C$5:$AU$836,5,)/VLOOKUP($D677,$C$5:$AU$836,3,))*$E677)</f>
        <v>0.13501678790140351</v>
      </c>
      <c r="H677" s="77">
        <f>IF(VLOOKUP($D677,$C$5:$AU$836,3,)=0,0,(VLOOKUP($D677,$C$5:$AU$836,6,)/VLOOKUP($D677,$C$5:$AU$836,3,))*$E677)</f>
        <v>0.13976488274780702</v>
      </c>
      <c r="I677" s="77">
        <f>IF(VLOOKUP($D677,$C$5:$AU$836,3,)=0,0,(VLOOKUP($D677,$C$5:$AU$836,7,)/VLOOKUP($D677,$C$5:$AU$836,3,))*$E677)</f>
        <v>4.8098496625522229E-2</v>
      </c>
      <c r="J677" s="77">
        <f>IF(VLOOKUP($D677,$C$5:$AU$836,3,)=0,0,(VLOOKUP($D677,$C$5:$AU$836,8,)/VLOOKUP($D677,$C$5:$AU$836,3,))*$E677)</f>
        <v>1.7745372406691468E-2</v>
      </c>
      <c r="K677" s="77">
        <f>IF(VLOOKUP($D677,$C$5:$AU$836,3,)=0,0,(VLOOKUP($D677,$C$5:$AU$836,9,)/VLOOKUP($D677,$C$5:$AU$836,3,))*$E677)</f>
        <v>0</v>
      </c>
      <c r="L677" s="77">
        <f>IF(VLOOKUP($D677,$C$5:$AU$836,3,)=0,0,(VLOOKUP($D677,$C$5:$AU$836,10,)/VLOOKUP($D677,$C$5:$AU$836,3,))*$E677)</f>
        <v>0</v>
      </c>
      <c r="M677" s="77">
        <f>IF(VLOOKUP($D677,$C$5:$AU$836,3,)=0,0,(VLOOKUP($D677,$C$5:$AU$836,11,)/VLOOKUP($D677,$C$5:$AU$836,3,))*$E677)</f>
        <v>0</v>
      </c>
      <c r="N677" s="77">
        <f>IF(VLOOKUP($D677,$C$5:$AU$836,3,)=0,0,(VLOOKUP($D677,$C$5:$AU$836,12,)/VLOOKUP($D677,$C$5:$AU$836,3,))*$E677)</f>
        <v>4.6377480610001534E-3</v>
      </c>
      <c r="O677" s="77">
        <f>IF(VLOOKUP($D677,$C$5:$AU$836,3,)=0,0,(VLOOKUP($D677,$C$5:$AU$836,13,)/VLOOKUP($D677,$C$5:$AU$836,3,))*$E677)</f>
        <v>0</v>
      </c>
      <c r="P677" s="31">
        <f t="shared" ref="P677:X677" si="474">P675-P676</f>
        <v>0</v>
      </c>
      <c r="Q677" s="31">
        <f t="shared" si="474"/>
        <v>0</v>
      </c>
      <c r="R677" s="31">
        <f t="shared" si="474"/>
        <v>0</v>
      </c>
      <c r="S677" s="31">
        <f t="shared" si="474"/>
        <v>0</v>
      </c>
      <c r="T677" s="31">
        <f t="shared" si="474"/>
        <v>0</v>
      </c>
      <c r="U677" s="31">
        <f t="shared" si="474"/>
        <v>0</v>
      </c>
      <c r="V677" s="31">
        <f t="shared" si="474"/>
        <v>0</v>
      </c>
      <c r="W677" s="31">
        <f t="shared" si="474"/>
        <v>0</v>
      </c>
      <c r="X677" s="31">
        <f t="shared" si="474"/>
        <v>0</v>
      </c>
      <c r="Y677" s="77">
        <f>IF(VLOOKUP($D677,$C$5:$AU$836,3,)=0,0,(VLOOKUP($D677,$C$5:$AU$836,23,)/VLOOKUP($D677,$C$5:$AU$836,3,))*$E677)</f>
        <v>0</v>
      </c>
      <c r="Z677" s="77">
        <f>IF(VLOOKUP($D677,$C$5:$AU$836,3,)=0,0,(VLOOKUP($D677,$C$5:$AU$836,24,)/VLOOKUP($D677,$C$5:$AU$836,3,))*$E677)</f>
        <v>0</v>
      </c>
      <c r="AA677" s="77">
        <f>IF(VLOOKUP($D677,$C$5:$AU$836,3,)=0,0,(VLOOKUP($D677,$C$5:$AU$836,25,)/VLOOKUP($D677,$C$5:$AU$836,3,))*$E677)</f>
        <v>0</v>
      </c>
      <c r="AB677" s="77">
        <f>IF(VLOOKUP($D677,$C$5:$AU$836,3,)=0,0,(VLOOKUP($D677,$C$5:$AU$836,26,)/VLOOKUP($D677,$C$5:$AU$836,3,))*$E677)</f>
        <v>0</v>
      </c>
      <c r="AC677" s="77">
        <f>IF(VLOOKUP($D677,$C$5:$AU$836,3,)=0,0,(VLOOKUP($D677,$C$5:$AU$836,27,)/VLOOKUP($D677,$C$5:$AU$836,3,))*$E677)</f>
        <v>0</v>
      </c>
      <c r="AD677" s="77">
        <f>IF(VLOOKUP($D677,$C$5:$AU$836,3,)=0,0,(VLOOKUP($D677,$C$5:$AU$836,28,)/VLOOKUP($D677,$C$5:$AU$836,3,))*$E677)</f>
        <v>0</v>
      </c>
      <c r="AE677" s="77">
        <f>IF(VLOOKUP($D677,$C$5:$AU$836,3,)=0,0,(VLOOKUP($D677,$C$5:$AU$836,29,)/VLOOKUP($D677,$C$5:$AU$836,3,))*$E677)</f>
        <v>0</v>
      </c>
      <c r="AF677" s="77">
        <f>IF(VLOOKUP($D677,$C$5:$AU$836,3,)=0,0,(VLOOKUP($D677,$C$5:$AU$836,30,)/VLOOKUP($D677,$C$5:$AU$836,3,))*$E677)</f>
        <v>0</v>
      </c>
      <c r="AG677" s="145">
        <f>SUM(F677:AF677)</f>
        <v>1</v>
      </c>
      <c r="AH677" s="14" t="str">
        <f t="shared" si="468"/>
        <v>ok</v>
      </c>
    </row>
    <row r="678" spans="1:34" x14ac:dyDescent="0.25">
      <c r="P678" s="31">
        <f t="shared" ref="P678:X678" si="475">P676-P677</f>
        <v>0</v>
      </c>
      <c r="Q678" s="31">
        <f t="shared" si="475"/>
        <v>0</v>
      </c>
      <c r="R678" s="31">
        <f t="shared" si="475"/>
        <v>0</v>
      </c>
      <c r="S678" s="31">
        <f t="shared" si="475"/>
        <v>0</v>
      </c>
      <c r="T678" s="31">
        <f t="shared" si="475"/>
        <v>0</v>
      </c>
      <c r="U678" s="31">
        <f t="shared" si="475"/>
        <v>0</v>
      </c>
      <c r="V678" s="31">
        <f t="shared" si="475"/>
        <v>0</v>
      </c>
      <c r="W678" s="31">
        <f t="shared" si="475"/>
        <v>0</v>
      </c>
      <c r="X678" s="31">
        <f t="shared" si="475"/>
        <v>0</v>
      </c>
    </row>
    <row r="679" spans="1:34" x14ac:dyDescent="0.25">
      <c r="A679" s="9" t="s">
        <v>740</v>
      </c>
      <c r="C679" s="9" t="s">
        <v>754</v>
      </c>
      <c r="E679" s="66">
        <f t="shared" ref="E679:AF679" si="476">E672</f>
        <v>930259.42886243388</v>
      </c>
      <c r="F679" s="123">
        <f t="shared" si="476"/>
        <v>609075</v>
      </c>
      <c r="G679" s="31">
        <f t="shared" si="476"/>
        <v>125600.64</v>
      </c>
      <c r="H679" s="31">
        <f t="shared" si="476"/>
        <v>130017.60000000001</v>
      </c>
      <c r="I679" s="31">
        <f t="shared" si="476"/>
        <v>44744.080000000009</v>
      </c>
      <c r="J679" s="31">
        <f t="shared" si="476"/>
        <v>16507.8</v>
      </c>
      <c r="K679" s="31">
        <f t="shared" si="476"/>
        <v>0</v>
      </c>
      <c r="L679" s="31">
        <f t="shared" si="476"/>
        <v>0</v>
      </c>
      <c r="M679" s="31">
        <f t="shared" si="476"/>
        <v>0</v>
      </c>
      <c r="N679" s="31">
        <f t="shared" si="476"/>
        <v>4314.3088624338625</v>
      </c>
      <c r="O679" s="31">
        <f t="shared" si="476"/>
        <v>0</v>
      </c>
      <c r="P679" s="31">
        <f t="shared" ref="P679:X679" si="477">P677-P678</f>
        <v>0</v>
      </c>
      <c r="Q679" s="31">
        <f t="shared" si="477"/>
        <v>0</v>
      </c>
      <c r="R679" s="31">
        <f t="shared" si="477"/>
        <v>0</v>
      </c>
      <c r="S679" s="31">
        <f t="shared" si="477"/>
        <v>0</v>
      </c>
      <c r="T679" s="31">
        <f t="shared" si="477"/>
        <v>0</v>
      </c>
      <c r="U679" s="31">
        <f t="shared" si="477"/>
        <v>0</v>
      </c>
      <c r="V679" s="31">
        <f t="shared" si="477"/>
        <v>0</v>
      </c>
      <c r="W679" s="31">
        <f t="shared" si="477"/>
        <v>0</v>
      </c>
      <c r="X679" s="31">
        <f t="shared" si="477"/>
        <v>0</v>
      </c>
      <c r="Y679" s="31">
        <f t="shared" si="476"/>
        <v>0</v>
      </c>
      <c r="Z679" s="31">
        <f t="shared" si="476"/>
        <v>0</v>
      </c>
      <c r="AA679" s="31">
        <f t="shared" si="476"/>
        <v>0</v>
      </c>
      <c r="AB679" s="31">
        <f t="shared" si="476"/>
        <v>0</v>
      </c>
      <c r="AC679" s="31">
        <f t="shared" si="476"/>
        <v>0</v>
      </c>
      <c r="AD679" s="31">
        <f t="shared" si="476"/>
        <v>0</v>
      </c>
      <c r="AE679" s="31">
        <f t="shared" si="476"/>
        <v>0</v>
      </c>
      <c r="AF679" s="31">
        <f t="shared" si="476"/>
        <v>0</v>
      </c>
      <c r="AG679" s="66">
        <f>SUM(F679:AF679)</f>
        <v>930259.42886243388</v>
      </c>
      <c r="AH679" s="14" t="str">
        <f t="shared" ref="AH679:AH684" si="478">IF(ABS(E679-AG679)&lt;0.01,"ok","err")</f>
        <v>ok</v>
      </c>
    </row>
    <row r="680" spans="1:34" x14ac:dyDescent="0.25">
      <c r="A680" s="9" t="s">
        <v>741</v>
      </c>
      <c r="E680" s="16">
        <f>E673</f>
        <v>63829191.786388144</v>
      </c>
      <c r="P680" s="31">
        <f t="shared" ref="P680:X680" si="479">P678-P679</f>
        <v>0</v>
      </c>
      <c r="Q680" s="31">
        <f t="shared" si="479"/>
        <v>0</v>
      </c>
      <c r="R680" s="31">
        <f t="shared" si="479"/>
        <v>0</v>
      </c>
      <c r="S680" s="31">
        <f t="shared" si="479"/>
        <v>0</v>
      </c>
      <c r="T680" s="31">
        <f t="shared" si="479"/>
        <v>0</v>
      </c>
      <c r="U680" s="31">
        <f t="shared" si="479"/>
        <v>0</v>
      </c>
      <c r="V680" s="31">
        <f t="shared" si="479"/>
        <v>0</v>
      </c>
      <c r="W680" s="31">
        <f t="shared" si="479"/>
        <v>0</v>
      </c>
      <c r="X680" s="31">
        <f t="shared" si="479"/>
        <v>0</v>
      </c>
      <c r="AG680" s="16">
        <f>E680</f>
        <v>63829191.786388144</v>
      </c>
      <c r="AH680" s="14" t="str">
        <f t="shared" si="478"/>
        <v>ok</v>
      </c>
    </row>
    <row r="681" spans="1:34" x14ac:dyDescent="0.25">
      <c r="A681" s="2" t="s">
        <v>594</v>
      </c>
      <c r="E681" s="110">
        <v>0</v>
      </c>
      <c r="H681" s="2">
        <v>0</v>
      </c>
      <c r="O681" s="20">
        <f>O674</f>
        <v>0</v>
      </c>
      <c r="P681" s="31">
        <f t="shared" ref="P681:X681" si="480">P679-P680</f>
        <v>0</v>
      </c>
      <c r="Q681" s="31">
        <f t="shared" si="480"/>
        <v>0</v>
      </c>
      <c r="R681" s="31">
        <f t="shared" si="480"/>
        <v>0</v>
      </c>
      <c r="S681" s="31">
        <f t="shared" si="480"/>
        <v>0</v>
      </c>
      <c r="T681" s="31">
        <f t="shared" si="480"/>
        <v>0</v>
      </c>
      <c r="U681" s="31">
        <f t="shared" si="480"/>
        <v>0</v>
      </c>
      <c r="V681" s="31">
        <f t="shared" si="480"/>
        <v>0</v>
      </c>
      <c r="W681" s="31">
        <f t="shared" si="480"/>
        <v>0</v>
      </c>
      <c r="X681" s="31">
        <f t="shared" si="480"/>
        <v>0</v>
      </c>
      <c r="AG681" s="16">
        <f>ROUND(SUM(F681:AF681),2)</f>
        <v>0</v>
      </c>
      <c r="AH681" s="14" t="str">
        <f t="shared" si="478"/>
        <v>ok</v>
      </c>
    </row>
    <row r="682" spans="1:34" x14ac:dyDescent="0.25">
      <c r="A682" s="9" t="s">
        <v>742</v>
      </c>
      <c r="D682" s="9" t="s">
        <v>754</v>
      </c>
      <c r="E682" s="16">
        <f>E680-E681</f>
        <v>63829191.786388144</v>
      </c>
      <c r="F682" s="124">
        <f>IF(VLOOKUP($D682,$C$5:$AU$836,3,)=0,0,(VLOOKUP($D682,$C$5:$AU$836,4,)/VLOOKUP($D682,$C$5:$AU$836,3,))*$E682)</f>
        <v>41791315.176278017</v>
      </c>
      <c r="G682" s="65">
        <f>IF(VLOOKUP($D682,$C$5:$AU$836,3,)=0,0,(VLOOKUP($D682,$C$5:$AU$836,5,)/VLOOKUP($D682,$C$5:$AU$836,3,))*$E682)</f>
        <v>8618012.4493407756</v>
      </c>
      <c r="H682" s="65">
        <f>IF(VLOOKUP($D682,$C$5:$AU$836,3,)=0,0,(VLOOKUP($D682,$C$5:$AU$836,6,)/VLOOKUP($D682,$C$5:$AU$836,3,))*$E682)</f>
        <v>8921079.5059118252</v>
      </c>
      <c r="I682" s="65">
        <f>IF(VLOOKUP($D682,$C$5:$AU$836,3,)=0,0,(VLOOKUP($D682,$C$5:$AU$836,7,)/VLOOKUP($D682,$C$5:$AU$836,3,))*$E682)</f>
        <v>3070088.1657474013</v>
      </c>
      <c r="J682" s="65">
        <f>IF(VLOOKUP($D682,$C$5:$AU$836,3,)=0,0,(VLOOKUP($D682,$C$5:$AU$836,8,)/VLOOKUP($D682,$C$5:$AU$836,3,))*$E682)</f>
        <v>1132672.7786675899</v>
      </c>
      <c r="K682" s="65">
        <f>IF(VLOOKUP($D682,$C$5:$AU$836,3,)=0,0,(VLOOKUP($D682,$C$5:$AU$836,9,)/VLOOKUP($D682,$C$5:$AU$836,3,))*$E682)</f>
        <v>0</v>
      </c>
      <c r="L682" s="65">
        <f>IF(VLOOKUP($D682,$C$5:$AU$836,3,)=0,0,(VLOOKUP($D682,$C$5:$AU$836,10,)/VLOOKUP($D682,$C$5:$AU$836,3,))*$E682)</f>
        <v>0</v>
      </c>
      <c r="M682" s="65">
        <f>IF(VLOOKUP($D682,$C$5:$AU$836,3,)=0,0,(VLOOKUP($D682,$C$5:$AU$836,11,)/VLOOKUP($D682,$C$5:$AU$836,3,))*$E682)</f>
        <v>0</v>
      </c>
      <c r="N682" s="65">
        <f>IF(VLOOKUP($D682,$C$5:$AU$836,3,)=0,0,(VLOOKUP($D682,$C$5:$AU$836,12,)/VLOOKUP($D682,$C$5:$AU$836,3,))*$E682)</f>
        <v>296023.71044252854</v>
      </c>
      <c r="O682" s="65">
        <f>IF(VLOOKUP($D682,$C$5:$AU$836,3,)=0,0,(VLOOKUP($D682,$C$5:$AU$836,13,)/VLOOKUP($D682,$C$5:$AU$836,3,))*$E682)</f>
        <v>0</v>
      </c>
      <c r="P682" s="31">
        <f t="shared" ref="P682:X682" si="481">P680-P681</f>
        <v>0</v>
      </c>
      <c r="Q682" s="31">
        <f t="shared" si="481"/>
        <v>0</v>
      </c>
      <c r="R682" s="31">
        <f t="shared" si="481"/>
        <v>0</v>
      </c>
      <c r="S682" s="31">
        <f t="shared" si="481"/>
        <v>0</v>
      </c>
      <c r="T682" s="31">
        <f t="shared" si="481"/>
        <v>0</v>
      </c>
      <c r="U682" s="31">
        <f t="shared" si="481"/>
        <v>0</v>
      </c>
      <c r="V682" s="31">
        <f t="shared" si="481"/>
        <v>0</v>
      </c>
      <c r="W682" s="31">
        <f t="shared" si="481"/>
        <v>0</v>
      </c>
      <c r="X682" s="31">
        <f t="shared" si="481"/>
        <v>0</v>
      </c>
      <c r="Y682" s="65">
        <f>IF(VLOOKUP($D682,$C$5:$AU$836,3,)=0,0,(VLOOKUP($D682,$C$5:$AU$836,23,)/VLOOKUP($D682,$C$5:$AU$836,3,))*$E682)</f>
        <v>0</v>
      </c>
      <c r="Z682" s="65">
        <f>IF(VLOOKUP($D682,$C$5:$AU$836,3,)=0,0,(VLOOKUP($D682,$C$5:$AU$836,24,)/VLOOKUP($D682,$C$5:$AU$836,3,))*$E682)</f>
        <v>0</v>
      </c>
      <c r="AA682" s="65">
        <f>IF(VLOOKUP($D682,$C$5:$AU$836,3,)=0,0,(VLOOKUP($D682,$C$5:$AU$836,25,)/VLOOKUP($D682,$C$5:$AU$836,3,))*$E682)</f>
        <v>0</v>
      </c>
      <c r="AB682" s="65">
        <f>IF(VLOOKUP($D682,$C$5:$AU$836,3,)=0,0,(VLOOKUP($D682,$C$5:$AU$836,26,)/VLOOKUP($D682,$C$5:$AU$836,3,))*$E682)</f>
        <v>0</v>
      </c>
      <c r="AC682" s="65">
        <f>IF(VLOOKUP($D682,$C$5:$AU$836,3,)=0,0,(VLOOKUP($D682,$C$5:$AU$836,27,)/VLOOKUP($D682,$C$5:$AU$836,3,))*$E682)</f>
        <v>0</v>
      </c>
      <c r="AD682" s="65">
        <f>IF(VLOOKUP($D682,$C$5:$AU$836,3,)=0,0,(VLOOKUP($D682,$C$5:$AU$836,28,)/VLOOKUP($D682,$C$5:$AU$836,3,))*$E682)</f>
        <v>0</v>
      </c>
      <c r="AE682" s="65">
        <f>IF(VLOOKUP($D682,$C$5:$AU$836,3,)=0,0,(VLOOKUP($D682,$C$5:$AU$836,29,)/VLOOKUP($D682,$C$5:$AU$836,3,))*$E682)</f>
        <v>0</v>
      </c>
      <c r="AF682" s="65">
        <f>IF(VLOOKUP($D682,$C$5:$AU$836,3,)=0,0,(VLOOKUP($D682,$C$5:$AU$836,30,)/VLOOKUP($D682,$C$5:$AU$836,3,))*$E682)</f>
        <v>0</v>
      </c>
      <c r="AG682" s="16">
        <f>SUM(F682:AF682)</f>
        <v>63829191.786388144</v>
      </c>
      <c r="AH682" s="14" t="str">
        <f t="shared" si="478"/>
        <v>ok</v>
      </c>
    </row>
    <row r="683" spans="1:34" x14ac:dyDescent="0.25">
      <c r="A683" s="9" t="s">
        <v>743</v>
      </c>
      <c r="C683" s="9" t="s">
        <v>755</v>
      </c>
      <c r="E683" s="16">
        <f t="shared" ref="E683:AF683" si="482">E681+E682</f>
        <v>63829191.786388144</v>
      </c>
      <c r="F683" s="81">
        <f t="shared" si="482"/>
        <v>41791315.176278017</v>
      </c>
      <c r="G683" s="16">
        <f t="shared" si="482"/>
        <v>8618012.4493407756</v>
      </c>
      <c r="H683" s="16">
        <f t="shared" si="482"/>
        <v>8921079.5059118252</v>
      </c>
      <c r="I683" s="16">
        <f t="shared" si="482"/>
        <v>3070088.1657474013</v>
      </c>
      <c r="J683" s="16">
        <f t="shared" si="482"/>
        <v>1132672.7786675899</v>
      </c>
      <c r="K683" s="16">
        <f t="shared" si="482"/>
        <v>0</v>
      </c>
      <c r="L683" s="16">
        <f t="shared" si="482"/>
        <v>0</v>
      </c>
      <c r="M683" s="16">
        <f t="shared" si="482"/>
        <v>0</v>
      </c>
      <c r="N683" s="16">
        <f t="shared" si="482"/>
        <v>296023.71044252854</v>
      </c>
      <c r="O683" s="16">
        <f t="shared" si="482"/>
        <v>0</v>
      </c>
      <c r="P683" s="31">
        <f t="shared" ref="P683:X683" si="483">P681-P682</f>
        <v>0</v>
      </c>
      <c r="Q683" s="31">
        <f t="shared" si="483"/>
        <v>0</v>
      </c>
      <c r="R683" s="31">
        <f t="shared" si="483"/>
        <v>0</v>
      </c>
      <c r="S683" s="31">
        <f t="shared" si="483"/>
        <v>0</v>
      </c>
      <c r="T683" s="31">
        <f t="shared" si="483"/>
        <v>0</v>
      </c>
      <c r="U683" s="31">
        <f t="shared" si="483"/>
        <v>0</v>
      </c>
      <c r="V683" s="31">
        <f t="shared" si="483"/>
        <v>0</v>
      </c>
      <c r="W683" s="31">
        <f t="shared" si="483"/>
        <v>0</v>
      </c>
      <c r="X683" s="31">
        <f t="shared" si="483"/>
        <v>0</v>
      </c>
      <c r="Y683" s="16">
        <f t="shared" si="482"/>
        <v>0</v>
      </c>
      <c r="Z683" s="16">
        <f t="shared" si="482"/>
        <v>0</v>
      </c>
      <c r="AA683" s="16">
        <f t="shared" si="482"/>
        <v>0</v>
      </c>
      <c r="AB683" s="16">
        <f t="shared" si="482"/>
        <v>0</v>
      </c>
      <c r="AC683" s="16">
        <f t="shared" si="482"/>
        <v>0</v>
      </c>
      <c r="AD683" s="16">
        <f t="shared" si="482"/>
        <v>0</v>
      </c>
      <c r="AE683" s="16">
        <f t="shared" si="482"/>
        <v>0</v>
      </c>
      <c r="AF683" s="16">
        <f t="shared" si="482"/>
        <v>0</v>
      </c>
      <c r="AG683" s="16">
        <f>ROUND(SUM(F683:AF683),2)</f>
        <v>63829191.789999999</v>
      </c>
      <c r="AH683" s="14" t="str">
        <f t="shared" si="478"/>
        <v>ok</v>
      </c>
    </row>
    <row r="684" spans="1:34" x14ac:dyDescent="0.25">
      <c r="A684" s="9" t="s">
        <v>744</v>
      </c>
      <c r="C684" s="9" t="s">
        <v>756</v>
      </c>
      <c r="D684" s="9" t="s">
        <v>755</v>
      </c>
      <c r="E684" s="144">
        <v>1</v>
      </c>
      <c r="F684" s="77">
        <f>IF(VLOOKUP($D684,$C$5:$AU$836,3,)=0,0,(VLOOKUP($D684,$C$5:$AU$836,4,)/VLOOKUP($D684,$C$5:$AU$836,3,))*$E684)</f>
        <v>0.65473671225757557</v>
      </c>
      <c r="G684" s="77">
        <f>IF(VLOOKUP($D684,$C$5:$AU$836,3,)=0,0,(VLOOKUP($D684,$C$5:$AU$836,5,)/VLOOKUP($D684,$C$5:$AU$836,3,))*$E684)</f>
        <v>0.13501678790140351</v>
      </c>
      <c r="H684" s="77">
        <f>IF(VLOOKUP($D684,$C$5:$AU$836,3,)=0,0,(VLOOKUP($D684,$C$5:$AU$836,6,)/VLOOKUP($D684,$C$5:$AU$836,3,))*$E684)</f>
        <v>0.13976488274780702</v>
      </c>
      <c r="I684" s="77">
        <f>IF(VLOOKUP($D684,$C$5:$AU$836,3,)=0,0,(VLOOKUP($D684,$C$5:$AU$836,7,)/VLOOKUP($D684,$C$5:$AU$836,3,))*$E684)</f>
        <v>4.8098496625522229E-2</v>
      </c>
      <c r="J684" s="77">
        <f>IF(VLOOKUP($D684,$C$5:$AU$836,3,)=0,0,(VLOOKUP($D684,$C$5:$AU$836,8,)/VLOOKUP($D684,$C$5:$AU$836,3,))*$E684)</f>
        <v>1.7745372406691468E-2</v>
      </c>
      <c r="K684" s="77">
        <f>IF(VLOOKUP($D684,$C$5:$AU$836,3,)=0,0,(VLOOKUP($D684,$C$5:$AU$836,9,)/VLOOKUP($D684,$C$5:$AU$836,3,))*$E684)</f>
        <v>0</v>
      </c>
      <c r="L684" s="77">
        <f>IF(VLOOKUP($D684,$C$5:$AU$836,3,)=0,0,(VLOOKUP($D684,$C$5:$AU$836,10,)/VLOOKUP($D684,$C$5:$AU$836,3,))*$E684)</f>
        <v>0</v>
      </c>
      <c r="M684" s="77">
        <f>IF(VLOOKUP($D684,$C$5:$AU$836,3,)=0,0,(VLOOKUP($D684,$C$5:$AU$836,11,)/VLOOKUP($D684,$C$5:$AU$836,3,))*$E684)</f>
        <v>0</v>
      </c>
      <c r="N684" s="77">
        <f>IF(VLOOKUP($D684,$C$5:$AU$836,3,)=0,0,(VLOOKUP($D684,$C$5:$AU$836,12,)/VLOOKUP($D684,$C$5:$AU$836,3,))*$E684)</f>
        <v>4.6377480610001534E-3</v>
      </c>
      <c r="O684" s="77">
        <f>IF(VLOOKUP($D684,$C$5:$AU$836,3,)=0,0,(VLOOKUP($D684,$C$5:$AU$836,13,)/VLOOKUP($D684,$C$5:$AU$836,3,))*$E684)</f>
        <v>0</v>
      </c>
      <c r="P684" s="31">
        <f t="shared" ref="P684:X684" si="484">P682-P683</f>
        <v>0</v>
      </c>
      <c r="Q684" s="31">
        <f t="shared" si="484"/>
        <v>0</v>
      </c>
      <c r="R684" s="31">
        <f t="shared" si="484"/>
        <v>0</v>
      </c>
      <c r="S684" s="31">
        <f t="shared" si="484"/>
        <v>0</v>
      </c>
      <c r="T684" s="31">
        <f t="shared" si="484"/>
        <v>0</v>
      </c>
      <c r="U684" s="31">
        <f t="shared" si="484"/>
        <v>0</v>
      </c>
      <c r="V684" s="31">
        <f t="shared" si="484"/>
        <v>0</v>
      </c>
      <c r="W684" s="31">
        <f t="shared" si="484"/>
        <v>0</v>
      </c>
      <c r="X684" s="31">
        <f t="shared" si="484"/>
        <v>0</v>
      </c>
      <c r="Y684" s="77">
        <f>IF(VLOOKUP($D684,$C$5:$AU$836,3,)=0,0,(VLOOKUP($D684,$C$5:$AU$836,23,)/VLOOKUP($D684,$C$5:$AU$836,3,))*$E684)</f>
        <v>0</v>
      </c>
      <c r="Z684" s="77">
        <f>IF(VLOOKUP($D684,$C$5:$AU$836,3,)=0,0,(VLOOKUP($D684,$C$5:$AU$836,24,)/VLOOKUP($D684,$C$5:$AU$836,3,))*$E684)</f>
        <v>0</v>
      </c>
      <c r="AA684" s="77">
        <f>IF(VLOOKUP($D684,$C$5:$AU$836,3,)=0,0,(VLOOKUP($D684,$C$5:$AU$836,25,)/VLOOKUP($D684,$C$5:$AU$836,3,))*$E684)</f>
        <v>0</v>
      </c>
      <c r="AB684" s="77">
        <f>IF(VLOOKUP($D684,$C$5:$AU$836,3,)=0,0,(VLOOKUP($D684,$C$5:$AU$836,26,)/VLOOKUP($D684,$C$5:$AU$836,3,))*$E684)</f>
        <v>0</v>
      </c>
      <c r="AC684" s="77">
        <f>IF(VLOOKUP($D684,$C$5:$AU$836,3,)=0,0,(VLOOKUP($D684,$C$5:$AU$836,27,)/VLOOKUP($D684,$C$5:$AU$836,3,))*$E684)</f>
        <v>0</v>
      </c>
      <c r="AD684" s="77">
        <f>IF(VLOOKUP($D684,$C$5:$AU$836,3,)=0,0,(VLOOKUP($D684,$C$5:$AU$836,28,)/VLOOKUP($D684,$C$5:$AU$836,3,))*$E684)</f>
        <v>0</v>
      </c>
      <c r="AE684" s="77">
        <f>IF(VLOOKUP($D684,$C$5:$AU$836,3,)=0,0,(VLOOKUP($D684,$C$5:$AU$836,29,)/VLOOKUP($D684,$C$5:$AU$836,3,))*$E684)</f>
        <v>0</v>
      </c>
      <c r="AF684" s="77">
        <f>IF(VLOOKUP($D684,$C$5:$AU$836,3,)=0,0,(VLOOKUP($D684,$C$5:$AU$836,30,)/VLOOKUP($D684,$C$5:$AU$836,3,))*$E684)</f>
        <v>0</v>
      </c>
      <c r="AG684" s="145">
        <f>SUM(F684:AF684)</f>
        <v>1</v>
      </c>
      <c r="AH684" s="14" t="str">
        <f t="shared" si="478"/>
        <v>ok</v>
      </c>
    </row>
    <row r="685" spans="1:34" x14ac:dyDescent="0.25">
      <c r="P685" s="31">
        <f t="shared" ref="P685:X685" si="485">P683-P684</f>
        <v>0</v>
      </c>
      <c r="Q685" s="31">
        <f t="shared" si="485"/>
        <v>0</v>
      </c>
      <c r="R685" s="31">
        <f t="shared" si="485"/>
        <v>0</v>
      </c>
      <c r="S685" s="31">
        <f t="shared" si="485"/>
        <v>0</v>
      </c>
      <c r="T685" s="31">
        <f t="shared" si="485"/>
        <v>0</v>
      </c>
      <c r="U685" s="31">
        <f t="shared" si="485"/>
        <v>0</v>
      </c>
      <c r="V685" s="31">
        <f t="shared" si="485"/>
        <v>0</v>
      </c>
      <c r="W685" s="31">
        <f t="shared" si="485"/>
        <v>0</v>
      </c>
      <c r="X685" s="31">
        <f t="shared" si="485"/>
        <v>0</v>
      </c>
    </row>
    <row r="686" spans="1:34" x14ac:dyDescent="0.25">
      <c r="A686" s="9" t="s">
        <v>842</v>
      </c>
      <c r="C686" s="9" t="s">
        <v>854</v>
      </c>
      <c r="E686" s="31">
        <v>930259.42886243388</v>
      </c>
      <c r="F686" s="31">
        <f>F637</f>
        <v>609075</v>
      </c>
      <c r="G686" s="31">
        <f>(G637*0.4*1.8)+(G637*0.6)</f>
        <v>125600.64</v>
      </c>
      <c r="H686" s="31">
        <f>H637*1.8</f>
        <v>130017.60000000001</v>
      </c>
      <c r="I686" s="31">
        <f>(I637*0.9*1.8)+(I637*0.1)</f>
        <v>44744.080000000009</v>
      </c>
      <c r="J686" s="31">
        <f>J637*1.8</f>
        <v>16507.8</v>
      </c>
      <c r="K686" s="31">
        <v>0</v>
      </c>
      <c r="L686" s="31">
        <v>0</v>
      </c>
      <c r="M686" s="31">
        <v>0</v>
      </c>
      <c r="N686" s="20">
        <f>N637</f>
        <v>4314.3088624338625</v>
      </c>
      <c r="O686" s="31">
        <f>O637</f>
        <v>0</v>
      </c>
      <c r="P686" s="31">
        <f t="shared" ref="P686:X686" si="486">P684-P685</f>
        <v>0</v>
      </c>
      <c r="Q686" s="31">
        <f t="shared" si="486"/>
        <v>0</v>
      </c>
      <c r="R686" s="31">
        <f t="shared" si="486"/>
        <v>0</v>
      </c>
      <c r="S686" s="31">
        <f t="shared" si="486"/>
        <v>0</v>
      </c>
      <c r="T686" s="31">
        <f t="shared" si="486"/>
        <v>0</v>
      </c>
      <c r="U686" s="31">
        <f t="shared" si="486"/>
        <v>0</v>
      </c>
      <c r="V686" s="31">
        <f t="shared" si="486"/>
        <v>0</v>
      </c>
      <c r="W686" s="31">
        <f t="shared" si="486"/>
        <v>0</v>
      </c>
      <c r="X686" s="31">
        <f t="shared" si="486"/>
        <v>0</v>
      </c>
      <c r="Y686" s="31">
        <f t="shared" ref="Y686:AF686" si="487">Y637*(1/7)</f>
        <v>0</v>
      </c>
      <c r="Z686" s="31">
        <f t="shared" si="487"/>
        <v>0</v>
      </c>
      <c r="AA686" s="31">
        <f t="shared" si="487"/>
        <v>0</v>
      </c>
      <c r="AB686" s="31">
        <f t="shared" si="487"/>
        <v>0</v>
      </c>
      <c r="AC686" s="31">
        <f t="shared" si="487"/>
        <v>0</v>
      </c>
      <c r="AD686" s="31">
        <f t="shared" si="487"/>
        <v>0</v>
      </c>
      <c r="AE686" s="31">
        <f t="shared" si="487"/>
        <v>0</v>
      </c>
      <c r="AF686" s="31">
        <f t="shared" si="487"/>
        <v>0</v>
      </c>
      <c r="AG686" s="66">
        <f>SUM(F686:AF686)</f>
        <v>930259.42886243388</v>
      </c>
      <c r="AH686" s="14" t="str">
        <f t="shared" ref="AH686:AH691" si="488">IF(ABS(E686-AG686)&lt;0.01,"ok","err")</f>
        <v>ok</v>
      </c>
    </row>
    <row r="687" spans="1:34" x14ac:dyDescent="0.25">
      <c r="A687" s="9" t="s">
        <v>843</v>
      </c>
      <c r="E687" s="16">
        <f>'[1]Functional Assignment'!Y48</f>
        <v>12726377.536532002</v>
      </c>
      <c r="P687" s="31">
        <f t="shared" ref="P687:X687" si="489">P685-P686</f>
        <v>0</v>
      </c>
      <c r="Q687" s="31">
        <f t="shared" si="489"/>
        <v>0</v>
      </c>
      <c r="R687" s="31">
        <f t="shared" si="489"/>
        <v>0</v>
      </c>
      <c r="S687" s="31">
        <f t="shared" si="489"/>
        <v>0</v>
      </c>
      <c r="T687" s="31">
        <f t="shared" si="489"/>
        <v>0</v>
      </c>
      <c r="U687" s="31">
        <f t="shared" si="489"/>
        <v>0</v>
      </c>
      <c r="V687" s="31">
        <f t="shared" si="489"/>
        <v>0</v>
      </c>
      <c r="W687" s="31">
        <f t="shared" si="489"/>
        <v>0</v>
      </c>
      <c r="X687" s="31">
        <f t="shared" si="489"/>
        <v>0</v>
      </c>
      <c r="AG687" s="16">
        <f>E687</f>
        <v>12726377.536532002</v>
      </c>
      <c r="AH687" s="14" t="str">
        <f t="shared" si="488"/>
        <v>ok</v>
      </c>
    </row>
    <row r="688" spans="1:34" x14ac:dyDescent="0.25">
      <c r="A688" s="2" t="s">
        <v>594</v>
      </c>
      <c r="E688" s="110">
        <v>141265.64000000001</v>
      </c>
      <c r="H688" s="2">
        <v>0</v>
      </c>
      <c r="I688" s="21">
        <v>0</v>
      </c>
      <c r="L688" s="30">
        <v>83970</v>
      </c>
      <c r="M688" s="30">
        <f>(4*12201.91)+8488</f>
        <v>57295.64</v>
      </c>
      <c r="O688" s="66">
        <v>0</v>
      </c>
      <c r="P688" s="31">
        <f t="shared" ref="P688:X688" si="490">P686-P687</f>
        <v>0</v>
      </c>
      <c r="Q688" s="31">
        <f t="shared" si="490"/>
        <v>0</v>
      </c>
      <c r="R688" s="31">
        <f t="shared" si="490"/>
        <v>0</v>
      </c>
      <c r="S688" s="31">
        <f t="shared" si="490"/>
        <v>0</v>
      </c>
      <c r="T688" s="31">
        <f t="shared" si="490"/>
        <v>0</v>
      </c>
      <c r="U688" s="31">
        <f t="shared" si="490"/>
        <v>0</v>
      </c>
      <c r="V688" s="31">
        <f t="shared" si="490"/>
        <v>0</v>
      </c>
      <c r="W688" s="31">
        <f t="shared" si="490"/>
        <v>0</v>
      </c>
      <c r="X688" s="31">
        <f t="shared" si="490"/>
        <v>0</v>
      </c>
      <c r="AG688" s="16">
        <f>ROUND(SUM(F688:AF688),2)</f>
        <v>141265.64000000001</v>
      </c>
      <c r="AH688" s="14" t="str">
        <f t="shared" si="488"/>
        <v>ok</v>
      </c>
    </row>
    <row r="689" spans="1:34" x14ac:dyDescent="0.25">
      <c r="A689" s="9" t="s">
        <v>844</v>
      </c>
      <c r="D689" s="9" t="s">
        <v>854</v>
      </c>
      <c r="E689" s="16">
        <f>E687-E688</f>
        <v>12585111.896532001</v>
      </c>
      <c r="F689" s="124">
        <f>IF(VLOOKUP($D689,$C$5:$AU$836,3,)=0,0,(VLOOKUP($D689,$C$5:$AU$836,4,)/VLOOKUP($D689,$C$5:$AU$836,3,))*$E689)</f>
        <v>8239934.7865290642</v>
      </c>
      <c r="G689" s="65">
        <f>IF(VLOOKUP($D689,$C$5:$AU$836,3,)=0,0,(VLOOKUP($D689,$C$5:$AU$836,5,)/VLOOKUP($D689,$C$5:$AU$836,3,))*$E689)</f>
        <v>1699201.3836494912</v>
      </c>
      <c r="H689" s="65">
        <f>IF(VLOOKUP($D689,$C$5:$AU$836,3,)=0,0,(VLOOKUP($D689,$C$5:$AU$836,6,)/VLOOKUP($D689,$C$5:$AU$836,3,))*$E689)</f>
        <v>1758956.6885868264</v>
      </c>
      <c r="I689" s="65">
        <f>IF(VLOOKUP($D689,$C$5:$AU$836,3,)=0,0,(VLOOKUP($D689,$C$5:$AU$836,7,)/VLOOKUP($D689,$C$5:$AU$836,3,))*$E689)</f>
        <v>605324.96208716405</v>
      </c>
      <c r="J689" s="65">
        <f>IF(VLOOKUP($D689,$C$5:$AU$836,3,)=0,0,(VLOOKUP($D689,$C$5:$AU$836,8,)/VLOOKUP($D689,$C$5:$AU$836,3,))*$E689)</f>
        <v>223327.4973838435</v>
      </c>
      <c r="K689" s="65">
        <f>IF(VLOOKUP($D689,$C$5:$AU$836,3,)=0,0,(VLOOKUP($D689,$C$5:$AU$836,9,)/VLOOKUP($D689,$C$5:$AU$836,3,))*$E689)</f>
        <v>0</v>
      </c>
      <c r="L689" s="65">
        <f>IF(VLOOKUP($D689,$C$5:$AU$836,3,)=0,0,(VLOOKUP($D689,$C$5:$AU$836,10,)/VLOOKUP($D689,$C$5:$AU$836,3,))*$E689)</f>
        <v>0</v>
      </c>
      <c r="M689" s="65">
        <f>IF(VLOOKUP($D689,$C$5:$AU$836,3,)=0,0,(VLOOKUP($D689,$C$5:$AU$836,11,)/VLOOKUP($D689,$C$5:$AU$836,3,))*$E689)</f>
        <v>0</v>
      </c>
      <c r="N689" s="65">
        <f>IF(VLOOKUP($D689,$C$5:$AU$836,3,)=0,0,(VLOOKUP($D689,$C$5:$AU$836,12,)/VLOOKUP($D689,$C$5:$AU$836,3,))*$E689)</f>
        <v>58366.578295611253</v>
      </c>
      <c r="O689" s="65">
        <f>IF(VLOOKUP($D689,$C$5:$AU$836,3,)=0,0,(VLOOKUP($D689,$C$5:$AU$836,13,)/VLOOKUP($D689,$C$5:$AU$836,3,))*$E689)</f>
        <v>0</v>
      </c>
      <c r="P689" s="31">
        <f t="shared" ref="P689:X689" si="491">P687-P688</f>
        <v>0</v>
      </c>
      <c r="Q689" s="31">
        <f t="shared" si="491"/>
        <v>0</v>
      </c>
      <c r="R689" s="31">
        <f t="shared" si="491"/>
        <v>0</v>
      </c>
      <c r="S689" s="31">
        <f t="shared" si="491"/>
        <v>0</v>
      </c>
      <c r="T689" s="31">
        <f t="shared" si="491"/>
        <v>0</v>
      </c>
      <c r="U689" s="31">
        <f t="shared" si="491"/>
        <v>0</v>
      </c>
      <c r="V689" s="31">
        <f t="shared" si="491"/>
        <v>0</v>
      </c>
      <c r="W689" s="31">
        <f t="shared" si="491"/>
        <v>0</v>
      </c>
      <c r="X689" s="31">
        <f t="shared" si="491"/>
        <v>0</v>
      </c>
      <c r="Y689" s="65">
        <f>IF(VLOOKUP($D689,$C$5:$AU$836,3,)=0,0,(VLOOKUP($D689,$C$5:$AU$836,23,)/VLOOKUP($D689,$C$5:$AU$836,3,))*$E689)</f>
        <v>0</v>
      </c>
      <c r="Z689" s="65">
        <f>IF(VLOOKUP($D689,$C$5:$AU$836,3,)=0,0,(VLOOKUP($D689,$C$5:$AU$836,24,)/VLOOKUP($D689,$C$5:$AU$836,3,))*$E689)</f>
        <v>0</v>
      </c>
      <c r="AA689" s="65">
        <f>IF(VLOOKUP($D689,$C$5:$AU$836,3,)=0,0,(VLOOKUP($D689,$C$5:$AU$836,25,)/VLOOKUP($D689,$C$5:$AU$836,3,))*$E689)</f>
        <v>0</v>
      </c>
      <c r="AB689" s="65">
        <f>IF(VLOOKUP($D689,$C$5:$AU$836,3,)=0,0,(VLOOKUP($D689,$C$5:$AU$836,26,)/VLOOKUP($D689,$C$5:$AU$836,3,))*$E689)</f>
        <v>0</v>
      </c>
      <c r="AC689" s="65">
        <f>IF(VLOOKUP($D689,$C$5:$AU$836,3,)=0,0,(VLOOKUP($D689,$C$5:$AU$836,27,)/VLOOKUP($D689,$C$5:$AU$836,3,))*$E689)</f>
        <v>0</v>
      </c>
      <c r="AD689" s="65">
        <f>IF(VLOOKUP($D689,$C$5:$AU$836,3,)=0,0,(VLOOKUP($D689,$C$5:$AU$836,28,)/VLOOKUP($D689,$C$5:$AU$836,3,))*$E689)</f>
        <v>0</v>
      </c>
      <c r="AE689" s="65">
        <f>IF(VLOOKUP($D689,$C$5:$AU$836,3,)=0,0,(VLOOKUP($D689,$C$5:$AU$836,29,)/VLOOKUP($D689,$C$5:$AU$836,3,))*$E689)</f>
        <v>0</v>
      </c>
      <c r="AF689" s="65">
        <f>IF(VLOOKUP($D689,$C$5:$AU$836,3,)=0,0,(VLOOKUP($D689,$C$5:$AU$836,30,)/VLOOKUP($D689,$C$5:$AU$836,3,))*$E689)</f>
        <v>0</v>
      </c>
      <c r="AG689" s="16">
        <f>SUM(F689:AF689)</f>
        <v>12585111.896532001</v>
      </c>
      <c r="AH689" s="14" t="str">
        <f t="shared" si="488"/>
        <v>ok</v>
      </c>
    </row>
    <row r="690" spans="1:34" x14ac:dyDescent="0.25">
      <c r="A690" s="9" t="s">
        <v>845</v>
      </c>
      <c r="C690" s="9" t="s">
        <v>847</v>
      </c>
      <c r="E690" s="16">
        <f t="shared" ref="E690:AF690" si="492">E688+E689</f>
        <v>12726377.536532002</v>
      </c>
      <c r="F690" s="16">
        <f t="shared" si="492"/>
        <v>8239934.7865290642</v>
      </c>
      <c r="G690" s="16">
        <f t="shared" si="492"/>
        <v>1699201.3836494912</v>
      </c>
      <c r="H690" s="16">
        <f t="shared" si="492"/>
        <v>1758956.6885868264</v>
      </c>
      <c r="I690" s="16">
        <f t="shared" si="492"/>
        <v>605324.96208716405</v>
      </c>
      <c r="J690" s="16">
        <f t="shared" si="492"/>
        <v>223327.4973838435</v>
      </c>
      <c r="K690" s="16">
        <f t="shared" si="492"/>
        <v>0</v>
      </c>
      <c r="L690" s="16">
        <f t="shared" si="492"/>
        <v>83970</v>
      </c>
      <c r="M690" s="16">
        <f t="shared" si="492"/>
        <v>57295.64</v>
      </c>
      <c r="N690" s="16">
        <f t="shared" si="492"/>
        <v>58366.578295611253</v>
      </c>
      <c r="O690" s="16">
        <f t="shared" si="492"/>
        <v>0</v>
      </c>
      <c r="P690" s="31">
        <f t="shared" ref="P690:X690" si="493">P688-P689</f>
        <v>0</v>
      </c>
      <c r="Q690" s="31">
        <f t="shared" si="493"/>
        <v>0</v>
      </c>
      <c r="R690" s="31">
        <f t="shared" si="493"/>
        <v>0</v>
      </c>
      <c r="S690" s="31">
        <f t="shared" si="493"/>
        <v>0</v>
      </c>
      <c r="T690" s="31">
        <f t="shared" si="493"/>
        <v>0</v>
      </c>
      <c r="U690" s="31">
        <f t="shared" si="493"/>
        <v>0</v>
      </c>
      <c r="V690" s="31">
        <f t="shared" si="493"/>
        <v>0</v>
      </c>
      <c r="W690" s="31">
        <f t="shared" si="493"/>
        <v>0</v>
      </c>
      <c r="X690" s="31">
        <f t="shared" si="493"/>
        <v>0</v>
      </c>
      <c r="Y690" s="16">
        <f t="shared" si="492"/>
        <v>0</v>
      </c>
      <c r="Z690" s="16">
        <f t="shared" si="492"/>
        <v>0</v>
      </c>
      <c r="AA690" s="16">
        <f t="shared" si="492"/>
        <v>0</v>
      </c>
      <c r="AB690" s="16">
        <f t="shared" si="492"/>
        <v>0</v>
      </c>
      <c r="AC690" s="16">
        <f t="shared" si="492"/>
        <v>0</v>
      </c>
      <c r="AD690" s="16">
        <f t="shared" si="492"/>
        <v>0</v>
      </c>
      <c r="AE690" s="16">
        <f t="shared" si="492"/>
        <v>0</v>
      </c>
      <c r="AF690" s="16">
        <f t="shared" si="492"/>
        <v>0</v>
      </c>
      <c r="AG690" s="16">
        <f>ROUND(SUM(F690:AF690),2)</f>
        <v>12726377.539999999</v>
      </c>
      <c r="AH690" s="14" t="str">
        <f t="shared" si="488"/>
        <v>ok</v>
      </c>
    </row>
    <row r="691" spans="1:34" x14ac:dyDescent="0.25">
      <c r="A691" s="9" t="s">
        <v>846</v>
      </c>
      <c r="C691" s="9" t="s">
        <v>848</v>
      </c>
      <c r="D691" s="9" t="s">
        <v>847</v>
      </c>
      <c r="E691" s="144">
        <v>1</v>
      </c>
      <c r="F691" s="77">
        <f>IF(VLOOKUP($D691,$C$5:$AU$836,3,)=0,0,(VLOOKUP($D691,$C$5:$AU$836,4,)/VLOOKUP($D691,$C$5:$AU$836,3,))*$E691)</f>
        <v>0.64746898816067067</v>
      </c>
      <c r="G691" s="77">
        <f>IF(VLOOKUP($D691,$C$5:$AU$836,3,)=0,0,(VLOOKUP($D691,$C$5:$AU$836,5,)/VLOOKUP($D691,$C$5:$AU$836,3,))*$E691)</f>
        <v>0.13351807132640917</v>
      </c>
      <c r="H691" s="77">
        <f>IF(VLOOKUP($D691,$C$5:$AU$836,3,)=0,0,(VLOOKUP($D691,$C$5:$AU$836,6,)/VLOOKUP($D691,$C$5:$AU$836,3,))*$E691)</f>
        <v>0.1382134612569533</v>
      </c>
      <c r="I691" s="77">
        <f>IF(VLOOKUP($D691,$C$5:$AU$836,3,)=0,0,(VLOOKUP($D691,$C$5:$AU$836,7,)/VLOOKUP($D691,$C$5:$AU$836,3,))*$E691)</f>
        <v>4.7564592544071103E-2</v>
      </c>
      <c r="J691" s="77">
        <f>IF(VLOOKUP($D691,$C$5:$AU$836,3,)=0,0,(VLOOKUP($D691,$C$5:$AU$836,8,)/VLOOKUP($D691,$C$5:$AU$836,3,))*$E691)</f>
        <v>1.7548394799915806E-2</v>
      </c>
      <c r="K691" s="77">
        <f>IF(VLOOKUP($D691,$C$5:$AU$836,3,)=0,0,(VLOOKUP($D691,$C$5:$AU$836,9,)/VLOOKUP($D691,$C$5:$AU$836,3,))*$E691)</f>
        <v>0</v>
      </c>
      <c r="L691" s="77">
        <f>IF(VLOOKUP($D691,$C$5:$AU$836,3,)=0,0,(VLOOKUP($D691,$C$5:$AU$836,10,)/VLOOKUP($D691,$C$5:$AU$836,3,))*$E691)</f>
        <v>6.5981069443333696E-3</v>
      </c>
      <c r="M691" s="77">
        <f>IF(VLOOKUP($D691,$C$5:$AU$836,3,)=0,0,(VLOOKUP($D691,$C$5:$AU$836,11,)/VLOOKUP($D691,$C$5:$AU$836,3,))*$E691)</f>
        <v>4.5021169484818959E-3</v>
      </c>
      <c r="N691" s="77">
        <f>IF(VLOOKUP($D691,$C$5:$AU$836,3,)=0,0,(VLOOKUP($D691,$C$5:$AU$836,12,)/VLOOKUP($D691,$C$5:$AU$836,3,))*$E691)</f>
        <v>4.5862680191645815E-3</v>
      </c>
      <c r="O691" s="77">
        <f>IF(VLOOKUP($D691,$C$5:$AU$836,3,)=0,0,(VLOOKUP($D691,$C$5:$AU$836,13,)/VLOOKUP($D691,$C$5:$AU$836,3,))*$E691)</f>
        <v>0</v>
      </c>
      <c r="P691" s="31">
        <f t="shared" ref="P691:X691" si="494">P689-P690</f>
        <v>0</v>
      </c>
      <c r="Q691" s="31">
        <f t="shared" si="494"/>
        <v>0</v>
      </c>
      <c r="R691" s="31">
        <f t="shared" si="494"/>
        <v>0</v>
      </c>
      <c r="S691" s="31">
        <f t="shared" si="494"/>
        <v>0</v>
      </c>
      <c r="T691" s="31">
        <f t="shared" si="494"/>
        <v>0</v>
      </c>
      <c r="U691" s="31">
        <f t="shared" si="494"/>
        <v>0</v>
      </c>
      <c r="V691" s="31">
        <f t="shared" si="494"/>
        <v>0</v>
      </c>
      <c r="W691" s="31">
        <f t="shared" si="494"/>
        <v>0</v>
      </c>
      <c r="X691" s="31">
        <f t="shared" si="494"/>
        <v>0</v>
      </c>
      <c r="Y691" s="77">
        <f>IF(VLOOKUP($D691,$C$5:$AU$836,3,)=0,0,(VLOOKUP($D691,$C$5:$AU$836,23,)/VLOOKUP($D691,$C$5:$AU$836,3,))*$E691)</f>
        <v>0</v>
      </c>
      <c r="Z691" s="77">
        <f>IF(VLOOKUP($D691,$C$5:$AU$836,3,)=0,0,(VLOOKUP($D691,$C$5:$AU$836,24,)/VLOOKUP($D691,$C$5:$AU$836,3,))*$E691)</f>
        <v>0</v>
      </c>
      <c r="AA691" s="77">
        <f>IF(VLOOKUP($D691,$C$5:$AU$836,3,)=0,0,(VLOOKUP($D691,$C$5:$AU$836,25,)/VLOOKUP($D691,$C$5:$AU$836,3,))*$E691)</f>
        <v>0</v>
      </c>
      <c r="AB691" s="77">
        <f>IF(VLOOKUP($D691,$C$5:$AU$836,3,)=0,0,(VLOOKUP($D691,$C$5:$AU$836,26,)/VLOOKUP($D691,$C$5:$AU$836,3,))*$E691)</f>
        <v>0</v>
      </c>
      <c r="AC691" s="77">
        <f>IF(VLOOKUP($D691,$C$5:$AU$836,3,)=0,0,(VLOOKUP($D691,$C$5:$AU$836,27,)/VLOOKUP($D691,$C$5:$AU$836,3,))*$E691)</f>
        <v>0</v>
      </c>
      <c r="AD691" s="77">
        <f>IF(VLOOKUP($D691,$C$5:$AU$836,3,)=0,0,(VLOOKUP($D691,$C$5:$AU$836,28,)/VLOOKUP($D691,$C$5:$AU$836,3,))*$E691)</f>
        <v>0</v>
      </c>
      <c r="AE691" s="77">
        <f>IF(VLOOKUP($D691,$C$5:$AU$836,3,)=0,0,(VLOOKUP($D691,$C$5:$AU$836,29,)/VLOOKUP($D691,$C$5:$AU$836,3,))*$E691)</f>
        <v>0</v>
      </c>
      <c r="AF691" s="77">
        <f>IF(VLOOKUP($D691,$C$5:$AU$836,3,)=0,0,(VLOOKUP($D691,$C$5:$AU$836,30,)/VLOOKUP($D691,$C$5:$AU$836,3,))*$E691)</f>
        <v>0</v>
      </c>
      <c r="AG691" s="145">
        <f>SUM(F691:AF691)</f>
        <v>0.99999999999999989</v>
      </c>
      <c r="AH691" s="14" t="str">
        <f t="shared" si="488"/>
        <v>ok</v>
      </c>
    </row>
    <row r="692" spans="1:34" x14ac:dyDescent="0.25">
      <c r="P692" s="31">
        <f t="shared" ref="P692:X692" si="495">P690-P691</f>
        <v>0</v>
      </c>
      <c r="Q692" s="31">
        <f t="shared" si="495"/>
        <v>0</v>
      </c>
      <c r="R692" s="31">
        <f t="shared" si="495"/>
        <v>0</v>
      </c>
      <c r="S692" s="31">
        <f t="shared" si="495"/>
        <v>0</v>
      </c>
      <c r="T692" s="31">
        <f t="shared" si="495"/>
        <v>0</v>
      </c>
      <c r="U692" s="31">
        <f t="shared" si="495"/>
        <v>0</v>
      </c>
      <c r="V692" s="31">
        <f t="shared" si="495"/>
        <v>0</v>
      </c>
      <c r="W692" s="31">
        <f t="shared" si="495"/>
        <v>0</v>
      </c>
      <c r="X692" s="31">
        <f t="shared" si="495"/>
        <v>0</v>
      </c>
    </row>
    <row r="693" spans="1:34" x14ac:dyDescent="0.25">
      <c r="A693" s="9" t="s">
        <v>842</v>
      </c>
      <c r="C693" s="9" t="s">
        <v>849</v>
      </c>
      <c r="E693" s="66">
        <f t="shared" ref="E693:AF693" si="496">E686</f>
        <v>930259.42886243388</v>
      </c>
      <c r="F693" s="123">
        <f t="shared" si="496"/>
        <v>609075</v>
      </c>
      <c r="G693" s="31">
        <f t="shared" si="496"/>
        <v>125600.64</v>
      </c>
      <c r="H693" s="31">
        <f t="shared" si="496"/>
        <v>130017.60000000001</v>
      </c>
      <c r="I693" s="31">
        <f t="shared" si="496"/>
        <v>44744.080000000009</v>
      </c>
      <c r="J693" s="31">
        <f t="shared" si="496"/>
        <v>16507.8</v>
      </c>
      <c r="K693" s="31">
        <f t="shared" si="496"/>
        <v>0</v>
      </c>
      <c r="L693" s="31">
        <f t="shared" si="496"/>
        <v>0</v>
      </c>
      <c r="M693" s="31">
        <f t="shared" si="496"/>
        <v>0</v>
      </c>
      <c r="N693" s="31">
        <f t="shared" si="496"/>
        <v>4314.3088624338625</v>
      </c>
      <c r="O693" s="31">
        <f t="shared" si="496"/>
        <v>0</v>
      </c>
      <c r="P693" s="31">
        <f t="shared" ref="P693:X693" si="497">P691-P692</f>
        <v>0</v>
      </c>
      <c r="Q693" s="31">
        <f t="shared" si="497"/>
        <v>0</v>
      </c>
      <c r="R693" s="31">
        <f t="shared" si="497"/>
        <v>0</v>
      </c>
      <c r="S693" s="31">
        <f t="shared" si="497"/>
        <v>0</v>
      </c>
      <c r="T693" s="31">
        <f t="shared" si="497"/>
        <v>0</v>
      </c>
      <c r="U693" s="31">
        <f t="shared" si="497"/>
        <v>0</v>
      </c>
      <c r="V693" s="31">
        <f t="shared" si="497"/>
        <v>0</v>
      </c>
      <c r="W693" s="31">
        <f t="shared" si="497"/>
        <v>0</v>
      </c>
      <c r="X693" s="31">
        <f t="shared" si="497"/>
        <v>0</v>
      </c>
      <c r="Y693" s="31">
        <f t="shared" si="496"/>
        <v>0</v>
      </c>
      <c r="Z693" s="31">
        <f t="shared" si="496"/>
        <v>0</v>
      </c>
      <c r="AA693" s="31">
        <f t="shared" si="496"/>
        <v>0</v>
      </c>
      <c r="AB693" s="31">
        <f t="shared" si="496"/>
        <v>0</v>
      </c>
      <c r="AC693" s="31">
        <f t="shared" si="496"/>
        <v>0</v>
      </c>
      <c r="AD693" s="31">
        <f t="shared" si="496"/>
        <v>0</v>
      </c>
      <c r="AE693" s="31">
        <f t="shared" si="496"/>
        <v>0</v>
      </c>
      <c r="AF693" s="31">
        <f t="shared" si="496"/>
        <v>0</v>
      </c>
      <c r="AG693" s="66">
        <f>SUM(F693:AF693)</f>
        <v>930259.42886243388</v>
      </c>
      <c r="AH693" s="14" t="str">
        <f t="shared" ref="AH693:AH698" si="498">IF(ABS(E693-AG693)&lt;0.01,"ok","err")</f>
        <v>ok</v>
      </c>
    </row>
    <row r="694" spans="1:34" x14ac:dyDescent="0.25">
      <c r="A694" s="9" t="s">
        <v>843</v>
      </c>
      <c r="E694" s="16">
        <f>E687</f>
        <v>12726377.536532002</v>
      </c>
      <c r="P694" s="31">
        <f t="shared" ref="P694:X694" si="499">P692-P693</f>
        <v>0</v>
      </c>
      <c r="Q694" s="31">
        <f t="shared" si="499"/>
        <v>0</v>
      </c>
      <c r="R694" s="31">
        <f t="shared" si="499"/>
        <v>0</v>
      </c>
      <c r="S694" s="31">
        <f t="shared" si="499"/>
        <v>0</v>
      </c>
      <c r="T694" s="31">
        <f t="shared" si="499"/>
        <v>0</v>
      </c>
      <c r="U694" s="31">
        <f t="shared" si="499"/>
        <v>0</v>
      </c>
      <c r="V694" s="31">
        <f t="shared" si="499"/>
        <v>0</v>
      </c>
      <c r="W694" s="31">
        <f t="shared" si="499"/>
        <v>0</v>
      </c>
      <c r="X694" s="31">
        <f t="shared" si="499"/>
        <v>0</v>
      </c>
      <c r="AG694" s="16">
        <f>E694</f>
        <v>12726377.536532002</v>
      </c>
      <c r="AH694" s="14" t="str">
        <f t="shared" si="498"/>
        <v>ok</v>
      </c>
    </row>
    <row r="695" spans="1:34" x14ac:dyDescent="0.25">
      <c r="A695" s="2" t="s">
        <v>594</v>
      </c>
      <c r="E695" s="16">
        <v>141265.64000000001</v>
      </c>
      <c r="H695" s="2">
        <v>0</v>
      </c>
      <c r="I695" s="2">
        <v>0</v>
      </c>
      <c r="L695" s="30">
        <v>83970</v>
      </c>
      <c r="M695" s="30">
        <f>(4*12201.91)+8488</f>
        <v>57295.64</v>
      </c>
      <c r="O695" s="20">
        <f>O688</f>
        <v>0</v>
      </c>
      <c r="P695" s="31">
        <f t="shared" ref="P695:X695" si="500">P693-P694</f>
        <v>0</v>
      </c>
      <c r="Q695" s="31">
        <f t="shared" si="500"/>
        <v>0</v>
      </c>
      <c r="R695" s="31">
        <f t="shared" si="500"/>
        <v>0</v>
      </c>
      <c r="S695" s="31">
        <f t="shared" si="500"/>
        <v>0</v>
      </c>
      <c r="T695" s="31">
        <f t="shared" si="500"/>
        <v>0</v>
      </c>
      <c r="U695" s="31">
        <f t="shared" si="500"/>
        <v>0</v>
      </c>
      <c r="V695" s="31">
        <f t="shared" si="500"/>
        <v>0</v>
      </c>
      <c r="W695" s="31">
        <f t="shared" si="500"/>
        <v>0</v>
      </c>
      <c r="X695" s="31">
        <f t="shared" si="500"/>
        <v>0</v>
      </c>
      <c r="AG695" s="16">
        <f>ROUND(SUM(F695:AF695),2)</f>
        <v>141265.64000000001</v>
      </c>
      <c r="AH695" s="14" t="str">
        <f t="shared" si="498"/>
        <v>ok</v>
      </c>
    </row>
    <row r="696" spans="1:34" x14ac:dyDescent="0.25">
      <c r="A696" s="9" t="s">
        <v>844</v>
      </c>
      <c r="D696" s="9" t="s">
        <v>849</v>
      </c>
      <c r="E696" s="16">
        <f>E694-E695</f>
        <v>12585111.896532001</v>
      </c>
      <c r="F696" s="124">
        <f>IF(VLOOKUP($D696,$C$5:$AU$836,3,)=0,0,(VLOOKUP($D696,$C$5:$AU$836,4,)/VLOOKUP($D696,$C$5:$AU$836,3,))*$E696)</f>
        <v>8239934.7865290642</v>
      </c>
      <c r="G696" s="65">
        <f>IF(VLOOKUP($D696,$C$5:$AU$836,3,)=0,0,(VLOOKUP($D696,$C$5:$AU$836,5,)/VLOOKUP($D696,$C$5:$AU$836,3,))*$E696)</f>
        <v>1699201.3836494912</v>
      </c>
      <c r="H696" s="65">
        <f>IF(VLOOKUP($D696,$C$5:$AU$836,3,)=0,0,(VLOOKUP($D696,$C$5:$AU$836,6,)/VLOOKUP($D696,$C$5:$AU$836,3,))*$E696)</f>
        <v>1758956.6885868264</v>
      </c>
      <c r="I696" s="65">
        <f>IF(VLOOKUP($D696,$C$5:$AU$836,3,)=0,0,(VLOOKUP($D696,$C$5:$AU$836,7,)/VLOOKUP($D696,$C$5:$AU$836,3,))*$E696)</f>
        <v>605324.96208716405</v>
      </c>
      <c r="J696" s="65">
        <f>IF(VLOOKUP($D696,$C$5:$AU$836,3,)=0,0,(VLOOKUP($D696,$C$5:$AU$836,8,)/VLOOKUP($D696,$C$5:$AU$836,3,))*$E696)</f>
        <v>223327.4973838435</v>
      </c>
      <c r="K696" s="65">
        <f>IF(VLOOKUP($D696,$C$5:$AU$836,3,)=0,0,(VLOOKUP($D696,$C$5:$AU$836,9,)/VLOOKUP($D696,$C$5:$AU$836,3,))*$E696)</f>
        <v>0</v>
      </c>
      <c r="L696" s="65">
        <f>IF(VLOOKUP($D696,$C$5:$AU$836,3,)=0,0,(VLOOKUP($D696,$C$5:$AU$836,10,)/VLOOKUP($D696,$C$5:$AU$836,3,))*$E696)</f>
        <v>0</v>
      </c>
      <c r="M696" s="65">
        <f>IF(VLOOKUP($D696,$C$5:$AU$836,3,)=0,0,(VLOOKUP($D696,$C$5:$AU$836,11,)/VLOOKUP($D696,$C$5:$AU$836,3,))*$E696)</f>
        <v>0</v>
      </c>
      <c r="N696" s="65">
        <f>IF(VLOOKUP($D696,$C$5:$AU$836,3,)=0,0,(VLOOKUP($D696,$C$5:$AU$836,12,)/VLOOKUP($D696,$C$5:$AU$836,3,))*$E696)</f>
        <v>58366.578295611253</v>
      </c>
      <c r="O696" s="65">
        <f>IF(VLOOKUP($D696,$C$5:$AU$836,3,)=0,0,(VLOOKUP($D696,$C$5:$AU$836,13,)/VLOOKUP($D696,$C$5:$AU$836,3,))*$E696)</f>
        <v>0</v>
      </c>
      <c r="P696" s="31">
        <f t="shared" ref="P696:X696" si="501">P694-P695</f>
        <v>0</v>
      </c>
      <c r="Q696" s="31">
        <f t="shared" si="501"/>
        <v>0</v>
      </c>
      <c r="R696" s="31">
        <f t="shared" si="501"/>
        <v>0</v>
      </c>
      <c r="S696" s="31">
        <f t="shared" si="501"/>
        <v>0</v>
      </c>
      <c r="T696" s="31">
        <f t="shared" si="501"/>
        <v>0</v>
      </c>
      <c r="U696" s="31">
        <f t="shared" si="501"/>
        <v>0</v>
      </c>
      <c r="V696" s="31">
        <f t="shared" si="501"/>
        <v>0</v>
      </c>
      <c r="W696" s="31">
        <f t="shared" si="501"/>
        <v>0</v>
      </c>
      <c r="X696" s="31">
        <f t="shared" si="501"/>
        <v>0</v>
      </c>
      <c r="Y696" s="65">
        <f>IF(VLOOKUP($D696,$C$5:$AU$836,3,)=0,0,(VLOOKUP($D696,$C$5:$AU$836,23,)/VLOOKUP($D696,$C$5:$AU$836,3,))*$E696)</f>
        <v>0</v>
      </c>
      <c r="Z696" s="65">
        <f>IF(VLOOKUP($D696,$C$5:$AU$836,3,)=0,0,(VLOOKUP($D696,$C$5:$AU$836,24,)/VLOOKUP($D696,$C$5:$AU$836,3,))*$E696)</f>
        <v>0</v>
      </c>
      <c r="AA696" s="65">
        <f>IF(VLOOKUP($D696,$C$5:$AU$836,3,)=0,0,(VLOOKUP($D696,$C$5:$AU$836,25,)/VLOOKUP($D696,$C$5:$AU$836,3,))*$E696)</f>
        <v>0</v>
      </c>
      <c r="AB696" s="65">
        <f>IF(VLOOKUP($D696,$C$5:$AU$836,3,)=0,0,(VLOOKUP($D696,$C$5:$AU$836,26,)/VLOOKUP($D696,$C$5:$AU$836,3,))*$E696)</f>
        <v>0</v>
      </c>
      <c r="AC696" s="65">
        <f>IF(VLOOKUP($D696,$C$5:$AU$836,3,)=0,0,(VLOOKUP($D696,$C$5:$AU$836,27,)/VLOOKUP($D696,$C$5:$AU$836,3,))*$E696)</f>
        <v>0</v>
      </c>
      <c r="AD696" s="65">
        <f>IF(VLOOKUP($D696,$C$5:$AU$836,3,)=0,0,(VLOOKUP($D696,$C$5:$AU$836,28,)/VLOOKUP($D696,$C$5:$AU$836,3,))*$E696)</f>
        <v>0</v>
      </c>
      <c r="AE696" s="65">
        <f>IF(VLOOKUP($D696,$C$5:$AU$836,3,)=0,0,(VLOOKUP($D696,$C$5:$AU$836,29,)/VLOOKUP($D696,$C$5:$AU$836,3,))*$E696)</f>
        <v>0</v>
      </c>
      <c r="AF696" s="65">
        <f>IF(VLOOKUP($D696,$C$5:$AU$836,3,)=0,0,(VLOOKUP($D696,$C$5:$AU$836,30,)/VLOOKUP($D696,$C$5:$AU$836,3,))*$E696)</f>
        <v>0</v>
      </c>
      <c r="AG696" s="16">
        <f>SUM(F696:AF696)</f>
        <v>12585111.896532001</v>
      </c>
      <c r="AH696" s="14" t="str">
        <f t="shared" si="498"/>
        <v>ok</v>
      </c>
    </row>
    <row r="697" spans="1:34" x14ac:dyDescent="0.25">
      <c r="A697" s="9" t="s">
        <v>845</v>
      </c>
      <c r="C697" s="9" t="s">
        <v>850</v>
      </c>
      <c r="E697" s="16">
        <f t="shared" ref="E697:AF697" si="502">E695+E696</f>
        <v>12726377.536532002</v>
      </c>
      <c r="F697" s="81">
        <f t="shared" si="502"/>
        <v>8239934.7865290642</v>
      </c>
      <c r="G697" s="16">
        <f t="shared" si="502"/>
        <v>1699201.3836494912</v>
      </c>
      <c r="H697" s="16">
        <f t="shared" si="502"/>
        <v>1758956.6885868264</v>
      </c>
      <c r="I697" s="16">
        <f t="shared" si="502"/>
        <v>605324.96208716405</v>
      </c>
      <c r="J697" s="16">
        <f t="shared" si="502"/>
        <v>223327.4973838435</v>
      </c>
      <c r="K697" s="16">
        <f t="shared" si="502"/>
        <v>0</v>
      </c>
      <c r="L697" s="16">
        <f t="shared" si="502"/>
        <v>83970</v>
      </c>
      <c r="M697" s="16">
        <f t="shared" si="502"/>
        <v>57295.64</v>
      </c>
      <c r="N697" s="16">
        <f t="shared" si="502"/>
        <v>58366.578295611253</v>
      </c>
      <c r="O697" s="16">
        <f t="shared" si="502"/>
        <v>0</v>
      </c>
      <c r="P697" s="31">
        <f t="shared" ref="P697:X697" si="503">P695-P696</f>
        <v>0</v>
      </c>
      <c r="Q697" s="31">
        <f t="shared" si="503"/>
        <v>0</v>
      </c>
      <c r="R697" s="31">
        <f t="shared" si="503"/>
        <v>0</v>
      </c>
      <c r="S697" s="31">
        <f t="shared" si="503"/>
        <v>0</v>
      </c>
      <c r="T697" s="31">
        <f t="shared" si="503"/>
        <v>0</v>
      </c>
      <c r="U697" s="31">
        <f t="shared" si="503"/>
        <v>0</v>
      </c>
      <c r="V697" s="31">
        <f t="shared" si="503"/>
        <v>0</v>
      </c>
      <c r="W697" s="31">
        <f t="shared" si="503"/>
        <v>0</v>
      </c>
      <c r="X697" s="31">
        <f t="shared" si="503"/>
        <v>0</v>
      </c>
      <c r="Y697" s="16">
        <f t="shared" si="502"/>
        <v>0</v>
      </c>
      <c r="Z697" s="16">
        <f t="shared" si="502"/>
        <v>0</v>
      </c>
      <c r="AA697" s="16">
        <f t="shared" si="502"/>
        <v>0</v>
      </c>
      <c r="AB697" s="16">
        <f t="shared" si="502"/>
        <v>0</v>
      </c>
      <c r="AC697" s="16">
        <f t="shared" si="502"/>
        <v>0</v>
      </c>
      <c r="AD697" s="16">
        <f t="shared" si="502"/>
        <v>0</v>
      </c>
      <c r="AE697" s="16">
        <f t="shared" si="502"/>
        <v>0</v>
      </c>
      <c r="AF697" s="16">
        <f t="shared" si="502"/>
        <v>0</v>
      </c>
      <c r="AG697" s="16">
        <f>ROUND(SUM(F697:AF697),2)</f>
        <v>12726377.539999999</v>
      </c>
      <c r="AH697" s="14" t="str">
        <f t="shared" si="498"/>
        <v>ok</v>
      </c>
    </row>
    <row r="698" spans="1:34" x14ac:dyDescent="0.25">
      <c r="A698" s="9" t="s">
        <v>846</v>
      </c>
      <c r="C698" s="9" t="s">
        <v>851</v>
      </c>
      <c r="D698" s="9" t="s">
        <v>850</v>
      </c>
      <c r="E698" s="144">
        <v>1</v>
      </c>
      <c r="F698" s="77">
        <f>IF(VLOOKUP($D698,$C$5:$AU$836,3,)=0,0,(VLOOKUP($D698,$C$5:$AU$836,4,)/VLOOKUP($D698,$C$5:$AU$836,3,))*$E698)</f>
        <v>0.64746898816067067</v>
      </c>
      <c r="G698" s="77">
        <f>IF(VLOOKUP($D698,$C$5:$AU$836,3,)=0,0,(VLOOKUP($D698,$C$5:$AU$836,5,)/VLOOKUP($D698,$C$5:$AU$836,3,))*$E698)</f>
        <v>0.13351807132640917</v>
      </c>
      <c r="H698" s="77">
        <f>IF(VLOOKUP($D698,$C$5:$AU$836,3,)=0,0,(VLOOKUP($D698,$C$5:$AU$836,6,)/VLOOKUP($D698,$C$5:$AU$836,3,))*$E698)</f>
        <v>0.1382134612569533</v>
      </c>
      <c r="I698" s="77">
        <f>IF(VLOOKUP($D698,$C$5:$AU$836,3,)=0,0,(VLOOKUP($D698,$C$5:$AU$836,7,)/VLOOKUP($D698,$C$5:$AU$836,3,))*$E698)</f>
        <v>4.7564592544071103E-2</v>
      </c>
      <c r="J698" s="77">
        <f>IF(VLOOKUP($D698,$C$5:$AU$836,3,)=0,0,(VLOOKUP($D698,$C$5:$AU$836,8,)/VLOOKUP($D698,$C$5:$AU$836,3,))*$E698)</f>
        <v>1.7548394799915806E-2</v>
      </c>
      <c r="K698" s="77">
        <f>IF(VLOOKUP($D698,$C$5:$AU$836,3,)=0,0,(VLOOKUP($D698,$C$5:$AU$836,9,)/VLOOKUP($D698,$C$5:$AU$836,3,))*$E698)</f>
        <v>0</v>
      </c>
      <c r="L698" s="77">
        <f>IF(VLOOKUP($D698,$C$5:$AU$836,3,)=0,0,(VLOOKUP($D698,$C$5:$AU$836,10,)/VLOOKUP($D698,$C$5:$AU$836,3,))*$E698)</f>
        <v>6.5981069443333696E-3</v>
      </c>
      <c r="M698" s="77">
        <f>IF(VLOOKUP($D698,$C$5:$AU$836,3,)=0,0,(VLOOKUP($D698,$C$5:$AU$836,11,)/VLOOKUP($D698,$C$5:$AU$836,3,))*$E698)</f>
        <v>4.5021169484818959E-3</v>
      </c>
      <c r="N698" s="77">
        <f>IF(VLOOKUP($D698,$C$5:$AU$836,3,)=0,0,(VLOOKUP($D698,$C$5:$AU$836,12,)/VLOOKUP($D698,$C$5:$AU$836,3,))*$E698)</f>
        <v>4.5862680191645815E-3</v>
      </c>
      <c r="O698" s="77">
        <f>IF(VLOOKUP($D698,$C$5:$AU$836,3,)=0,0,(VLOOKUP($D698,$C$5:$AU$836,13,)/VLOOKUP($D698,$C$5:$AU$836,3,))*$E698)</f>
        <v>0</v>
      </c>
      <c r="P698" s="31">
        <f t="shared" ref="P698:X698" si="504">P696-P697</f>
        <v>0</v>
      </c>
      <c r="Q698" s="31">
        <f t="shared" si="504"/>
        <v>0</v>
      </c>
      <c r="R698" s="31">
        <f t="shared" si="504"/>
        <v>0</v>
      </c>
      <c r="S698" s="31">
        <f t="shared" si="504"/>
        <v>0</v>
      </c>
      <c r="T698" s="31">
        <f t="shared" si="504"/>
        <v>0</v>
      </c>
      <c r="U698" s="31">
        <f t="shared" si="504"/>
        <v>0</v>
      </c>
      <c r="V698" s="31">
        <f t="shared" si="504"/>
        <v>0</v>
      </c>
      <c r="W698" s="31">
        <f t="shared" si="504"/>
        <v>0</v>
      </c>
      <c r="X698" s="31">
        <f t="shared" si="504"/>
        <v>0</v>
      </c>
      <c r="Y698" s="77">
        <f>IF(VLOOKUP($D698,$C$5:$AU$836,3,)=0,0,(VLOOKUP($D698,$C$5:$AU$836,23,)/VLOOKUP($D698,$C$5:$AU$836,3,))*$E698)</f>
        <v>0</v>
      </c>
      <c r="Z698" s="77">
        <f>IF(VLOOKUP($D698,$C$5:$AU$836,3,)=0,0,(VLOOKUP($D698,$C$5:$AU$836,24,)/VLOOKUP($D698,$C$5:$AU$836,3,))*$E698)</f>
        <v>0</v>
      </c>
      <c r="AA698" s="77">
        <f>IF(VLOOKUP($D698,$C$5:$AU$836,3,)=0,0,(VLOOKUP($D698,$C$5:$AU$836,25,)/VLOOKUP($D698,$C$5:$AU$836,3,))*$E698)</f>
        <v>0</v>
      </c>
      <c r="AB698" s="77">
        <f>IF(VLOOKUP($D698,$C$5:$AU$836,3,)=0,0,(VLOOKUP($D698,$C$5:$AU$836,26,)/VLOOKUP($D698,$C$5:$AU$836,3,))*$E698)</f>
        <v>0</v>
      </c>
      <c r="AC698" s="77">
        <f>IF(VLOOKUP($D698,$C$5:$AU$836,3,)=0,0,(VLOOKUP($D698,$C$5:$AU$836,27,)/VLOOKUP($D698,$C$5:$AU$836,3,))*$E698)</f>
        <v>0</v>
      </c>
      <c r="AD698" s="77">
        <f>IF(VLOOKUP($D698,$C$5:$AU$836,3,)=0,0,(VLOOKUP($D698,$C$5:$AU$836,28,)/VLOOKUP($D698,$C$5:$AU$836,3,))*$E698)</f>
        <v>0</v>
      </c>
      <c r="AE698" s="77">
        <f>IF(VLOOKUP($D698,$C$5:$AU$836,3,)=0,0,(VLOOKUP($D698,$C$5:$AU$836,29,)/VLOOKUP($D698,$C$5:$AU$836,3,))*$E698)</f>
        <v>0</v>
      </c>
      <c r="AF698" s="77">
        <f>IF(VLOOKUP($D698,$C$5:$AU$836,3,)=0,0,(VLOOKUP($D698,$C$5:$AU$836,30,)/VLOOKUP($D698,$C$5:$AU$836,3,))*$E698)</f>
        <v>0</v>
      </c>
      <c r="AG698" s="145">
        <f>SUM(F698:AF698)</f>
        <v>0.99999999999999989</v>
      </c>
      <c r="AH698" s="14" t="str">
        <f t="shared" si="498"/>
        <v>ok</v>
      </c>
    </row>
    <row r="699" spans="1:34" x14ac:dyDescent="0.25">
      <c r="P699" s="31">
        <f t="shared" ref="P699:X699" si="505">P697-P698</f>
        <v>0</v>
      </c>
      <c r="Q699" s="31">
        <f t="shared" si="505"/>
        <v>0</v>
      </c>
      <c r="R699" s="31">
        <f t="shared" si="505"/>
        <v>0</v>
      </c>
      <c r="S699" s="31">
        <f t="shared" si="505"/>
        <v>0</v>
      </c>
      <c r="T699" s="31">
        <f t="shared" si="505"/>
        <v>0</v>
      </c>
      <c r="U699" s="31">
        <f t="shared" si="505"/>
        <v>0</v>
      </c>
      <c r="V699" s="31">
        <f t="shared" si="505"/>
        <v>0</v>
      </c>
      <c r="W699" s="31">
        <f t="shared" si="505"/>
        <v>0</v>
      </c>
      <c r="X699" s="31">
        <f t="shared" si="505"/>
        <v>0</v>
      </c>
    </row>
    <row r="700" spans="1:34" x14ac:dyDescent="0.25">
      <c r="A700" s="2" t="s">
        <v>602</v>
      </c>
      <c r="C700" s="2" t="s">
        <v>606</v>
      </c>
      <c r="E700" s="17">
        <v>330681.98986243398</v>
      </c>
      <c r="F700" s="17">
        <f t="shared" ref="F700:AF700" si="506">F638</f>
        <v>235034</v>
      </c>
      <c r="G700" s="17">
        <f t="shared" si="506"/>
        <v>15382</v>
      </c>
      <c r="H700" s="17">
        <f t="shared" si="506"/>
        <v>39056</v>
      </c>
      <c r="I700" s="17">
        <f t="shared" si="506"/>
        <v>4015</v>
      </c>
      <c r="J700" s="17">
        <f t="shared" si="506"/>
        <v>3938</v>
      </c>
      <c r="K700" s="17">
        <f>K638</f>
        <v>2171.52</v>
      </c>
      <c r="L700" s="17">
        <f t="shared" si="506"/>
        <v>15287.041000000001</v>
      </c>
      <c r="M700" s="17">
        <f t="shared" si="506"/>
        <v>11484.12</v>
      </c>
      <c r="N700" s="17">
        <f t="shared" si="506"/>
        <v>4314.3088624338625</v>
      </c>
      <c r="O700" s="17">
        <f t="shared" si="506"/>
        <v>0</v>
      </c>
      <c r="P700" s="31">
        <f t="shared" ref="P700:X700" si="507">P698-P699</f>
        <v>0</v>
      </c>
      <c r="Q700" s="31">
        <f t="shared" si="507"/>
        <v>0</v>
      </c>
      <c r="R700" s="31">
        <f t="shared" si="507"/>
        <v>0</v>
      </c>
      <c r="S700" s="31">
        <f t="shared" si="507"/>
        <v>0</v>
      </c>
      <c r="T700" s="31">
        <f t="shared" si="507"/>
        <v>0</v>
      </c>
      <c r="U700" s="31">
        <f t="shared" si="507"/>
        <v>0</v>
      </c>
      <c r="V700" s="31">
        <f t="shared" si="507"/>
        <v>0</v>
      </c>
      <c r="W700" s="31">
        <f t="shared" si="507"/>
        <v>0</v>
      </c>
      <c r="X700" s="31">
        <f t="shared" si="507"/>
        <v>0</v>
      </c>
      <c r="Y700" s="17">
        <f t="shared" si="506"/>
        <v>0</v>
      </c>
      <c r="Z700" s="17">
        <f t="shared" si="506"/>
        <v>0</v>
      </c>
      <c r="AA700" s="17">
        <f t="shared" si="506"/>
        <v>0</v>
      </c>
      <c r="AB700" s="17">
        <f t="shared" si="506"/>
        <v>0</v>
      </c>
      <c r="AC700" s="17">
        <f t="shared" si="506"/>
        <v>0</v>
      </c>
      <c r="AD700" s="17">
        <f t="shared" si="506"/>
        <v>0</v>
      </c>
      <c r="AE700" s="17">
        <f t="shared" si="506"/>
        <v>0</v>
      </c>
      <c r="AF700" s="17">
        <f t="shared" si="506"/>
        <v>0</v>
      </c>
      <c r="AG700" s="17">
        <f>SUM(F700:AF700)</f>
        <v>330681.98986243393</v>
      </c>
      <c r="AH700" s="14" t="str">
        <f t="shared" ref="AH700:AH705" si="508">IF(ABS(E700-AG700)&lt;0.01,"ok","err")</f>
        <v>ok</v>
      </c>
    </row>
    <row r="701" spans="1:34" x14ac:dyDescent="0.25">
      <c r="A701" s="2" t="s">
        <v>603</v>
      </c>
      <c r="E701" s="16">
        <f>'[1]Functional Assignment'!Q48</f>
        <v>5221144.83</v>
      </c>
      <c r="P701" s="31">
        <f t="shared" ref="P701:X701" si="509">P699-P700</f>
        <v>0</v>
      </c>
      <c r="Q701" s="31">
        <f t="shared" si="509"/>
        <v>0</v>
      </c>
      <c r="R701" s="31">
        <f t="shared" si="509"/>
        <v>0</v>
      </c>
      <c r="S701" s="31">
        <f t="shared" si="509"/>
        <v>0</v>
      </c>
      <c r="T701" s="31">
        <f t="shared" si="509"/>
        <v>0</v>
      </c>
      <c r="U701" s="31">
        <f t="shared" si="509"/>
        <v>0</v>
      </c>
      <c r="V701" s="31">
        <f t="shared" si="509"/>
        <v>0</v>
      </c>
      <c r="W701" s="31">
        <f t="shared" si="509"/>
        <v>0</v>
      </c>
      <c r="X701" s="31">
        <f t="shared" si="509"/>
        <v>0</v>
      </c>
      <c r="AG701" s="33">
        <f>E701</f>
        <v>5221144.83</v>
      </c>
      <c r="AH701" s="14" t="str">
        <f t="shared" si="508"/>
        <v>ok</v>
      </c>
    </row>
    <row r="702" spans="1:34" x14ac:dyDescent="0.25">
      <c r="A702" s="2" t="s">
        <v>594</v>
      </c>
      <c r="E702" s="13">
        <v>0</v>
      </c>
      <c r="P702" s="31">
        <f t="shared" ref="P702:X702" si="510">P700-P701</f>
        <v>0</v>
      </c>
      <c r="Q702" s="31">
        <f t="shared" si="510"/>
        <v>0</v>
      </c>
      <c r="R702" s="31">
        <f t="shared" si="510"/>
        <v>0</v>
      </c>
      <c r="S702" s="31">
        <f t="shared" si="510"/>
        <v>0</v>
      </c>
      <c r="T702" s="31">
        <f t="shared" si="510"/>
        <v>0</v>
      </c>
      <c r="U702" s="31">
        <f t="shared" si="510"/>
        <v>0</v>
      </c>
      <c r="V702" s="31">
        <f t="shared" si="510"/>
        <v>0</v>
      </c>
      <c r="W702" s="31">
        <f t="shared" si="510"/>
        <v>0</v>
      </c>
      <c r="X702" s="31">
        <f t="shared" si="510"/>
        <v>0</v>
      </c>
      <c r="AG702" s="33">
        <f>SUM(F702:AF702)</f>
        <v>0</v>
      </c>
      <c r="AH702" s="14" t="str">
        <f t="shared" si="508"/>
        <v>ok</v>
      </c>
    </row>
    <row r="703" spans="1:34" x14ac:dyDescent="0.25">
      <c r="A703" s="2" t="s">
        <v>604</v>
      </c>
      <c r="D703" s="2" t="s">
        <v>606</v>
      </c>
      <c r="E703" s="33">
        <f>E701-E702</f>
        <v>5221144.83</v>
      </c>
      <c r="F703" s="65">
        <f>IF(VLOOKUP($D703,$C$5:$AU$836,3,)=0,0,(VLOOKUP($D703,$C$5:$AU$836,4,)/VLOOKUP($D703,$C$5:$AU$836,3,))*$E703)</f>
        <v>3710956.7245700969</v>
      </c>
      <c r="G703" s="65">
        <f>IF(VLOOKUP($D703,$C$5:$AU$836,3,)=0,0,(VLOOKUP($D703,$C$5:$AU$836,5,)/VLOOKUP($D703,$C$5:$AU$836,3,))*$E703)</f>
        <v>242866.71859108566</v>
      </c>
      <c r="H703" s="65">
        <f>IF(VLOOKUP($D703,$C$5:$AU$836,3,)=0,0,(VLOOKUP($D703,$C$5:$AU$836,6,)/VLOOKUP($D703,$C$5:$AU$836,3,))*$E703)</f>
        <v>616655.99800373439</v>
      </c>
      <c r="I703" s="65">
        <f>IF(VLOOKUP($D703,$C$5:$AU$836,3,)=0,0,(VLOOKUP($D703,$C$5:$AU$836,7,)/VLOOKUP($D703,$C$5:$AU$836,3,))*$E703)</f>
        <v>63392.918680484268</v>
      </c>
      <c r="J703" s="65">
        <f>IF(VLOOKUP($D703,$C$5:$AU$836,3,)=0,0,(VLOOKUP($D703,$C$5:$AU$836,8,)/VLOOKUP($D703,$C$5:$AU$836,3,))*$E703)</f>
        <v>62177.164075653061</v>
      </c>
      <c r="K703" s="65">
        <f>IF(VLOOKUP($D703,$C$5:$AU$836,3,)=0,0,(VLOOKUP($D703,$C$5:$AU$836,9,)/VLOOKUP($D703,$C$5:$AU$836,3,))*$E703)</f>
        <v>34286.174538741019</v>
      </c>
      <c r="L703" s="65">
        <f>IF(VLOOKUP($D703,$C$5:$AU$836,3,)=0,0,(VLOOKUP($D703,$C$5:$AU$836,10,)/VLOOKUP($D703,$C$5:$AU$836,3,))*$E703)</f>
        <v>241367.40896095367</v>
      </c>
      <c r="M703" s="65">
        <f>IF(VLOOKUP($D703,$C$5:$AU$836,3,)=0,0,(VLOOKUP($D703,$C$5:$AU$836,11,)/VLOOKUP($D703,$C$5:$AU$836,3,))*$E703)</f>
        <v>181323.01003161221</v>
      </c>
      <c r="N703" s="65">
        <f>IF(VLOOKUP($D703,$C$5:$AU$836,3,)=0,0,(VLOOKUP($D703,$C$5:$AU$836,12,)/VLOOKUP($D703,$C$5:$AU$836,3,))*$E703)</f>
        <v>68118.712547636969</v>
      </c>
      <c r="O703" s="65">
        <f>IF(VLOOKUP($D703,$C$5:$AU$836,3,)=0,0,(VLOOKUP($D703,$C$5:$AU$836,13,)/VLOOKUP($D703,$C$5:$AU$836,3,))*$E703)</f>
        <v>0</v>
      </c>
      <c r="P703" s="31">
        <f t="shared" ref="P703:X703" si="511">P701-P702</f>
        <v>0</v>
      </c>
      <c r="Q703" s="31">
        <f t="shared" si="511"/>
        <v>0</v>
      </c>
      <c r="R703" s="31">
        <f t="shared" si="511"/>
        <v>0</v>
      </c>
      <c r="S703" s="31">
        <f t="shared" si="511"/>
        <v>0</v>
      </c>
      <c r="T703" s="31">
        <f t="shared" si="511"/>
        <v>0</v>
      </c>
      <c r="U703" s="31">
        <f t="shared" si="511"/>
        <v>0</v>
      </c>
      <c r="V703" s="31">
        <f t="shared" si="511"/>
        <v>0</v>
      </c>
      <c r="W703" s="31">
        <f t="shared" si="511"/>
        <v>0</v>
      </c>
      <c r="X703" s="31">
        <f t="shared" si="511"/>
        <v>0</v>
      </c>
      <c r="Y703" s="65">
        <f>IF(VLOOKUP($D703,$C$5:$AU$836,3,)=0,0,(VLOOKUP($D703,$C$5:$AU$836,23,)/VLOOKUP($D703,$C$5:$AU$836,3,))*$E703)</f>
        <v>0</v>
      </c>
      <c r="Z703" s="65">
        <f>IF(VLOOKUP($D703,$C$5:$AU$836,3,)=0,0,(VLOOKUP($D703,$C$5:$AU$836,24,)/VLOOKUP($D703,$C$5:$AU$836,3,))*$E703)</f>
        <v>0</v>
      </c>
      <c r="AA703" s="65">
        <f>IF(VLOOKUP($D703,$C$5:$AU$836,3,)=0,0,(VLOOKUP($D703,$C$5:$AU$836,25,)/VLOOKUP($D703,$C$5:$AU$836,3,))*$E703)</f>
        <v>0</v>
      </c>
      <c r="AB703" s="65">
        <f>IF(VLOOKUP($D703,$C$5:$AU$836,3,)=0,0,(VLOOKUP($D703,$C$5:$AU$836,26,)/VLOOKUP($D703,$C$5:$AU$836,3,))*$E703)</f>
        <v>0</v>
      </c>
      <c r="AC703" s="65">
        <f>IF(VLOOKUP($D703,$C$5:$AU$836,3,)=0,0,(VLOOKUP($D703,$C$5:$AU$836,27,)/VLOOKUP($D703,$C$5:$AU$836,3,))*$E703)</f>
        <v>0</v>
      </c>
      <c r="AD703" s="65">
        <f>IF(VLOOKUP($D703,$C$5:$AU$836,3,)=0,0,(VLOOKUP($D703,$C$5:$AU$836,28,)/VLOOKUP($D703,$C$5:$AU$836,3,))*$E703)</f>
        <v>0</v>
      </c>
      <c r="AE703" s="65">
        <f>IF(VLOOKUP($D703,$C$5:$AU$836,3,)=0,0,(VLOOKUP($D703,$C$5:$AU$836,29,)/VLOOKUP($D703,$C$5:$AU$836,3,))*$E703)</f>
        <v>0</v>
      </c>
      <c r="AF703" s="65">
        <f>IF(VLOOKUP($D703,$C$5:$AU$836,3,)=0,0,(VLOOKUP($D703,$C$5:$AU$836,30,)/VLOOKUP($D703,$C$5:$AU$836,3,))*$E703)</f>
        <v>0</v>
      </c>
      <c r="AG703" s="33">
        <f>SUM(F703:AF703)</f>
        <v>5221144.8299999982</v>
      </c>
      <c r="AH703" s="14" t="str">
        <f t="shared" si="508"/>
        <v>ok</v>
      </c>
    </row>
    <row r="704" spans="1:34" x14ac:dyDescent="0.25">
      <c r="A704" s="2" t="s">
        <v>605</v>
      </c>
      <c r="C704" s="2" t="s">
        <v>607</v>
      </c>
      <c r="E704" s="16">
        <f t="shared" ref="E704:AF704" si="512">E702+E703</f>
        <v>5221144.83</v>
      </c>
      <c r="F704" s="81">
        <f t="shared" si="512"/>
        <v>3710956.7245700969</v>
      </c>
      <c r="G704" s="16">
        <f t="shared" si="512"/>
        <v>242866.71859108566</v>
      </c>
      <c r="H704" s="16">
        <f t="shared" si="512"/>
        <v>616655.99800373439</v>
      </c>
      <c r="I704" s="16">
        <f t="shared" si="512"/>
        <v>63392.918680484268</v>
      </c>
      <c r="J704" s="16">
        <f t="shared" si="512"/>
        <v>62177.164075653061</v>
      </c>
      <c r="K704" s="16">
        <f t="shared" si="512"/>
        <v>34286.174538741019</v>
      </c>
      <c r="L704" s="16">
        <f t="shared" si="512"/>
        <v>241367.40896095367</v>
      </c>
      <c r="M704" s="16">
        <f>M702+M703</f>
        <v>181323.01003161221</v>
      </c>
      <c r="N704" s="16">
        <f>N702+N703</f>
        <v>68118.712547636969</v>
      </c>
      <c r="O704" s="16">
        <f t="shared" si="512"/>
        <v>0</v>
      </c>
      <c r="P704" s="31">
        <f t="shared" ref="P704:X704" si="513">P702-P703</f>
        <v>0</v>
      </c>
      <c r="Q704" s="31">
        <f t="shared" si="513"/>
        <v>0</v>
      </c>
      <c r="R704" s="31">
        <f t="shared" si="513"/>
        <v>0</v>
      </c>
      <c r="S704" s="31">
        <f t="shared" si="513"/>
        <v>0</v>
      </c>
      <c r="T704" s="31">
        <f t="shared" si="513"/>
        <v>0</v>
      </c>
      <c r="U704" s="31">
        <f t="shared" si="513"/>
        <v>0</v>
      </c>
      <c r="V704" s="31">
        <f t="shared" si="513"/>
        <v>0</v>
      </c>
      <c r="W704" s="31">
        <f t="shared" si="513"/>
        <v>0</v>
      </c>
      <c r="X704" s="31">
        <f t="shared" si="513"/>
        <v>0</v>
      </c>
      <c r="Y704" s="16">
        <f t="shared" si="512"/>
        <v>0</v>
      </c>
      <c r="Z704" s="16">
        <f t="shared" si="512"/>
        <v>0</v>
      </c>
      <c r="AA704" s="16">
        <f t="shared" si="512"/>
        <v>0</v>
      </c>
      <c r="AB704" s="16">
        <f t="shared" si="512"/>
        <v>0</v>
      </c>
      <c r="AC704" s="16">
        <f t="shared" si="512"/>
        <v>0</v>
      </c>
      <c r="AD704" s="16">
        <f t="shared" si="512"/>
        <v>0</v>
      </c>
      <c r="AE704" s="16">
        <f t="shared" si="512"/>
        <v>0</v>
      </c>
      <c r="AF704" s="16">
        <f t="shared" si="512"/>
        <v>0</v>
      </c>
      <c r="AG704" s="33">
        <f>ROUND(SUM(F704:AF704),2)</f>
        <v>5221144.83</v>
      </c>
      <c r="AH704" s="14" t="str">
        <f t="shared" si="508"/>
        <v>ok</v>
      </c>
    </row>
    <row r="705" spans="1:34" x14ac:dyDescent="0.25">
      <c r="A705" s="2" t="s">
        <v>622</v>
      </c>
      <c r="C705" s="2" t="s">
        <v>608</v>
      </c>
      <c r="D705" s="2" t="s">
        <v>607</v>
      </c>
      <c r="E705" s="43">
        <v>1</v>
      </c>
      <c r="F705" s="77">
        <f>IF(VLOOKUP($D705,$C$5:$AU$836,3,)=0,0,(VLOOKUP($D705,$C$5:$AU$836,4,)/VLOOKUP($D705,$C$5:$AU$836,3,))*$E705)</f>
        <v>0.71075536982759713</v>
      </c>
      <c r="G705" s="77">
        <f>IF(VLOOKUP($D705,$C$5:$AU$836,3,)=0,0,(VLOOKUP($D705,$C$5:$AU$836,5,)/VLOOKUP($D705,$C$5:$AU$836,3,))*$E705)</f>
        <v>4.6515989595922715E-2</v>
      </c>
      <c r="H705" s="77">
        <f>IF(VLOOKUP($D705,$C$5:$AU$836,3,)=0,0,(VLOOKUP($D705,$C$5:$AU$836,6,)/VLOOKUP($D705,$C$5:$AU$836,3,))*$E705)</f>
        <v>0.1181074300909087</v>
      </c>
      <c r="I705" s="77">
        <f>IF(VLOOKUP($D705,$C$5:$AU$836,3,)=0,0,(VLOOKUP($D705,$C$5:$AU$836,7,)/VLOOKUP($D705,$C$5:$AU$836,3,))*$E705)</f>
        <v>1.2141574452452848E-2</v>
      </c>
      <c r="J705" s="77">
        <f>IF(VLOOKUP($D705,$C$5:$AU$836,3,)=0,0,(VLOOKUP($D705,$C$5:$AU$836,8,)/VLOOKUP($D705,$C$5:$AU$836,3,))*$E705)</f>
        <v>1.190872233966608E-2</v>
      </c>
      <c r="K705" s="77">
        <f>IF(VLOOKUP($D705,$C$5:$AU$836,3,)=0,0,(VLOOKUP($D705,$C$5:$AU$836,9,)/VLOOKUP($D705,$C$5:$AU$836,3,))*$E705)</f>
        <v>6.5667924669963653E-3</v>
      </c>
      <c r="L705" s="77">
        <f>IF(VLOOKUP($D705,$C$5:$AU$836,3,)=0,0,(VLOOKUP($D705,$C$5:$AU$836,10,)/VLOOKUP($D705,$C$5:$AU$836,3,))*$E705)</f>
        <v>4.6228828507895205E-2</v>
      </c>
      <c r="M705" s="77">
        <f>IF(VLOOKUP($D705,$C$5:$AU$836,3,)=0,0,(VLOOKUP($D705,$C$5:$AU$836,11,)/VLOOKUP($D705,$C$5:$AU$836,3,))*$E705)</f>
        <v>3.472859227917878E-2</v>
      </c>
      <c r="N705" s="77">
        <f>IF(VLOOKUP($D705,$C$5:$AU$836,3,)=0,0,(VLOOKUP($D705,$C$5:$AU$836,12,)/VLOOKUP($D705,$C$5:$AU$836,3,))*$E705)</f>
        <v>1.3046700439381791E-2</v>
      </c>
      <c r="O705" s="77">
        <f>IF(VLOOKUP($D705,$C$5:$AU$836,3,)=0,0,(VLOOKUP($D705,$C$5:$AU$836,13,)/VLOOKUP($D705,$C$5:$AU$836,3,))*$E705)</f>
        <v>0</v>
      </c>
      <c r="P705" s="31">
        <f t="shared" ref="P705:X705" si="514">P703-P704</f>
        <v>0</v>
      </c>
      <c r="Q705" s="31">
        <f t="shared" si="514"/>
        <v>0</v>
      </c>
      <c r="R705" s="31">
        <f t="shared" si="514"/>
        <v>0</v>
      </c>
      <c r="S705" s="31">
        <f t="shared" si="514"/>
        <v>0</v>
      </c>
      <c r="T705" s="31">
        <f t="shared" si="514"/>
        <v>0</v>
      </c>
      <c r="U705" s="31">
        <f t="shared" si="514"/>
        <v>0</v>
      </c>
      <c r="V705" s="31">
        <f t="shared" si="514"/>
        <v>0</v>
      </c>
      <c r="W705" s="31">
        <f t="shared" si="514"/>
        <v>0</v>
      </c>
      <c r="X705" s="31">
        <f t="shared" si="514"/>
        <v>0</v>
      </c>
      <c r="Y705" s="77">
        <f>IF(VLOOKUP($D705,$C$5:$AU$836,3,)=0,0,(VLOOKUP($D705,$C$5:$AU$836,23,)/VLOOKUP($D705,$C$5:$AU$836,3,))*$E705)</f>
        <v>0</v>
      </c>
      <c r="Z705" s="77">
        <f>IF(VLOOKUP($D705,$C$5:$AU$836,3,)=0,0,(VLOOKUP($D705,$C$5:$AU$836,24,)/VLOOKUP($D705,$C$5:$AU$836,3,))*$E705)</f>
        <v>0</v>
      </c>
      <c r="AA705" s="77">
        <f>IF(VLOOKUP($D705,$C$5:$AU$836,3,)=0,0,(VLOOKUP($D705,$C$5:$AU$836,25,)/VLOOKUP($D705,$C$5:$AU$836,3,))*$E705)</f>
        <v>0</v>
      </c>
      <c r="AB705" s="77">
        <f>IF(VLOOKUP($D705,$C$5:$AU$836,3,)=0,0,(VLOOKUP($D705,$C$5:$AU$836,26,)/VLOOKUP($D705,$C$5:$AU$836,3,))*$E705)</f>
        <v>0</v>
      </c>
      <c r="AC705" s="77">
        <f>IF(VLOOKUP($D705,$C$5:$AU$836,3,)=0,0,(VLOOKUP($D705,$C$5:$AU$836,27,)/VLOOKUP($D705,$C$5:$AU$836,3,))*$E705)</f>
        <v>0</v>
      </c>
      <c r="AD705" s="77">
        <f>IF(VLOOKUP($D705,$C$5:$AU$836,3,)=0,0,(VLOOKUP($D705,$C$5:$AU$836,28,)/VLOOKUP($D705,$C$5:$AU$836,3,))*$E705)</f>
        <v>0</v>
      </c>
      <c r="AE705" s="77">
        <f>IF(VLOOKUP($D705,$C$5:$AU$836,3,)=0,0,(VLOOKUP($D705,$C$5:$AU$836,29,)/VLOOKUP($D705,$C$5:$AU$836,3,))*$E705)</f>
        <v>0</v>
      </c>
      <c r="AF705" s="77">
        <f>IF(VLOOKUP($D705,$C$5:$AU$836,3,)=0,0,(VLOOKUP($D705,$C$5:$AU$836,30,)/VLOOKUP($D705,$C$5:$AU$836,3,))*$E705)</f>
        <v>0</v>
      </c>
      <c r="AG705" s="78">
        <f>SUM(F705:AF705)</f>
        <v>0.99999999999999978</v>
      </c>
      <c r="AH705" s="14" t="str">
        <f t="shared" si="508"/>
        <v>ok</v>
      </c>
    </row>
    <row r="706" spans="1:34" x14ac:dyDescent="0.25">
      <c r="P706" s="31">
        <f t="shared" ref="P706:X706" si="515">P704-P705</f>
        <v>0</v>
      </c>
      <c r="Q706" s="31">
        <f t="shared" si="515"/>
        <v>0</v>
      </c>
      <c r="R706" s="31">
        <f t="shared" si="515"/>
        <v>0</v>
      </c>
      <c r="S706" s="31">
        <f t="shared" si="515"/>
        <v>0</v>
      </c>
      <c r="T706" s="31">
        <f t="shared" si="515"/>
        <v>0</v>
      </c>
      <c r="U706" s="31">
        <f t="shared" si="515"/>
        <v>0</v>
      </c>
      <c r="V706" s="31">
        <f t="shared" si="515"/>
        <v>0</v>
      </c>
      <c r="W706" s="31">
        <f t="shared" si="515"/>
        <v>0</v>
      </c>
      <c r="X706" s="31">
        <f t="shared" si="515"/>
        <v>0</v>
      </c>
    </row>
    <row r="707" spans="1:34" x14ac:dyDescent="0.25">
      <c r="A707" s="2" t="s">
        <v>602</v>
      </c>
      <c r="C707" s="2" t="s">
        <v>618</v>
      </c>
      <c r="E707" s="17">
        <f>E700</f>
        <v>330681.98986243398</v>
      </c>
      <c r="F707" s="31">
        <f>F700</f>
        <v>235034</v>
      </c>
      <c r="G707" s="31">
        <f t="shared" ref="G707:AF707" si="516">G700</f>
        <v>15382</v>
      </c>
      <c r="H707" s="31">
        <f t="shared" si="516"/>
        <v>39056</v>
      </c>
      <c r="I707" s="31">
        <f t="shared" si="516"/>
        <v>4015</v>
      </c>
      <c r="J707" s="31">
        <f t="shared" si="516"/>
        <v>3938</v>
      </c>
      <c r="K707" s="31">
        <f t="shared" si="516"/>
        <v>2171.52</v>
      </c>
      <c r="L707" s="31">
        <f t="shared" si="516"/>
        <v>15287.041000000001</v>
      </c>
      <c r="M707" s="31">
        <f t="shared" si="516"/>
        <v>11484.12</v>
      </c>
      <c r="N707" s="31">
        <f t="shared" si="516"/>
        <v>4314.3088624338625</v>
      </c>
      <c r="O707" s="31">
        <f t="shared" si="516"/>
        <v>0</v>
      </c>
      <c r="P707" s="31">
        <f t="shared" ref="P707:X707" si="517">P705-P706</f>
        <v>0</v>
      </c>
      <c r="Q707" s="31">
        <f t="shared" si="517"/>
        <v>0</v>
      </c>
      <c r="R707" s="31">
        <f t="shared" si="517"/>
        <v>0</v>
      </c>
      <c r="S707" s="31">
        <f t="shared" si="517"/>
        <v>0</v>
      </c>
      <c r="T707" s="31">
        <f t="shared" si="517"/>
        <v>0</v>
      </c>
      <c r="U707" s="31">
        <f t="shared" si="517"/>
        <v>0</v>
      </c>
      <c r="V707" s="31">
        <f t="shared" si="517"/>
        <v>0</v>
      </c>
      <c r="W707" s="31">
        <f t="shared" si="517"/>
        <v>0</v>
      </c>
      <c r="X707" s="31">
        <f t="shared" si="517"/>
        <v>0</v>
      </c>
      <c r="Y707" s="31">
        <f t="shared" si="516"/>
        <v>0</v>
      </c>
      <c r="Z707" s="31">
        <f t="shared" si="516"/>
        <v>0</v>
      </c>
      <c r="AA707" s="31">
        <f t="shared" si="516"/>
        <v>0</v>
      </c>
      <c r="AB707" s="31">
        <f t="shared" si="516"/>
        <v>0</v>
      </c>
      <c r="AC707" s="31">
        <f t="shared" si="516"/>
        <v>0</v>
      </c>
      <c r="AD707" s="31">
        <f t="shared" si="516"/>
        <v>0</v>
      </c>
      <c r="AE707" s="31">
        <f t="shared" si="516"/>
        <v>0</v>
      </c>
      <c r="AF707" s="31">
        <f t="shared" si="516"/>
        <v>0</v>
      </c>
      <c r="AG707" s="17">
        <f>ROUND(SUM(F707:AF707),2)</f>
        <v>330681.99</v>
      </c>
      <c r="AH707" s="14" t="str">
        <f t="shared" ref="AH707:AH712" si="518">IF(ABS(E707-AG707)&lt;0.01,"ok","err")</f>
        <v>ok</v>
      </c>
    </row>
    <row r="708" spans="1:34" x14ac:dyDescent="0.25">
      <c r="A708" s="2" t="s">
        <v>603</v>
      </c>
      <c r="E708" s="16">
        <f>E701</f>
        <v>5221144.83</v>
      </c>
      <c r="P708" s="31">
        <f t="shared" ref="P708:X708" si="519">P706-P707</f>
        <v>0</v>
      </c>
      <c r="Q708" s="31">
        <f t="shared" si="519"/>
        <v>0</v>
      </c>
      <c r="R708" s="31">
        <f t="shared" si="519"/>
        <v>0</v>
      </c>
      <c r="S708" s="31">
        <f t="shared" si="519"/>
        <v>0</v>
      </c>
      <c r="T708" s="31">
        <f t="shared" si="519"/>
        <v>0</v>
      </c>
      <c r="U708" s="31">
        <f t="shared" si="519"/>
        <v>0</v>
      </c>
      <c r="V708" s="31">
        <f t="shared" si="519"/>
        <v>0</v>
      </c>
      <c r="W708" s="31">
        <f t="shared" si="519"/>
        <v>0</v>
      </c>
      <c r="X708" s="31">
        <f t="shared" si="519"/>
        <v>0</v>
      </c>
      <c r="AG708" s="16">
        <f>E708</f>
        <v>5221144.83</v>
      </c>
      <c r="AH708" s="14" t="str">
        <f t="shared" si="518"/>
        <v>ok</v>
      </c>
    </row>
    <row r="709" spans="1:34" x14ac:dyDescent="0.25">
      <c r="A709" s="2" t="s">
        <v>594</v>
      </c>
      <c r="E709" s="13">
        <v>0</v>
      </c>
      <c r="P709" s="31">
        <f t="shared" ref="P709:X709" si="520">P707-P708</f>
        <v>0</v>
      </c>
      <c r="Q709" s="31">
        <f t="shared" si="520"/>
        <v>0</v>
      </c>
      <c r="R709" s="31">
        <f t="shared" si="520"/>
        <v>0</v>
      </c>
      <c r="S709" s="31">
        <f t="shared" si="520"/>
        <v>0</v>
      </c>
      <c r="T709" s="31">
        <f t="shared" si="520"/>
        <v>0</v>
      </c>
      <c r="U709" s="31">
        <f t="shared" si="520"/>
        <v>0</v>
      </c>
      <c r="V709" s="31">
        <f t="shared" si="520"/>
        <v>0</v>
      </c>
      <c r="W709" s="31">
        <f t="shared" si="520"/>
        <v>0</v>
      </c>
      <c r="X709" s="31">
        <f t="shared" si="520"/>
        <v>0</v>
      </c>
      <c r="AG709" s="16">
        <f>ROUND(SUM(F709:AF709),2)</f>
        <v>0</v>
      </c>
      <c r="AH709" s="14" t="str">
        <f t="shared" si="518"/>
        <v>ok</v>
      </c>
    </row>
    <row r="710" spans="1:34" x14ac:dyDescent="0.25">
      <c r="A710" s="2" t="s">
        <v>604</v>
      </c>
      <c r="D710" s="2" t="s">
        <v>618</v>
      </c>
      <c r="E710" s="16">
        <f>E708-E709</f>
        <v>5221144.83</v>
      </c>
      <c r="F710" s="65">
        <f>IF(VLOOKUP($D710,$C$5:$AU$836,3,)=0,0,(VLOOKUP($D710,$C$5:$AU$836,4,)/VLOOKUP($D710,$C$5:$AU$836,3,))*$E710)</f>
        <v>3710956.7245700969</v>
      </c>
      <c r="G710" s="65">
        <f>IF(VLOOKUP($D710,$C$5:$AU$836,3,)=0,0,(VLOOKUP($D710,$C$5:$AU$836,5,)/VLOOKUP($D710,$C$5:$AU$836,3,))*$E710)</f>
        <v>242866.71859108566</v>
      </c>
      <c r="H710" s="65">
        <f>IF(VLOOKUP($D710,$C$5:$AU$836,3,)=0,0,(VLOOKUP($D710,$C$5:$AU$836,6,)/VLOOKUP($D710,$C$5:$AU$836,3,))*$E710)</f>
        <v>616655.99800373439</v>
      </c>
      <c r="I710" s="65">
        <f>IF(VLOOKUP($D710,$C$5:$AU$836,3,)=0,0,(VLOOKUP($D710,$C$5:$AU$836,7,)/VLOOKUP($D710,$C$5:$AU$836,3,))*$E710)</f>
        <v>63392.918680484268</v>
      </c>
      <c r="J710" s="65">
        <f>IF(VLOOKUP($D710,$C$5:$AU$836,3,)=0,0,(VLOOKUP($D710,$C$5:$AU$836,8,)/VLOOKUP($D710,$C$5:$AU$836,3,))*$E710)</f>
        <v>62177.164075653061</v>
      </c>
      <c r="K710" s="65">
        <f>IF(VLOOKUP($D710,$C$5:$AU$836,3,)=0,0,(VLOOKUP($D710,$C$5:$AU$836,9,)/VLOOKUP($D710,$C$5:$AU$836,3,))*$E710)</f>
        <v>34286.174538741019</v>
      </c>
      <c r="L710" s="65">
        <f>IF(VLOOKUP($D710,$C$5:$AU$836,3,)=0,0,(VLOOKUP($D710,$C$5:$AU$836,10,)/VLOOKUP($D710,$C$5:$AU$836,3,))*$E710)</f>
        <v>241367.40896095367</v>
      </c>
      <c r="M710" s="65">
        <f>IF(VLOOKUP($D710,$C$5:$AU$836,3,)=0,0,(VLOOKUP($D710,$C$5:$AU$836,11,)/VLOOKUP($D710,$C$5:$AU$836,3,))*$E710)</f>
        <v>181323.01003161221</v>
      </c>
      <c r="N710" s="65">
        <f>IF(VLOOKUP($D710,$C$5:$AU$836,3,)=0,0,(VLOOKUP($D710,$C$5:$AU$836,12,)/VLOOKUP($D710,$C$5:$AU$836,3,))*$E710)</f>
        <v>68118.712547636969</v>
      </c>
      <c r="O710" s="65">
        <f>IF(VLOOKUP($D710,$C$5:$AU$836,3,)=0,0,(VLOOKUP($D710,$C$5:$AU$836,13,)/VLOOKUP($D710,$C$5:$AU$836,3,))*$E710)</f>
        <v>0</v>
      </c>
      <c r="P710" s="31">
        <f t="shared" ref="P710:X710" si="521">P708-P709</f>
        <v>0</v>
      </c>
      <c r="Q710" s="31">
        <f t="shared" si="521"/>
        <v>0</v>
      </c>
      <c r="R710" s="31">
        <f t="shared" si="521"/>
        <v>0</v>
      </c>
      <c r="S710" s="31">
        <f t="shared" si="521"/>
        <v>0</v>
      </c>
      <c r="T710" s="31">
        <f t="shared" si="521"/>
        <v>0</v>
      </c>
      <c r="U710" s="31">
        <f t="shared" si="521"/>
        <v>0</v>
      </c>
      <c r="V710" s="31">
        <f t="shared" si="521"/>
        <v>0</v>
      </c>
      <c r="W710" s="31">
        <f t="shared" si="521"/>
        <v>0</v>
      </c>
      <c r="X710" s="31">
        <f t="shared" si="521"/>
        <v>0</v>
      </c>
      <c r="Y710" s="65">
        <f>IF(VLOOKUP($D710,$C$5:$AU$836,3,)=0,0,(VLOOKUP($D710,$C$5:$AU$836,23,)/VLOOKUP($D710,$C$5:$AU$836,3,))*$E710)</f>
        <v>0</v>
      </c>
      <c r="Z710" s="65">
        <f>IF(VLOOKUP($D710,$C$5:$AU$836,3,)=0,0,(VLOOKUP($D710,$C$5:$AU$836,24,)/VLOOKUP($D710,$C$5:$AU$836,3,))*$E710)</f>
        <v>0</v>
      </c>
      <c r="AA710" s="65">
        <f>IF(VLOOKUP($D710,$C$5:$AU$836,3,)=0,0,(VLOOKUP($D710,$C$5:$AU$836,25,)/VLOOKUP($D710,$C$5:$AU$836,3,))*$E710)</f>
        <v>0</v>
      </c>
      <c r="AB710" s="65">
        <f>IF(VLOOKUP($D710,$C$5:$AU$836,3,)=0,0,(VLOOKUP($D710,$C$5:$AU$836,26,)/VLOOKUP($D710,$C$5:$AU$836,3,))*$E710)</f>
        <v>0</v>
      </c>
      <c r="AC710" s="65">
        <f>IF(VLOOKUP($D710,$C$5:$AU$836,3,)=0,0,(VLOOKUP($D710,$C$5:$AU$836,27,)/VLOOKUP($D710,$C$5:$AU$836,3,))*$E710)</f>
        <v>0</v>
      </c>
      <c r="AD710" s="65">
        <f>IF(VLOOKUP($D710,$C$5:$AU$836,3,)=0,0,(VLOOKUP($D710,$C$5:$AU$836,28,)/VLOOKUP($D710,$C$5:$AU$836,3,))*$E710)</f>
        <v>0</v>
      </c>
      <c r="AE710" s="65">
        <f>IF(VLOOKUP($D710,$C$5:$AU$836,3,)=0,0,(VLOOKUP($D710,$C$5:$AU$836,29,)/VLOOKUP($D710,$C$5:$AU$836,3,))*$E710)</f>
        <v>0</v>
      </c>
      <c r="AF710" s="65">
        <f>IF(VLOOKUP($D710,$C$5:$AU$836,3,)=0,0,(VLOOKUP($D710,$C$5:$AU$836,30,)/VLOOKUP($D710,$C$5:$AU$836,3,))*$E710)</f>
        <v>0</v>
      </c>
      <c r="AG710" s="16">
        <f>SUM(F710:AF710)</f>
        <v>5221144.8299999982</v>
      </c>
      <c r="AH710" s="14" t="str">
        <f t="shared" si="518"/>
        <v>ok</v>
      </c>
    </row>
    <row r="711" spans="1:34" x14ac:dyDescent="0.25">
      <c r="A711" s="2" t="s">
        <v>605</v>
      </c>
      <c r="C711" s="2" t="s">
        <v>619</v>
      </c>
      <c r="E711" s="16">
        <f t="shared" ref="E711:AF711" si="522">E709+E710</f>
        <v>5221144.83</v>
      </c>
      <c r="F711" s="16">
        <f t="shared" si="522"/>
        <v>3710956.7245700969</v>
      </c>
      <c r="G711" s="16">
        <f t="shared" si="522"/>
        <v>242866.71859108566</v>
      </c>
      <c r="H711" s="16">
        <f t="shared" si="522"/>
        <v>616655.99800373439</v>
      </c>
      <c r="I711" s="16">
        <f t="shared" si="522"/>
        <v>63392.918680484268</v>
      </c>
      <c r="J711" s="16">
        <f t="shared" si="522"/>
        <v>62177.164075653061</v>
      </c>
      <c r="K711" s="16">
        <f t="shared" si="522"/>
        <v>34286.174538741019</v>
      </c>
      <c r="L711" s="16">
        <f t="shared" si="522"/>
        <v>241367.40896095367</v>
      </c>
      <c r="M711" s="16">
        <f t="shared" si="522"/>
        <v>181323.01003161221</v>
      </c>
      <c r="N711" s="16">
        <f t="shared" si="522"/>
        <v>68118.712547636969</v>
      </c>
      <c r="O711" s="16">
        <f t="shared" si="522"/>
        <v>0</v>
      </c>
      <c r="P711" s="31">
        <f t="shared" ref="P711:X711" si="523">P709-P710</f>
        <v>0</v>
      </c>
      <c r="Q711" s="31">
        <f t="shared" si="523"/>
        <v>0</v>
      </c>
      <c r="R711" s="31">
        <f t="shared" si="523"/>
        <v>0</v>
      </c>
      <c r="S711" s="31">
        <f t="shared" si="523"/>
        <v>0</v>
      </c>
      <c r="T711" s="31">
        <f t="shared" si="523"/>
        <v>0</v>
      </c>
      <c r="U711" s="31">
        <f t="shared" si="523"/>
        <v>0</v>
      </c>
      <c r="V711" s="31">
        <f t="shared" si="523"/>
        <v>0</v>
      </c>
      <c r="W711" s="31">
        <f t="shared" si="523"/>
        <v>0</v>
      </c>
      <c r="X711" s="31">
        <f t="shared" si="523"/>
        <v>0</v>
      </c>
      <c r="Y711" s="16">
        <f t="shared" si="522"/>
        <v>0</v>
      </c>
      <c r="Z711" s="16">
        <f t="shared" si="522"/>
        <v>0</v>
      </c>
      <c r="AA711" s="16">
        <f t="shared" si="522"/>
        <v>0</v>
      </c>
      <c r="AB711" s="16">
        <f t="shared" si="522"/>
        <v>0</v>
      </c>
      <c r="AC711" s="16">
        <f t="shared" si="522"/>
        <v>0</v>
      </c>
      <c r="AD711" s="16">
        <f t="shared" si="522"/>
        <v>0</v>
      </c>
      <c r="AE711" s="16">
        <f t="shared" si="522"/>
        <v>0</v>
      </c>
      <c r="AF711" s="16">
        <f t="shared" si="522"/>
        <v>0</v>
      </c>
      <c r="AG711" s="16">
        <f>ROUND(SUM(F711:AF711),2)</f>
        <v>5221144.83</v>
      </c>
      <c r="AH711" s="14" t="str">
        <f t="shared" si="518"/>
        <v>ok</v>
      </c>
    </row>
    <row r="712" spans="1:34" x14ac:dyDescent="0.25">
      <c r="A712" s="2" t="s">
        <v>623</v>
      </c>
      <c r="C712" s="2" t="s">
        <v>620</v>
      </c>
      <c r="D712" s="2" t="s">
        <v>619</v>
      </c>
      <c r="E712" s="43">
        <v>1</v>
      </c>
      <c r="F712" s="77">
        <f>IF(VLOOKUP($D712,$C$5:$AU$836,3,)=0,0,(VLOOKUP($D712,$C$5:$AU$836,4,)/VLOOKUP($D712,$C$5:$AU$836,3,))*$E712)</f>
        <v>0.71075536982759713</v>
      </c>
      <c r="G712" s="77">
        <f>IF(VLOOKUP($D712,$C$5:$AU$836,3,)=0,0,(VLOOKUP($D712,$C$5:$AU$836,5,)/VLOOKUP($D712,$C$5:$AU$836,3,))*$E712)</f>
        <v>4.6515989595922715E-2</v>
      </c>
      <c r="H712" s="77">
        <f>IF(VLOOKUP($D712,$C$5:$AU$836,3,)=0,0,(VLOOKUP($D712,$C$5:$AU$836,6,)/VLOOKUP($D712,$C$5:$AU$836,3,))*$E712)</f>
        <v>0.1181074300909087</v>
      </c>
      <c r="I712" s="77">
        <f>IF(VLOOKUP($D712,$C$5:$AU$836,3,)=0,0,(VLOOKUP($D712,$C$5:$AU$836,7,)/VLOOKUP($D712,$C$5:$AU$836,3,))*$E712)</f>
        <v>1.2141574452452848E-2</v>
      </c>
      <c r="J712" s="77">
        <f>IF(VLOOKUP($D712,$C$5:$AU$836,3,)=0,0,(VLOOKUP($D712,$C$5:$AU$836,8,)/VLOOKUP($D712,$C$5:$AU$836,3,))*$E712)</f>
        <v>1.190872233966608E-2</v>
      </c>
      <c r="K712" s="77">
        <f>IF(VLOOKUP($D712,$C$5:$AU$836,3,)=0,0,(VLOOKUP($D712,$C$5:$AU$836,9,)/VLOOKUP($D712,$C$5:$AU$836,3,))*$E712)</f>
        <v>6.5667924669963653E-3</v>
      </c>
      <c r="L712" s="77">
        <f>IF(VLOOKUP($D712,$C$5:$AU$836,3,)=0,0,(VLOOKUP($D712,$C$5:$AU$836,10,)/VLOOKUP($D712,$C$5:$AU$836,3,))*$E712)</f>
        <v>4.6228828507895205E-2</v>
      </c>
      <c r="M712" s="77">
        <f>IF(VLOOKUP($D712,$C$5:$AU$836,3,)=0,0,(VLOOKUP($D712,$C$5:$AU$836,11,)/VLOOKUP($D712,$C$5:$AU$836,3,))*$E712)</f>
        <v>3.472859227917878E-2</v>
      </c>
      <c r="N712" s="77">
        <f>IF(VLOOKUP($D712,$C$5:$AU$836,3,)=0,0,(VLOOKUP($D712,$C$5:$AU$836,12,)/VLOOKUP($D712,$C$5:$AU$836,3,))*$E712)</f>
        <v>1.3046700439381791E-2</v>
      </c>
      <c r="O712" s="77">
        <f>IF(VLOOKUP($D712,$C$5:$AU$836,3,)=0,0,(VLOOKUP($D712,$C$5:$AU$836,13,)/VLOOKUP($D712,$C$5:$AU$836,3,))*$E712)</f>
        <v>0</v>
      </c>
      <c r="P712" s="31">
        <f t="shared" ref="P712:X712" si="524">P710-P711</f>
        <v>0</v>
      </c>
      <c r="Q712" s="31">
        <f t="shared" si="524"/>
        <v>0</v>
      </c>
      <c r="R712" s="31">
        <f t="shared" si="524"/>
        <v>0</v>
      </c>
      <c r="S712" s="31">
        <f t="shared" si="524"/>
        <v>0</v>
      </c>
      <c r="T712" s="31">
        <f t="shared" si="524"/>
        <v>0</v>
      </c>
      <c r="U712" s="31">
        <f t="shared" si="524"/>
        <v>0</v>
      </c>
      <c r="V712" s="31">
        <f t="shared" si="524"/>
        <v>0</v>
      </c>
      <c r="W712" s="31">
        <f t="shared" si="524"/>
        <v>0</v>
      </c>
      <c r="X712" s="31">
        <f t="shared" si="524"/>
        <v>0</v>
      </c>
      <c r="Y712" s="77">
        <f>IF(VLOOKUP($D712,$C$5:$AU$836,3,)=0,0,(VLOOKUP($D712,$C$5:$AU$836,23,)/VLOOKUP($D712,$C$5:$AU$836,3,))*$E712)</f>
        <v>0</v>
      </c>
      <c r="Z712" s="77">
        <f>IF(VLOOKUP($D712,$C$5:$AU$836,3,)=0,0,(VLOOKUP($D712,$C$5:$AU$836,24,)/VLOOKUP($D712,$C$5:$AU$836,3,))*$E712)</f>
        <v>0</v>
      </c>
      <c r="AA712" s="77">
        <f>IF(VLOOKUP($D712,$C$5:$AU$836,3,)=0,0,(VLOOKUP($D712,$C$5:$AU$836,25,)/VLOOKUP($D712,$C$5:$AU$836,3,))*$E712)</f>
        <v>0</v>
      </c>
      <c r="AB712" s="77">
        <f>IF(VLOOKUP($D712,$C$5:$AU$836,3,)=0,0,(VLOOKUP($D712,$C$5:$AU$836,26,)/VLOOKUP($D712,$C$5:$AU$836,3,))*$E712)</f>
        <v>0</v>
      </c>
      <c r="AC712" s="77">
        <f>IF(VLOOKUP($D712,$C$5:$AU$836,3,)=0,0,(VLOOKUP($D712,$C$5:$AU$836,27,)/VLOOKUP($D712,$C$5:$AU$836,3,))*$E712)</f>
        <v>0</v>
      </c>
      <c r="AD712" s="77">
        <f>IF(VLOOKUP($D712,$C$5:$AU$836,3,)=0,0,(VLOOKUP($D712,$C$5:$AU$836,28,)/VLOOKUP($D712,$C$5:$AU$836,3,))*$E712)</f>
        <v>0</v>
      </c>
      <c r="AE712" s="77">
        <f>IF(VLOOKUP($D712,$C$5:$AU$836,3,)=0,0,(VLOOKUP($D712,$C$5:$AU$836,29,)/VLOOKUP($D712,$C$5:$AU$836,3,))*$E712)</f>
        <v>0</v>
      </c>
      <c r="AF712" s="77">
        <f>IF(VLOOKUP($D712,$C$5:$AU$836,3,)=0,0,(VLOOKUP($D712,$C$5:$AU$836,30,)/VLOOKUP($D712,$C$5:$AU$836,3,))*$E712)</f>
        <v>0</v>
      </c>
      <c r="AG712" s="78">
        <f>SUM(F712:AF712)</f>
        <v>0.99999999999999978</v>
      </c>
      <c r="AH712" s="14" t="str">
        <f t="shared" si="518"/>
        <v>ok</v>
      </c>
    </row>
    <row r="713" spans="1:34" x14ac:dyDescent="0.25">
      <c r="E713" s="43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31">
        <f t="shared" ref="P713:X713" si="525">P711-P712</f>
        <v>0</v>
      </c>
      <c r="Q713" s="31">
        <f t="shared" si="525"/>
        <v>0</v>
      </c>
      <c r="R713" s="31">
        <f t="shared" si="525"/>
        <v>0</v>
      </c>
      <c r="S713" s="31">
        <f t="shared" si="525"/>
        <v>0</v>
      </c>
      <c r="T713" s="31">
        <f t="shared" si="525"/>
        <v>0</v>
      </c>
      <c r="U713" s="31">
        <f t="shared" si="525"/>
        <v>0</v>
      </c>
      <c r="V713" s="31">
        <f t="shared" si="525"/>
        <v>0</v>
      </c>
      <c r="W713" s="31">
        <f t="shared" si="525"/>
        <v>0</v>
      </c>
      <c r="X713" s="31">
        <f t="shared" si="525"/>
        <v>0</v>
      </c>
      <c r="Y713" s="77"/>
      <c r="Z713" s="77"/>
      <c r="AA713" s="77"/>
      <c r="AB713" s="77"/>
      <c r="AC713" s="77"/>
      <c r="AD713" s="77"/>
      <c r="AE713" s="77"/>
      <c r="AF713" s="77"/>
      <c r="AG713" s="78"/>
      <c r="AH713" s="14"/>
    </row>
    <row r="714" spans="1:34" x14ac:dyDescent="0.25">
      <c r="A714" s="9" t="s">
        <v>723</v>
      </c>
      <c r="C714" s="9" t="s">
        <v>972</v>
      </c>
      <c r="E714" s="17">
        <v>745225.23</v>
      </c>
      <c r="F714" s="31">
        <v>663867.64</v>
      </c>
      <c r="G714" s="31">
        <v>36493.459999999992</v>
      </c>
      <c r="H714" s="31">
        <v>23848.669999999995</v>
      </c>
      <c r="I714" s="31">
        <v>5649.0499999999993</v>
      </c>
      <c r="J714" s="31">
        <v>659.09</v>
      </c>
      <c r="K714" s="31">
        <v>0</v>
      </c>
      <c r="L714" s="31">
        <v>11010.63</v>
      </c>
      <c r="M714" s="31">
        <v>3617.21</v>
      </c>
      <c r="N714" s="31">
        <v>79.480000000000018</v>
      </c>
      <c r="O714" s="31">
        <f t="shared" ref="O714:AF714" si="526">O621</f>
        <v>0</v>
      </c>
      <c r="P714" s="31">
        <f t="shared" ref="P714:X714" si="527">P712-P713</f>
        <v>0</v>
      </c>
      <c r="Q714" s="31">
        <f t="shared" si="527"/>
        <v>0</v>
      </c>
      <c r="R714" s="31">
        <f t="shared" si="527"/>
        <v>0</v>
      </c>
      <c r="S714" s="31">
        <f t="shared" si="527"/>
        <v>0</v>
      </c>
      <c r="T714" s="31">
        <f t="shared" si="527"/>
        <v>0</v>
      </c>
      <c r="U714" s="31">
        <f t="shared" si="527"/>
        <v>0</v>
      </c>
      <c r="V714" s="31">
        <f t="shared" si="527"/>
        <v>0</v>
      </c>
      <c r="W714" s="31">
        <f t="shared" si="527"/>
        <v>0</v>
      </c>
      <c r="X714" s="31">
        <f t="shared" si="527"/>
        <v>0</v>
      </c>
      <c r="Y714" s="31">
        <f t="shared" si="526"/>
        <v>0</v>
      </c>
      <c r="Z714" s="31">
        <f t="shared" si="526"/>
        <v>0</v>
      </c>
      <c r="AA714" s="31">
        <f t="shared" si="526"/>
        <v>0</v>
      </c>
      <c r="AB714" s="31">
        <f t="shared" si="526"/>
        <v>0</v>
      </c>
      <c r="AC714" s="31">
        <f t="shared" si="526"/>
        <v>0</v>
      </c>
      <c r="AD714" s="31">
        <f t="shared" si="526"/>
        <v>0</v>
      </c>
      <c r="AE714" s="31">
        <f t="shared" si="526"/>
        <v>0</v>
      </c>
      <c r="AF714" s="31">
        <f t="shared" si="526"/>
        <v>0</v>
      </c>
      <c r="AG714" s="17">
        <f>SUM(F714:AF714)</f>
        <v>745225.23</v>
      </c>
      <c r="AH714" s="14" t="str">
        <f>IF(ABS(E714-AG714)&lt;0.01,"ok","err")</f>
        <v>ok</v>
      </c>
    </row>
    <row r="715" spans="1:34" x14ac:dyDescent="0.25">
      <c r="A715" s="118" t="s">
        <v>1095</v>
      </c>
      <c r="C715" s="9" t="s">
        <v>1094</v>
      </c>
      <c r="E715" s="17">
        <v>533834.87183706777</v>
      </c>
      <c r="F715" s="31">
        <f>-29630.2683510748+154425.16</f>
        <v>124794.8916489252</v>
      </c>
      <c r="G715" s="31">
        <f>-29637.8834960422+1920.08</f>
        <v>-27717.803496042201</v>
      </c>
      <c r="H715" s="31">
        <v>378049.08293981478</v>
      </c>
      <c r="I715" s="31">
        <v>8591.5848192771082</v>
      </c>
      <c r="J715" s="31">
        <v>49870.618125000001</v>
      </c>
      <c r="K715" s="77">
        <v>0</v>
      </c>
      <c r="L715" s="77">
        <v>0</v>
      </c>
      <c r="M715" s="77">
        <v>0</v>
      </c>
      <c r="N715" s="31">
        <v>246.49780009286059</v>
      </c>
      <c r="O715" s="77"/>
      <c r="P715" s="31">
        <f t="shared" ref="P715:X715" si="528">P713-P714</f>
        <v>0</v>
      </c>
      <c r="Q715" s="31">
        <f t="shared" si="528"/>
        <v>0</v>
      </c>
      <c r="R715" s="31">
        <f t="shared" si="528"/>
        <v>0</v>
      </c>
      <c r="S715" s="31">
        <f t="shared" si="528"/>
        <v>0</v>
      </c>
      <c r="T715" s="31">
        <f t="shared" si="528"/>
        <v>0</v>
      </c>
      <c r="U715" s="31">
        <f t="shared" si="528"/>
        <v>0</v>
      </c>
      <c r="V715" s="31">
        <f t="shared" si="528"/>
        <v>0</v>
      </c>
      <c r="W715" s="31">
        <f t="shared" si="528"/>
        <v>0</v>
      </c>
      <c r="X715" s="31">
        <f t="shared" si="528"/>
        <v>0</v>
      </c>
      <c r="Y715" s="77"/>
      <c r="Z715" s="77"/>
      <c r="AA715" s="77"/>
      <c r="AB715" s="77"/>
      <c r="AC715" s="77"/>
      <c r="AD715" s="77"/>
      <c r="AE715" s="77"/>
      <c r="AF715" s="77"/>
      <c r="AG715" s="17">
        <f>SUM(F715:AF715)</f>
        <v>533834.87183706777</v>
      </c>
      <c r="AH715" s="14" t="str">
        <f>IF(ABS(E715-AG715)&lt;0.01,"ok","err")</f>
        <v>ok</v>
      </c>
    </row>
    <row r="716" spans="1:34" x14ac:dyDescent="0.25">
      <c r="P716" s="31">
        <f t="shared" ref="P716:X717" si="529">P714-P715</f>
        <v>0</v>
      </c>
      <c r="Q716" s="31">
        <f t="shared" si="529"/>
        <v>0</v>
      </c>
      <c r="R716" s="31">
        <f t="shared" si="529"/>
        <v>0</v>
      </c>
      <c r="S716" s="31">
        <f t="shared" si="529"/>
        <v>0</v>
      </c>
      <c r="T716" s="31">
        <f t="shared" si="529"/>
        <v>0</v>
      </c>
      <c r="U716" s="31">
        <f t="shared" si="529"/>
        <v>0</v>
      </c>
      <c r="V716" s="31">
        <f t="shared" si="529"/>
        <v>0</v>
      </c>
      <c r="W716" s="31">
        <f t="shared" si="529"/>
        <v>0</v>
      </c>
      <c r="X716" s="31">
        <f t="shared" si="529"/>
        <v>0</v>
      </c>
    </row>
    <row r="717" spans="1:34" x14ac:dyDescent="0.25">
      <c r="A717" s="2" t="s">
        <v>612</v>
      </c>
      <c r="C717" s="2" t="s">
        <v>613</v>
      </c>
      <c r="E717" s="31">
        <v>0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1">
        <v>0</v>
      </c>
      <c r="L717" s="31">
        <v>0</v>
      </c>
      <c r="M717" s="31">
        <v>0</v>
      </c>
      <c r="N717" s="31">
        <v>0</v>
      </c>
      <c r="O717" s="31">
        <v>0</v>
      </c>
      <c r="P717" s="31">
        <f t="shared" si="529"/>
        <v>0</v>
      </c>
      <c r="Q717" s="31">
        <f t="shared" si="529"/>
        <v>0</v>
      </c>
      <c r="R717" s="31">
        <f t="shared" si="529"/>
        <v>0</v>
      </c>
      <c r="S717" s="31">
        <f t="shared" si="529"/>
        <v>0</v>
      </c>
      <c r="T717" s="31">
        <f t="shared" si="529"/>
        <v>0</v>
      </c>
      <c r="U717" s="31">
        <f t="shared" si="529"/>
        <v>0</v>
      </c>
      <c r="V717" s="31">
        <f t="shared" si="529"/>
        <v>0</v>
      </c>
      <c r="W717" s="31">
        <f t="shared" si="529"/>
        <v>0</v>
      </c>
      <c r="X717" s="31">
        <f t="shared" si="529"/>
        <v>0</v>
      </c>
      <c r="Y717" s="31">
        <v>0</v>
      </c>
      <c r="Z717" s="31">
        <f t="shared" ref="Z717:AE717" si="530">Z707</f>
        <v>0</v>
      </c>
      <c r="AA717" s="31">
        <f t="shared" si="530"/>
        <v>0</v>
      </c>
      <c r="AB717" s="31">
        <f t="shared" si="530"/>
        <v>0</v>
      </c>
      <c r="AC717" s="31">
        <f t="shared" si="530"/>
        <v>0</v>
      </c>
      <c r="AD717" s="31">
        <f t="shared" si="530"/>
        <v>0</v>
      </c>
      <c r="AE717" s="31">
        <f t="shared" si="530"/>
        <v>0</v>
      </c>
      <c r="AF717" s="31">
        <v>0</v>
      </c>
      <c r="AG717" s="17">
        <f>SUM(F717:AF717)</f>
        <v>0</v>
      </c>
      <c r="AH717" s="14" t="str">
        <f>IF(ABS(E717-AG717)&lt;0.01,"ok","err")</f>
        <v>ok</v>
      </c>
    </row>
    <row r="718" spans="1:34" x14ac:dyDescent="0.25">
      <c r="A718" s="2" t="s">
        <v>657</v>
      </c>
      <c r="C718" s="2" t="s">
        <v>611</v>
      </c>
      <c r="D718" s="2" t="s">
        <v>613</v>
      </c>
      <c r="E718" s="43">
        <v>0</v>
      </c>
      <c r="F718" s="77">
        <f>IF(VLOOKUP($D718,$C$5:$AU$836,3,)=0,0,(VLOOKUP($D718,$C$5:$AU$836,4,)/VLOOKUP($D718,$C$5:$AU$836,3,))*$E718)</f>
        <v>0</v>
      </c>
      <c r="G718" s="77">
        <f>IF(VLOOKUP($D718,$C$5:$AU$836,3,)=0,0,(VLOOKUP($D718,$C$5:$AU$836,5,)/VLOOKUP($D718,$C$5:$AU$836,3,))*$E718)</f>
        <v>0</v>
      </c>
      <c r="H718" s="77">
        <f>IF(VLOOKUP($D718,$C$5:$AU$836,3,)=0,0,(VLOOKUP($D718,$C$5:$AU$836,6,)/VLOOKUP($D718,$C$5:$AU$836,3,))*$E718)</f>
        <v>0</v>
      </c>
      <c r="I718" s="77">
        <f>IF(VLOOKUP($D718,$C$5:$AU$836,3,)=0,0,(VLOOKUP($D718,$C$5:$AU$836,7,)/VLOOKUP($D718,$C$5:$AU$836,3,))*$E718)</f>
        <v>0</v>
      </c>
      <c r="J718" s="77">
        <f>IF(VLOOKUP($D718,$C$5:$AU$836,3,)=0,0,(VLOOKUP($D718,$C$5:$AU$836,8,)/VLOOKUP($D718,$C$5:$AU$836,3,))*$E718)</f>
        <v>0</v>
      </c>
      <c r="K718" s="77">
        <f>IF(VLOOKUP($D718,$C$5:$AU$836,3,)=0,0,(VLOOKUP($D718,$C$5:$AU$836,9,)/VLOOKUP($D718,$C$5:$AU$836,3,))*$E718)</f>
        <v>0</v>
      </c>
      <c r="L718" s="77">
        <f>IF(VLOOKUP($D718,$C$5:$AU$836,3,)=0,0,(VLOOKUP($D718,$C$5:$AU$836,10,)/VLOOKUP($D718,$C$5:$AU$836,3,))*$E718)</f>
        <v>0</v>
      </c>
      <c r="M718" s="65">
        <f>IF(VLOOKUP($D718,$C$5:$AU$836,3,)=0,0,(VLOOKUP($D718,$C$5:$AU$836,11,)/VLOOKUP($D718,$C$5:$AU$836,3,))*$E718)</f>
        <v>0</v>
      </c>
      <c r="N718" s="65">
        <f>IF(VLOOKUP($D718,$C$5:$AU$836,3,)=0,0,(VLOOKUP($D718,$C$5:$AU$836,12,)/VLOOKUP($D718,$C$5:$AU$836,3,))*$E718)</f>
        <v>0</v>
      </c>
      <c r="O718" s="77">
        <f>IF(VLOOKUP($D718,$C$5:$AU$836,3,)=0,0,(VLOOKUP($D718,$C$5:$AU$836,13,)/VLOOKUP($D718,$C$5:$AU$836,3,))*$E718)</f>
        <v>0</v>
      </c>
      <c r="P718" s="31">
        <f t="shared" ref="P718:X718" si="531">P716-P717</f>
        <v>0</v>
      </c>
      <c r="Q718" s="31">
        <f t="shared" si="531"/>
        <v>0</v>
      </c>
      <c r="R718" s="31">
        <f t="shared" si="531"/>
        <v>0</v>
      </c>
      <c r="S718" s="31">
        <f t="shared" si="531"/>
        <v>0</v>
      </c>
      <c r="T718" s="31">
        <f t="shared" si="531"/>
        <v>0</v>
      </c>
      <c r="U718" s="31">
        <f t="shared" si="531"/>
        <v>0</v>
      </c>
      <c r="V718" s="31">
        <f t="shared" si="531"/>
        <v>0</v>
      </c>
      <c r="W718" s="31">
        <f t="shared" si="531"/>
        <v>0</v>
      </c>
      <c r="X718" s="31">
        <f t="shared" si="531"/>
        <v>0</v>
      </c>
      <c r="Y718" s="77">
        <f>IF(VLOOKUP($D718,$C$5:$AU$836,3,)=0,0,(VLOOKUP($D718,$C$5:$AU$836,23,)/VLOOKUP($D718,$C$5:$AU$836,3,))*$E718)</f>
        <v>0</v>
      </c>
      <c r="Z718" s="77">
        <f>IF(VLOOKUP($D718,$C$5:$AU$836,3,)=0,0,(VLOOKUP($D718,$C$5:$AU$836,24,)/VLOOKUP($D718,$C$5:$AU$836,3,))*$E718)</f>
        <v>0</v>
      </c>
      <c r="AA718" s="77">
        <f>IF(VLOOKUP($D718,$C$5:$AU$836,3,)=0,0,(VLOOKUP($D718,$C$5:$AU$836,25,)/VLOOKUP($D718,$C$5:$AU$836,3,))*$E718)</f>
        <v>0</v>
      </c>
      <c r="AB718" s="77">
        <f>IF(VLOOKUP($D718,$C$5:$AU$836,3,)=0,0,(VLOOKUP($D718,$C$5:$AU$836,26,)/VLOOKUP($D718,$C$5:$AU$836,3,))*$E718)</f>
        <v>0</v>
      </c>
      <c r="AC718" s="77">
        <f>IF(VLOOKUP($D718,$C$5:$AU$836,3,)=0,0,(VLOOKUP($D718,$C$5:$AU$836,27,)/VLOOKUP($D718,$C$5:$AU$836,3,))*$E718)</f>
        <v>0</v>
      </c>
      <c r="AD718" s="77">
        <f>IF(VLOOKUP($D718,$C$5:$AU$836,3,)=0,0,(VLOOKUP($D718,$C$5:$AU$836,28,)/VLOOKUP($D718,$C$5:$AU$836,3,))*$E718)</f>
        <v>0</v>
      </c>
      <c r="AE718" s="77">
        <f>IF(VLOOKUP($D718,$C$5:$AU$836,3,)=0,0,(VLOOKUP($D718,$C$5:$AU$836,29,)/VLOOKUP($D718,$C$5:$AU$836,3,))*$E718)</f>
        <v>0</v>
      </c>
      <c r="AF718" s="77">
        <f>IF(VLOOKUP($D718,$C$5:$AU$836,3,)=0,0,(VLOOKUP($D718,$C$5:$AU$836,30,)/VLOOKUP($D718,$C$5:$AU$836,3,))*$E718)</f>
        <v>0</v>
      </c>
      <c r="AG718" s="78">
        <f>SUM(F718:AF718)</f>
        <v>0</v>
      </c>
      <c r="AH718" s="14" t="str">
        <f>IF(ABS(E718-AG718)&lt;0.01,"ok","err")</f>
        <v>ok</v>
      </c>
    </row>
    <row r="719" spans="1:34" x14ac:dyDescent="0.25">
      <c r="E719" s="43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31">
        <f t="shared" ref="P719:X719" si="532">P717-P718</f>
        <v>0</v>
      </c>
      <c r="Q719" s="31">
        <f t="shared" si="532"/>
        <v>0</v>
      </c>
      <c r="R719" s="31">
        <f t="shared" si="532"/>
        <v>0</v>
      </c>
      <c r="S719" s="31">
        <f t="shared" si="532"/>
        <v>0</v>
      </c>
      <c r="T719" s="31">
        <f t="shared" si="532"/>
        <v>0</v>
      </c>
      <c r="U719" s="31">
        <f t="shared" si="532"/>
        <v>0</v>
      </c>
      <c r="V719" s="31">
        <f t="shared" si="532"/>
        <v>0</v>
      </c>
      <c r="W719" s="31">
        <f t="shared" si="532"/>
        <v>0</v>
      </c>
      <c r="X719" s="31">
        <f t="shared" si="532"/>
        <v>0</v>
      </c>
      <c r="Y719" s="77"/>
      <c r="Z719" s="77"/>
      <c r="AA719" s="77"/>
      <c r="AB719" s="77"/>
      <c r="AC719" s="77"/>
      <c r="AD719" s="77"/>
      <c r="AE719" s="77"/>
      <c r="AF719" s="77"/>
      <c r="AG719" s="78"/>
      <c r="AH719" s="14"/>
    </row>
    <row r="720" spans="1:34" x14ac:dyDescent="0.25">
      <c r="A720" s="2" t="s">
        <v>656</v>
      </c>
      <c r="C720" s="2" t="s">
        <v>659</v>
      </c>
      <c r="E720" s="31">
        <v>0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1">
        <v>0</v>
      </c>
      <c r="L720" s="31">
        <v>0</v>
      </c>
      <c r="M720" s="31">
        <v>0</v>
      </c>
      <c r="N720" s="31">
        <v>0</v>
      </c>
      <c r="O720" s="31">
        <v>0</v>
      </c>
      <c r="P720" s="31">
        <f t="shared" ref="P720:X720" si="533">P718-P719</f>
        <v>0</v>
      </c>
      <c r="Q720" s="31">
        <f t="shared" si="533"/>
        <v>0</v>
      </c>
      <c r="R720" s="31">
        <f t="shared" si="533"/>
        <v>0</v>
      </c>
      <c r="S720" s="31">
        <f t="shared" si="533"/>
        <v>0</v>
      </c>
      <c r="T720" s="31">
        <f t="shared" si="533"/>
        <v>0</v>
      </c>
      <c r="U720" s="31">
        <f t="shared" si="533"/>
        <v>0</v>
      </c>
      <c r="V720" s="31">
        <f t="shared" si="533"/>
        <v>0</v>
      </c>
      <c r="W720" s="31">
        <f t="shared" si="533"/>
        <v>0</v>
      </c>
      <c r="X720" s="31">
        <f t="shared" si="533"/>
        <v>0</v>
      </c>
      <c r="Y720" s="31">
        <v>0</v>
      </c>
      <c r="Z720" s="31">
        <f t="shared" ref="Z720:AF720" si="534">Z710</f>
        <v>0</v>
      </c>
      <c r="AA720" s="31">
        <f t="shared" si="534"/>
        <v>0</v>
      </c>
      <c r="AB720" s="31">
        <f t="shared" si="534"/>
        <v>0</v>
      </c>
      <c r="AC720" s="31">
        <f t="shared" si="534"/>
        <v>0</v>
      </c>
      <c r="AD720" s="31">
        <f t="shared" si="534"/>
        <v>0</v>
      </c>
      <c r="AE720" s="31">
        <f t="shared" si="534"/>
        <v>0</v>
      </c>
      <c r="AF720" s="31">
        <f t="shared" si="534"/>
        <v>0</v>
      </c>
      <c r="AG720" s="17">
        <f>SUM(F720:AF720)</f>
        <v>0</v>
      </c>
      <c r="AH720" s="14" t="str">
        <f>IF(ABS(E720-AG720)&lt;0.01,"ok","err")</f>
        <v>ok</v>
      </c>
    </row>
    <row r="721" spans="1:34" x14ac:dyDescent="0.25">
      <c r="A721" s="2" t="s">
        <v>658</v>
      </c>
      <c r="C721" s="2" t="s">
        <v>660</v>
      </c>
      <c r="D721" s="2" t="s">
        <v>659</v>
      </c>
      <c r="E721" s="43">
        <v>0</v>
      </c>
      <c r="F721" s="77">
        <f>IF(VLOOKUP($D721,$C$5:$AU$836,3,)=0,0,(VLOOKUP($D721,$C$5:$AU$836,4,)/VLOOKUP($D721,$C$5:$AU$836,3,))*$E721)</f>
        <v>0</v>
      </c>
      <c r="G721" s="77">
        <f>IF(VLOOKUP($D721,$C$5:$AU$836,3,)=0,0,(VLOOKUP($D721,$C$5:$AU$836,5,)/VLOOKUP($D721,$C$5:$AU$836,3,))*$E721)</f>
        <v>0</v>
      </c>
      <c r="H721" s="77">
        <f>IF(VLOOKUP($D721,$C$5:$AU$836,3,)=0,0,(VLOOKUP($D721,$C$5:$AU$836,6,)/VLOOKUP($D721,$C$5:$AU$836,3,))*$E721)</f>
        <v>0</v>
      </c>
      <c r="I721" s="77">
        <f>IF(VLOOKUP($D721,$C$5:$AU$836,3,)=0,0,(VLOOKUP($D721,$C$5:$AU$836,7,)/VLOOKUP($D721,$C$5:$AU$836,3,))*$E721)</f>
        <v>0</v>
      </c>
      <c r="J721" s="77">
        <f>IF(VLOOKUP($D721,$C$5:$AU$836,3,)=0,0,(VLOOKUP($D721,$C$5:$AU$836,8,)/VLOOKUP($D721,$C$5:$AU$836,3,))*$E721)</f>
        <v>0</v>
      </c>
      <c r="K721" s="77">
        <f>IF(VLOOKUP($D721,$C$5:$AU$836,3,)=0,0,(VLOOKUP($D721,$C$5:$AU$836,9,)/VLOOKUP($D721,$C$5:$AU$836,3,))*$E721)</f>
        <v>0</v>
      </c>
      <c r="L721" s="77">
        <f>IF(VLOOKUP($D721,$C$5:$AU$836,3,)=0,0,(VLOOKUP($D721,$C$5:$AU$836,10,)/VLOOKUP($D721,$C$5:$AU$836,3,))*$E721)</f>
        <v>0</v>
      </c>
      <c r="M721" s="65">
        <f>IF(VLOOKUP($D721,$C$5:$AU$836,3,)=0,0,(VLOOKUP($D721,$C$5:$AU$836,11,)/VLOOKUP($D721,$C$5:$AU$836,3,))*$E721)</f>
        <v>0</v>
      </c>
      <c r="N721" s="65">
        <f>IF(VLOOKUP($D721,$C$5:$AU$836,3,)=0,0,(VLOOKUP($D721,$C$5:$AU$836,12,)/VLOOKUP($D721,$C$5:$AU$836,3,))*$E721)</f>
        <v>0</v>
      </c>
      <c r="O721" s="77">
        <f>IF(VLOOKUP($D721,$C$5:$AU$836,3,)=0,0,(VLOOKUP($D721,$C$5:$AU$836,13,)/VLOOKUP($D721,$C$5:$AU$836,3,))*$E721)</f>
        <v>0</v>
      </c>
      <c r="P721" s="31">
        <f t="shared" ref="P721:X721" si="535">P719-P720</f>
        <v>0</v>
      </c>
      <c r="Q721" s="31">
        <f t="shared" si="535"/>
        <v>0</v>
      </c>
      <c r="R721" s="31">
        <f t="shared" si="535"/>
        <v>0</v>
      </c>
      <c r="S721" s="31">
        <f t="shared" si="535"/>
        <v>0</v>
      </c>
      <c r="T721" s="31">
        <f t="shared" si="535"/>
        <v>0</v>
      </c>
      <c r="U721" s="31">
        <f t="shared" si="535"/>
        <v>0</v>
      </c>
      <c r="V721" s="31">
        <f t="shared" si="535"/>
        <v>0</v>
      </c>
      <c r="W721" s="31">
        <f t="shared" si="535"/>
        <v>0</v>
      </c>
      <c r="X721" s="31">
        <f t="shared" si="535"/>
        <v>0</v>
      </c>
      <c r="Y721" s="77">
        <f>IF(VLOOKUP($D721,$C$5:$AU$836,3,)=0,0,(VLOOKUP($D721,$C$5:$AU$836,23,)/VLOOKUP($D721,$C$5:$AU$836,3,))*$E721)</f>
        <v>0</v>
      </c>
      <c r="Z721" s="77">
        <f>IF(VLOOKUP($D721,$C$5:$AU$836,3,)=0,0,(VLOOKUP($D721,$C$5:$AU$836,24,)/VLOOKUP($D721,$C$5:$AU$836,3,))*$E721)</f>
        <v>0</v>
      </c>
      <c r="AA721" s="77">
        <f>IF(VLOOKUP($D721,$C$5:$AU$836,3,)=0,0,(VLOOKUP($D721,$C$5:$AU$836,25,)/VLOOKUP($D721,$C$5:$AU$836,3,))*$E721)</f>
        <v>0</v>
      </c>
      <c r="AB721" s="77">
        <f>IF(VLOOKUP($D721,$C$5:$AU$836,3,)=0,0,(VLOOKUP($D721,$C$5:$AU$836,26,)/VLOOKUP($D721,$C$5:$AU$836,3,))*$E721)</f>
        <v>0</v>
      </c>
      <c r="AC721" s="77">
        <f>IF(VLOOKUP($D721,$C$5:$AU$836,3,)=0,0,(VLOOKUP($D721,$C$5:$AU$836,27,)/VLOOKUP($D721,$C$5:$AU$836,3,))*$E721)</f>
        <v>0</v>
      </c>
      <c r="AD721" s="77">
        <f>IF(VLOOKUP($D721,$C$5:$AU$836,3,)=0,0,(VLOOKUP($D721,$C$5:$AU$836,28,)/VLOOKUP($D721,$C$5:$AU$836,3,))*$E721)</f>
        <v>0</v>
      </c>
      <c r="AE721" s="77">
        <f>IF(VLOOKUP($D721,$C$5:$AU$836,3,)=0,0,(VLOOKUP($D721,$C$5:$AU$836,29,)/VLOOKUP($D721,$C$5:$AU$836,3,))*$E721)</f>
        <v>0</v>
      </c>
      <c r="AF721" s="77">
        <f>IF(VLOOKUP($D721,$C$5:$AU$836,3,)=0,0,(VLOOKUP($D721,$C$5:$AU$836,30,)/VLOOKUP($D721,$C$5:$AU$836,3,))*$E721)</f>
        <v>0</v>
      </c>
      <c r="AG721" s="78">
        <f>SUM(F721:AF721)</f>
        <v>0</v>
      </c>
      <c r="AH721" s="14" t="str">
        <f>IF(ABS(E721-AG721)&lt;0.01,"ok","err")</f>
        <v>ok</v>
      </c>
    </row>
    <row r="722" spans="1:34" x14ac:dyDescent="0.25">
      <c r="A722" s="2" t="s">
        <v>698</v>
      </c>
      <c r="C722" s="2" t="s">
        <v>700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31">
        <f t="shared" ref="P722:X722" si="536">P720-P721</f>
        <v>0</v>
      </c>
      <c r="Q722" s="31">
        <f t="shared" si="536"/>
        <v>0</v>
      </c>
      <c r="R722" s="31">
        <f t="shared" si="536"/>
        <v>0</v>
      </c>
      <c r="S722" s="31">
        <f t="shared" si="536"/>
        <v>0</v>
      </c>
      <c r="T722" s="31">
        <f t="shared" si="536"/>
        <v>0</v>
      </c>
      <c r="U722" s="31">
        <f t="shared" si="536"/>
        <v>0</v>
      </c>
      <c r="V722" s="31">
        <f t="shared" si="536"/>
        <v>0</v>
      </c>
      <c r="W722" s="31">
        <f t="shared" si="536"/>
        <v>0</v>
      </c>
      <c r="X722" s="31">
        <f t="shared" si="536"/>
        <v>0</v>
      </c>
      <c r="Y722" s="25">
        <v>0</v>
      </c>
      <c r="Z722" s="25">
        <v>0</v>
      </c>
      <c r="AA722" s="25">
        <v>0</v>
      </c>
      <c r="AB722" s="25">
        <v>0</v>
      </c>
      <c r="AC722" s="25">
        <v>0</v>
      </c>
      <c r="AD722" s="25">
        <v>0</v>
      </c>
      <c r="AE722" s="25">
        <v>0</v>
      </c>
      <c r="AF722" s="25">
        <v>0</v>
      </c>
      <c r="AG722" s="25">
        <f>SUM(F722:AF722)</f>
        <v>0</v>
      </c>
      <c r="AH722" s="14" t="str">
        <f>IF(ABS(E722-AG722)&lt;0.01,"ok","err")</f>
        <v>ok</v>
      </c>
    </row>
    <row r="723" spans="1:34" x14ac:dyDescent="0.25">
      <c r="A723" s="2" t="s">
        <v>699</v>
      </c>
      <c r="C723" s="2" t="s">
        <v>701</v>
      </c>
      <c r="E723" s="25">
        <v>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31">
        <f t="shared" ref="P723:X723" si="537">P721-P722</f>
        <v>0</v>
      </c>
      <c r="Q723" s="31">
        <f t="shared" si="537"/>
        <v>0</v>
      </c>
      <c r="R723" s="31">
        <f t="shared" si="537"/>
        <v>0</v>
      </c>
      <c r="S723" s="31">
        <f t="shared" si="537"/>
        <v>0</v>
      </c>
      <c r="T723" s="31">
        <f t="shared" si="537"/>
        <v>0</v>
      </c>
      <c r="U723" s="31">
        <f t="shared" si="537"/>
        <v>0</v>
      </c>
      <c r="V723" s="31">
        <f t="shared" si="537"/>
        <v>0</v>
      </c>
      <c r="W723" s="31">
        <f t="shared" si="537"/>
        <v>0</v>
      </c>
      <c r="X723" s="31">
        <f t="shared" si="537"/>
        <v>0</v>
      </c>
      <c r="Y723" s="25">
        <v>0</v>
      </c>
      <c r="Z723" s="25">
        <v>0</v>
      </c>
      <c r="AA723" s="25">
        <v>0</v>
      </c>
      <c r="AB723" s="25">
        <v>0</v>
      </c>
      <c r="AC723" s="25">
        <v>0</v>
      </c>
      <c r="AD723" s="25">
        <v>0</v>
      </c>
      <c r="AE723" s="25">
        <v>0</v>
      </c>
      <c r="AF723" s="25">
        <v>0</v>
      </c>
      <c r="AG723" s="25">
        <f>SUM(F723:AF723)</f>
        <v>0</v>
      </c>
      <c r="AH723" s="14" t="str">
        <f>IF(ABS(E723-AG723)&lt;0.01,"ok","err")</f>
        <v>ok</v>
      </c>
    </row>
    <row r="724" spans="1:34" x14ac:dyDescent="0.25">
      <c r="E724" s="43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  <c r="AC724" s="77"/>
      <c r="AD724" s="77"/>
      <c r="AE724" s="77"/>
      <c r="AF724" s="77"/>
      <c r="AG724" s="78"/>
      <c r="AH724" s="14"/>
    </row>
    <row r="725" spans="1:34" x14ac:dyDescent="0.25">
      <c r="A725" s="99" t="s">
        <v>683</v>
      </c>
      <c r="E725" s="43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  <c r="AC725" s="77"/>
      <c r="AD725" s="77"/>
      <c r="AE725" s="77"/>
      <c r="AF725" s="77"/>
      <c r="AG725" s="78"/>
      <c r="AH725" s="14"/>
    </row>
    <row r="726" spans="1:34" x14ac:dyDescent="0.25">
      <c r="A726" s="9" t="s">
        <v>1046</v>
      </c>
      <c r="C726" s="2" t="s">
        <v>835</v>
      </c>
      <c r="E726" s="17">
        <v>3330332.5752901519</v>
      </c>
      <c r="F726" s="17">
        <f>F640</f>
        <v>2775348</v>
      </c>
      <c r="G726" s="17">
        <f>G640</f>
        <v>148834</v>
      </c>
      <c r="H726" s="17">
        <f>H640</f>
        <v>329833</v>
      </c>
      <c r="I726" s="17">
        <f>I640</f>
        <v>29580</v>
      </c>
      <c r="J726" s="17">
        <f>J640</f>
        <v>22376</v>
      </c>
      <c r="K726" s="17">
        <v>0</v>
      </c>
      <c r="L726" s="17">
        <v>0</v>
      </c>
      <c r="M726" s="17">
        <v>0</v>
      </c>
      <c r="N726" s="17">
        <f>N640</f>
        <v>24361.575290151904</v>
      </c>
      <c r="O726" s="17">
        <f>O640</f>
        <v>0</v>
      </c>
      <c r="P726" s="17">
        <f>P640</f>
        <v>0</v>
      </c>
      <c r="Q726" s="17">
        <f>Q640</f>
        <v>0</v>
      </c>
      <c r="R726" s="17">
        <v>0</v>
      </c>
      <c r="S726" s="17">
        <f>S640</f>
        <v>0</v>
      </c>
      <c r="T726" s="17">
        <f>T640</f>
        <v>0</v>
      </c>
      <c r="U726" s="17">
        <v>0</v>
      </c>
      <c r="V726" s="17">
        <f t="shared" ref="V726:AF726" si="538">V640</f>
        <v>0</v>
      </c>
      <c r="W726" s="17">
        <f t="shared" si="538"/>
        <v>0</v>
      </c>
      <c r="X726" s="17">
        <f t="shared" si="538"/>
        <v>0</v>
      </c>
      <c r="Y726" s="17">
        <f t="shared" si="538"/>
        <v>0</v>
      </c>
      <c r="Z726" s="17">
        <f t="shared" si="538"/>
        <v>0</v>
      </c>
      <c r="AA726" s="17">
        <f t="shared" si="538"/>
        <v>0</v>
      </c>
      <c r="AB726" s="17">
        <f t="shared" si="538"/>
        <v>0</v>
      </c>
      <c r="AC726" s="17">
        <f t="shared" si="538"/>
        <v>0</v>
      </c>
      <c r="AD726" s="17">
        <f t="shared" si="538"/>
        <v>0</v>
      </c>
      <c r="AE726" s="17">
        <f t="shared" si="538"/>
        <v>0</v>
      </c>
      <c r="AF726" s="17">
        <f t="shared" si="538"/>
        <v>0</v>
      </c>
      <c r="AG726" s="17">
        <f>SUM(F726:AF726)</f>
        <v>3330332.5752901519</v>
      </c>
      <c r="AH726" s="14" t="str">
        <f t="shared" ref="AH726:AH731" si="539">IF(ABS(E726-AG726)&lt;0.01,"ok","err")</f>
        <v>ok</v>
      </c>
    </row>
    <row r="727" spans="1:34" x14ac:dyDescent="0.25">
      <c r="A727" s="9" t="s">
        <v>1047</v>
      </c>
      <c r="E727" s="16">
        <f>E180</f>
        <v>19679910.880000003</v>
      </c>
      <c r="AG727" s="16">
        <f>E727</f>
        <v>19679910.880000003</v>
      </c>
      <c r="AH727" s="14" t="str">
        <f t="shared" si="539"/>
        <v>ok</v>
      </c>
    </row>
    <row r="728" spans="1:34" x14ac:dyDescent="0.25">
      <c r="A728" s="2" t="s">
        <v>594</v>
      </c>
      <c r="E728" s="16">
        <v>2383397.3800000004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f>'Purchased Power'!BL88</f>
        <v>197892</v>
      </c>
      <c r="L728" s="20">
        <f>'Purchased Power'!BL82+'Purchased Power'!BL94</f>
        <v>1222556.7000000002</v>
      </c>
      <c r="M728" s="20">
        <f>'Purchased Power'!BL73+'Purchased Power'!BL74+'Purchased Power'!BL75</f>
        <v>962948.68000000017</v>
      </c>
      <c r="N728" s="20">
        <v>0</v>
      </c>
      <c r="O728" s="17">
        <v>0</v>
      </c>
      <c r="P728" s="17">
        <v>0</v>
      </c>
      <c r="Q728" s="17">
        <v>0</v>
      </c>
      <c r="R728" s="17">
        <v>0</v>
      </c>
      <c r="U728" s="33">
        <v>0</v>
      </c>
      <c r="W728" s="2">
        <v>0</v>
      </c>
      <c r="X728" s="2">
        <v>0</v>
      </c>
      <c r="Y728" s="17">
        <v>0</v>
      </c>
      <c r="AB728" s="17">
        <v>0</v>
      </c>
      <c r="AC728" s="17">
        <v>0</v>
      </c>
      <c r="AG728" s="16">
        <f>SUM(F728:AF728)</f>
        <v>2383397.3800000004</v>
      </c>
      <c r="AH728" s="14" t="str">
        <f t="shared" si="539"/>
        <v>ok</v>
      </c>
    </row>
    <row r="729" spans="1:34" x14ac:dyDescent="0.25">
      <c r="A729" s="9" t="s">
        <v>1048</v>
      </c>
      <c r="D729" s="2" t="s">
        <v>835</v>
      </c>
      <c r="E729" s="16">
        <f>E727-E728</f>
        <v>17296513.500000004</v>
      </c>
      <c r="F729" s="65">
        <f>IF(VLOOKUP($D729,$C$5:$AU$836,3,)=0,0,(VLOOKUP($D729,$C$5:$AU$836,4,)/VLOOKUP($D729,$C$5:$AU$836,3,))*$E729)</f>
        <v>14414129.239034249</v>
      </c>
      <c r="G729" s="65">
        <f>IF(VLOOKUP($D729,$C$5:$AU$836,3,)=0,0,(VLOOKUP($D729,$C$5:$AU$836,5,)/VLOOKUP($D729,$C$5:$AU$836,3,))*$E729)</f>
        <v>772988.6526527208</v>
      </c>
      <c r="H729" s="65">
        <f>IF(VLOOKUP($D729,$C$5:$AU$836,3,)=0,0,(VLOOKUP($D729,$C$5:$AU$836,6,)/VLOOKUP($D729,$C$5:$AU$836,3,))*$E729)</f>
        <v>1713030.3980972418</v>
      </c>
      <c r="I729" s="65">
        <f>IF(VLOOKUP($D729,$C$5:$AU$836,3,)=0,0,(VLOOKUP($D729,$C$5:$AU$836,7,)/VLOOKUP($D729,$C$5:$AU$836,3,))*$E729)</f>
        <v>153627.5605403838</v>
      </c>
      <c r="J729" s="65">
        <f>IF(VLOOKUP($D729,$C$5:$AU$836,3,)=0,0,(VLOOKUP($D729,$C$5:$AU$836,8,)/VLOOKUP($D729,$C$5:$AU$836,3,))*$E729)</f>
        <v>116212.65363933834</v>
      </c>
      <c r="K729" s="65">
        <f>IF(VLOOKUP($D729,$C$5:$AU$836,3,)=0,0,(VLOOKUP($D729,$C$5:$AU$836,9,)/VLOOKUP($D729,$C$5:$AU$836,3,))*$E729)</f>
        <v>0</v>
      </c>
      <c r="L729" s="65">
        <f>IF(VLOOKUP($D729,$C$5:$AU$836,3,)=0,0,(VLOOKUP($D729,$C$5:$AU$836,10,)/VLOOKUP($D729,$C$5:$AU$836,3,))*$E729)</f>
        <v>0</v>
      </c>
      <c r="M729" s="65">
        <f>IF(VLOOKUP($D729,$C$5:$AU$836,3,)=0,0,(VLOOKUP($D729,$C$5:$AU$836,11,)/VLOOKUP($D729,$C$5:$AU$836,3,))*$E729)</f>
        <v>0</v>
      </c>
      <c r="N729" s="65">
        <f>IF(VLOOKUP($D729,$C$5:$AU$836,3,)=0,0,(VLOOKUP($D729,$C$5:$AU$836,12,)/VLOOKUP($D729,$C$5:$AU$836,3,))*$E729)</f>
        <v>126524.99603606931</v>
      </c>
      <c r="O729" s="65">
        <f>IF(VLOOKUP($D729,$C$5:$AU$836,3,)=0,0,(VLOOKUP($D729,$C$5:$AU$836,13,)/VLOOKUP($D729,$C$5:$AU$836,3,))*$E729)</f>
        <v>0</v>
      </c>
      <c r="P729" s="65">
        <f>IF(VLOOKUP($D729,$C$5:$AU$836,3,)=0,0,(VLOOKUP($D729,$C$5:$AU$836,14,)/VLOOKUP($D729,$C$5:$AU$836,3,))*$E729)</f>
        <v>0</v>
      </c>
      <c r="Q729" s="65">
        <f>IF(VLOOKUP($D729,$C$5:$AU$836,3,)=0,0,(VLOOKUP($D729,$C$5:$AU$836,15,)/VLOOKUP($D729,$C$5:$AU$836,3,))*$E729)</f>
        <v>0</v>
      </c>
      <c r="R729" s="65">
        <f>IF(VLOOKUP($D729,$C$5:$AU$836,3,)=0,0,(VLOOKUP($D729,$C$5:$AU$836,16,)/VLOOKUP($D729,$C$5:$AU$836,3,))*$E729)</f>
        <v>0</v>
      </c>
      <c r="S729" s="65">
        <f>IF(VLOOKUP($D729,$C$5:$AU$836,3,)=0,0,(VLOOKUP($D729,$C$5:$AU$836,17,)/VLOOKUP($D729,$C$5:$AU$836,3,))*$E729)</f>
        <v>0</v>
      </c>
      <c r="T729" s="65">
        <f>IF(VLOOKUP($D729,$C$5:$AU$836,3,)=0,0,(VLOOKUP($D729,$C$5:$AU$836,18,)/VLOOKUP($D729,$C$5:$AU$836,3,))*$E729)</f>
        <v>0</v>
      </c>
      <c r="U729" s="65">
        <f>IF(VLOOKUP($D729,$C$5:$AU$836,3,)=0,0,(VLOOKUP($D729,$C$5:$AU$836,19,)/VLOOKUP($D729,$C$5:$AU$836,3,))*$E729)</f>
        <v>0</v>
      </c>
      <c r="V729" s="65">
        <f>IF(VLOOKUP($D729,$C$5:$AU$836,3,)=0,0,(VLOOKUP($D729,$C$5:$AU$836,20,)/VLOOKUP($D729,$C$5:$AU$836,3,))*$E729)</f>
        <v>0</v>
      </c>
      <c r="W729" s="65">
        <f>IF(VLOOKUP($D729,$C$5:$AU$836,3,)=0,0,(VLOOKUP($D729,$C$5:$AU$836,21,)/VLOOKUP($D729,$C$5:$AU$836,3,))*$E729)</f>
        <v>0</v>
      </c>
      <c r="X729" s="65">
        <f>IF(VLOOKUP($D729,$C$5:$AU$836,3,)=0,0,(VLOOKUP($D729,$C$5:$AU$836,22,)/VLOOKUP($D729,$C$5:$AU$836,3,))*$E729)</f>
        <v>0</v>
      </c>
      <c r="Y729" s="65">
        <v>0</v>
      </c>
      <c r="Z729" s="65">
        <v>0</v>
      </c>
      <c r="AA729" s="65">
        <v>0</v>
      </c>
      <c r="AB729" s="65">
        <v>0</v>
      </c>
      <c r="AC729" s="65">
        <v>0</v>
      </c>
      <c r="AD729" s="65">
        <v>0</v>
      </c>
      <c r="AE729" s="65">
        <v>0</v>
      </c>
      <c r="AF729" s="65">
        <v>0</v>
      </c>
      <c r="AG729" s="16">
        <f>SUM(F729:AF729)</f>
        <v>17296513.500000004</v>
      </c>
      <c r="AH729" s="14" t="str">
        <f t="shared" si="539"/>
        <v>ok</v>
      </c>
    </row>
    <row r="730" spans="1:34" x14ac:dyDescent="0.25">
      <c r="A730" s="9" t="s">
        <v>1049</v>
      </c>
      <c r="C730" s="2" t="s">
        <v>836</v>
      </c>
      <c r="E730" s="16">
        <f t="shared" ref="E730:AF730" si="540">E728+E729</f>
        <v>19679910.880000003</v>
      </c>
      <c r="F730" s="16">
        <f t="shared" si="540"/>
        <v>14414129.239034249</v>
      </c>
      <c r="G730" s="16">
        <f t="shared" si="540"/>
        <v>772988.6526527208</v>
      </c>
      <c r="H730" s="16">
        <f t="shared" si="540"/>
        <v>1713030.3980972418</v>
      </c>
      <c r="I730" s="16">
        <f t="shared" si="540"/>
        <v>153627.5605403838</v>
      </c>
      <c r="J730" s="16">
        <f t="shared" si="540"/>
        <v>116212.65363933834</v>
      </c>
      <c r="K730" s="16">
        <f t="shared" si="540"/>
        <v>197892</v>
      </c>
      <c r="L730" s="16">
        <f t="shared" si="540"/>
        <v>1222556.7000000002</v>
      </c>
      <c r="M730" s="16">
        <f>M728+M729</f>
        <v>962948.68000000017</v>
      </c>
      <c r="N730" s="16">
        <f>N728+N729</f>
        <v>126524.99603606931</v>
      </c>
      <c r="O730" s="16">
        <f t="shared" si="540"/>
        <v>0</v>
      </c>
      <c r="P730" s="16">
        <f t="shared" si="540"/>
        <v>0</v>
      </c>
      <c r="Q730" s="16">
        <f t="shared" si="540"/>
        <v>0</v>
      </c>
      <c r="R730" s="16">
        <f t="shared" si="540"/>
        <v>0</v>
      </c>
      <c r="S730" s="16">
        <f t="shared" si="540"/>
        <v>0</v>
      </c>
      <c r="T730" s="16">
        <f t="shared" si="540"/>
        <v>0</v>
      </c>
      <c r="U730" s="16">
        <f t="shared" si="540"/>
        <v>0</v>
      </c>
      <c r="V730" s="16">
        <f t="shared" si="540"/>
        <v>0</v>
      </c>
      <c r="W730" s="16">
        <f t="shared" si="540"/>
        <v>0</v>
      </c>
      <c r="X730" s="16">
        <f t="shared" si="540"/>
        <v>0</v>
      </c>
      <c r="Y730" s="16">
        <f t="shared" si="540"/>
        <v>0</v>
      </c>
      <c r="Z730" s="16">
        <f t="shared" si="540"/>
        <v>0</v>
      </c>
      <c r="AA730" s="16">
        <f t="shared" si="540"/>
        <v>0</v>
      </c>
      <c r="AB730" s="16">
        <f t="shared" si="540"/>
        <v>0</v>
      </c>
      <c r="AC730" s="16">
        <f t="shared" si="540"/>
        <v>0</v>
      </c>
      <c r="AD730" s="16">
        <f t="shared" si="540"/>
        <v>0</v>
      </c>
      <c r="AE730" s="16">
        <f t="shared" si="540"/>
        <v>0</v>
      </c>
      <c r="AF730" s="16">
        <f t="shared" si="540"/>
        <v>0</v>
      </c>
      <c r="AG730" s="16">
        <f>SUM(F730:AF730)</f>
        <v>19679910.880000003</v>
      </c>
      <c r="AH730" s="14" t="str">
        <f t="shared" si="539"/>
        <v>ok</v>
      </c>
    </row>
    <row r="731" spans="1:34" x14ac:dyDescent="0.25">
      <c r="A731" s="9" t="s">
        <v>1046</v>
      </c>
      <c r="C731" s="9" t="s">
        <v>1072</v>
      </c>
      <c r="D731" s="2" t="s">
        <v>836</v>
      </c>
      <c r="E731" s="43">
        <v>1</v>
      </c>
      <c r="F731" s="77">
        <f>IF(VLOOKUP($D731,$C$5:$AU$836,3,)=0,0,(VLOOKUP($D731,$C$5:$AU$836,4,)/VLOOKUP($D731,$C$5:$AU$836,3,))*$E731)</f>
        <v>0.73242858298117697</v>
      </c>
      <c r="G731" s="77">
        <f>IF(VLOOKUP($D731,$C$5:$AU$836,3,)=0,0,(VLOOKUP($D731,$C$5:$AU$836,5,)/VLOOKUP($D731,$C$5:$AU$836,3,))*$E731)</f>
        <v>3.9278056560626086E-2</v>
      </c>
      <c r="H731" s="77">
        <f>IF(VLOOKUP($D731,$C$5:$AU$836,3,)=0,0,(VLOOKUP($D731,$C$5:$AU$836,6,)/VLOOKUP($D731,$C$5:$AU$836,3,))*$E731)</f>
        <v>8.7044621723268781E-2</v>
      </c>
      <c r="I731" s="77">
        <f>IF(VLOOKUP($D731,$C$5:$AU$836,3,)=0,0,(VLOOKUP($D731,$C$5:$AU$836,7,)/VLOOKUP($D731,$C$5:$AU$836,3,))*$E731)</f>
        <v>7.8063138332862096E-3</v>
      </c>
      <c r="J731" s="77">
        <f>IF(VLOOKUP($D731,$C$5:$AU$836,3,)=0,0,(VLOOKUP($D731,$C$5:$AU$836,8,)/VLOOKUP($D731,$C$5:$AU$836,3,))*$E731)</f>
        <v>5.9051412553621447E-3</v>
      </c>
      <c r="K731" s="77">
        <f>IF(VLOOKUP($D731,$C$5:$AU$836,3,)=0,0,(VLOOKUP($D731,$C$5:$AU$836,9,)/VLOOKUP($D731,$C$5:$AU$836,3,))*$E731)</f>
        <v>1.0055533340911143E-2</v>
      </c>
      <c r="L731" s="77">
        <f>IF(VLOOKUP($D731,$C$5:$AU$836,3,)=0,0,(VLOOKUP($D731,$C$5:$AU$836,10,)/VLOOKUP($D731,$C$5:$AU$836,3,))*$E731)</f>
        <v>6.212206485357824E-2</v>
      </c>
      <c r="M731" s="77">
        <f>IF(VLOOKUP($D731,$C$5:$AU$836,3,)=0,0,(VLOOKUP($D731,$C$5:$AU$836,11,)/VLOOKUP($D731,$C$5:$AU$836,3,))*$E731)</f>
        <v>4.8930540685456603E-2</v>
      </c>
      <c r="N731" s="77">
        <f>IF(VLOOKUP($D731,$C$5:$AU$836,3,)=0,0,(VLOOKUP($D731,$C$5:$AU$836,12,)/VLOOKUP($D731,$C$5:$AU$836,3,))*$E731)</f>
        <v>6.4291447663338856E-3</v>
      </c>
      <c r="O731" s="77">
        <f>IF(VLOOKUP($D731,$C$5:$AU$836,3,)=0,0,(VLOOKUP($D731,$C$5:$AU$836,13,)/VLOOKUP($D731,$C$5:$AU$836,3,))*$E731)</f>
        <v>0</v>
      </c>
      <c r="P731" s="77">
        <f>IF(VLOOKUP($D731,$C$5:$AU$836,3,)=0,0,(VLOOKUP($D731,$C$5:$AU$836,14,)/VLOOKUP($D731,$C$5:$AU$836,3,))*$E731)</f>
        <v>0</v>
      </c>
      <c r="Q731" s="77">
        <f>IF(VLOOKUP($D731,$C$5:$AU$836,3,)=0,0,(VLOOKUP($D731,$C$5:$AU$836,15,)/VLOOKUP($D731,$C$5:$AU$836,3,))*$E731)</f>
        <v>0</v>
      </c>
      <c r="R731" s="77">
        <f>IF(VLOOKUP($D731,$C$5:$AU$836,3,)=0,0,(VLOOKUP($D731,$C$5:$AU$836,16,)/VLOOKUP($D731,$C$5:$AU$836,3,))*$E731)</f>
        <v>0</v>
      </c>
      <c r="S731" s="77">
        <f>IF(VLOOKUP($D731,$C$5:$AU$836,3,)=0,0,(VLOOKUP($D731,$C$5:$AU$836,17,)/VLOOKUP($D731,$C$5:$AU$836,3,))*$E731)</f>
        <v>0</v>
      </c>
      <c r="T731" s="77">
        <f>IF(VLOOKUP($D731,$C$5:$AU$836,3,)=0,0,(VLOOKUP($D731,$C$5:$AU$836,18,)/VLOOKUP($D731,$C$5:$AU$836,3,))*$E731)</f>
        <v>0</v>
      </c>
      <c r="U731" s="77">
        <f>IF(VLOOKUP($D731,$C$5:$AU$836,3,)=0,0,(VLOOKUP($D731,$C$5:$AU$836,19,)/VLOOKUP($D731,$C$5:$AU$836,3,))*$E731)</f>
        <v>0</v>
      </c>
      <c r="V731" s="77">
        <f>IF(VLOOKUP($D731,$C$5:$AU$836,3,)=0,0,(VLOOKUP($D731,$C$5:$AU$836,20,)/VLOOKUP($D731,$C$5:$AU$836,3,))*$E731)</f>
        <v>0</v>
      </c>
      <c r="W731" s="77">
        <f>IF(VLOOKUP($D731,$C$5:$AU$836,3,)=0,0,(VLOOKUP($D731,$C$5:$AU$836,21,)/VLOOKUP($D731,$C$5:$AU$836,3,))*$E731)</f>
        <v>0</v>
      </c>
      <c r="X731" s="77">
        <f>IF(VLOOKUP($D731,$C$5:$AU$836,3,)=0,0,(VLOOKUP($D731,$C$5:$AU$836,22,)/VLOOKUP($D731,$C$5:$AU$836,3,))*$E731)</f>
        <v>0</v>
      </c>
      <c r="Y731" s="77">
        <f>IF(VLOOKUP($D731,$C$5:$AU$836,3,)=0,0,(VLOOKUP($D731,$C$5:$AU$836,23,)/VLOOKUP($D731,$C$5:$AU$836,3,))*$E731)</f>
        <v>0</v>
      </c>
      <c r="Z731" s="77">
        <f>IF(VLOOKUP($D731,$C$5:$AU$836,3,)=0,0,(VLOOKUP($D731,$C$5:$AU$836,24,)/VLOOKUP($D731,$C$5:$AU$836,3,))*$E731)</f>
        <v>0</v>
      </c>
      <c r="AA731" s="77">
        <f>IF(VLOOKUP($D731,$C$5:$AU$836,3,)=0,0,(VLOOKUP($D731,$C$5:$AU$836,25,)/VLOOKUP($D731,$C$5:$AU$836,3,))*$E731)</f>
        <v>0</v>
      </c>
      <c r="AB731" s="77">
        <f>IF(VLOOKUP($D731,$C$5:$AU$836,3,)=0,0,(VLOOKUP($D731,$C$5:$AU$836,26,)/VLOOKUP($D731,$C$5:$AU$836,3,))*$E731)</f>
        <v>0</v>
      </c>
      <c r="AC731" s="77">
        <f>IF(VLOOKUP($D731,$C$5:$AU$836,3,)=0,0,(VLOOKUP($D731,$C$5:$AU$836,27,)/VLOOKUP($D731,$C$5:$AU$836,3,))*$E731)</f>
        <v>0</v>
      </c>
      <c r="AD731" s="77">
        <f>IF(VLOOKUP($D731,$C$5:$AU$836,3,)=0,0,(VLOOKUP($D731,$C$5:$AU$836,28,)/VLOOKUP($D731,$C$5:$AU$836,3,))*$E731)</f>
        <v>0</v>
      </c>
      <c r="AE731" s="77">
        <f>IF(VLOOKUP($D731,$C$5:$AU$836,3,)=0,0,(VLOOKUP($D731,$C$5:$AU$836,29,)/VLOOKUP($D731,$C$5:$AU$836,3,))*$E731)</f>
        <v>0</v>
      </c>
      <c r="AF731" s="77">
        <f>IF(VLOOKUP($D731,$C$5:$AU$836,3,)=0,0,(VLOOKUP($D731,$C$5:$AU$836,30,)/VLOOKUP($D731,$C$5:$AU$836,3,))*$E731)</f>
        <v>0</v>
      </c>
      <c r="AG731" s="78">
        <f>SUM(F731:AF731)</f>
        <v>1</v>
      </c>
      <c r="AH731" s="14" t="str">
        <f t="shared" si="539"/>
        <v>ok</v>
      </c>
    </row>
    <row r="732" spans="1:34" x14ac:dyDescent="0.25">
      <c r="E732" s="43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  <c r="AC732" s="77"/>
      <c r="AD732" s="77"/>
      <c r="AE732" s="77"/>
      <c r="AF732" s="77"/>
      <c r="AG732" s="78"/>
      <c r="AH732" s="14"/>
    </row>
    <row r="733" spans="1:34" x14ac:dyDescent="0.25">
      <c r="A733" s="2" t="s">
        <v>908</v>
      </c>
      <c r="C733" s="2" t="s">
        <v>837</v>
      </c>
      <c r="E733" s="17">
        <v>330681.98986243393</v>
      </c>
      <c r="F733" s="17">
        <f t="shared" ref="F733:Q733" si="541">F638</f>
        <v>235034</v>
      </c>
      <c r="G733" s="17">
        <f t="shared" si="541"/>
        <v>15382</v>
      </c>
      <c r="H733" s="17">
        <f t="shared" si="541"/>
        <v>39056</v>
      </c>
      <c r="I733" s="17">
        <f t="shared" si="541"/>
        <v>4015</v>
      </c>
      <c r="J733" s="17">
        <f t="shared" si="541"/>
        <v>3938</v>
      </c>
      <c r="K733" s="17">
        <f t="shared" si="541"/>
        <v>2171.52</v>
      </c>
      <c r="L733" s="17">
        <f t="shared" si="541"/>
        <v>15287.041000000001</v>
      </c>
      <c r="M733" s="17">
        <f t="shared" si="541"/>
        <v>11484.12</v>
      </c>
      <c r="N733" s="17">
        <f t="shared" si="541"/>
        <v>4314.3088624338625</v>
      </c>
      <c r="O733" s="17">
        <f t="shared" si="541"/>
        <v>0</v>
      </c>
      <c r="P733" s="17">
        <f t="shared" si="541"/>
        <v>0</v>
      </c>
      <c r="Q733" s="17">
        <f t="shared" si="541"/>
        <v>0</v>
      </c>
      <c r="R733" s="17">
        <v>0</v>
      </c>
      <c r="S733" s="17">
        <f>S638</f>
        <v>0</v>
      </c>
      <c r="T733" s="17">
        <f>T638</f>
        <v>0</v>
      </c>
      <c r="U733" s="17">
        <v>0</v>
      </c>
      <c r="V733" s="17">
        <f t="shared" ref="V733:AF733" si="542">V638</f>
        <v>0</v>
      </c>
      <c r="W733" s="17">
        <f t="shared" si="542"/>
        <v>0</v>
      </c>
      <c r="X733" s="17">
        <f t="shared" si="542"/>
        <v>0</v>
      </c>
      <c r="Y733" s="17">
        <f t="shared" si="542"/>
        <v>0</v>
      </c>
      <c r="Z733" s="17">
        <f t="shared" si="542"/>
        <v>0</v>
      </c>
      <c r="AA733" s="17">
        <f t="shared" si="542"/>
        <v>0</v>
      </c>
      <c r="AB733" s="17">
        <f t="shared" si="542"/>
        <v>0</v>
      </c>
      <c r="AC733" s="17">
        <f t="shared" si="542"/>
        <v>0</v>
      </c>
      <c r="AD733" s="17">
        <f t="shared" si="542"/>
        <v>0</v>
      </c>
      <c r="AE733" s="17">
        <f t="shared" si="542"/>
        <v>0</v>
      </c>
      <c r="AF733" s="17">
        <f t="shared" si="542"/>
        <v>0</v>
      </c>
      <c r="AG733" s="17">
        <f>SUM(F733:AF733)</f>
        <v>330681.98986243393</v>
      </c>
      <c r="AH733" s="14" t="str">
        <f t="shared" ref="AH733:AH738" si="543">IF(ABS(E733-AG733)&lt;0.01,"ok","err")</f>
        <v>ok</v>
      </c>
    </row>
    <row r="734" spans="1:34" x14ac:dyDescent="0.25">
      <c r="A734" s="2" t="s">
        <v>909</v>
      </c>
      <c r="E734" s="16">
        <f>E181</f>
        <v>1704216</v>
      </c>
      <c r="AG734" s="16">
        <f>E734</f>
        <v>1704216</v>
      </c>
      <c r="AH734" s="14" t="str">
        <f t="shared" si="543"/>
        <v>ok</v>
      </c>
    </row>
    <row r="735" spans="1:34" x14ac:dyDescent="0.25">
      <c r="A735" s="2" t="s">
        <v>594</v>
      </c>
      <c r="E735" s="30">
        <v>0</v>
      </c>
      <c r="F735" s="30">
        <v>0</v>
      </c>
      <c r="G735" s="30">
        <v>0</v>
      </c>
      <c r="H735" s="30">
        <v>0</v>
      </c>
      <c r="I735" s="30">
        <v>0</v>
      </c>
      <c r="J735" s="30">
        <v>0</v>
      </c>
      <c r="K735" s="30">
        <v>0</v>
      </c>
      <c r="L735" s="30">
        <v>0</v>
      </c>
      <c r="M735" s="30">
        <v>0</v>
      </c>
      <c r="N735" s="30">
        <v>0</v>
      </c>
      <c r="O735" s="17">
        <v>0</v>
      </c>
      <c r="P735" s="17">
        <v>0</v>
      </c>
      <c r="Q735" s="17">
        <v>0</v>
      </c>
      <c r="R735" s="17">
        <v>0</v>
      </c>
      <c r="U735" s="17">
        <v>0</v>
      </c>
      <c r="V735" s="17">
        <v>0</v>
      </c>
      <c r="W735" s="17">
        <v>0</v>
      </c>
      <c r="X735" s="17">
        <v>0</v>
      </c>
      <c r="Y735" s="17">
        <v>0</v>
      </c>
      <c r="AA735" s="2">
        <v>0</v>
      </c>
      <c r="AB735" s="17">
        <v>0</v>
      </c>
      <c r="AC735" s="17">
        <v>0</v>
      </c>
      <c r="AG735" s="16">
        <f>SUM(F735:AF735)</f>
        <v>0</v>
      </c>
      <c r="AH735" s="14" t="str">
        <f t="shared" si="543"/>
        <v>ok</v>
      </c>
    </row>
    <row r="736" spans="1:34" x14ac:dyDescent="0.25">
      <c r="A736" s="2" t="s">
        <v>910</v>
      </c>
      <c r="D736" s="2" t="s">
        <v>837</v>
      </c>
      <c r="E736" s="16">
        <f>E734-E735</f>
        <v>1704216</v>
      </c>
      <c r="F736" s="65">
        <f>IF(VLOOKUP($D736,$C$5:$AU$836,3,)=0,0,(VLOOKUP($D736,$C$5:$AU$836,4,)/VLOOKUP($D736,$C$5:$AU$836,3,))*$E736)</f>
        <v>1211280.6733461085</v>
      </c>
      <c r="G736" s="65">
        <f>IF(VLOOKUP($D736,$C$5:$AU$836,3,)=0,0,(VLOOKUP($D736,$C$5:$AU$836,5,)/VLOOKUP($D736,$C$5:$AU$836,3,))*$E736)</f>
        <v>79273.293725205032</v>
      </c>
      <c r="H736" s="65">
        <f>IF(VLOOKUP($D736,$C$5:$AU$836,3,)=0,0,(VLOOKUP($D736,$C$5:$AU$836,6,)/VLOOKUP($D736,$C$5:$AU$836,3,))*$E736)</f>
        <v>201280.57207980807</v>
      </c>
      <c r="I736" s="65">
        <f>IF(VLOOKUP($D736,$C$5:$AU$836,3,)=0,0,(VLOOKUP($D736,$C$5:$AU$836,7,)/VLOOKUP($D736,$C$5:$AU$836,3,))*$E736)</f>
        <v>20691.865447061387</v>
      </c>
      <c r="J736" s="65">
        <f>IF(VLOOKUP($D736,$C$5:$AU$836,3,)=0,0,(VLOOKUP($D736,$C$5:$AU$836,8,)/VLOOKUP($D736,$C$5:$AU$836,3,))*$E736)</f>
        <v>20295.035150816373</v>
      </c>
      <c r="K736" s="65">
        <f>IF(VLOOKUP($D736,$C$5:$AU$836,3,)=0,0,(VLOOKUP($D736,$C$5:$AU$836,9,)/VLOOKUP($D736,$C$5:$AU$836,3,))*$E736)</f>
        <v>11191.23279093468</v>
      </c>
      <c r="L736" s="65">
        <f>IF(VLOOKUP($D736,$C$5:$AU$836,3,)=0,0,(VLOOKUP($D736,$C$5:$AU$836,10,)/VLOOKUP($D736,$C$5:$AU$836,3,))*$E736)</f>
        <v>78783.909204411146</v>
      </c>
      <c r="M736" s="65">
        <f>IF(VLOOKUP($D736,$C$5:$AU$836,3,)=0,0,(VLOOKUP($D736,$C$5:$AU$836,11,)/VLOOKUP($D736,$C$5:$AU$836,3,))*$E736)</f>
        <v>59185.022619652955</v>
      </c>
      <c r="N736" s="65">
        <f>IF(VLOOKUP($D736,$C$5:$AU$836,3,)=0,0,(VLOOKUP($D736,$C$5:$AU$836,12,)/VLOOKUP($D736,$C$5:$AU$836,3,))*$E736)</f>
        <v>22234.395636001482</v>
      </c>
      <c r="O736" s="65">
        <f>IF(VLOOKUP($D736,$C$5:$AU$836,3,)=0,0,(VLOOKUP($D736,$C$5:$AU$836,13,)/VLOOKUP($D736,$C$5:$AU$836,3,))*$E736)</f>
        <v>0</v>
      </c>
      <c r="P736" s="65">
        <f>IF(VLOOKUP($D736,$C$5:$AU$836,3,)=0,0,(VLOOKUP($D736,$C$5:$AU$836,14,)/VLOOKUP($D736,$C$5:$AU$836,3,))*$E736)</f>
        <v>0</v>
      </c>
      <c r="Q736" s="65">
        <f>IF(VLOOKUP($D736,$C$5:$AU$836,3,)=0,0,(VLOOKUP($D736,$C$5:$AU$836,15,)/VLOOKUP($D736,$C$5:$AU$836,3,))*$E736)</f>
        <v>0</v>
      </c>
      <c r="R736" s="65">
        <f>IF(VLOOKUP($D736,$C$5:$AU$836,3,)=0,0,(VLOOKUP($D736,$C$5:$AU$836,16,)/VLOOKUP($D736,$C$5:$AU$836,3,))*$E736)</f>
        <v>0</v>
      </c>
      <c r="S736" s="65">
        <f>IF(VLOOKUP($D736,$C$5:$AU$836,3,)=0,0,(VLOOKUP($D736,$C$5:$AU$836,17,)/VLOOKUP($D736,$C$5:$AU$836,3,))*$E736)</f>
        <v>0</v>
      </c>
      <c r="T736" s="65">
        <f>IF(VLOOKUP($D736,$C$5:$AU$836,3,)=0,0,(VLOOKUP($D736,$C$5:$AU$836,18,)/VLOOKUP($D736,$C$5:$AU$836,3,))*$E736)</f>
        <v>0</v>
      </c>
      <c r="U736" s="65">
        <f>IF(VLOOKUP($D736,$C$5:$AU$836,3,)=0,0,(VLOOKUP($D736,$C$5:$AU$836,19,)/VLOOKUP($D736,$C$5:$AU$836,3,))*$E736)</f>
        <v>0</v>
      </c>
      <c r="V736" s="65">
        <f>IF(VLOOKUP($D736,$C$5:$AU$836,3,)=0,0,(VLOOKUP($D736,$C$5:$AU$836,20,)/VLOOKUP($D736,$C$5:$AU$836,3,))*$E736)</f>
        <v>0</v>
      </c>
      <c r="W736" s="65">
        <f>IF(VLOOKUP($D736,$C$5:$AU$836,3,)=0,0,(VLOOKUP($D736,$C$5:$AU$836,21,)/VLOOKUP($D736,$C$5:$AU$836,3,))*$E736)</f>
        <v>0</v>
      </c>
      <c r="X736" s="65">
        <f>IF(VLOOKUP($D736,$C$5:$AU$836,3,)=0,0,(VLOOKUP($D736,$C$5:$AU$836,22,)/VLOOKUP($D736,$C$5:$AU$836,3,))*$E736)</f>
        <v>0</v>
      </c>
      <c r="Y736" s="65">
        <v>0</v>
      </c>
      <c r="Z736" s="65">
        <v>0</v>
      </c>
      <c r="AA736" s="65">
        <v>0</v>
      </c>
      <c r="AB736" s="65">
        <v>0</v>
      </c>
      <c r="AC736" s="65">
        <v>0</v>
      </c>
      <c r="AD736" s="65">
        <v>0</v>
      </c>
      <c r="AE736" s="65">
        <v>0</v>
      </c>
      <c r="AF736" s="65">
        <v>0</v>
      </c>
      <c r="AG736" s="16">
        <f>SUM(F736:AF736)</f>
        <v>1704215.9999999995</v>
      </c>
      <c r="AH736" s="14" t="str">
        <f t="shared" si="543"/>
        <v>ok</v>
      </c>
    </row>
    <row r="737" spans="1:34" x14ac:dyDescent="0.25">
      <c r="A737" s="2" t="s">
        <v>911</v>
      </c>
      <c r="C737" s="2" t="s">
        <v>838</v>
      </c>
      <c r="E737" s="16">
        <f t="shared" ref="E737:AF737" si="544">E735+E736</f>
        <v>1704216</v>
      </c>
      <c r="F737" s="16">
        <f t="shared" si="544"/>
        <v>1211280.6733461085</v>
      </c>
      <c r="G737" s="16">
        <f t="shared" si="544"/>
        <v>79273.293725205032</v>
      </c>
      <c r="H737" s="16">
        <f t="shared" si="544"/>
        <v>201280.57207980807</v>
      </c>
      <c r="I737" s="16">
        <f t="shared" si="544"/>
        <v>20691.865447061387</v>
      </c>
      <c r="J737" s="16">
        <f t="shared" si="544"/>
        <v>20295.035150816373</v>
      </c>
      <c r="K737" s="16">
        <f t="shared" si="544"/>
        <v>11191.23279093468</v>
      </c>
      <c r="L737" s="16">
        <f t="shared" si="544"/>
        <v>78783.909204411146</v>
      </c>
      <c r="M737" s="16">
        <f>M735+M736</f>
        <v>59185.022619652955</v>
      </c>
      <c r="N737" s="16">
        <f>N735+N736</f>
        <v>22234.395636001482</v>
      </c>
      <c r="O737" s="16">
        <f t="shared" si="544"/>
        <v>0</v>
      </c>
      <c r="P737" s="16">
        <f t="shared" si="544"/>
        <v>0</v>
      </c>
      <c r="Q737" s="16">
        <f t="shared" si="544"/>
        <v>0</v>
      </c>
      <c r="R737" s="16">
        <f t="shared" si="544"/>
        <v>0</v>
      </c>
      <c r="S737" s="16">
        <f t="shared" si="544"/>
        <v>0</v>
      </c>
      <c r="T737" s="16">
        <f t="shared" si="544"/>
        <v>0</v>
      </c>
      <c r="U737" s="16">
        <f t="shared" si="544"/>
        <v>0</v>
      </c>
      <c r="V737" s="16">
        <f t="shared" si="544"/>
        <v>0</v>
      </c>
      <c r="W737" s="16">
        <f t="shared" si="544"/>
        <v>0</v>
      </c>
      <c r="X737" s="16">
        <f t="shared" si="544"/>
        <v>0</v>
      </c>
      <c r="Y737" s="16">
        <f t="shared" si="544"/>
        <v>0</v>
      </c>
      <c r="Z737" s="16">
        <f t="shared" si="544"/>
        <v>0</v>
      </c>
      <c r="AA737" s="16">
        <f t="shared" si="544"/>
        <v>0</v>
      </c>
      <c r="AB737" s="16">
        <f t="shared" si="544"/>
        <v>0</v>
      </c>
      <c r="AC737" s="16">
        <f t="shared" si="544"/>
        <v>0</v>
      </c>
      <c r="AD737" s="16">
        <f t="shared" si="544"/>
        <v>0</v>
      </c>
      <c r="AE737" s="16">
        <f t="shared" si="544"/>
        <v>0</v>
      </c>
      <c r="AF737" s="16">
        <f t="shared" si="544"/>
        <v>0</v>
      </c>
      <c r="AG737" s="16">
        <f>SUM(F737:AF737)</f>
        <v>1704215.9999999995</v>
      </c>
      <c r="AH737" s="14" t="str">
        <f t="shared" si="543"/>
        <v>ok</v>
      </c>
    </row>
    <row r="738" spans="1:34" x14ac:dyDescent="0.25">
      <c r="A738" s="2" t="s">
        <v>908</v>
      </c>
      <c r="C738" s="2" t="s">
        <v>839</v>
      </c>
      <c r="D738" s="2" t="s">
        <v>838</v>
      </c>
      <c r="E738" s="43">
        <v>1</v>
      </c>
      <c r="F738" s="77">
        <f>IF(VLOOKUP($D738,$C$5:$AU$836,3,)=0,0,(VLOOKUP($D738,$C$5:$AU$836,4,)/VLOOKUP($D738,$C$5:$AU$836,3,))*$E738)</f>
        <v>0.71075536982759724</v>
      </c>
      <c r="G738" s="77">
        <f>IF(VLOOKUP($D738,$C$5:$AU$836,3,)=0,0,(VLOOKUP($D738,$C$5:$AU$836,5,)/VLOOKUP($D738,$C$5:$AU$836,3,))*$E738)</f>
        <v>4.6515989595922722E-2</v>
      </c>
      <c r="H738" s="77">
        <f>IF(VLOOKUP($D738,$C$5:$AU$836,3,)=0,0,(VLOOKUP($D738,$C$5:$AU$836,6,)/VLOOKUP($D738,$C$5:$AU$836,3,))*$E738)</f>
        <v>0.11810743009090871</v>
      </c>
      <c r="I738" s="77">
        <f>IF(VLOOKUP($D738,$C$5:$AU$836,3,)=0,0,(VLOOKUP($D738,$C$5:$AU$836,7,)/VLOOKUP($D738,$C$5:$AU$836,3,))*$E738)</f>
        <v>1.214157445245285E-2</v>
      </c>
      <c r="J738" s="77">
        <f>IF(VLOOKUP($D738,$C$5:$AU$836,3,)=0,0,(VLOOKUP($D738,$C$5:$AU$836,8,)/VLOOKUP($D738,$C$5:$AU$836,3,))*$E738)</f>
        <v>1.1908722339666084E-2</v>
      </c>
      <c r="K738" s="77">
        <f>IF(VLOOKUP($D738,$C$5:$AU$836,3,)=0,0,(VLOOKUP($D738,$C$5:$AU$836,9,)/VLOOKUP($D738,$C$5:$AU$836,3,))*$E738)</f>
        <v>6.566792466996367E-3</v>
      </c>
      <c r="L738" s="77">
        <f>IF(VLOOKUP($D738,$C$5:$AU$836,3,)=0,0,(VLOOKUP($D738,$C$5:$AU$836,10,)/VLOOKUP($D738,$C$5:$AU$836,3,))*$E738)</f>
        <v>4.6228828507895212E-2</v>
      </c>
      <c r="M738" s="77">
        <f>IF(VLOOKUP($D738,$C$5:$AU$836,3,)=0,0,(VLOOKUP($D738,$C$5:$AU$836,11,)/VLOOKUP($D738,$C$5:$AU$836,3,))*$E738)</f>
        <v>3.4728592279178787E-2</v>
      </c>
      <c r="N738" s="77">
        <f>IF(VLOOKUP($D738,$C$5:$AU$836,3,)=0,0,(VLOOKUP($D738,$C$5:$AU$836,12,)/VLOOKUP($D738,$C$5:$AU$836,3,))*$E738)</f>
        <v>1.3046700439381793E-2</v>
      </c>
      <c r="O738" s="77">
        <f>IF(VLOOKUP($D738,$C$5:$AU$836,3,)=0,0,(VLOOKUP($D738,$C$5:$AU$836,13,)/VLOOKUP($D738,$C$5:$AU$836,3,))*$E738)</f>
        <v>0</v>
      </c>
      <c r="P738" s="77">
        <f>IF(VLOOKUP($D738,$C$5:$AU$836,3,)=0,0,(VLOOKUP($D738,$C$5:$AU$836,14,)/VLOOKUP($D738,$C$5:$AU$836,3,))*$E738)</f>
        <v>0</v>
      </c>
      <c r="Q738" s="77">
        <f>IF(VLOOKUP($D738,$C$5:$AU$836,3,)=0,0,(VLOOKUP($D738,$C$5:$AU$836,15,)/VLOOKUP($D738,$C$5:$AU$836,3,))*$E738)</f>
        <v>0</v>
      </c>
      <c r="R738" s="77">
        <f>IF(VLOOKUP($D738,$C$5:$AU$836,3,)=0,0,(VLOOKUP($D738,$C$5:$AU$836,16,)/VLOOKUP($D738,$C$5:$AU$836,3,))*$E738)</f>
        <v>0</v>
      </c>
      <c r="S738" s="77">
        <f>IF(VLOOKUP($D738,$C$5:$AU$836,3,)=0,0,(VLOOKUP($D738,$C$5:$AU$836,17,)/VLOOKUP($D738,$C$5:$AU$836,3,))*$E738)</f>
        <v>0</v>
      </c>
      <c r="T738" s="77">
        <f>IF(VLOOKUP($D738,$C$5:$AU$836,3,)=0,0,(VLOOKUP($D738,$C$5:$AU$836,18,)/VLOOKUP($D738,$C$5:$AU$836,3,))*$E738)</f>
        <v>0</v>
      </c>
      <c r="U738" s="77">
        <f>IF(VLOOKUP($D738,$C$5:$AU$836,3,)=0,0,(VLOOKUP($D738,$C$5:$AU$836,19,)/VLOOKUP($D738,$C$5:$AU$836,3,))*$E738)</f>
        <v>0</v>
      </c>
      <c r="V738" s="77">
        <f>IF(VLOOKUP($D738,$C$5:$AU$836,3,)=0,0,(VLOOKUP($D738,$C$5:$AU$836,20,)/VLOOKUP($D738,$C$5:$AU$836,3,))*$E738)</f>
        <v>0</v>
      </c>
      <c r="W738" s="77">
        <f>IF(VLOOKUP($D738,$C$5:$AU$836,3,)=0,0,(VLOOKUP($D738,$C$5:$AU$836,21,)/VLOOKUP($D738,$C$5:$AU$836,3,))*$E738)</f>
        <v>0</v>
      </c>
      <c r="X738" s="77">
        <f>IF(VLOOKUP($D738,$C$5:$AU$836,3,)=0,0,(VLOOKUP($D738,$C$5:$AU$836,22,)/VLOOKUP($D738,$C$5:$AU$836,3,))*$E738)</f>
        <v>0</v>
      </c>
      <c r="Y738" s="77">
        <f>IF(VLOOKUP($D738,$C$5:$AU$836,3,)=0,0,(VLOOKUP($D738,$C$5:$AU$836,23,)/VLOOKUP($D738,$C$5:$AU$836,3,))*$E738)</f>
        <v>0</v>
      </c>
      <c r="Z738" s="77">
        <f>IF(VLOOKUP($D738,$C$5:$AU$836,3,)=0,0,(VLOOKUP($D738,$C$5:$AU$836,24,)/VLOOKUP($D738,$C$5:$AU$836,3,))*$E738)</f>
        <v>0</v>
      </c>
      <c r="AA738" s="77">
        <f>IF(VLOOKUP($D738,$C$5:$AU$836,3,)=0,0,(VLOOKUP($D738,$C$5:$AU$836,25,)/VLOOKUP($D738,$C$5:$AU$836,3,))*$E738)</f>
        <v>0</v>
      </c>
      <c r="AB738" s="77">
        <f>IF(VLOOKUP($D738,$C$5:$AU$836,3,)=0,0,(VLOOKUP($D738,$C$5:$AU$836,26,)/VLOOKUP($D738,$C$5:$AU$836,3,))*$E738)</f>
        <v>0</v>
      </c>
      <c r="AC738" s="77">
        <f>IF(VLOOKUP($D738,$C$5:$AU$836,3,)=0,0,(VLOOKUP($D738,$C$5:$AU$836,27,)/VLOOKUP($D738,$C$5:$AU$836,3,))*$E738)</f>
        <v>0</v>
      </c>
      <c r="AD738" s="77">
        <f>IF(VLOOKUP($D738,$C$5:$AU$836,3,)=0,0,(VLOOKUP($D738,$C$5:$AU$836,28,)/VLOOKUP($D738,$C$5:$AU$836,3,))*$E738)</f>
        <v>0</v>
      </c>
      <c r="AE738" s="77">
        <f>IF(VLOOKUP($D738,$C$5:$AU$836,3,)=0,0,(VLOOKUP($D738,$C$5:$AU$836,29,)/VLOOKUP($D738,$C$5:$AU$836,3,))*$E738)</f>
        <v>0</v>
      </c>
      <c r="AF738" s="77">
        <f>IF(VLOOKUP($D738,$C$5:$AU$836,3,)=0,0,(VLOOKUP($D738,$C$5:$AU$836,30,)/VLOOKUP($D738,$C$5:$AU$836,3,))*$E738)</f>
        <v>0</v>
      </c>
      <c r="AG738" s="78">
        <f>SUM(F738:AF738)</f>
        <v>0.99999999999999989</v>
      </c>
      <c r="AH738" s="14" t="str">
        <f t="shared" si="543"/>
        <v>ok</v>
      </c>
    </row>
    <row r="739" spans="1:34" x14ac:dyDescent="0.25">
      <c r="E739" s="43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  <c r="AC739" s="77"/>
      <c r="AD739" s="77"/>
      <c r="AE739" s="77"/>
      <c r="AF739" s="77"/>
      <c r="AG739" s="78"/>
      <c r="AH739" s="14"/>
    </row>
    <row r="740" spans="1:34" x14ac:dyDescent="0.25">
      <c r="A740" s="9" t="s">
        <v>1050</v>
      </c>
      <c r="C740" s="2" t="s">
        <v>912</v>
      </c>
      <c r="E740" s="17">
        <v>1</v>
      </c>
      <c r="F740" s="17">
        <v>1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  <c r="O740" s="17">
        <f>O641</f>
        <v>0</v>
      </c>
      <c r="P740" s="17">
        <f>P641</f>
        <v>0</v>
      </c>
      <c r="Q740" s="17">
        <f>Q641</f>
        <v>0</v>
      </c>
      <c r="R740" s="17">
        <v>0</v>
      </c>
      <c r="S740" s="17">
        <f>S641</f>
        <v>0</v>
      </c>
      <c r="T740" s="17">
        <f>T641</f>
        <v>0</v>
      </c>
      <c r="U740" s="17">
        <v>0</v>
      </c>
      <c r="V740" s="17">
        <f>V641</f>
        <v>0</v>
      </c>
      <c r="W740" s="17">
        <f>W641</f>
        <v>0</v>
      </c>
      <c r="X740" s="17">
        <f>X641</f>
        <v>0</v>
      </c>
      <c r="Y740" s="17">
        <f t="shared" ref="Y740:AF740" si="545">Y645</f>
        <v>0</v>
      </c>
      <c r="Z740" s="17">
        <f t="shared" si="545"/>
        <v>0</v>
      </c>
      <c r="AA740" s="17">
        <f t="shared" si="545"/>
        <v>0</v>
      </c>
      <c r="AB740" s="17">
        <f t="shared" si="545"/>
        <v>0</v>
      </c>
      <c r="AC740" s="17">
        <f t="shared" si="545"/>
        <v>0</v>
      </c>
      <c r="AD740" s="17">
        <f t="shared" si="545"/>
        <v>0</v>
      </c>
      <c r="AE740" s="17">
        <f t="shared" si="545"/>
        <v>0</v>
      </c>
      <c r="AF740" s="17">
        <f t="shared" si="545"/>
        <v>0</v>
      </c>
      <c r="AG740" s="17">
        <f>SUM(F740:AF740)</f>
        <v>1</v>
      </c>
      <c r="AH740" s="14" t="str">
        <f t="shared" ref="AH740:AH745" si="546">IF(ABS(E740-AG740)&lt;0.01,"ok","err")</f>
        <v>ok</v>
      </c>
    </row>
    <row r="741" spans="1:34" x14ac:dyDescent="0.25">
      <c r="A741" s="9" t="s">
        <v>1051</v>
      </c>
      <c r="E741" s="16">
        <f>E182</f>
        <v>-130049</v>
      </c>
      <c r="AG741" s="16">
        <f>E741</f>
        <v>-130049</v>
      </c>
      <c r="AH741" s="14" t="str">
        <f t="shared" si="546"/>
        <v>ok</v>
      </c>
    </row>
    <row r="742" spans="1:34" x14ac:dyDescent="0.25">
      <c r="A742" s="2" t="s">
        <v>594</v>
      </c>
      <c r="E742" s="30">
        <v>0</v>
      </c>
      <c r="F742" s="30">
        <v>0</v>
      </c>
      <c r="G742" s="30">
        <v>0</v>
      </c>
      <c r="H742" s="30">
        <v>0</v>
      </c>
      <c r="I742" s="30">
        <v>0</v>
      </c>
      <c r="J742" s="30">
        <v>0</v>
      </c>
      <c r="K742" s="30">
        <v>0</v>
      </c>
      <c r="L742" s="30">
        <v>0</v>
      </c>
      <c r="M742" s="30">
        <v>0</v>
      </c>
      <c r="N742" s="30">
        <v>0</v>
      </c>
      <c r="O742" s="17">
        <v>0</v>
      </c>
      <c r="P742" s="17">
        <v>0</v>
      </c>
      <c r="Q742" s="17">
        <v>0</v>
      </c>
      <c r="R742" s="17">
        <v>0</v>
      </c>
      <c r="U742" s="17">
        <v>0</v>
      </c>
      <c r="V742" s="17">
        <v>0</v>
      </c>
      <c r="W742" s="17">
        <v>0</v>
      </c>
      <c r="X742" s="17">
        <v>0</v>
      </c>
      <c r="Y742" s="17">
        <v>0</v>
      </c>
      <c r="AA742" s="2">
        <v>0</v>
      </c>
      <c r="AB742" s="17">
        <v>0</v>
      </c>
      <c r="AC742" s="17">
        <v>0</v>
      </c>
      <c r="AG742" s="16">
        <f>SUM(F742:AF742)</f>
        <v>0</v>
      </c>
      <c r="AH742" s="14" t="str">
        <f t="shared" si="546"/>
        <v>ok</v>
      </c>
    </row>
    <row r="743" spans="1:34" x14ac:dyDescent="0.25">
      <c r="A743" s="9" t="s">
        <v>1052</v>
      </c>
      <c r="D743" s="2" t="s">
        <v>912</v>
      </c>
      <c r="E743" s="16">
        <f>E741-E742</f>
        <v>-130049</v>
      </c>
      <c r="F743" s="65">
        <f>IF(VLOOKUP($D743,$C$5:$AU$836,3,)=0,0,(VLOOKUP($D743,$C$5:$AU$836,4,)/VLOOKUP($D743,$C$5:$AU$836,3,))*$E743)</f>
        <v>-130049</v>
      </c>
      <c r="G743" s="65">
        <f>IF(VLOOKUP($D743,$C$5:$AU$836,3,)=0,0,(VLOOKUP($D743,$C$5:$AU$836,5,)/VLOOKUP($D743,$C$5:$AU$836,3,))*$E743)</f>
        <v>0</v>
      </c>
      <c r="H743" s="65">
        <f>IF(VLOOKUP($D743,$C$5:$AU$836,3,)=0,0,(VLOOKUP($D743,$C$5:$AU$836,6,)/VLOOKUP($D743,$C$5:$AU$836,3,))*$E743)</f>
        <v>0</v>
      </c>
      <c r="I743" s="65">
        <f>IF(VLOOKUP($D743,$C$5:$AU$836,3,)=0,0,(VLOOKUP($D743,$C$5:$AU$836,7,)/VLOOKUP($D743,$C$5:$AU$836,3,))*$E743)</f>
        <v>0</v>
      </c>
      <c r="J743" s="65">
        <f>IF(VLOOKUP($D743,$C$5:$AU$836,3,)=0,0,(VLOOKUP($D743,$C$5:$AU$836,8,)/VLOOKUP($D743,$C$5:$AU$836,3,))*$E743)</f>
        <v>0</v>
      </c>
      <c r="K743" s="65">
        <f>IF(VLOOKUP($D743,$C$5:$AU$836,3,)=0,0,(VLOOKUP($D743,$C$5:$AU$836,9,)/VLOOKUP($D743,$C$5:$AU$836,3,))*$E743)</f>
        <v>0</v>
      </c>
      <c r="L743" s="65">
        <f>IF(VLOOKUP($D743,$C$5:$AU$836,3,)=0,0,(VLOOKUP($D743,$C$5:$AU$836,10,)/VLOOKUP($D743,$C$5:$AU$836,3,))*$E743)</f>
        <v>0</v>
      </c>
      <c r="M743" s="65">
        <f>IF(VLOOKUP($D743,$C$5:$AU$836,3,)=0,0,(VLOOKUP($D743,$C$5:$AU$836,11,)/VLOOKUP($D743,$C$5:$AU$836,3,))*$E743)</f>
        <v>0</v>
      </c>
      <c r="N743" s="65">
        <f>IF(VLOOKUP($D743,$C$5:$AU$836,3,)=0,0,(VLOOKUP($D743,$C$5:$AU$836,12,)/VLOOKUP($D743,$C$5:$AU$836,3,))*$E743)</f>
        <v>0</v>
      </c>
      <c r="O743" s="65">
        <f>IF(VLOOKUP($D743,$C$5:$AU$836,3,)=0,0,(VLOOKUP($D743,$C$5:$AU$836,13,)/VLOOKUP($D743,$C$5:$AU$836,3,))*$E743)</f>
        <v>0</v>
      </c>
      <c r="P743" s="65">
        <f>IF(VLOOKUP($D743,$C$5:$AU$836,3,)=0,0,(VLOOKUP($D743,$C$5:$AU$836,14,)/VLOOKUP($D743,$C$5:$AU$836,3,))*$E743)</f>
        <v>0</v>
      </c>
      <c r="Q743" s="65">
        <f>IF(VLOOKUP($D743,$C$5:$AU$836,3,)=0,0,(VLOOKUP($D743,$C$5:$AU$836,15,)/VLOOKUP($D743,$C$5:$AU$836,3,))*$E743)</f>
        <v>0</v>
      </c>
      <c r="R743" s="65">
        <f>IF(VLOOKUP($D743,$C$5:$AU$836,3,)=0,0,(VLOOKUP($D743,$C$5:$AU$836,16,)/VLOOKUP($D743,$C$5:$AU$836,3,))*$E743)</f>
        <v>0</v>
      </c>
      <c r="S743" s="65">
        <f>IF(VLOOKUP($D743,$C$5:$AU$836,3,)=0,0,(VLOOKUP($D743,$C$5:$AU$836,17,)/VLOOKUP($D743,$C$5:$AU$836,3,))*$E743)</f>
        <v>0</v>
      </c>
      <c r="T743" s="65">
        <f>IF(VLOOKUP($D743,$C$5:$AU$836,3,)=0,0,(VLOOKUP($D743,$C$5:$AU$836,18,)/VLOOKUP($D743,$C$5:$AU$836,3,))*$E743)</f>
        <v>0</v>
      </c>
      <c r="U743" s="65">
        <f>IF(VLOOKUP($D743,$C$5:$AU$836,3,)=0,0,(VLOOKUP($D743,$C$5:$AU$836,19,)/VLOOKUP($D743,$C$5:$AU$836,3,))*$E743)</f>
        <v>0</v>
      </c>
      <c r="V743" s="65">
        <f>IF(VLOOKUP($D743,$C$5:$AU$836,3,)=0,0,(VLOOKUP($D743,$C$5:$AU$836,20,)/VLOOKUP($D743,$C$5:$AU$836,3,))*$E743)</f>
        <v>0</v>
      </c>
      <c r="W743" s="65">
        <f>IF(VLOOKUP($D743,$C$5:$AU$836,3,)=0,0,(VLOOKUP($D743,$C$5:$AU$836,21,)/VLOOKUP($D743,$C$5:$AU$836,3,))*$E743)</f>
        <v>0</v>
      </c>
      <c r="X743" s="65">
        <f>IF(VLOOKUP($D743,$C$5:$AU$836,3,)=0,0,(VLOOKUP($D743,$C$5:$AU$836,22,)/VLOOKUP($D743,$C$5:$AU$836,3,))*$E743)</f>
        <v>0</v>
      </c>
      <c r="Y743" s="65">
        <v>0</v>
      </c>
      <c r="Z743" s="65">
        <v>0</v>
      </c>
      <c r="AA743" s="65">
        <v>0</v>
      </c>
      <c r="AB743" s="65">
        <v>0</v>
      </c>
      <c r="AC743" s="65">
        <v>0</v>
      </c>
      <c r="AD743" s="65">
        <v>0</v>
      </c>
      <c r="AE743" s="65">
        <v>0</v>
      </c>
      <c r="AF743" s="65">
        <v>0</v>
      </c>
      <c r="AG743" s="16">
        <f>SUM(F743:AF743)</f>
        <v>-130049</v>
      </c>
      <c r="AH743" s="14" t="str">
        <f t="shared" si="546"/>
        <v>ok</v>
      </c>
    </row>
    <row r="744" spans="1:34" x14ac:dyDescent="0.25">
      <c r="A744" s="9" t="s">
        <v>1053</v>
      </c>
      <c r="C744" s="2" t="s">
        <v>913</v>
      </c>
      <c r="E744" s="16">
        <f t="shared" ref="E744:N744" si="547">E742+E743</f>
        <v>-130049</v>
      </c>
      <c r="F744" s="16">
        <f t="shared" si="547"/>
        <v>-130049</v>
      </c>
      <c r="G744" s="16">
        <f t="shared" si="547"/>
        <v>0</v>
      </c>
      <c r="H744" s="16">
        <f t="shared" si="547"/>
        <v>0</v>
      </c>
      <c r="I744" s="16">
        <f t="shared" si="547"/>
        <v>0</v>
      </c>
      <c r="J744" s="16">
        <f t="shared" si="547"/>
        <v>0</v>
      </c>
      <c r="K744" s="16">
        <f t="shared" si="547"/>
        <v>0</v>
      </c>
      <c r="L744" s="16">
        <f t="shared" si="547"/>
        <v>0</v>
      </c>
      <c r="M744" s="16">
        <f t="shared" si="547"/>
        <v>0</v>
      </c>
      <c r="N744" s="16">
        <f t="shared" si="547"/>
        <v>0</v>
      </c>
      <c r="O744" s="16">
        <f t="shared" ref="O744:AF744" si="548">O742+O743</f>
        <v>0</v>
      </c>
      <c r="P744" s="16">
        <f t="shared" si="548"/>
        <v>0</v>
      </c>
      <c r="Q744" s="16">
        <f t="shared" si="548"/>
        <v>0</v>
      </c>
      <c r="R744" s="16">
        <f t="shared" si="548"/>
        <v>0</v>
      </c>
      <c r="S744" s="16">
        <f t="shared" si="548"/>
        <v>0</v>
      </c>
      <c r="T744" s="16">
        <f t="shared" si="548"/>
        <v>0</v>
      </c>
      <c r="U744" s="16">
        <f t="shared" si="548"/>
        <v>0</v>
      </c>
      <c r="V744" s="16">
        <f t="shared" si="548"/>
        <v>0</v>
      </c>
      <c r="W744" s="16">
        <f t="shared" si="548"/>
        <v>0</v>
      </c>
      <c r="X744" s="16">
        <f t="shared" si="548"/>
        <v>0</v>
      </c>
      <c r="Y744" s="16">
        <f t="shared" si="548"/>
        <v>0</v>
      </c>
      <c r="Z744" s="16">
        <f t="shared" si="548"/>
        <v>0</v>
      </c>
      <c r="AA744" s="16">
        <f t="shared" si="548"/>
        <v>0</v>
      </c>
      <c r="AB744" s="16">
        <f t="shared" si="548"/>
        <v>0</v>
      </c>
      <c r="AC744" s="16">
        <f t="shared" si="548"/>
        <v>0</v>
      </c>
      <c r="AD744" s="16">
        <f t="shared" si="548"/>
        <v>0</v>
      </c>
      <c r="AE744" s="16">
        <f t="shared" si="548"/>
        <v>0</v>
      </c>
      <c r="AF744" s="16">
        <f t="shared" si="548"/>
        <v>0</v>
      </c>
      <c r="AG744" s="16">
        <f>SUM(F744:AF744)</f>
        <v>-130049</v>
      </c>
      <c r="AH744" s="14" t="str">
        <f t="shared" si="546"/>
        <v>ok</v>
      </c>
    </row>
    <row r="745" spans="1:34" x14ac:dyDescent="0.25">
      <c r="A745" s="9" t="s">
        <v>1054</v>
      </c>
      <c r="C745" s="9" t="s">
        <v>1073</v>
      </c>
      <c r="D745" s="2" t="s">
        <v>913</v>
      </c>
      <c r="E745" s="43">
        <v>1</v>
      </c>
      <c r="F745" s="77">
        <f>IF(VLOOKUP($D745,$C$5:$AU$836,3,)=0,0,(VLOOKUP($D745,$C$5:$AU$836,4,)/VLOOKUP($D745,$C$5:$AU$836,3,))*$E745)</f>
        <v>1</v>
      </c>
      <c r="G745" s="77">
        <f>IF(VLOOKUP($D745,$C$5:$AU$836,3,)=0,0,(VLOOKUP($D745,$C$5:$AU$836,5,)/VLOOKUP($D745,$C$5:$AU$836,3,))*$E745)</f>
        <v>0</v>
      </c>
      <c r="H745" s="77">
        <f>IF(VLOOKUP($D745,$C$5:$AU$836,3,)=0,0,(VLOOKUP($D745,$C$5:$AU$836,6,)/VLOOKUP($D745,$C$5:$AU$836,3,))*$E745)</f>
        <v>0</v>
      </c>
      <c r="I745" s="77">
        <f>IF(VLOOKUP($D745,$C$5:$AU$836,3,)=0,0,(VLOOKUP($D745,$C$5:$AU$836,7,)/VLOOKUP($D745,$C$5:$AU$836,3,))*$E745)</f>
        <v>0</v>
      </c>
      <c r="J745" s="77">
        <f>IF(VLOOKUP($D745,$C$5:$AU$836,3,)=0,0,(VLOOKUP($D745,$C$5:$AU$836,8,)/VLOOKUP($D745,$C$5:$AU$836,3,))*$E745)</f>
        <v>0</v>
      </c>
      <c r="K745" s="77">
        <f>IF(VLOOKUP($D745,$C$5:$AU$836,3,)=0,0,(VLOOKUP($D745,$C$5:$AU$836,9,)/VLOOKUP($D745,$C$5:$AU$836,3,))*$E745)</f>
        <v>0</v>
      </c>
      <c r="L745" s="77">
        <f>IF(VLOOKUP($D745,$C$5:$AU$836,3,)=0,0,(VLOOKUP($D745,$C$5:$AU$836,10,)/VLOOKUP($D745,$C$5:$AU$836,3,))*$E745)</f>
        <v>0</v>
      </c>
      <c r="M745" s="77">
        <f>IF(VLOOKUP($D745,$C$5:$AU$836,3,)=0,0,(VLOOKUP($D745,$C$5:$AU$836,11,)/VLOOKUP($D745,$C$5:$AU$836,3,))*$E745)</f>
        <v>0</v>
      </c>
      <c r="N745" s="77">
        <f>IF(VLOOKUP($D745,$C$5:$AU$836,3,)=0,0,(VLOOKUP($D745,$C$5:$AU$836,12,)/VLOOKUP($D745,$C$5:$AU$836,3,))*$E745)</f>
        <v>0</v>
      </c>
      <c r="O745" s="77">
        <f>IF(VLOOKUP($D745,$C$5:$AU$836,3,)=0,0,(VLOOKUP($D745,$C$5:$AU$836,13,)/VLOOKUP($D745,$C$5:$AU$836,3,))*$E745)</f>
        <v>0</v>
      </c>
      <c r="P745" s="77">
        <f>IF(VLOOKUP($D745,$C$5:$AU$836,3,)=0,0,(VLOOKUP($D745,$C$5:$AU$836,14,)/VLOOKUP($D745,$C$5:$AU$836,3,))*$E745)</f>
        <v>0</v>
      </c>
      <c r="Q745" s="77">
        <f>IF(VLOOKUP($D745,$C$5:$AU$836,3,)=0,0,(VLOOKUP($D745,$C$5:$AU$836,15,)/VLOOKUP($D745,$C$5:$AU$836,3,))*$E745)</f>
        <v>0</v>
      </c>
      <c r="R745" s="77">
        <f>IF(VLOOKUP($D745,$C$5:$AU$836,3,)=0,0,(VLOOKUP($D745,$C$5:$AU$836,16,)/VLOOKUP($D745,$C$5:$AU$836,3,))*$E745)</f>
        <v>0</v>
      </c>
      <c r="S745" s="77">
        <f>IF(VLOOKUP($D745,$C$5:$AU$836,3,)=0,0,(VLOOKUP($D745,$C$5:$AU$836,17,)/VLOOKUP($D745,$C$5:$AU$836,3,))*$E745)</f>
        <v>0</v>
      </c>
      <c r="T745" s="77">
        <f>IF(VLOOKUP($D745,$C$5:$AU$836,3,)=0,0,(VLOOKUP($D745,$C$5:$AU$836,18,)/VLOOKUP($D745,$C$5:$AU$836,3,))*$E745)</f>
        <v>0</v>
      </c>
      <c r="U745" s="77">
        <f>IF(VLOOKUP($D745,$C$5:$AU$836,3,)=0,0,(VLOOKUP($D745,$C$5:$AU$836,19,)/VLOOKUP($D745,$C$5:$AU$836,3,))*$E745)</f>
        <v>0</v>
      </c>
      <c r="V745" s="77">
        <f>IF(VLOOKUP($D745,$C$5:$AU$836,3,)=0,0,(VLOOKUP($D745,$C$5:$AU$836,20,)/VLOOKUP($D745,$C$5:$AU$836,3,))*$E745)</f>
        <v>0</v>
      </c>
      <c r="W745" s="77">
        <f>IF(VLOOKUP($D745,$C$5:$AU$836,3,)=0,0,(VLOOKUP($D745,$C$5:$AU$836,21,)/VLOOKUP($D745,$C$5:$AU$836,3,))*$E745)</f>
        <v>0</v>
      </c>
      <c r="X745" s="77">
        <f>IF(VLOOKUP($D745,$C$5:$AU$836,3,)=0,0,(VLOOKUP($D745,$C$5:$AU$836,22,)/VLOOKUP($D745,$C$5:$AU$836,3,))*$E745)</f>
        <v>0</v>
      </c>
      <c r="Y745" s="77">
        <f>IF(VLOOKUP($D745,$C$5:$AU$836,3,)=0,0,(VLOOKUP($D745,$C$5:$AU$836,23,)/VLOOKUP($D745,$C$5:$AU$836,3,))*$E745)</f>
        <v>0</v>
      </c>
      <c r="Z745" s="77">
        <f>IF(VLOOKUP($D745,$C$5:$AU$836,3,)=0,0,(VLOOKUP($D745,$C$5:$AU$836,24,)/VLOOKUP($D745,$C$5:$AU$836,3,))*$E745)</f>
        <v>0</v>
      </c>
      <c r="AA745" s="77">
        <f>IF(VLOOKUP($D745,$C$5:$AU$836,3,)=0,0,(VLOOKUP($D745,$C$5:$AU$836,25,)/VLOOKUP($D745,$C$5:$AU$836,3,))*$E745)</f>
        <v>0</v>
      </c>
      <c r="AB745" s="77">
        <f>IF(VLOOKUP($D745,$C$5:$AU$836,3,)=0,0,(VLOOKUP($D745,$C$5:$AU$836,26,)/VLOOKUP($D745,$C$5:$AU$836,3,))*$E745)</f>
        <v>0</v>
      </c>
      <c r="AC745" s="77">
        <f>IF(VLOOKUP($D745,$C$5:$AU$836,3,)=0,0,(VLOOKUP($D745,$C$5:$AU$836,27,)/VLOOKUP($D745,$C$5:$AU$836,3,))*$E745)</f>
        <v>0</v>
      </c>
      <c r="AD745" s="77">
        <f>IF(VLOOKUP($D745,$C$5:$AU$836,3,)=0,0,(VLOOKUP($D745,$C$5:$AU$836,28,)/VLOOKUP($D745,$C$5:$AU$836,3,))*$E745)</f>
        <v>0</v>
      </c>
      <c r="AE745" s="77">
        <f>IF(VLOOKUP($D745,$C$5:$AU$836,3,)=0,0,(VLOOKUP($D745,$C$5:$AU$836,29,)/VLOOKUP($D745,$C$5:$AU$836,3,))*$E745)</f>
        <v>0</v>
      </c>
      <c r="AF745" s="77">
        <f>IF(VLOOKUP($D745,$C$5:$AU$836,3,)=0,0,(VLOOKUP($D745,$C$5:$AU$836,30,)/VLOOKUP($D745,$C$5:$AU$836,3,))*$E745)</f>
        <v>0</v>
      </c>
      <c r="AG745" s="78">
        <f>SUM(F745:AF745)</f>
        <v>1</v>
      </c>
      <c r="AH745" s="14" t="str">
        <f t="shared" si="546"/>
        <v>ok</v>
      </c>
    </row>
    <row r="746" spans="1:34" x14ac:dyDescent="0.25">
      <c r="E746" s="43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  <c r="AC746" s="77"/>
      <c r="AD746" s="77"/>
      <c r="AE746" s="77"/>
      <c r="AF746" s="77"/>
      <c r="AG746" s="78"/>
      <c r="AH746" s="14"/>
    </row>
    <row r="747" spans="1:34" x14ac:dyDescent="0.25">
      <c r="A747" s="9" t="s">
        <v>1055</v>
      </c>
      <c r="C747" s="2" t="s">
        <v>914</v>
      </c>
      <c r="E747" s="17">
        <v>1078659856</v>
      </c>
      <c r="F747" s="17">
        <f>F621</f>
        <v>776790917</v>
      </c>
      <c r="G747" s="17">
        <f>G621</f>
        <v>69269843</v>
      </c>
      <c r="H747" s="17">
        <f>H621</f>
        <v>192207412</v>
      </c>
      <c r="I747" s="17">
        <f>I621</f>
        <v>13613706</v>
      </c>
      <c r="J747" s="17">
        <f>J621</f>
        <v>10779640</v>
      </c>
      <c r="K747" s="17">
        <v>0</v>
      </c>
      <c r="L747" s="17">
        <v>0</v>
      </c>
      <c r="M747" s="17">
        <v>0</v>
      </c>
      <c r="N747" s="17">
        <f>N621</f>
        <v>15998338</v>
      </c>
      <c r="O747" s="17">
        <f>O642</f>
        <v>0</v>
      </c>
      <c r="P747" s="17">
        <f>P642</f>
        <v>0</v>
      </c>
      <c r="Q747" s="17">
        <f>Q642</f>
        <v>0</v>
      </c>
      <c r="R747" s="17">
        <v>0</v>
      </c>
      <c r="S747" s="17">
        <f>S642</f>
        <v>0</v>
      </c>
      <c r="T747" s="17">
        <f>T642</f>
        <v>0</v>
      </c>
      <c r="U747" s="17">
        <v>0</v>
      </c>
      <c r="V747" s="17">
        <f>V642</f>
        <v>0</v>
      </c>
      <c r="W747" s="17">
        <f>W642</f>
        <v>0</v>
      </c>
      <c r="X747" s="17">
        <f>X642</f>
        <v>0</v>
      </c>
      <c r="Y747" s="17">
        <f t="shared" ref="Y747:AF747" si="549">Y652</f>
        <v>0</v>
      </c>
      <c r="Z747" s="17">
        <f t="shared" si="549"/>
        <v>0</v>
      </c>
      <c r="AA747" s="17">
        <f t="shared" si="549"/>
        <v>0</v>
      </c>
      <c r="AB747" s="17">
        <f t="shared" si="549"/>
        <v>0</v>
      </c>
      <c r="AC747" s="17">
        <f t="shared" si="549"/>
        <v>0</v>
      </c>
      <c r="AD747" s="17">
        <f t="shared" si="549"/>
        <v>0</v>
      </c>
      <c r="AE747" s="17">
        <f t="shared" si="549"/>
        <v>0</v>
      </c>
      <c r="AF747" s="17">
        <f t="shared" si="549"/>
        <v>0</v>
      </c>
      <c r="AG747" s="17">
        <f>SUM(F747:AF747)</f>
        <v>1078659856</v>
      </c>
      <c r="AH747" s="14" t="str">
        <f t="shared" ref="AH747:AH752" si="550">IF(ABS(E747-AG747)&lt;0.01,"ok","err")</f>
        <v>ok</v>
      </c>
    </row>
    <row r="748" spans="1:34" x14ac:dyDescent="0.25">
      <c r="A748" s="9" t="s">
        <v>1056</v>
      </c>
      <c r="E748" s="16">
        <f>E183</f>
        <v>-6340583</v>
      </c>
      <c r="AG748" s="16">
        <f>E748</f>
        <v>-6340583</v>
      </c>
      <c r="AH748" s="14" t="str">
        <f t="shared" si="550"/>
        <v>ok</v>
      </c>
    </row>
    <row r="749" spans="1:34" x14ac:dyDescent="0.25">
      <c r="A749" s="2" t="s">
        <v>594</v>
      </c>
      <c r="E749" s="30">
        <v>-777559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f>'Purchased Power'!BL91</f>
        <v>-52376</v>
      </c>
      <c r="L749" s="30">
        <f>'Purchased Power'!BL85+'Purchased Power'!BL97</f>
        <v>-402866</v>
      </c>
      <c r="M749" s="30">
        <f>'Purchased Power'!BL71+'Purchased Power'!BL64+'Purchased Power'!BL57+'Purchased Power'!BL49+'Purchased Power'!BL42+'Purchased Power'!BL35+'Purchased Power'!BL28+'Purchased Power'!BL21</f>
        <v>-322317</v>
      </c>
      <c r="N749" s="30">
        <v>0</v>
      </c>
      <c r="O749" s="17">
        <v>0</v>
      </c>
      <c r="P749" s="17">
        <v>0</v>
      </c>
      <c r="Q749" s="17">
        <v>0</v>
      </c>
      <c r="R749" s="17">
        <v>0</v>
      </c>
      <c r="U749" s="17">
        <v>0</v>
      </c>
      <c r="V749" s="17">
        <v>0</v>
      </c>
      <c r="W749" s="17">
        <v>0</v>
      </c>
      <c r="X749" s="17">
        <v>0</v>
      </c>
      <c r="Y749" s="17">
        <v>0</v>
      </c>
      <c r="AA749" s="2">
        <v>0</v>
      </c>
      <c r="AB749" s="17">
        <v>0</v>
      </c>
      <c r="AC749" s="17">
        <v>0</v>
      </c>
      <c r="AG749" s="16">
        <f>SUM(F749:AF749)</f>
        <v>-777559</v>
      </c>
      <c r="AH749" s="14" t="str">
        <f t="shared" si="550"/>
        <v>ok</v>
      </c>
    </row>
    <row r="750" spans="1:34" x14ac:dyDescent="0.25">
      <c r="A750" s="9" t="s">
        <v>1057</v>
      </c>
      <c r="D750" s="2" t="s">
        <v>914</v>
      </c>
      <c r="E750" s="16">
        <f>E748-E749</f>
        <v>-5563024</v>
      </c>
      <c r="F750" s="65">
        <f>IF(VLOOKUP($D750,$C$5:$AU$836,3,)=0,0,(VLOOKUP($D750,$C$5:$AU$836,4,)/VLOOKUP($D750,$C$5:$AU$836,3,))*$E750)</f>
        <v>-4006180.9014360947</v>
      </c>
      <c r="G750" s="65">
        <f>IF(VLOOKUP($D750,$C$5:$AU$836,3,)=0,0,(VLOOKUP($D750,$C$5:$AU$836,5,)/VLOOKUP($D750,$C$5:$AU$836,3,))*$E750)</f>
        <v>-357248.67013613234</v>
      </c>
      <c r="H750" s="65">
        <f>IF(VLOOKUP($D750,$C$5:$AU$836,3,)=0,0,(VLOOKUP($D750,$C$5:$AU$836,6,)/VLOOKUP($D750,$C$5:$AU$836,3,))*$E750)</f>
        <v>-991280.46713355021</v>
      </c>
      <c r="I750" s="65">
        <f>IF(VLOOKUP($D750,$C$5:$AU$836,3,)=0,0,(VLOOKUP($D750,$C$5:$AU$836,7,)/VLOOKUP($D750,$C$5:$AU$836,3,))*$E750)</f>
        <v>-70210.61624355473</v>
      </c>
      <c r="J750" s="65">
        <f>IF(VLOOKUP($D750,$C$5:$AU$836,3,)=0,0,(VLOOKUP($D750,$C$5:$AU$836,8,)/VLOOKUP($D750,$C$5:$AU$836,3,))*$E750)</f>
        <v>-55594.352286120491</v>
      </c>
      <c r="K750" s="65">
        <f>IF(VLOOKUP($D750,$C$5:$AU$836,3,)=0,0,(VLOOKUP($D750,$C$5:$AU$836,9,)/VLOOKUP($D750,$C$5:$AU$836,3,))*$E750)</f>
        <v>0</v>
      </c>
      <c r="L750" s="65">
        <f>IF(VLOOKUP($D750,$C$5:$AU$836,3,)=0,0,(VLOOKUP($D750,$C$5:$AU$836,10,)/VLOOKUP($D750,$C$5:$AU$836,3,))*$E750)</f>
        <v>0</v>
      </c>
      <c r="M750" s="65">
        <f>IF(VLOOKUP($D750,$C$5:$AU$836,3,)=0,0,(VLOOKUP($D750,$C$5:$AU$836,11,)/VLOOKUP($D750,$C$5:$AU$836,3,))*$E750)</f>
        <v>0</v>
      </c>
      <c r="N750" s="65">
        <f>IF(VLOOKUP($D750,$C$5:$AU$836,3,)=0,0,(VLOOKUP($D750,$C$5:$AU$836,12,)/VLOOKUP($D750,$C$5:$AU$836,3,))*$E750)</f>
        <v>-82508.992764547642</v>
      </c>
      <c r="O750" s="65">
        <f>IF(VLOOKUP($D750,$C$5:$AU$836,3,)=0,0,(VLOOKUP($D750,$C$5:$AU$836,13,)/VLOOKUP($D750,$C$5:$AU$836,3,))*$E750)</f>
        <v>0</v>
      </c>
      <c r="P750" s="65">
        <f>IF(VLOOKUP($D750,$C$5:$AU$836,3,)=0,0,(VLOOKUP($D750,$C$5:$AU$836,14,)/VLOOKUP($D750,$C$5:$AU$836,3,))*$E750)</f>
        <v>0</v>
      </c>
      <c r="Q750" s="65">
        <f>IF(VLOOKUP($D750,$C$5:$AU$836,3,)=0,0,(VLOOKUP($D750,$C$5:$AU$836,15,)/VLOOKUP($D750,$C$5:$AU$836,3,))*$E750)</f>
        <v>0</v>
      </c>
      <c r="R750" s="65">
        <f>IF(VLOOKUP($D750,$C$5:$AU$836,3,)=0,0,(VLOOKUP($D750,$C$5:$AU$836,16,)/VLOOKUP($D750,$C$5:$AU$836,3,))*$E750)</f>
        <v>0</v>
      </c>
      <c r="S750" s="65">
        <f>IF(VLOOKUP($D750,$C$5:$AU$836,3,)=0,0,(VLOOKUP($D750,$C$5:$AU$836,17,)/VLOOKUP($D750,$C$5:$AU$836,3,))*$E750)</f>
        <v>0</v>
      </c>
      <c r="T750" s="65">
        <f>IF(VLOOKUP($D750,$C$5:$AU$836,3,)=0,0,(VLOOKUP($D750,$C$5:$AU$836,18,)/VLOOKUP($D750,$C$5:$AU$836,3,))*$E750)</f>
        <v>0</v>
      </c>
      <c r="U750" s="65">
        <f>IF(VLOOKUP($D750,$C$5:$AU$836,3,)=0,0,(VLOOKUP($D750,$C$5:$AU$836,19,)/VLOOKUP($D750,$C$5:$AU$836,3,))*$E750)</f>
        <v>0</v>
      </c>
      <c r="V750" s="65">
        <f>IF(VLOOKUP($D750,$C$5:$AU$836,3,)=0,0,(VLOOKUP($D750,$C$5:$AU$836,20,)/VLOOKUP($D750,$C$5:$AU$836,3,))*$E750)</f>
        <v>0</v>
      </c>
      <c r="W750" s="65">
        <f>IF(VLOOKUP($D750,$C$5:$AU$836,3,)=0,0,(VLOOKUP($D750,$C$5:$AU$836,21,)/VLOOKUP($D750,$C$5:$AU$836,3,))*$E750)</f>
        <v>0</v>
      </c>
      <c r="X750" s="65">
        <f>IF(VLOOKUP($D750,$C$5:$AU$836,3,)=0,0,(VLOOKUP($D750,$C$5:$AU$836,22,)/VLOOKUP($D750,$C$5:$AU$836,3,))*$E750)</f>
        <v>0</v>
      </c>
      <c r="Y750" s="65">
        <v>0</v>
      </c>
      <c r="Z750" s="65">
        <v>0</v>
      </c>
      <c r="AA750" s="65">
        <v>0</v>
      </c>
      <c r="AB750" s="65">
        <v>0</v>
      </c>
      <c r="AC750" s="65">
        <v>0</v>
      </c>
      <c r="AD750" s="65">
        <v>0</v>
      </c>
      <c r="AE750" s="65">
        <v>0</v>
      </c>
      <c r="AF750" s="65">
        <v>0</v>
      </c>
      <c r="AG750" s="16">
        <f>SUM(F750:AF750)</f>
        <v>-5563024</v>
      </c>
      <c r="AH750" s="14" t="str">
        <f t="shared" si="550"/>
        <v>ok</v>
      </c>
    </row>
    <row r="751" spans="1:34" x14ac:dyDescent="0.25">
      <c r="A751" s="9" t="s">
        <v>1058</v>
      </c>
      <c r="C751" s="2" t="s">
        <v>915</v>
      </c>
      <c r="E751" s="16">
        <f t="shared" ref="E751:N751" si="551">E749+E750</f>
        <v>-6340583</v>
      </c>
      <c r="F751" s="16">
        <f t="shared" si="551"/>
        <v>-4006180.9014360947</v>
      </c>
      <c r="G751" s="16">
        <f t="shared" si="551"/>
        <v>-357248.67013613234</v>
      </c>
      <c r="H751" s="16">
        <f t="shared" si="551"/>
        <v>-991280.46713355021</v>
      </c>
      <c r="I751" s="16">
        <f t="shared" si="551"/>
        <v>-70210.61624355473</v>
      </c>
      <c r="J751" s="16">
        <f t="shared" si="551"/>
        <v>-55594.352286120491</v>
      </c>
      <c r="K751" s="16">
        <f t="shared" si="551"/>
        <v>-52376</v>
      </c>
      <c r="L751" s="16">
        <f t="shared" si="551"/>
        <v>-402866</v>
      </c>
      <c r="M751" s="16">
        <f t="shared" si="551"/>
        <v>-322317</v>
      </c>
      <c r="N751" s="16">
        <f t="shared" si="551"/>
        <v>-82508.992764547642</v>
      </c>
      <c r="O751" s="16">
        <f t="shared" ref="O751:AF751" si="552">O749+O750</f>
        <v>0</v>
      </c>
      <c r="P751" s="16">
        <f t="shared" si="552"/>
        <v>0</v>
      </c>
      <c r="Q751" s="16">
        <f t="shared" si="552"/>
        <v>0</v>
      </c>
      <c r="R751" s="16">
        <f t="shared" si="552"/>
        <v>0</v>
      </c>
      <c r="S751" s="16">
        <f t="shared" si="552"/>
        <v>0</v>
      </c>
      <c r="T751" s="16">
        <f t="shared" si="552"/>
        <v>0</v>
      </c>
      <c r="U751" s="16">
        <f t="shared" si="552"/>
        <v>0</v>
      </c>
      <c r="V751" s="16">
        <f t="shared" si="552"/>
        <v>0</v>
      </c>
      <c r="W751" s="16">
        <f t="shared" si="552"/>
        <v>0</v>
      </c>
      <c r="X751" s="16">
        <f t="shared" si="552"/>
        <v>0</v>
      </c>
      <c r="Y751" s="16">
        <f t="shared" si="552"/>
        <v>0</v>
      </c>
      <c r="Z751" s="16">
        <f t="shared" si="552"/>
        <v>0</v>
      </c>
      <c r="AA751" s="16">
        <f t="shared" si="552"/>
        <v>0</v>
      </c>
      <c r="AB751" s="16">
        <f t="shared" si="552"/>
        <v>0</v>
      </c>
      <c r="AC751" s="16">
        <f t="shared" si="552"/>
        <v>0</v>
      </c>
      <c r="AD751" s="16">
        <f t="shared" si="552"/>
        <v>0</v>
      </c>
      <c r="AE751" s="16">
        <f t="shared" si="552"/>
        <v>0</v>
      </c>
      <c r="AF751" s="16">
        <f t="shared" si="552"/>
        <v>0</v>
      </c>
      <c r="AG751" s="16">
        <f>SUM(F751:AF751)</f>
        <v>-6340583</v>
      </c>
      <c r="AH751" s="14" t="str">
        <f t="shared" si="550"/>
        <v>ok</v>
      </c>
    </row>
    <row r="752" spans="1:34" x14ac:dyDescent="0.25">
      <c r="A752" s="9" t="s">
        <v>1055</v>
      </c>
      <c r="C752" s="9" t="s">
        <v>1074</v>
      </c>
      <c r="D752" s="2" t="s">
        <v>915</v>
      </c>
      <c r="E752" s="43">
        <v>1</v>
      </c>
      <c r="F752" s="77">
        <f>IF(VLOOKUP($D752,$C$5:$AU$836,3,)=0,0,(VLOOKUP($D752,$C$5:$AU$836,4,)/VLOOKUP($D752,$C$5:$AU$836,3,))*$E752)</f>
        <v>0.63183163148185184</v>
      </c>
      <c r="G752" s="77">
        <f>IF(VLOOKUP($D752,$C$5:$AU$836,3,)=0,0,(VLOOKUP($D752,$C$5:$AU$836,5,)/VLOOKUP($D752,$C$5:$AU$836,3,))*$E752)</f>
        <v>5.6343189598832208E-2</v>
      </c>
      <c r="H752" s="77">
        <f>IF(VLOOKUP($D752,$C$5:$AU$836,3,)=0,0,(VLOOKUP($D752,$C$5:$AU$836,6,)/VLOOKUP($D752,$C$5:$AU$836,3,))*$E752)</f>
        <v>0.15633900969887946</v>
      </c>
      <c r="I752" s="77">
        <f>IF(VLOOKUP($D752,$C$5:$AU$836,3,)=0,0,(VLOOKUP($D752,$C$5:$AU$836,7,)/VLOOKUP($D752,$C$5:$AU$836,3,))*$E752)</f>
        <v>1.1073211444997207E-2</v>
      </c>
      <c r="J752" s="77">
        <f>IF(VLOOKUP($D752,$C$5:$AU$836,3,)=0,0,(VLOOKUP($D752,$C$5:$AU$836,8,)/VLOOKUP($D752,$C$5:$AU$836,3,))*$E752)</f>
        <v>8.7680190112045669E-3</v>
      </c>
      <c r="K752" s="77">
        <f>IF(VLOOKUP($D752,$C$5:$AU$836,3,)=0,0,(VLOOKUP($D752,$C$5:$AU$836,9,)/VLOOKUP($D752,$C$5:$AU$836,3,))*$E752)</f>
        <v>8.2604391425835765E-3</v>
      </c>
      <c r="L752" s="77">
        <f>IF(VLOOKUP($D752,$C$5:$AU$836,3,)=0,0,(VLOOKUP($D752,$C$5:$AU$836,10,)/VLOOKUP($D752,$C$5:$AU$836,3,))*$E752)</f>
        <v>6.3537690461586888E-2</v>
      </c>
      <c r="M752" s="77">
        <f>IF(VLOOKUP($D752,$C$5:$AU$836,3,)=0,0,(VLOOKUP($D752,$C$5:$AU$836,11,)/VLOOKUP($D752,$C$5:$AU$836,3,))*$E752)</f>
        <v>5.0833969053003483E-2</v>
      </c>
      <c r="N752" s="77">
        <f>IF(VLOOKUP($D752,$C$5:$AU$836,3,)=0,0,(VLOOKUP($D752,$C$5:$AU$836,12,)/VLOOKUP($D752,$C$5:$AU$836,3,))*$E752)</f>
        <v>1.3012840107060761E-2</v>
      </c>
      <c r="O752" s="77">
        <f>IF(VLOOKUP($D752,$C$5:$AU$836,3,)=0,0,(VLOOKUP($D752,$C$5:$AU$836,13,)/VLOOKUP($D752,$C$5:$AU$836,3,))*$E752)</f>
        <v>0</v>
      </c>
      <c r="P752" s="77">
        <f>IF(VLOOKUP($D752,$C$5:$AU$836,3,)=0,0,(VLOOKUP($D752,$C$5:$AU$836,14,)/VLOOKUP($D752,$C$5:$AU$836,3,))*$E752)</f>
        <v>0</v>
      </c>
      <c r="Q752" s="77">
        <f>IF(VLOOKUP($D752,$C$5:$AU$836,3,)=0,0,(VLOOKUP($D752,$C$5:$AU$836,15,)/VLOOKUP($D752,$C$5:$AU$836,3,))*$E752)</f>
        <v>0</v>
      </c>
      <c r="R752" s="77">
        <f>IF(VLOOKUP($D752,$C$5:$AU$836,3,)=0,0,(VLOOKUP($D752,$C$5:$AU$836,16,)/VLOOKUP($D752,$C$5:$AU$836,3,))*$E752)</f>
        <v>0</v>
      </c>
      <c r="S752" s="77">
        <f>IF(VLOOKUP($D752,$C$5:$AU$836,3,)=0,0,(VLOOKUP($D752,$C$5:$AU$836,17,)/VLOOKUP($D752,$C$5:$AU$836,3,))*$E752)</f>
        <v>0</v>
      </c>
      <c r="T752" s="77">
        <f>IF(VLOOKUP($D752,$C$5:$AU$836,3,)=0,0,(VLOOKUP($D752,$C$5:$AU$836,18,)/VLOOKUP($D752,$C$5:$AU$836,3,))*$E752)</f>
        <v>0</v>
      </c>
      <c r="U752" s="77">
        <f>IF(VLOOKUP($D752,$C$5:$AU$836,3,)=0,0,(VLOOKUP($D752,$C$5:$AU$836,19,)/VLOOKUP($D752,$C$5:$AU$836,3,))*$E752)</f>
        <v>0</v>
      </c>
      <c r="V752" s="77">
        <f>IF(VLOOKUP($D752,$C$5:$AU$836,3,)=0,0,(VLOOKUP($D752,$C$5:$AU$836,20,)/VLOOKUP($D752,$C$5:$AU$836,3,))*$E752)</f>
        <v>0</v>
      </c>
      <c r="W752" s="77">
        <f>IF(VLOOKUP($D752,$C$5:$AU$836,3,)=0,0,(VLOOKUP($D752,$C$5:$AU$836,21,)/VLOOKUP($D752,$C$5:$AU$836,3,))*$E752)</f>
        <v>0</v>
      </c>
      <c r="X752" s="77">
        <f>IF(VLOOKUP($D752,$C$5:$AU$836,3,)=0,0,(VLOOKUP($D752,$C$5:$AU$836,22,)/VLOOKUP($D752,$C$5:$AU$836,3,))*$E752)</f>
        <v>0</v>
      </c>
      <c r="Y752" s="77">
        <f>IF(VLOOKUP($D752,$C$5:$AU$836,3,)=0,0,(VLOOKUP($D752,$C$5:$AU$836,23,)/VLOOKUP($D752,$C$5:$AU$836,3,))*$E752)</f>
        <v>0</v>
      </c>
      <c r="Z752" s="77">
        <f>IF(VLOOKUP($D752,$C$5:$AU$836,3,)=0,0,(VLOOKUP($D752,$C$5:$AU$836,24,)/VLOOKUP($D752,$C$5:$AU$836,3,))*$E752)</f>
        <v>0</v>
      </c>
      <c r="AA752" s="77">
        <f>IF(VLOOKUP($D752,$C$5:$AU$836,3,)=0,0,(VLOOKUP($D752,$C$5:$AU$836,25,)/VLOOKUP($D752,$C$5:$AU$836,3,))*$E752)</f>
        <v>0</v>
      </c>
      <c r="AB752" s="77">
        <f>IF(VLOOKUP($D752,$C$5:$AU$836,3,)=0,0,(VLOOKUP($D752,$C$5:$AU$836,26,)/VLOOKUP($D752,$C$5:$AU$836,3,))*$E752)</f>
        <v>0</v>
      </c>
      <c r="AC752" s="77">
        <f>IF(VLOOKUP($D752,$C$5:$AU$836,3,)=0,0,(VLOOKUP($D752,$C$5:$AU$836,27,)/VLOOKUP($D752,$C$5:$AU$836,3,))*$E752)</f>
        <v>0</v>
      </c>
      <c r="AD752" s="77">
        <f>IF(VLOOKUP($D752,$C$5:$AU$836,3,)=0,0,(VLOOKUP($D752,$C$5:$AU$836,28,)/VLOOKUP($D752,$C$5:$AU$836,3,))*$E752)</f>
        <v>0</v>
      </c>
      <c r="AE752" s="77">
        <f>IF(VLOOKUP($D752,$C$5:$AU$836,3,)=0,0,(VLOOKUP($D752,$C$5:$AU$836,29,)/VLOOKUP($D752,$C$5:$AU$836,3,))*$E752)</f>
        <v>0</v>
      </c>
      <c r="AF752" s="77">
        <f>IF(VLOOKUP($D752,$C$5:$AU$836,3,)=0,0,(VLOOKUP($D752,$C$5:$AU$836,30,)/VLOOKUP($D752,$C$5:$AU$836,3,))*$E752)</f>
        <v>0</v>
      </c>
      <c r="AG752" s="78">
        <f>SUM(F752:AF752)</f>
        <v>1</v>
      </c>
      <c r="AH752" s="14" t="str">
        <f t="shared" si="550"/>
        <v>ok</v>
      </c>
    </row>
    <row r="753" spans="1:34" x14ac:dyDescent="0.25">
      <c r="E753" s="43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  <c r="AC753" s="77"/>
      <c r="AD753" s="77"/>
      <c r="AE753" s="77"/>
      <c r="AF753" s="77"/>
      <c r="AG753" s="78"/>
      <c r="AH753" s="14"/>
    </row>
    <row r="754" spans="1:34" x14ac:dyDescent="0.25">
      <c r="A754" s="9" t="s">
        <v>1059</v>
      </c>
      <c r="C754" s="2" t="s">
        <v>916</v>
      </c>
      <c r="E754" s="17">
        <v>553538475.70848143</v>
      </c>
      <c r="F754" s="17">
        <f>F622</f>
        <v>405686937.45452952</v>
      </c>
      <c r="G754" s="17">
        <f>G622</f>
        <v>35815261.660127677</v>
      </c>
      <c r="H754" s="17">
        <f>H622</f>
        <v>96219078.436564922</v>
      </c>
      <c r="I754" s="17">
        <f>I622</f>
        <v>7142697.8878758829</v>
      </c>
      <c r="J754" s="17">
        <f>J622</f>
        <v>5474832.6693834495</v>
      </c>
      <c r="K754" s="17">
        <v>0</v>
      </c>
      <c r="L754" s="17">
        <v>0</v>
      </c>
      <c r="M754" s="17">
        <v>0</v>
      </c>
      <c r="N754" s="17">
        <f>N622</f>
        <v>3199667.6</v>
      </c>
      <c r="O754" s="17">
        <f>O622</f>
        <v>0</v>
      </c>
      <c r="P754" s="17">
        <f>P625</f>
        <v>0</v>
      </c>
      <c r="Q754" s="17">
        <f>Q625</f>
        <v>0</v>
      </c>
      <c r="R754" s="17">
        <v>0</v>
      </c>
      <c r="S754" s="17">
        <f>S625</f>
        <v>0</v>
      </c>
      <c r="T754" s="17">
        <f>T625</f>
        <v>0</v>
      </c>
      <c r="U754" s="17">
        <v>0</v>
      </c>
      <c r="V754" s="17">
        <f>V625</f>
        <v>0</v>
      </c>
      <c r="W754" s="17">
        <f>W625</f>
        <v>0</v>
      </c>
      <c r="X754" s="17">
        <f>X625</f>
        <v>0</v>
      </c>
      <c r="Y754" s="17">
        <f t="shared" ref="Y754:AF754" si="553">Y621</f>
        <v>0</v>
      </c>
      <c r="Z754" s="17">
        <f t="shared" si="553"/>
        <v>0</v>
      </c>
      <c r="AA754" s="17">
        <f t="shared" si="553"/>
        <v>0</v>
      </c>
      <c r="AB754" s="17">
        <f t="shared" si="553"/>
        <v>0</v>
      </c>
      <c r="AC754" s="17">
        <f t="shared" si="553"/>
        <v>0</v>
      </c>
      <c r="AD754" s="17">
        <f t="shared" si="553"/>
        <v>0</v>
      </c>
      <c r="AE754" s="17">
        <f t="shared" si="553"/>
        <v>0</v>
      </c>
      <c r="AF754" s="17">
        <f t="shared" si="553"/>
        <v>0</v>
      </c>
      <c r="AG754" s="17">
        <f>SUM(F754:AF754)</f>
        <v>553538475.70848143</v>
      </c>
      <c r="AH754" s="14" t="str">
        <f t="shared" ref="AH754:AH759" si="554">IF(ABS(E754-AG754)&lt;0.01,"ok","err")</f>
        <v>ok</v>
      </c>
    </row>
    <row r="755" spans="1:34" x14ac:dyDescent="0.25">
      <c r="A755" s="9" t="s">
        <v>1060</v>
      </c>
      <c r="E755" s="16">
        <f>E184</f>
        <v>29509797.417011004</v>
      </c>
      <c r="AG755" s="16">
        <f>E755</f>
        <v>29509797.417011004</v>
      </c>
      <c r="AH755" s="14" t="str">
        <f t="shared" si="554"/>
        <v>ok</v>
      </c>
    </row>
    <row r="756" spans="1:34" x14ac:dyDescent="0.25">
      <c r="A756" s="2" t="s">
        <v>594</v>
      </c>
      <c r="E756" s="16">
        <v>0</v>
      </c>
      <c r="F756" s="65">
        <v>0</v>
      </c>
      <c r="G756" s="65">
        <v>0</v>
      </c>
      <c r="H756" s="65">
        <v>0</v>
      </c>
      <c r="I756" s="65">
        <v>0</v>
      </c>
      <c r="J756" s="65">
        <v>0</v>
      </c>
      <c r="K756" s="65">
        <v>0</v>
      </c>
      <c r="L756" s="65">
        <v>0</v>
      </c>
      <c r="M756" s="65">
        <v>0</v>
      </c>
      <c r="N756" s="65">
        <v>0</v>
      </c>
      <c r="O756" s="17">
        <v>0</v>
      </c>
      <c r="P756" s="65">
        <v>0</v>
      </c>
      <c r="Q756" s="65">
        <v>0</v>
      </c>
      <c r="R756" s="17">
        <v>0</v>
      </c>
      <c r="S756" s="65">
        <v>0</v>
      </c>
      <c r="U756" s="17">
        <v>0</v>
      </c>
      <c r="W756" s="2">
        <v>0</v>
      </c>
      <c r="X756" s="2">
        <v>0</v>
      </c>
      <c r="Y756" s="17">
        <v>0</v>
      </c>
      <c r="AB756" s="17">
        <v>0</v>
      </c>
      <c r="AC756" s="17">
        <v>0</v>
      </c>
      <c r="AG756" s="16">
        <f>SUM(F756:AF756)</f>
        <v>0</v>
      </c>
      <c r="AH756" s="14" t="str">
        <f t="shared" si="554"/>
        <v>ok</v>
      </c>
    </row>
    <row r="757" spans="1:34" x14ac:dyDescent="0.25">
      <c r="A757" s="9" t="s">
        <v>1061</v>
      </c>
      <c r="D757" s="2" t="s">
        <v>916</v>
      </c>
      <c r="E757" s="16">
        <f>E755-E756</f>
        <v>29509797.417011004</v>
      </c>
      <c r="F757" s="65">
        <f>IF(VLOOKUP($D757,$C$5:$AU$836,3,)=0,0,(VLOOKUP($D757,$C$5:$AU$836,4,)/VLOOKUP($D757,$C$5:$AU$836,3,))*$E757)</f>
        <v>21627655.283922203</v>
      </c>
      <c r="G757" s="65">
        <f>IF(VLOOKUP($D757,$C$5:$AU$836,3,)=0,0,(VLOOKUP($D757,$C$5:$AU$836,5,)/VLOOKUP($D757,$C$5:$AU$836,3,))*$E757)</f>
        <v>1909354.3853024251</v>
      </c>
      <c r="H757" s="65">
        <f>IF(VLOOKUP($D757,$C$5:$AU$836,3,)=0,0,(VLOOKUP($D757,$C$5:$AU$836,6,)/VLOOKUP($D757,$C$5:$AU$836,3,))*$E757)</f>
        <v>5129554.0182285057</v>
      </c>
      <c r="I757" s="65">
        <f>IF(VLOOKUP($D757,$C$5:$AU$836,3,)=0,0,(VLOOKUP($D757,$C$5:$AU$836,7,)/VLOOKUP($D757,$C$5:$AU$836,3,))*$E757)</f>
        <v>380785.75732671528</v>
      </c>
      <c r="J757" s="65">
        <f>IF(VLOOKUP($D757,$C$5:$AU$836,3,)=0,0,(VLOOKUP($D757,$C$5:$AU$836,8,)/VLOOKUP($D757,$C$5:$AU$836,3,))*$E757)</f>
        <v>291869.87003704632</v>
      </c>
      <c r="K757" s="65">
        <f>IF(VLOOKUP($D757,$C$5:$AU$836,3,)=0,0,(VLOOKUP($D757,$C$5:$AU$836,9,)/VLOOKUP($D757,$C$5:$AU$836,3,))*$E757)</f>
        <v>0</v>
      </c>
      <c r="L757" s="65">
        <f>IF(VLOOKUP($D757,$C$5:$AU$836,3,)=0,0,(VLOOKUP($D757,$C$5:$AU$836,10,)/VLOOKUP($D757,$C$5:$AU$836,3,))*$E757)</f>
        <v>0</v>
      </c>
      <c r="M757" s="65">
        <f>IF(VLOOKUP($D757,$C$5:$AU$836,3,)=0,0,(VLOOKUP($D757,$C$5:$AU$836,11,)/VLOOKUP($D757,$C$5:$AU$836,3,))*$E757)</f>
        <v>0</v>
      </c>
      <c r="N757" s="65">
        <f>IF(VLOOKUP($D757,$C$5:$AU$836,3,)=0,0,(VLOOKUP($D757,$C$5:$AU$836,12,)/VLOOKUP($D757,$C$5:$AU$836,3,))*$E757)</f>
        <v>170578.10219411104</v>
      </c>
      <c r="O757" s="65">
        <f>IF(VLOOKUP($D757,$C$5:$AU$836,3,)=0,0,(VLOOKUP($D757,$C$5:$AU$836,13,)/VLOOKUP($D757,$C$5:$AU$836,3,))*$E757)</f>
        <v>0</v>
      </c>
      <c r="P757" s="65">
        <f>IF(VLOOKUP($D757,$C$5:$AU$836,3,)=0,0,(VLOOKUP($D757,$C$5:$AU$836,14,)/VLOOKUP($D757,$C$5:$AU$836,3,))*$E757)</f>
        <v>0</v>
      </c>
      <c r="Q757" s="65">
        <f>IF(VLOOKUP($D757,$C$5:$AU$836,3,)=0,0,(VLOOKUP($D757,$C$5:$AU$836,15,)/VLOOKUP($D757,$C$5:$AU$836,3,))*$E757)</f>
        <v>0</v>
      </c>
      <c r="R757" s="65">
        <f>IF(VLOOKUP($D757,$C$5:$AU$836,3,)=0,0,(VLOOKUP($D757,$C$5:$AU$836,16,)/VLOOKUP($D757,$C$5:$AU$836,3,))*$E757)</f>
        <v>0</v>
      </c>
      <c r="S757" s="65">
        <f>IF(VLOOKUP($D757,$C$5:$AU$836,3,)=0,0,(VLOOKUP($D757,$C$5:$AU$836,17,)/VLOOKUP($D757,$C$5:$AU$836,3,))*$E757)</f>
        <v>0</v>
      </c>
      <c r="T757" s="65">
        <f>IF(VLOOKUP($D757,$C$5:$AU$836,3,)=0,0,(VLOOKUP($D757,$C$5:$AU$836,18,)/VLOOKUP($D757,$C$5:$AU$836,3,))*$E757)</f>
        <v>0</v>
      </c>
      <c r="U757" s="65">
        <f>IF(VLOOKUP($D757,$C$5:$AU$836,3,)=0,0,(VLOOKUP($D757,$C$5:$AU$836,19,)/VLOOKUP($D757,$C$5:$AU$836,3,))*$E757)</f>
        <v>0</v>
      </c>
      <c r="V757" s="65">
        <f>IF(VLOOKUP($D757,$C$5:$AU$836,3,)=0,0,(VLOOKUP($D757,$C$5:$AU$836,20,)/VLOOKUP($D757,$C$5:$AU$836,3,))*$E757)</f>
        <v>0</v>
      </c>
      <c r="W757" s="65">
        <f>IF(VLOOKUP($D757,$C$5:$AU$836,3,)=0,0,(VLOOKUP($D757,$C$5:$AU$836,21,)/VLOOKUP($D757,$C$5:$AU$836,3,))*$E757)</f>
        <v>0</v>
      </c>
      <c r="X757" s="65">
        <f>IF(VLOOKUP($D757,$C$5:$AU$836,3,)=0,0,(VLOOKUP($D757,$C$5:$AU$836,22,)/VLOOKUP($D757,$C$5:$AU$836,3,))*$E757)</f>
        <v>0</v>
      </c>
      <c r="Y757" s="65">
        <f>IF(VLOOKUP($D757,$C$5:$AU$836,3,)=0,0,(VLOOKUP($D757,$C$5:$AU$836,23,)/VLOOKUP($D757,$C$5:$AU$836,3,))*$E757)</f>
        <v>0</v>
      </c>
      <c r="Z757" s="65">
        <f>IF(VLOOKUP($D757,$C$5:$AU$836,3,)=0,0,(VLOOKUP($D757,$C$5:$AU$836,24,)/VLOOKUP($D757,$C$5:$AU$836,3,))*$E757)</f>
        <v>0</v>
      </c>
      <c r="AA757" s="65">
        <f>IF(VLOOKUP($D757,$C$5:$AU$836,3,)=0,0,(VLOOKUP($D757,$C$5:$AU$836,25,)/VLOOKUP($D757,$C$5:$AU$836,3,))*$E757)</f>
        <v>0</v>
      </c>
      <c r="AB757" s="65">
        <f>IF(VLOOKUP($D757,$C$5:$AU$836,3,)=0,0,(VLOOKUP($D757,$C$5:$AU$836,26,)/VLOOKUP($D757,$C$5:$AU$836,3,))*$E757)</f>
        <v>0</v>
      </c>
      <c r="AC757" s="65">
        <f>IF(VLOOKUP($D757,$C$5:$AU$836,3,)=0,0,(VLOOKUP($D757,$C$5:$AU$836,27,)/VLOOKUP($D757,$C$5:$AU$836,3,))*$E757)</f>
        <v>0</v>
      </c>
      <c r="AD757" s="65">
        <f>IF(VLOOKUP($D757,$C$5:$AU$836,3,)=0,0,(VLOOKUP($D757,$C$5:$AU$836,28,)/VLOOKUP($D757,$C$5:$AU$836,3,))*$E757)</f>
        <v>0</v>
      </c>
      <c r="AE757" s="65">
        <f>IF(VLOOKUP($D757,$C$5:$AU$836,3,)=0,0,(VLOOKUP($D757,$C$5:$AU$836,29,)/VLOOKUP($D757,$C$5:$AU$836,3,))*$E757)</f>
        <v>0</v>
      </c>
      <c r="AF757" s="65">
        <f>IF(VLOOKUP($D757,$C$5:$AU$836,3,)=0,0,(VLOOKUP($D757,$C$5:$AU$836,30,)/VLOOKUP($D757,$C$5:$AU$836,3,))*$E757)</f>
        <v>0</v>
      </c>
      <c r="AG757" s="33">
        <f>SUM(F757:AF757)</f>
        <v>29509797.417011004</v>
      </c>
      <c r="AH757" s="14" t="str">
        <f t="shared" si="554"/>
        <v>ok</v>
      </c>
    </row>
    <row r="758" spans="1:34" x14ac:dyDescent="0.25">
      <c r="A758" s="9" t="s">
        <v>1062</v>
      </c>
      <c r="C758" s="2" t="s">
        <v>917</v>
      </c>
      <c r="E758" s="16">
        <f t="shared" ref="E758:AF758" si="555">E756+E757</f>
        <v>29509797.417011004</v>
      </c>
      <c r="F758" s="16">
        <f t="shared" si="555"/>
        <v>21627655.283922203</v>
      </c>
      <c r="G758" s="16">
        <f t="shared" si="555"/>
        <v>1909354.3853024251</v>
      </c>
      <c r="H758" s="16">
        <f t="shared" si="555"/>
        <v>5129554.0182285057</v>
      </c>
      <c r="I758" s="16">
        <f t="shared" si="555"/>
        <v>380785.75732671528</v>
      </c>
      <c r="J758" s="16">
        <f t="shared" si="555"/>
        <v>291869.87003704632</v>
      </c>
      <c r="K758" s="16">
        <f t="shared" si="555"/>
        <v>0</v>
      </c>
      <c r="L758" s="16">
        <f t="shared" si="555"/>
        <v>0</v>
      </c>
      <c r="M758" s="16">
        <f>M756+M757</f>
        <v>0</v>
      </c>
      <c r="N758" s="16">
        <f>N756+N757</f>
        <v>170578.10219411104</v>
      </c>
      <c r="O758" s="16">
        <f t="shared" si="555"/>
        <v>0</v>
      </c>
      <c r="P758" s="16">
        <f t="shared" si="555"/>
        <v>0</v>
      </c>
      <c r="Q758" s="16">
        <f t="shared" si="555"/>
        <v>0</v>
      </c>
      <c r="R758" s="16">
        <f t="shared" si="555"/>
        <v>0</v>
      </c>
      <c r="S758" s="16">
        <f t="shared" si="555"/>
        <v>0</v>
      </c>
      <c r="T758" s="16">
        <f t="shared" si="555"/>
        <v>0</v>
      </c>
      <c r="U758" s="16">
        <f t="shared" si="555"/>
        <v>0</v>
      </c>
      <c r="V758" s="16">
        <f t="shared" si="555"/>
        <v>0</v>
      </c>
      <c r="W758" s="16">
        <f t="shared" si="555"/>
        <v>0</v>
      </c>
      <c r="X758" s="16">
        <f t="shared" si="555"/>
        <v>0</v>
      </c>
      <c r="Y758" s="16">
        <f t="shared" si="555"/>
        <v>0</v>
      </c>
      <c r="Z758" s="16">
        <f t="shared" si="555"/>
        <v>0</v>
      </c>
      <c r="AA758" s="16">
        <f t="shared" si="555"/>
        <v>0</v>
      </c>
      <c r="AB758" s="16">
        <f t="shared" si="555"/>
        <v>0</v>
      </c>
      <c r="AC758" s="16">
        <f t="shared" si="555"/>
        <v>0</v>
      </c>
      <c r="AD758" s="16">
        <f t="shared" si="555"/>
        <v>0</v>
      </c>
      <c r="AE758" s="16">
        <f t="shared" si="555"/>
        <v>0</v>
      </c>
      <c r="AF758" s="16">
        <f t="shared" si="555"/>
        <v>0</v>
      </c>
      <c r="AG758" s="16">
        <f>SUM(F758:AF758)</f>
        <v>29509797.417011004</v>
      </c>
      <c r="AH758" s="14" t="str">
        <f t="shared" si="554"/>
        <v>ok</v>
      </c>
    </row>
    <row r="759" spans="1:34" x14ac:dyDescent="0.25">
      <c r="A759" s="9" t="s">
        <v>1059</v>
      </c>
      <c r="C759" s="2" t="s">
        <v>918</v>
      </c>
      <c r="D759" s="2" t="s">
        <v>917</v>
      </c>
      <c r="E759" s="43">
        <v>1</v>
      </c>
      <c r="F759" s="77">
        <f>IF(VLOOKUP($D759,$C$5:$AU$836,3,)=0,0,(VLOOKUP($D759,$C$5:$AU$836,4,)/VLOOKUP($D759,$C$5:$AU$836,3,))*$E759)</f>
        <v>0.73289745023647235</v>
      </c>
      <c r="G759" s="77">
        <f>IF(VLOOKUP($D759,$C$5:$AU$836,3,)=0,0,(VLOOKUP($D759,$C$5:$AU$836,5,)/VLOOKUP($D759,$C$5:$AU$836,3,))*$E759)</f>
        <v>6.4702388780269043E-2</v>
      </c>
      <c r="H759" s="77">
        <f>IF(VLOOKUP($D759,$C$5:$AU$836,3,)=0,0,(VLOOKUP($D759,$C$5:$AU$836,6,)/VLOOKUP($D759,$C$5:$AU$836,3,))*$E759)</f>
        <v>0.17382545687255582</v>
      </c>
      <c r="I759" s="77">
        <f>IF(VLOOKUP($D759,$C$5:$AU$836,3,)=0,0,(VLOOKUP($D759,$C$5:$AU$836,7,)/VLOOKUP($D759,$C$5:$AU$836,3,))*$E759)</f>
        <v>1.2903706248664732E-2</v>
      </c>
      <c r="J759" s="77">
        <f>IF(VLOOKUP($D759,$C$5:$AU$836,3,)=0,0,(VLOOKUP($D759,$C$5:$AU$836,8,)/VLOOKUP($D759,$C$5:$AU$836,3,))*$E759)</f>
        <v>9.8906090717111161E-3</v>
      </c>
      <c r="K759" s="77">
        <f>IF(VLOOKUP($D759,$C$5:$AU$836,3,)=0,0,(VLOOKUP($D759,$C$5:$AU$836,9,)/VLOOKUP($D759,$C$5:$AU$836,3,))*$E759)</f>
        <v>0</v>
      </c>
      <c r="L759" s="77">
        <f>IF(VLOOKUP($D759,$C$5:$AU$836,3,)=0,0,(VLOOKUP($D759,$C$5:$AU$836,10,)/VLOOKUP($D759,$C$5:$AU$836,3,))*$E759)</f>
        <v>0</v>
      </c>
      <c r="M759" s="77">
        <f>IF(VLOOKUP($D759,$C$5:$AU$836,3,)=0,0,(VLOOKUP($D759,$C$5:$AU$836,11,)/VLOOKUP($D759,$C$5:$AU$836,3,))*$E759)</f>
        <v>0</v>
      </c>
      <c r="N759" s="77">
        <f>IF(VLOOKUP($D759,$C$5:$AU$836,3,)=0,0,(VLOOKUP($D759,$C$5:$AU$836,12,)/VLOOKUP($D759,$C$5:$AU$836,3,))*$E759)</f>
        <v>5.7803887903269992E-3</v>
      </c>
      <c r="O759" s="77">
        <f>IF(VLOOKUP($D759,$C$5:$AU$836,3,)=0,0,(VLOOKUP($D759,$C$5:$AU$836,13,)/VLOOKUP($D759,$C$5:$AU$836,3,))*$E759)</f>
        <v>0</v>
      </c>
      <c r="P759" s="77">
        <f>IF(VLOOKUP($D759,$C$5:$AU$836,3,)=0,0,(VLOOKUP($D759,$C$5:$AU$836,14,)/VLOOKUP($D759,$C$5:$AU$836,3,))*$E759)</f>
        <v>0</v>
      </c>
      <c r="Q759" s="77">
        <f>IF(VLOOKUP($D759,$C$5:$AU$836,3,)=0,0,(VLOOKUP($D759,$C$5:$AU$836,15,)/VLOOKUP($D759,$C$5:$AU$836,3,))*$E759)</f>
        <v>0</v>
      </c>
      <c r="R759" s="77">
        <f>IF(VLOOKUP($D759,$C$5:$AU$836,3,)=0,0,(VLOOKUP($D759,$C$5:$AU$836,16,)/VLOOKUP($D759,$C$5:$AU$836,3,))*$E759)</f>
        <v>0</v>
      </c>
      <c r="S759" s="77">
        <f>IF(VLOOKUP($D759,$C$5:$AU$836,3,)=0,0,(VLOOKUP($D759,$C$5:$AU$836,17,)/VLOOKUP($D759,$C$5:$AU$836,3,))*$E759)</f>
        <v>0</v>
      </c>
      <c r="T759" s="77">
        <f>IF(VLOOKUP($D759,$C$5:$AU$836,3,)=0,0,(VLOOKUP($D759,$C$5:$AU$836,18,)/VLOOKUP($D759,$C$5:$AU$836,3,))*$E759)</f>
        <v>0</v>
      </c>
      <c r="U759" s="77">
        <f>IF(VLOOKUP($D759,$C$5:$AU$836,3,)=0,0,(VLOOKUP($D759,$C$5:$AU$836,19,)/VLOOKUP($D759,$C$5:$AU$836,3,))*$E759)</f>
        <v>0</v>
      </c>
      <c r="V759" s="77">
        <f>IF(VLOOKUP($D759,$C$5:$AU$836,3,)=0,0,(VLOOKUP($D759,$C$5:$AU$836,20,)/VLOOKUP($D759,$C$5:$AU$836,3,))*$E759)</f>
        <v>0</v>
      </c>
      <c r="W759" s="77">
        <f>IF(VLOOKUP($D759,$C$5:$AU$836,3,)=0,0,(VLOOKUP($D759,$C$5:$AU$836,21,)/VLOOKUP($D759,$C$5:$AU$836,3,))*$E759)</f>
        <v>0</v>
      </c>
      <c r="X759" s="77">
        <f>IF(VLOOKUP($D759,$C$5:$AU$836,3,)=0,0,(VLOOKUP($D759,$C$5:$AU$836,22,)/VLOOKUP($D759,$C$5:$AU$836,3,))*$E759)</f>
        <v>0</v>
      </c>
      <c r="Y759" s="77">
        <f>IF(VLOOKUP($D759,$C$5:$AU$836,3,)=0,0,(VLOOKUP($D759,$C$5:$AU$836,23,)/VLOOKUP($D759,$C$5:$AU$836,3,))*$E759)</f>
        <v>0</v>
      </c>
      <c r="Z759" s="77">
        <f>IF(VLOOKUP($D759,$C$5:$AU$836,3,)=0,0,(VLOOKUP($D759,$C$5:$AU$836,24,)/VLOOKUP($D759,$C$5:$AU$836,3,))*$E759)</f>
        <v>0</v>
      </c>
      <c r="AA759" s="77">
        <f>IF(VLOOKUP($D759,$C$5:$AU$836,3,)=0,0,(VLOOKUP($D759,$C$5:$AU$836,25,)/VLOOKUP($D759,$C$5:$AU$836,3,))*$E759)</f>
        <v>0</v>
      </c>
      <c r="AB759" s="77">
        <f>IF(VLOOKUP($D759,$C$5:$AU$836,3,)=0,0,(VLOOKUP($D759,$C$5:$AU$836,26,)/VLOOKUP($D759,$C$5:$AU$836,3,))*$E759)</f>
        <v>0</v>
      </c>
      <c r="AC759" s="77">
        <f>IF(VLOOKUP($D759,$C$5:$AU$836,3,)=0,0,(VLOOKUP($D759,$C$5:$AU$836,27,)/VLOOKUP($D759,$C$5:$AU$836,3,))*$E759)</f>
        <v>0</v>
      </c>
      <c r="AD759" s="77">
        <f>IF(VLOOKUP($D759,$C$5:$AU$836,3,)=0,0,(VLOOKUP($D759,$C$5:$AU$836,28,)/VLOOKUP($D759,$C$5:$AU$836,3,))*$E759)</f>
        <v>0</v>
      </c>
      <c r="AE759" s="77">
        <f>IF(VLOOKUP($D759,$C$5:$AU$836,3,)=0,0,(VLOOKUP($D759,$C$5:$AU$836,29,)/VLOOKUP($D759,$C$5:$AU$836,3,))*$E759)</f>
        <v>0</v>
      </c>
      <c r="AF759" s="77">
        <f>IF(VLOOKUP($D759,$C$5:$AU$836,3,)=0,0,(VLOOKUP($D759,$C$5:$AU$836,30,)/VLOOKUP($D759,$C$5:$AU$836,3,))*$E759)</f>
        <v>0</v>
      </c>
      <c r="AG759" s="78">
        <f>SUM(F759:AF759)</f>
        <v>1</v>
      </c>
      <c r="AH759" s="14" t="str">
        <f t="shared" si="554"/>
        <v>ok</v>
      </c>
    </row>
    <row r="760" spans="1:34" x14ac:dyDescent="0.25">
      <c r="E760" s="43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  <c r="AC760" s="77"/>
      <c r="AD760" s="77"/>
      <c r="AE760" s="77"/>
      <c r="AF760" s="77"/>
      <c r="AG760" s="78"/>
      <c r="AH760" s="14"/>
    </row>
    <row r="761" spans="1:34" x14ac:dyDescent="0.25">
      <c r="A761" s="2" t="s">
        <v>924</v>
      </c>
      <c r="C761" s="2" t="s">
        <v>855</v>
      </c>
      <c r="E761" s="17">
        <v>525121380.29151851</v>
      </c>
      <c r="F761" s="17">
        <f>F623</f>
        <v>371103979.54547048</v>
      </c>
      <c r="G761" s="17">
        <f>G623</f>
        <v>33454581.339872323</v>
      </c>
      <c r="H761" s="17">
        <f>H623</f>
        <v>95988333.563435078</v>
      </c>
      <c r="I761" s="17">
        <f>I623</f>
        <v>6471008.1121241171</v>
      </c>
      <c r="J761" s="17">
        <f>J623</f>
        <v>5304807.3306165505</v>
      </c>
      <c r="K761" s="17">
        <v>0</v>
      </c>
      <c r="L761" s="17">
        <v>0</v>
      </c>
      <c r="M761" s="17">
        <v>0</v>
      </c>
      <c r="N761" s="17">
        <f>N623</f>
        <v>12798670.4</v>
      </c>
      <c r="O761" s="17">
        <f>O623</f>
        <v>0</v>
      </c>
      <c r="P761" s="17">
        <f>P626</f>
        <v>0</v>
      </c>
      <c r="Q761" s="17">
        <f>Q626</f>
        <v>0</v>
      </c>
      <c r="R761" s="17"/>
      <c r="S761" s="17">
        <f>S626</f>
        <v>0</v>
      </c>
      <c r="T761" s="17">
        <f>T626</f>
        <v>0</v>
      </c>
      <c r="U761" s="17"/>
      <c r="V761" s="17">
        <f>V626</f>
        <v>0</v>
      </c>
      <c r="W761" s="17">
        <f>W626</f>
        <v>0</v>
      </c>
      <c r="X761" s="17">
        <f>X626</f>
        <v>0</v>
      </c>
      <c r="Y761" s="17">
        <f t="shared" ref="Y761:AF761" si="556">Y650</f>
        <v>0</v>
      </c>
      <c r="Z761" s="17">
        <f t="shared" si="556"/>
        <v>0</v>
      </c>
      <c r="AA761" s="17">
        <f t="shared" si="556"/>
        <v>0</v>
      </c>
      <c r="AB761" s="17">
        <f t="shared" si="556"/>
        <v>0</v>
      </c>
      <c r="AC761" s="17">
        <f t="shared" si="556"/>
        <v>0</v>
      </c>
      <c r="AD761" s="17">
        <f t="shared" si="556"/>
        <v>0</v>
      </c>
      <c r="AE761" s="17">
        <f t="shared" si="556"/>
        <v>0</v>
      </c>
      <c r="AF761" s="17">
        <f t="shared" si="556"/>
        <v>0</v>
      </c>
      <c r="AG761" s="17">
        <f>SUM(F761:AF761)</f>
        <v>525121380.29151851</v>
      </c>
      <c r="AH761" s="14" t="str">
        <f t="shared" ref="AH761:AH766" si="557">IF(ABS(E761-AG761)&lt;0.01,"ok","err")</f>
        <v>ok</v>
      </c>
    </row>
    <row r="762" spans="1:34" x14ac:dyDescent="0.25">
      <c r="A762" s="2" t="s">
        <v>925</v>
      </c>
      <c r="E762" s="16">
        <f>E185</f>
        <v>29823651.702989001</v>
      </c>
      <c r="AG762" s="16">
        <f>E762</f>
        <v>29823651.702989001</v>
      </c>
      <c r="AH762" s="14" t="str">
        <f t="shared" si="557"/>
        <v>ok</v>
      </c>
    </row>
    <row r="763" spans="1:34" x14ac:dyDescent="0.25">
      <c r="A763" s="2" t="s">
        <v>594</v>
      </c>
      <c r="E763" s="16">
        <v>6553982.8679600013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f>'Purchased Power'!BL89+'Purchased Power'!BL90</f>
        <v>451861.05688599998</v>
      </c>
      <c r="L763" s="20">
        <f>'Purchased Power'!BL83+'Purchased Power'!BL84+'Purchased Power'!BL95+'Purchased Power'!BL96</f>
        <v>3408128.4290300002</v>
      </c>
      <c r="M763" s="20">
        <f>'Purchased Power'!BL76+'Purchased Power'!BL77</f>
        <v>2693993.382044001</v>
      </c>
      <c r="N763" s="20">
        <v>0</v>
      </c>
      <c r="O763" s="17">
        <v>0</v>
      </c>
      <c r="P763" s="17">
        <v>0</v>
      </c>
      <c r="Q763" s="17">
        <v>0</v>
      </c>
      <c r="R763" s="17">
        <v>0</v>
      </c>
      <c r="U763" s="16">
        <v>0</v>
      </c>
      <c r="W763" s="2">
        <v>0</v>
      </c>
      <c r="X763" s="2">
        <v>0</v>
      </c>
      <c r="Y763" s="17">
        <v>0</v>
      </c>
      <c r="AB763" s="17">
        <v>0</v>
      </c>
      <c r="AC763" s="17">
        <v>0</v>
      </c>
      <c r="AG763" s="16">
        <f>SUM(F763:AF763)</f>
        <v>6553982.8679600013</v>
      </c>
      <c r="AH763" s="14" t="str">
        <f t="shared" si="557"/>
        <v>ok</v>
      </c>
    </row>
    <row r="764" spans="1:34" x14ac:dyDescent="0.25">
      <c r="A764" s="2" t="s">
        <v>926</v>
      </c>
      <c r="D764" s="2" t="s">
        <v>855</v>
      </c>
      <c r="E764" s="16">
        <f>E762-E763</f>
        <v>23269668.835028999</v>
      </c>
      <c r="F764" s="65">
        <f>IF(VLOOKUP($D764,$C$5:$AU$836,3,)=0,0,(VLOOKUP($D764,$C$5:$AU$836,4,)/VLOOKUP($D764,$C$5:$AU$836,3,))*$E764)</f>
        <v>16444705.988909721</v>
      </c>
      <c r="G764" s="65">
        <f>IF(VLOOKUP($D764,$C$5:$AU$836,3,)=0,0,(VLOOKUP($D764,$C$5:$AU$836,5,)/VLOOKUP($D764,$C$5:$AU$836,3,))*$E764)</f>
        <v>1482470.6401426697</v>
      </c>
      <c r="H764" s="65">
        <f>IF(VLOOKUP($D764,$C$5:$AU$836,3,)=0,0,(VLOOKUP($D764,$C$5:$AU$836,6,)/VLOOKUP($D764,$C$5:$AU$836,3,))*$E764)</f>
        <v>4253524.6475918619</v>
      </c>
      <c r="I764" s="65">
        <f>IF(VLOOKUP($D764,$C$5:$AU$836,3,)=0,0,(VLOOKUP($D764,$C$5:$AU$836,7,)/VLOOKUP($D764,$C$5:$AU$836,3,))*$E764)</f>
        <v>286749.3525293555</v>
      </c>
      <c r="J764" s="65">
        <f>IF(VLOOKUP($D764,$C$5:$AU$836,3,)=0,0,(VLOOKUP($D764,$C$5:$AU$836,8,)/VLOOKUP($D764,$C$5:$AU$836,3,))*$E764)</f>
        <v>235071.57478248858</v>
      </c>
      <c r="K764" s="65">
        <f>IF(VLOOKUP($D764,$C$5:$AU$836,3,)=0,0,(VLOOKUP($D764,$C$5:$AU$836,9,)/VLOOKUP($D764,$C$5:$AU$836,3,))*$E764)</f>
        <v>0</v>
      </c>
      <c r="L764" s="65">
        <f>IF(VLOOKUP($D764,$C$5:$AU$836,3,)=0,0,(VLOOKUP($D764,$C$5:$AU$836,10,)/VLOOKUP($D764,$C$5:$AU$836,3,))*$E764)</f>
        <v>0</v>
      </c>
      <c r="M764" s="65">
        <f>IF(VLOOKUP($D764,$C$5:$AU$836,3,)=0,0,(VLOOKUP($D764,$C$5:$AU$836,11,)/VLOOKUP($D764,$C$5:$AU$836,3,))*$E764)</f>
        <v>0</v>
      </c>
      <c r="N764" s="65">
        <f>IF(VLOOKUP($D764,$C$5:$AU$836,3,)=0,0,(VLOOKUP($D764,$C$5:$AU$836,12,)/VLOOKUP($D764,$C$5:$AU$836,3,))*$E764)</f>
        <v>567146.63107290433</v>
      </c>
      <c r="O764" s="65">
        <f>IF(VLOOKUP($D764,$C$5:$AU$836,3,)=0,0,(VLOOKUP($D764,$C$5:$AU$836,13,)/VLOOKUP($D764,$C$5:$AU$836,3,))*$E764)</f>
        <v>0</v>
      </c>
      <c r="P764" s="65">
        <f>IF(VLOOKUP($D764,$C$5:$AU$836,3,)=0,0,(VLOOKUP($D764,$C$5:$AU$836,14,)/VLOOKUP($D764,$C$5:$AU$836,3,))*$E764)</f>
        <v>0</v>
      </c>
      <c r="Q764" s="65">
        <f>IF(VLOOKUP($D764,$C$5:$AU$836,3,)=0,0,(VLOOKUP($D764,$C$5:$AU$836,15,)/VLOOKUP($D764,$C$5:$AU$836,3,))*$E764)</f>
        <v>0</v>
      </c>
      <c r="R764" s="65">
        <f>IF(VLOOKUP($D764,$C$5:$AU$836,3,)=0,0,(VLOOKUP($D764,$C$5:$AU$836,16,)/VLOOKUP($D764,$C$5:$AU$836,3,))*$E764)</f>
        <v>0</v>
      </c>
      <c r="S764" s="65">
        <f>IF(VLOOKUP($D764,$C$5:$AU$836,3,)=0,0,(VLOOKUP($D764,$C$5:$AU$836,17,)/VLOOKUP($D764,$C$5:$AU$836,3,))*$E764)</f>
        <v>0</v>
      </c>
      <c r="T764" s="65">
        <f>IF(VLOOKUP($D764,$C$5:$AU$836,3,)=0,0,(VLOOKUP($D764,$C$5:$AU$836,18,)/VLOOKUP($D764,$C$5:$AU$836,3,))*$E764)</f>
        <v>0</v>
      </c>
      <c r="U764" s="65">
        <f>IF(VLOOKUP($D764,$C$5:$AU$836,3,)=0,0,(VLOOKUP($D764,$C$5:$AU$836,19,)/VLOOKUP($D764,$C$5:$AU$836,3,))*$E764)</f>
        <v>0</v>
      </c>
      <c r="V764" s="65">
        <f>IF(VLOOKUP($D764,$C$5:$AU$836,3,)=0,0,(VLOOKUP($D764,$C$5:$AU$836,20,)/VLOOKUP($D764,$C$5:$AU$836,3,))*$E764)</f>
        <v>0</v>
      </c>
      <c r="W764" s="65">
        <f>IF(VLOOKUP($D764,$C$5:$AU$836,3,)=0,0,(VLOOKUP($D764,$C$5:$AU$836,21,)/VLOOKUP($D764,$C$5:$AU$836,3,))*$E764)</f>
        <v>0</v>
      </c>
      <c r="X764" s="65">
        <f>IF(VLOOKUP($D764,$C$5:$AU$836,3,)=0,0,(VLOOKUP($D764,$C$5:$AU$836,22,)/VLOOKUP($D764,$C$5:$AU$836,3,))*$E764)</f>
        <v>0</v>
      </c>
      <c r="Y764" s="65">
        <f>IF(VLOOKUP($D764,$C$5:$AU$836,3,)=0,0,(VLOOKUP($D764,$C$5:$AU$836,23,)/VLOOKUP($D764,$C$5:$AU$836,3,))*$E764)</f>
        <v>0</v>
      </c>
      <c r="Z764" s="65">
        <f>IF(VLOOKUP($D764,$C$5:$AU$836,3,)=0,0,(VLOOKUP($D764,$C$5:$AU$836,24,)/VLOOKUP($D764,$C$5:$AU$836,3,))*$E764)</f>
        <v>0</v>
      </c>
      <c r="AA764" s="65">
        <f>IF(VLOOKUP($D764,$C$5:$AU$836,3,)=0,0,(VLOOKUP($D764,$C$5:$AU$836,25,)/VLOOKUP($D764,$C$5:$AU$836,3,))*$E764)</f>
        <v>0</v>
      </c>
      <c r="AB764" s="65">
        <f>IF(VLOOKUP($D764,$C$5:$AU$836,3,)=0,0,(VLOOKUP($D764,$C$5:$AU$836,26,)/VLOOKUP($D764,$C$5:$AU$836,3,))*$E764)</f>
        <v>0</v>
      </c>
      <c r="AC764" s="65">
        <f>IF(VLOOKUP($D764,$C$5:$AU$836,3,)=0,0,(VLOOKUP($D764,$C$5:$AU$836,27,)/VLOOKUP($D764,$C$5:$AU$836,3,))*$E764)</f>
        <v>0</v>
      </c>
      <c r="AD764" s="65">
        <f>IF(VLOOKUP($D764,$C$5:$AU$836,3,)=0,0,(VLOOKUP($D764,$C$5:$AU$836,28,)/VLOOKUP($D764,$C$5:$AU$836,3,))*$E764)</f>
        <v>0</v>
      </c>
      <c r="AE764" s="65">
        <f>IF(VLOOKUP($D764,$C$5:$AU$836,3,)=0,0,(VLOOKUP($D764,$C$5:$AU$836,29,)/VLOOKUP($D764,$C$5:$AU$836,3,))*$E764)</f>
        <v>0</v>
      </c>
      <c r="AF764" s="65">
        <f>IF(VLOOKUP($D764,$C$5:$AU$836,3,)=0,0,(VLOOKUP($D764,$C$5:$AU$836,30,)/VLOOKUP($D764,$C$5:$AU$836,3,))*$E764)</f>
        <v>0</v>
      </c>
      <c r="AG764" s="33">
        <f>SUM(F764:AF764)</f>
        <v>23269668.835028999</v>
      </c>
      <c r="AH764" s="14" t="str">
        <f t="shared" si="557"/>
        <v>ok</v>
      </c>
    </row>
    <row r="765" spans="1:34" x14ac:dyDescent="0.25">
      <c r="A765" s="2" t="s">
        <v>927</v>
      </c>
      <c r="C765" s="2" t="s">
        <v>929</v>
      </c>
      <c r="E765" s="16">
        <f t="shared" ref="E765:AF765" si="558">E763+E764</f>
        <v>29823651.702989001</v>
      </c>
      <c r="F765" s="16">
        <f t="shared" si="558"/>
        <v>16444705.988909721</v>
      </c>
      <c r="G765" s="16">
        <f t="shared" si="558"/>
        <v>1482470.6401426697</v>
      </c>
      <c r="H765" s="16">
        <f t="shared" si="558"/>
        <v>4253524.6475918619</v>
      </c>
      <c r="I765" s="16">
        <f t="shared" si="558"/>
        <v>286749.3525293555</v>
      </c>
      <c r="J765" s="16">
        <f t="shared" si="558"/>
        <v>235071.57478248858</v>
      </c>
      <c r="K765" s="16">
        <f t="shared" si="558"/>
        <v>451861.05688599998</v>
      </c>
      <c r="L765" s="16">
        <f t="shared" si="558"/>
        <v>3408128.4290300002</v>
      </c>
      <c r="M765" s="16">
        <f t="shared" si="558"/>
        <v>2693993.382044001</v>
      </c>
      <c r="N765" s="16">
        <f t="shared" si="558"/>
        <v>567146.63107290433</v>
      </c>
      <c r="O765" s="16">
        <f t="shared" si="558"/>
        <v>0</v>
      </c>
      <c r="P765" s="16">
        <f t="shared" si="558"/>
        <v>0</v>
      </c>
      <c r="Q765" s="16">
        <f t="shared" si="558"/>
        <v>0</v>
      </c>
      <c r="R765" s="16">
        <f t="shared" si="558"/>
        <v>0</v>
      </c>
      <c r="S765" s="16">
        <f t="shared" si="558"/>
        <v>0</v>
      </c>
      <c r="T765" s="16">
        <f t="shared" si="558"/>
        <v>0</v>
      </c>
      <c r="U765" s="16">
        <f t="shared" si="558"/>
        <v>0</v>
      </c>
      <c r="V765" s="16">
        <f t="shared" si="558"/>
        <v>0</v>
      </c>
      <c r="W765" s="16">
        <f t="shared" si="558"/>
        <v>0</v>
      </c>
      <c r="X765" s="16">
        <f t="shared" si="558"/>
        <v>0</v>
      </c>
      <c r="Y765" s="16">
        <f t="shared" si="558"/>
        <v>0</v>
      </c>
      <c r="Z765" s="16">
        <f t="shared" si="558"/>
        <v>0</v>
      </c>
      <c r="AA765" s="16">
        <f t="shared" si="558"/>
        <v>0</v>
      </c>
      <c r="AB765" s="16">
        <f t="shared" si="558"/>
        <v>0</v>
      </c>
      <c r="AC765" s="16">
        <f t="shared" si="558"/>
        <v>0</v>
      </c>
      <c r="AD765" s="16">
        <f t="shared" si="558"/>
        <v>0</v>
      </c>
      <c r="AE765" s="16">
        <f t="shared" si="558"/>
        <v>0</v>
      </c>
      <c r="AF765" s="16">
        <f t="shared" si="558"/>
        <v>0</v>
      </c>
      <c r="AG765" s="16">
        <f>SUM(F765:AF765)</f>
        <v>29823651.702989001</v>
      </c>
      <c r="AH765" s="14" t="str">
        <f t="shared" si="557"/>
        <v>ok</v>
      </c>
    </row>
    <row r="766" spans="1:34" x14ac:dyDescent="0.25">
      <c r="A766" s="2" t="s">
        <v>924</v>
      </c>
      <c r="C766" s="2" t="s">
        <v>928</v>
      </c>
      <c r="D766" s="2" t="s">
        <v>929</v>
      </c>
      <c r="E766" s="43">
        <v>1</v>
      </c>
      <c r="F766" s="77">
        <f>IF(VLOOKUP($D766,$C$5:$AU$836,3,)=0,0,(VLOOKUP($D766,$C$5:$AU$836,4,)/VLOOKUP($D766,$C$5:$AU$836,3,))*$E766)</f>
        <v>0.55139813704508867</v>
      </c>
      <c r="G766" s="77">
        <f>IF(VLOOKUP($D766,$C$5:$AU$836,3,)=0,0,(VLOOKUP($D766,$C$5:$AU$836,5,)/VLOOKUP($D766,$C$5:$AU$836,3,))*$E766)</f>
        <v>4.9707884698576087E-2</v>
      </c>
      <c r="H766" s="77">
        <f>IF(VLOOKUP($D766,$C$5:$AU$836,3,)=0,0,(VLOOKUP($D766,$C$5:$AU$836,6,)/VLOOKUP($D766,$C$5:$AU$836,3,))*$E766)</f>
        <v>0.14262252959336844</v>
      </c>
      <c r="I766" s="77">
        <f>IF(VLOOKUP($D766,$C$5:$AU$836,3,)=0,0,(VLOOKUP($D766,$C$5:$AU$836,7,)/VLOOKUP($D766,$C$5:$AU$836,3,))*$E766)</f>
        <v>9.6148303831155857E-3</v>
      </c>
      <c r="J766" s="77">
        <f>IF(VLOOKUP($D766,$C$5:$AU$836,3,)=0,0,(VLOOKUP($D766,$C$5:$AU$836,8,)/VLOOKUP($D766,$C$5:$AU$836,3,))*$E766)</f>
        <v>7.8820520412303877E-3</v>
      </c>
      <c r="K766" s="77">
        <f>IF(VLOOKUP($D766,$C$5:$AU$836,3,)=0,0,(VLOOKUP($D766,$C$5:$AU$836,9,)/VLOOKUP($D766,$C$5:$AU$836,3,))*$E766)</f>
        <v>1.5151097571351845E-2</v>
      </c>
      <c r="L766" s="77">
        <f>IF(VLOOKUP($D766,$C$5:$AU$836,3,)=0,0,(VLOOKUP($D766,$C$5:$AU$836,10,)/VLOOKUP($D766,$C$5:$AU$836,3,))*$E766)</f>
        <v>0.11427602705970541</v>
      </c>
      <c r="M766" s="77">
        <f>IF(VLOOKUP($D766,$C$5:$AU$836,3,)=0,0,(VLOOKUP($D766,$C$5:$AU$836,11,)/VLOOKUP($D766,$C$5:$AU$836,3,))*$E766)</f>
        <v>9.0330768642057413E-2</v>
      </c>
      <c r="N766" s="77">
        <f>IF(VLOOKUP($D766,$C$5:$AU$836,3,)=0,0,(VLOOKUP($D766,$C$5:$AU$836,12,)/VLOOKUP($D766,$C$5:$AU$836,3,))*$E766)</f>
        <v>1.9016672965506215E-2</v>
      </c>
      <c r="O766" s="77">
        <f>IF(VLOOKUP($D766,$C$5:$AU$836,3,)=0,0,(VLOOKUP($D766,$C$5:$AU$836,13,)/VLOOKUP($D766,$C$5:$AU$836,3,))*$E766)</f>
        <v>0</v>
      </c>
      <c r="P766" s="77">
        <f>IF(VLOOKUP($D766,$C$5:$AU$836,3,)=0,0,(VLOOKUP($D766,$C$5:$AU$836,14,)/VLOOKUP($D766,$C$5:$AU$836,3,))*$E766)</f>
        <v>0</v>
      </c>
      <c r="Q766" s="77">
        <f>IF(VLOOKUP($D766,$C$5:$AU$836,3,)=0,0,(VLOOKUP($D766,$C$5:$AU$836,15,)/VLOOKUP($D766,$C$5:$AU$836,3,))*$E766)</f>
        <v>0</v>
      </c>
      <c r="R766" s="77">
        <f>IF(VLOOKUP($D766,$C$5:$AU$836,3,)=0,0,(VLOOKUP($D766,$C$5:$AU$836,16,)/VLOOKUP($D766,$C$5:$AU$836,3,))*$E766)</f>
        <v>0</v>
      </c>
      <c r="S766" s="77">
        <f>IF(VLOOKUP($D766,$C$5:$AU$836,3,)=0,0,(VLOOKUP($D766,$C$5:$AU$836,17,)/VLOOKUP($D766,$C$5:$AU$836,3,))*$E766)</f>
        <v>0</v>
      </c>
      <c r="T766" s="77">
        <f>IF(VLOOKUP($D766,$C$5:$AU$836,3,)=0,0,(VLOOKUP($D766,$C$5:$AU$836,18,)/VLOOKUP($D766,$C$5:$AU$836,3,))*$E766)</f>
        <v>0</v>
      </c>
      <c r="U766" s="77">
        <f>IF(VLOOKUP($D766,$C$5:$AU$836,3,)=0,0,(VLOOKUP($D766,$C$5:$AU$836,19,)/VLOOKUP($D766,$C$5:$AU$836,3,))*$E766)</f>
        <v>0</v>
      </c>
      <c r="V766" s="77">
        <f>IF(VLOOKUP($D766,$C$5:$AU$836,3,)=0,0,(VLOOKUP($D766,$C$5:$AU$836,20,)/VLOOKUP($D766,$C$5:$AU$836,3,))*$E766)</f>
        <v>0</v>
      </c>
      <c r="W766" s="77">
        <f>IF(VLOOKUP($D766,$C$5:$AU$836,3,)=0,0,(VLOOKUP($D766,$C$5:$AU$836,21,)/VLOOKUP($D766,$C$5:$AU$836,3,))*$E766)</f>
        <v>0</v>
      </c>
      <c r="X766" s="77">
        <f>IF(VLOOKUP($D766,$C$5:$AU$836,3,)=0,0,(VLOOKUP($D766,$C$5:$AU$836,22,)/VLOOKUP($D766,$C$5:$AU$836,3,))*$E766)</f>
        <v>0</v>
      </c>
      <c r="Y766" s="77">
        <f>IF(VLOOKUP($D766,$C$5:$AU$836,3,)=0,0,(VLOOKUP($D766,$C$5:$AU$836,23,)/VLOOKUP($D766,$C$5:$AU$836,3,))*$E766)</f>
        <v>0</v>
      </c>
      <c r="Z766" s="77">
        <f>IF(VLOOKUP($D766,$C$5:$AU$836,3,)=0,0,(VLOOKUP($D766,$C$5:$AU$836,24,)/VLOOKUP($D766,$C$5:$AU$836,3,))*$E766)</f>
        <v>0</v>
      </c>
      <c r="AA766" s="77">
        <f>IF(VLOOKUP($D766,$C$5:$AU$836,3,)=0,0,(VLOOKUP($D766,$C$5:$AU$836,25,)/VLOOKUP($D766,$C$5:$AU$836,3,))*$E766)</f>
        <v>0</v>
      </c>
      <c r="AB766" s="77">
        <f>IF(VLOOKUP($D766,$C$5:$AU$836,3,)=0,0,(VLOOKUP($D766,$C$5:$AU$836,26,)/VLOOKUP($D766,$C$5:$AU$836,3,))*$E766)</f>
        <v>0</v>
      </c>
      <c r="AC766" s="77">
        <f>IF(VLOOKUP($D766,$C$5:$AU$836,3,)=0,0,(VLOOKUP($D766,$C$5:$AU$836,27,)/VLOOKUP($D766,$C$5:$AU$836,3,))*$E766)</f>
        <v>0</v>
      </c>
      <c r="AD766" s="77">
        <f>IF(VLOOKUP($D766,$C$5:$AU$836,3,)=0,0,(VLOOKUP($D766,$C$5:$AU$836,28,)/VLOOKUP($D766,$C$5:$AU$836,3,))*$E766)</f>
        <v>0</v>
      </c>
      <c r="AE766" s="77">
        <f>IF(VLOOKUP($D766,$C$5:$AU$836,3,)=0,0,(VLOOKUP($D766,$C$5:$AU$836,29,)/VLOOKUP($D766,$C$5:$AU$836,3,))*$E766)</f>
        <v>0</v>
      </c>
      <c r="AF766" s="77">
        <f>IF(VLOOKUP($D766,$C$5:$AU$836,3,)=0,0,(VLOOKUP($D766,$C$5:$AU$836,30,)/VLOOKUP($D766,$C$5:$AU$836,3,))*$E766)</f>
        <v>0</v>
      </c>
      <c r="AG766" s="78">
        <f>SUM(F766:AF766)</f>
        <v>1</v>
      </c>
      <c r="AH766" s="14" t="str">
        <f t="shared" si="557"/>
        <v>ok</v>
      </c>
    </row>
    <row r="767" spans="1:34" x14ac:dyDescent="0.25">
      <c r="E767" s="43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  <c r="AC767" s="77"/>
      <c r="AD767" s="77"/>
      <c r="AE767" s="77"/>
      <c r="AF767" s="77"/>
      <c r="AG767" s="78"/>
      <c r="AH767" s="14"/>
    </row>
    <row r="768" spans="1:34" x14ac:dyDescent="0.25">
      <c r="A768" s="99" t="s">
        <v>684</v>
      </c>
      <c r="E768" s="43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  <c r="AC768" s="77"/>
      <c r="AD768" s="77"/>
      <c r="AE768" s="77"/>
      <c r="AF768" s="77"/>
      <c r="AG768" s="78"/>
      <c r="AH768" s="14"/>
    </row>
    <row r="769" spans="1:34" x14ac:dyDescent="0.25">
      <c r="A769" s="9" t="s">
        <v>1046</v>
      </c>
      <c r="C769" s="2" t="s">
        <v>856</v>
      </c>
      <c r="E769" s="17">
        <v>3330332.5752901519</v>
      </c>
      <c r="F769" s="17">
        <f>F640</f>
        <v>2775348</v>
      </c>
      <c r="G769" s="17">
        <f t="shared" ref="G769:N769" si="559">G640</f>
        <v>148834</v>
      </c>
      <c r="H769" s="17">
        <f t="shared" si="559"/>
        <v>329833</v>
      </c>
      <c r="I769" s="17">
        <f t="shared" si="559"/>
        <v>29580</v>
      </c>
      <c r="J769" s="17">
        <f t="shared" si="559"/>
        <v>22376</v>
      </c>
      <c r="K769" s="17">
        <v>0</v>
      </c>
      <c r="L769" s="17">
        <v>0</v>
      </c>
      <c r="M769" s="17">
        <v>0</v>
      </c>
      <c r="N769" s="17">
        <f t="shared" si="559"/>
        <v>24361.575290151904</v>
      </c>
      <c r="O769" s="17">
        <v>0</v>
      </c>
      <c r="P769" s="17">
        <f>P640</f>
        <v>0</v>
      </c>
      <c r="Q769" s="17">
        <f>Q640</f>
        <v>0</v>
      </c>
      <c r="R769" s="17">
        <v>0</v>
      </c>
      <c r="S769" s="17">
        <f>S640</f>
        <v>0</v>
      </c>
      <c r="T769" s="17">
        <f>T640</f>
        <v>0</v>
      </c>
      <c r="U769" s="17">
        <v>0</v>
      </c>
      <c r="V769" s="17">
        <f>V640</f>
        <v>0</v>
      </c>
      <c r="W769" s="17">
        <f>W640</f>
        <v>0</v>
      </c>
      <c r="X769" s="17">
        <f>X640</f>
        <v>0</v>
      </c>
      <c r="Y769" s="17">
        <f t="shared" ref="Y769:AF769" si="560">Y668</f>
        <v>0</v>
      </c>
      <c r="Z769" s="17">
        <f t="shared" si="560"/>
        <v>0</v>
      </c>
      <c r="AA769" s="17">
        <f t="shared" si="560"/>
        <v>0</v>
      </c>
      <c r="AB769" s="17">
        <f t="shared" si="560"/>
        <v>0</v>
      </c>
      <c r="AC769" s="17">
        <f t="shared" si="560"/>
        <v>0</v>
      </c>
      <c r="AD769" s="17">
        <f t="shared" si="560"/>
        <v>0</v>
      </c>
      <c r="AE769" s="17">
        <f t="shared" si="560"/>
        <v>0</v>
      </c>
      <c r="AF769" s="17">
        <f t="shared" si="560"/>
        <v>0</v>
      </c>
      <c r="AG769" s="17">
        <f>SUM(F769:AF769)</f>
        <v>3330332.5752901519</v>
      </c>
      <c r="AH769" s="14" t="str">
        <f t="shared" ref="AH769:AH774" si="561">IF(ABS(E769-AG769)&lt;0.01,"ok","err")</f>
        <v>ok</v>
      </c>
    </row>
    <row r="770" spans="1:34" x14ac:dyDescent="0.25">
      <c r="A770" s="9" t="s">
        <v>1047</v>
      </c>
      <c r="E770" s="16">
        <f>'Proforma Purchased Power'!BL105</f>
        <v>21307253.629999999</v>
      </c>
      <c r="AG770" s="16">
        <f>E770</f>
        <v>21307253.629999999</v>
      </c>
      <c r="AH770" s="14" t="str">
        <f t="shared" si="561"/>
        <v>ok</v>
      </c>
    </row>
    <row r="771" spans="1:34" x14ac:dyDescent="0.25">
      <c r="A771" s="2" t="s">
        <v>594</v>
      </c>
      <c r="E771" s="16">
        <v>2487957.38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f>'Proforma Purchased Power'!BL88</f>
        <v>206724</v>
      </c>
      <c r="L771" s="20">
        <f>'Proforma Purchased Power'!BL82+'Proforma Purchased Power'!BL94</f>
        <v>1277119.8999999999</v>
      </c>
      <c r="M771" s="20">
        <f>'Proforma Purchased Power'!BL73+'Proforma Purchased Power'!BL74+'Proforma Purchased Power'!BL75</f>
        <v>1004113.4800000002</v>
      </c>
      <c r="N771" s="20">
        <v>0</v>
      </c>
      <c r="O771" s="20">
        <v>0</v>
      </c>
      <c r="P771" s="20">
        <v>0</v>
      </c>
      <c r="Q771" s="20">
        <v>0</v>
      </c>
      <c r="R771" s="20">
        <v>0</v>
      </c>
      <c r="S771" s="20">
        <v>0</v>
      </c>
      <c r="T771" s="20">
        <v>0</v>
      </c>
      <c r="U771" s="20">
        <v>0</v>
      </c>
      <c r="V771" s="20">
        <v>0</v>
      </c>
      <c r="W771" s="20">
        <v>0</v>
      </c>
      <c r="X771" s="20">
        <v>0</v>
      </c>
      <c r="Y771" s="20">
        <v>0</v>
      </c>
      <c r="Z771" s="20">
        <v>0</v>
      </c>
      <c r="AA771" s="20">
        <v>0</v>
      </c>
      <c r="AB771" s="20">
        <v>0</v>
      </c>
      <c r="AC771" s="20">
        <v>0</v>
      </c>
      <c r="AD771" s="20">
        <v>0</v>
      </c>
      <c r="AE771" s="20">
        <v>0</v>
      </c>
      <c r="AF771" s="20">
        <v>0</v>
      </c>
      <c r="AG771" s="16">
        <f>SUM(F771:AF771)</f>
        <v>2487957.38</v>
      </c>
      <c r="AH771" s="14" t="str">
        <f t="shared" si="561"/>
        <v>ok</v>
      </c>
    </row>
    <row r="772" spans="1:34" x14ac:dyDescent="0.25">
      <c r="A772" s="9" t="s">
        <v>1048</v>
      </c>
      <c r="D772" s="2" t="s">
        <v>856</v>
      </c>
      <c r="E772" s="16">
        <f>E770-E771</f>
        <v>18819296.25</v>
      </c>
      <c r="F772" s="65">
        <f>IF(VLOOKUP($D772,$C$5:$AU$836,3,)=0,0,(VLOOKUP($D772,$C$5:$AU$836,4,)/VLOOKUP($D772,$C$5:$AU$836,3,))*$E772)</f>
        <v>15683147.261739919</v>
      </c>
      <c r="G772" s="65">
        <f>IF(VLOOKUP($D772,$C$5:$AU$836,3,)=0,0,(VLOOKUP($D772,$C$5:$AU$836,5,)/VLOOKUP($D772,$C$5:$AU$836,3,))*$E772)</f>
        <v>841042.47090952168</v>
      </c>
      <c r="H772" s="65">
        <f>IF(VLOOKUP($D772,$C$5:$AU$836,3,)=0,0,(VLOOKUP($D772,$C$5:$AU$836,6,)/VLOOKUP($D772,$C$5:$AU$836,3,))*$E772)</f>
        <v>1863845.366700487</v>
      </c>
      <c r="I772" s="65">
        <f>IF(VLOOKUP($D772,$C$5:$AU$836,3,)=0,0,(VLOOKUP($D772,$C$5:$AU$836,7,)/VLOOKUP($D772,$C$5:$AU$836,3,))*$E772)</f>
        <v>167152.91055473647</v>
      </c>
      <c r="J772" s="65">
        <f>IF(VLOOKUP($D772,$C$5:$AU$836,3,)=0,0,(VLOOKUP($D772,$C$5:$AU$836,8,)/VLOOKUP($D772,$C$5:$AU$836,3,))*$E772)</f>
        <v>126444.00022220366</v>
      </c>
      <c r="K772" s="65">
        <f>IF(VLOOKUP($D772,$C$5:$AU$836,3,)=0,0,(VLOOKUP($D772,$C$5:$AU$836,9,)/VLOOKUP($D772,$C$5:$AU$836,3,))*$E772)</f>
        <v>0</v>
      </c>
      <c r="L772" s="65">
        <f>IF(VLOOKUP($D772,$C$5:$AU$836,3,)=0,0,(VLOOKUP($D772,$C$5:$AU$836,10,)/VLOOKUP($D772,$C$5:$AU$836,3,))*$E772)</f>
        <v>0</v>
      </c>
      <c r="M772" s="65">
        <f>IF(VLOOKUP($D772,$C$5:$AU$836,3,)=0,0,(VLOOKUP($D772,$C$5:$AU$836,11,)/VLOOKUP($D772,$C$5:$AU$836,3,))*$E772)</f>
        <v>0</v>
      </c>
      <c r="N772" s="65">
        <f>IF(VLOOKUP($D772,$C$5:$AU$836,3,)=0,0,(VLOOKUP($D772,$C$5:$AU$836,12,)/VLOOKUP($D772,$C$5:$AU$836,3,))*$E772)</f>
        <v>137664.23987313185</v>
      </c>
      <c r="O772" s="65">
        <f>IF(VLOOKUP($D772,$C$5:$AU$836,3,)=0,0,(VLOOKUP($D772,$C$5:$AU$836,13,)/VLOOKUP($D772,$C$5:$AU$836,3,))*$E772)</f>
        <v>0</v>
      </c>
      <c r="P772" s="65">
        <f>IF(VLOOKUP($D772,$C$5:$AU$836,3,)=0,0,(VLOOKUP($D772,$C$5:$AU$836,14,)/VLOOKUP($D772,$C$5:$AU$836,3,))*$E772)</f>
        <v>0</v>
      </c>
      <c r="Q772" s="65">
        <f>IF(VLOOKUP($D772,$C$5:$AU$836,3,)=0,0,(VLOOKUP($D772,$C$5:$AU$836,15,)/VLOOKUP($D772,$C$5:$AU$836,3,))*$E772)</f>
        <v>0</v>
      </c>
      <c r="R772" s="65">
        <f>IF(VLOOKUP($D772,$C$5:$AU$836,3,)=0,0,(VLOOKUP($D772,$C$5:$AU$836,16,)/VLOOKUP($D772,$C$5:$AU$836,3,))*$E772)</f>
        <v>0</v>
      </c>
      <c r="S772" s="65">
        <f>IF(VLOOKUP($D772,$C$5:$AU$836,3,)=0,0,(VLOOKUP($D772,$C$5:$AU$836,17,)/VLOOKUP($D772,$C$5:$AU$836,3,))*$E772)</f>
        <v>0</v>
      </c>
      <c r="T772" s="65">
        <f>IF(VLOOKUP($D772,$C$5:$AU$836,3,)=0,0,(VLOOKUP($D772,$C$5:$AU$836,18,)/VLOOKUP($D772,$C$5:$AU$836,3,))*$E772)</f>
        <v>0</v>
      </c>
      <c r="U772" s="65">
        <f>IF(VLOOKUP($D772,$C$5:$AU$836,3,)=0,0,(VLOOKUP($D772,$C$5:$AU$836,19,)/VLOOKUP($D772,$C$5:$AU$836,3,))*$E772)</f>
        <v>0</v>
      </c>
      <c r="V772" s="65">
        <f>IF(VLOOKUP($D772,$C$5:$AU$836,3,)=0,0,(VLOOKUP($D772,$C$5:$AU$836,20,)/VLOOKUP($D772,$C$5:$AU$836,3,))*$E772)</f>
        <v>0</v>
      </c>
      <c r="W772" s="65">
        <f>IF(VLOOKUP($D772,$C$5:$AU$836,3,)=0,0,(VLOOKUP($D772,$C$5:$AU$836,21,)/VLOOKUP($D772,$C$5:$AU$836,3,))*$E772)</f>
        <v>0</v>
      </c>
      <c r="X772" s="65">
        <f>IF(VLOOKUP($D772,$C$5:$AU$836,3,)=0,0,(VLOOKUP($D772,$C$5:$AU$836,22,)/VLOOKUP($D772,$C$5:$AU$836,3,))*$E772)</f>
        <v>0</v>
      </c>
      <c r="Y772" s="65">
        <v>0</v>
      </c>
      <c r="Z772" s="65">
        <v>0</v>
      </c>
      <c r="AA772" s="65">
        <v>0</v>
      </c>
      <c r="AB772" s="65">
        <v>0</v>
      </c>
      <c r="AC772" s="65">
        <v>0</v>
      </c>
      <c r="AD772" s="65">
        <v>0</v>
      </c>
      <c r="AE772" s="65">
        <v>0</v>
      </c>
      <c r="AF772" s="65">
        <v>0</v>
      </c>
      <c r="AG772" s="16">
        <f>SUM(F772:AF772)</f>
        <v>18819296.25</v>
      </c>
      <c r="AH772" s="14" t="str">
        <f t="shared" si="561"/>
        <v>ok</v>
      </c>
    </row>
    <row r="773" spans="1:34" x14ac:dyDescent="0.25">
      <c r="A773" s="9" t="s">
        <v>1049</v>
      </c>
      <c r="C773" s="2" t="s">
        <v>857</v>
      </c>
      <c r="E773" s="16">
        <f t="shared" ref="E773:AF773" si="562">E771+E772</f>
        <v>21307253.629999999</v>
      </c>
      <c r="F773" s="16">
        <f t="shared" si="562"/>
        <v>15683147.261739919</v>
      </c>
      <c r="G773" s="16">
        <f t="shared" si="562"/>
        <v>841042.47090952168</v>
      </c>
      <c r="H773" s="16">
        <f t="shared" si="562"/>
        <v>1863845.366700487</v>
      </c>
      <c r="I773" s="16">
        <f t="shared" si="562"/>
        <v>167152.91055473647</v>
      </c>
      <c r="J773" s="16">
        <f t="shared" si="562"/>
        <v>126444.00022220366</v>
      </c>
      <c r="K773" s="16">
        <f t="shared" si="562"/>
        <v>206724</v>
      </c>
      <c r="L773" s="16">
        <f t="shared" si="562"/>
        <v>1277119.8999999999</v>
      </c>
      <c r="M773" s="16">
        <f t="shared" si="562"/>
        <v>1004113.4800000002</v>
      </c>
      <c r="N773" s="16">
        <f t="shared" si="562"/>
        <v>137664.23987313185</v>
      </c>
      <c r="O773" s="16">
        <f t="shared" si="562"/>
        <v>0</v>
      </c>
      <c r="P773" s="16">
        <f t="shared" si="562"/>
        <v>0</v>
      </c>
      <c r="Q773" s="16">
        <f t="shared" si="562"/>
        <v>0</v>
      </c>
      <c r="R773" s="16">
        <f t="shared" si="562"/>
        <v>0</v>
      </c>
      <c r="S773" s="16">
        <f t="shared" si="562"/>
        <v>0</v>
      </c>
      <c r="T773" s="16">
        <f t="shared" si="562"/>
        <v>0</v>
      </c>
      <c r="U773" s="16">
        <f t="shared" si="562"/>
        <v>0</v>
      </c>
      <c r="V773" s="16">
        <f t="shared" si="562"/>
        <v>0</v>
      </c>
      <c r="W773" s="16">
        <f t="shared" si="562"/>
        <v>0</v>
      </c>
      <c r="X773" s="16">
        <f t="shared" si="562"/>
        <v>0</v>
      </c>
      <c r="Y773" s="16">
        <f t="shared" si="562"/>
        <v>0</v>
      </c>
      <c r="Z773" s="16">
        <f t="shared" si="562"/>
        <v>0</v>
      </c>
      <c r="AA773" s="16">
        <f t="shared" si="562"/>
        <v>0</v>
      </c>
      <c r="AB773" s="16">
        <f t="shared" si="562"/>
        <v>0</v>
      </c>
      <c r="AC773" s="16">
        <f t="shared" si="562"/>
        <v>0</v>
      </c>
      <c r="AD773" s="16">
        <f t="shared" si="562"/>
        <v>0</v>
      </c>
      <c r="AE773" s="16">
        <f t="shared" si="562"/>
        <v>0</v>
      </c>
      <c r="AF773" s="16">
        <f t="shared" si="562"/>
        <v>0</v>
      </c>
      <c r="AG773" s="16">
        <f>SUM(F773:AF773)</f>
        <v>21307253.629999999</v>
      </c>
      <c r="AH773" s="14" t="str">
        <f t="shared" si="561"/>
        <v>ok</v>
      </c>
    </row>
    <row r="774" spans="1:34" x14ac:dyDescent="0.25">
      <c r="A774" s="9" t="s">
        <v>1046</v>
      </c>
      <c r="C774" s="2" t="s">
        <v>858</v>
      </c>
      <c r="D774" s="2" t="s">
        <v>857</v>
      </c>
      <c r="E774" s="43">
        <v>1</v>
      </c>
      <c r="F774" s="77">
        <f>IF(VLOOKUP($D774,$C$5:$AU$836,3,)=0,0,(VLOOKUP($D774,$C$5:$AU$836,4,)/VLOOKUP($D774,$C$5:$AU$836,3,))*$E774)</f>
        <v>0.73604733552608115</v>
      </c>
      <c r="G774" s="77">
        <f>IF(VLOOKUP($D774,$C$5:$AU$836,3,)=0,0,(VLOOKUP($D774,$C$5:$AU$836,5,)/VLOOKUP($D774,$C$5:$AU$836,3,))*$E774)</f>
        <v>3.9472119941603274E-2</v>
      </c>
      <c r="H774" s="77">
        <f>IF(VLOOKUP($D774,$C$5:$AU$836,3,)=0,0,(VLOOKUP($D774,$C$5:$AU$836,6,)/VLOOKUP($D774,$C$5:$AU$836,3,))*$E774)</f>
        <v>8.7474688153908603E-2</v>
      </c>
      <c r="I774" s="77">
        <f>IF(VLOOKUP($D774,$C$5:$AU$836,3,)=0,0,(VLOOKUP($D774,$C$5:$AU$836,7,)/VLOOKUP($D774,$C$5:$AU$836,3,))*$E774)</f>
        <v>7.8448829425576457E-3</v>
      </c>
      <c r="J774" s="77">
        <f>IF(VLOOKUP($D774,$C$5:$AU$836,3,)=0,0,(VLOOKUP($D774,$C$5:$AU$836,8,)/VLOOKUP($D774,$C$5:$AU$836,3,))*$E774)</f>
        <v>5.9343171305838377E-3</v>
      </c>
      <c r="K774" s="77">
        <f>IF(VLOOKUP($D774,$C$5:$AU$836,3,)=0,0,(VLOOKUP($D774,$C$5:$AU$836,9,)/VLOOKUP($D774,$C$5:$AU$836,3,))*$E774)</f>
        <v>9.7020481189062559E-3</v>
      </c>
      <c r="L774" s="77">
        <f>IF(VLOOKUP($D774,$C$5:$AU$836,3,)=0,0,(VLOOKUP($D774,$C$5:$AU$836,10,)/VLOOKUP($D774,$C$5:$AU$836,3,))*$E774)</f>
        <v>5.993826901285166E-2</v>
      </c>
      <c r="M774" s="77">
        <f>IF(VLOOKUP($D774,$C$5:$AU$836,3,)=0,0,(VLOOKUP($D774,$C$5:$AU$836,11,)/VLOOKUP($D774,$C$5:$AU$836,3,))*$E774)</f>
        <v>4.7125429557295803E-2</v>
      </c>
      <c r="N774" s="77">
        <f>IF(VLOOKUP($D774,$C$5:$AU$836,3,)=0,0,(VLOOKUP($D774,$C$5:$AU$836,12,)/VLOOKUP($D774,$C$5:$AU$836,3,))*$E774)</f>
        <v>6.4609096162118506E-3</v>
      </c>
      <c r="O774" s="77">
        <f>IF(VLOOKUP($D774,$C$5:$AU$836,3,)=0,0,(VLOOKUP($D774,$C$5:$AU$836,13,)/VLOOKUP($D774,$C$5:$AU$836,3,))*$E774)</f>
        <v>0</v>
      </c>
      <c r="P774" s="77">
        <f>IF(VLOOKUP($D774,$C$5:$AU$836,3,)=0,0,(VLOOKUP($D774,$C$5:$AU$836,14,)/VLOOKUP($D774,$C$5:$AU$836,3,))*$E774)</f>
        <v>0</v>
      </c>
      <c r="Q774" s="77">
        <f>IF(VLOOKUP($D774,$C$5:$AU$836,3,)=0,0,(VLOOKUP($D774,$C$5:$AU$836,15,)/VLOOKUP($D774,$C$5:$AU$836,3,))*$E774)</f>
        <v>0</v>
      </c>
      <c r="R774" s="77">
        <f>IF(VLOOKUP($D774,$C$5:$AU$836,3,)=0,0,(VLOOKUP($D774,$C$5:$AU$836,16,)/VLOOKUP($D774,$C$5:$AU$836,3,))*$E774)</f>
        <v>0</v>
      </c>
      <c r="S774" s="77">
        <f>IF(VLOOKUP($D774,$C$5:$AU$836,3,)=0,0,(VLOOKUP($D774,$C$5:$AU$836,17,)/VLOOKUP($D774,$C$5:$AU$836,3,))*$E774)</f>
        <v>0</v>
      </c>
      <c r="T774" s="77">
        <f>IF(VLOOKUP($D774,$C$5:$AU$836,3,)=0,0,(VLOOKUP($D774,$C$5:$AU$836,18,)/VLOOKUP($D774,$C$5:$AU$836,3,))*$E774)</f>
        <v>0</v>
      </c>
      <c r="U774" s="77">
        <f>IF(VLOOKUP($D774,$C$5:$AU$836,3,)=0,0,(VLOOKUP($D774,$C$5:$AU$836,19,)/VLOOKUP($D774,$C$5:$AU$836,3,))*$E774)</f>
        <v>0</v>
      </c>
      <c r="V774" s="77">
        <f>IF(VLOOKUP($D774,$C$5:$AU$836,3,)=0,0,(VLOOKUP($D774,$C$5:$AU$836,20,)/VLOOKUP($D774,$C$5:$AU$836,3,))*$E774)</f>
        <v>0</v>
      </c>
      <c r="W774" s="77">
        <f>IF(VLOOKUP($D774,$C$5:$AU$836,3,)=0,0,(VLOOKUP($D774,$C$5:$AU$836,21,)/VLOOKUP($D774,$C$5:$AU$836,3,))*$E774)</f>
        <v>0</v>
      </c>
      <c r="X774" s="77">
        <f>IF(VLOOKUP($D774,$C$5:$AU$836,3,)=0,0,(VLOOKUP($D774,$C$5:$AU$836,22,)/VLOOKUP($D774,$C$5:$AU$836,3,))*$E774)</f>
        <v>0</v>
      </c>
      <c r="Y774" s="77">
        <f>IF(VLOOKUP($D774,$C$5:$AU$836,3,)=0,0,(VLOOKUP($D774,$C$5:$AU$836,23,)/VLOOKUP($D774,$C$5:$AU$836,3,))*$E774)</f>
        <v>0</v>
      </c>
      <c r="Z774" s="77">
        <f>IF(VLOOKUP($D774,$C$5:$AU$836,3,)=0,0,(VLOOKUP($D774,$C$5:$AU$836,24,)/VLOOKUP($D774,$C$5:$AU$836,3,))*$E774)</f>
        <v>0</v>
      </c>
      <c r="AA774" s="77">
        <f>IF(VLOOKUP($D774,$C$5:$AU$836,3,)=0,0,(VLOOKUP($D774,$C$5:$AU$836,25,)/VLOOKUP($D774,$C$5:$AU$836,3,))*$E774)</f>
        <v>0</v>
      </c>
      <c r="AB774" s="77">
        <f>IF(VLOOKUP($D774,$C$5:$AU$836,3,)=0,0,(VLOOKUP($D774,$C$5:$AU$836,26,)/VLOOKUP($D774,$C$5:$AU$836,3,))*$E774)</f>
        <v>0</v>
      </c>
      <c r="AC774" s="77">
        <f>IF(VLOOKUP($D774,$C$5:$AU$836,3,)=0,0,(VLOOKUP($D774,$C$5:$AU$836,27,)/VLOOKUP($D774,$C$5:$AU$836,3,))*$E774)</f>
        <v>0</v>
      </c>
      <c r="AD774" s="77">
        <f>IF(VLOOKUP($D774,$C$5:$AU$836,3,)=0,0,(VLOOKUP($D774,$C$5:$AU$836,28,)/VLOOKUP($D774,$C$5:$AU$836,3,))*$E774)</f>
        <v>0</v>
      </c>
      <c r="AE774" s="77">
        <f>IF(VLOOKUP($D774,$C$5:$AU$836,3,)=0,0,(VLOOKUP($D774,$C$5:$AU$836,29,)/VLOOKUP($D774,$C$5:$AU$836,3,))*$E774)</f>
        <v>0</v>
      </c>
      <c r="AF774" s="77">
        <f>IF(VLOOKUP($D774,$C$5:$AU$836,3,)=0,0,(VLOOKUP($D774,$C$5:$AU$836,30,)/VLOOKUP($D774,$C$5:$AU$836,3,))*$E774)</f>
        <v>0</v>
      </c>
      <c r="AG774" s="78">
        <f>SUM(F774:AF774)</f>
        <v>1.0000000000000002</v>
      </c>
      <c r="AH774" s="14" t="str">
        <f t="shared" si="561"/>
        <v>ok</v>
      </c>
    </row>
    <row r="775" spans="1:34" x14ac:dyDescent="0.25">
      <c r="E775" s="43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  <c r="AC775" s="77"/>
      <c r="AD775" s="77"/>
      <c r="AE775" s="77"/>
      <c r="AF775" s="77"/>
      <c r="AG775" s="78"/>
      <c r="AH775" s="14"/>
    </row>
    <row r="776" spans="1:34" x14ac:dyDescent="0.25">
      <c r="A776" s="2" t="s">
        <v>908</v>
      </c>
      <c r="C776" s="2" t="s">
        <v>934</v>
      </c>
      <c r="E776" s="17">
        <v>330681.98986243393</v>
      </c>
      <c r="F776" s="17">
        <f>F638</f>
        <v>235034</v>
      </c>
      <c r="G776" s="17">
        <f t="shared" ref="G776:N776" si="563">G638</f>
        <v>15382</v>
      </c>
      <c r="H776" s="17">
        <f t="shared" si="563"/>
        <v>39056</v>
      </c>
      <c r="I776" s="17">
        <f t="shared" si="563"/>
        <v>4015</v>
      </c>
      <c r="J776" s="17">
        <f t="shared" si="563"/>
        <v>3938</v>
      </c>
      <c r="K776" s="17">
        <f t="shared" si="563"/>
        <v>2171.52</v>
      </c>
      <c r="L776" s="17">
        <f t="shared" si="563"/>
        <v>15287.041000000001</v>
      </c>
      <c r="M776" s="17">
        <f t="shared" si="563"/>
        <v>11484.12</v>
      </c>
      <c r="N776" s="17">
        <f t="shared" si="563"/>
        <v>4314.3088624338625</v>
      </c>
      <c r="O776" s="17">
        <f t="shared" ref="O776:Q776" si="564">O638</f>
        <v>0</v>
      </c>
      <c r="P776" s="17">
        <f t="shared" si="564"/>
        <v>0</v>
      </c>
      <c r="Q776" s="17">
        <f t="shared" si="564"/>
        <v>0</v>
      </c>
      <c r="R776" s="17">
        <v>0</v>
      </c>
      <c r="S776" s="17">
        <f>S638</f>
        <v>0</v>
      </c>
      <c r="T776" s="17">
        <f>T638</f>
        <v>0</v>
      </c>
      <c r="U776" s="17">
        <v>0</v>
      </c>
      <c r="V776" s="17">
        <f>V638</f>
        <v>0</v>
      </c>
      <c r="W776" s="17">
        <f>W638</f>
        <v>0</v>
      </c>
      <c r="X776" s="17">
        <f>X638</f>
        <v>0</v>
      </c>
      <c r="Y776" s="17">
        <f t="shared" ref="Y776:AF776" si="565">Y640</f>
        <v>0</v>
      </c>
      <c r="Z776" s="17">
        <f t="shared" si="565"/>
        <v>0</v>
      </c>
      <c r="AA776" s="17">
        <f t="shared" si="565"/>
        <v>0</v>
      </c>
      <c r="AB776" s="17">
        <f t="shared" si="565"/>
        <v>0</v>
      </c>
      <c r="AC776" s="17">
        <f t="shared" si="565"/>
        <v>0</v>
      </c>
      <c r="AD776" s="17">
        <f t="shared" si="565"/>
        <v>0</v>
      </c>
      <c r="AE776" s="17">
        <f t="shared" si="565"/>
        <v>0</v>
      </c>
      <c r="AF776" s="17">
        <f t="shared" si="565"/>
        <v>0</v>
      </c>
      <c r="AG776" s="17">
        <f>SUM(F776:AF776)</f>
        <v>330681.98986243393</v>
      </c>
      <c r="AH776" s="14" t="str">
        <f t="shared" ref="AH776:AH781" si="566">IF(ABS(E776-AG776)&lt;0.01,"ok","err")</f>
        <v>ok</v>
      </c>
    </row>
    <row r="777" spans="1:34" x14ac:dyDescent="0.25">
      <c r="A777" s="2" t="s">
        <v>909</v>
      </c>
      <c r="E777" s="16">
        <f>'Proforma Purchased Power'!BL108+'Proforma Purchased Power'!BL109</f>
        <v>1704216</v>
      </c>
      <c r="AG777" s="16">
        <f>E777</f>
        <v>1704216</v>
      </c>
      <c r="AH777" s="14" t="str">
        <f t="shared" si="566"/>
        <v>ok</v>
      </c>
    </row>
    <row r="778" spans="1:34" x14ac:dyDescent="0.25">
      <c r="A778" s="2" t="s">
        <v>594</v>
      </c>
      <c r="E778" s="16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20">
        <v>0</v>
      </c>
      <c r="M778" s="20">
        <v>0</v>
      </c>
      <c r="N778" s="20">
        <v>0</v>
      </c>
      <c r="O778" s="20">
        <v>0</v>
      </c>
      <c r="P778" s="20">
        <v>0</v>
      </c>
      <c r="Q778" s="20">
        <v>0</v>
      </c>
      <c r="R778" s="20">
        <v>0</v>
      </c>
      <c r="S778" s="20">
        <v>0</v>
      </c>
      <c r="T778" s="20">
        <v>0</v>
      </c>
      <c r="U778" s="20">
        <v>0</v>
      </c>
      <c r="V778" s="20">
        <v>0</v>
      </c>
      <c r="W778" s="20">
        <v>0</v>
      </c>
      <c r="X778" s="20">
        <v>0</v>
      </c>
      <c r="Y778" s="20">
        <v>0</v>
      </c>
      <c r="Z778" s="20">
        <v>0</v>
      </c>
      <c r="AA778" s="20">
        <v>0</v>
      </c>
      <c r="AB778" s="20">
        <v>0</v>
      </c>
      <c r="AC778" s="20">
        <v>0</v>
      </c>
      <c r="AD778" s="20">
        <v>0</v>
      </c>
      <c r="AE778" s="20">
        <v>0</v>
      </c>
      <c r="AF778" s="20">
        <v>0</v>
      </c>
      <c r="AG778" s="16">
        <f>SUM(F778:AF778)</f>
        <v>0</v>
      </c>
      <c r="AH778" s="14" t="str">
        <f t="shared" si="566"/>
        <v>ok</v>
      </c>
    </row>
    <row r="779" spans="1:34" x14ac:dyDescent="0.25">
      <c r="A779" s="2" t="s">
        <v>910</v>
      </c>
      <c r="D779" s="2" t="s">
        <v>934</v>
      </c>
      <c r="E779" s="16">
        <f>E777-E778</f>
        <v>1704216</v>
      </c>
      <c r="F779" s="65">
        <f>IF(VLOOKUP($D779,$C$5:$AU$836,3,)=0,0,(VLOOKUP($D779,$C$5:$AU$836,4,)/VLOOKUP($D779,$C$5:$AU$836,3,))*$E779)</f>
        <v>1211280.6733461085</v>
      </c>
      <c r="G779" s="65">
        <f>IF(VLOOKUP($D779,$C$5:$AU$836,3,)=0,0,(VLOOKUP($D779,$C$5:$AU$836,5,)/VLOOKUP($D779,$C$5:$AU$836,3,))*$E779)</f>
        <v>79273.293725205032</v>
      </c>
      <c r="H779" s="65">
        <f>IF(VLOOKUP($D779,$C$5:$AU$836,3,)=0,0,(VLOOKUP($D779,$C$5:$AU$836,6,)/VLOOKUP($D779,$C$5:$AU$836,3,))*$E779)</f>
        <v>201280.57207980807</v>
      </c>
      <c r="I779" s="65">
        <f>IF(VLOOKUP($D779,$C$5:$AU$836,3,)=0,0,(VLOOKUP($D779,$C$5:$AU$836,7,)/VLOOKUP($D779,$C$5:$AU$836,3,))*$E779)</f>
        <v>20691.865447061387</v>
      </c>
      <c r="J779" s="65">
        <f>IF(VLOOKUP($D779,$C$5:$AU$836,3,)=0,0,(VLOOKUP($D779,$C$5:$AU$836,8,)/VLOOKUP($D779,$C$5:$AU$836,3,))*$E779)</f>
        <v>20295.035150816373</v>
      </c>
      <c r="K779" s="65">
        <f>IF(VLOOKUP($D779,$C$5:$AU$836,3,)=0,0,(VLOOKUP($D779,$C$5:$AU$836,9,)/VLOOKUP($D779,$C$5:$AU$836,3,))*$E779)</f>
        <v>11191.23279093468</v>
      </c>
      <c r="L779" s="65">
        <f>IF(VLOOKUP($D779,$C$5:$AU$836,3,)=0,0,(VLOOKUP($D779,$C$5:$AU$836,10,)/VLOOKUP($D779,$C$5:$AU$836,3,))*$E779)</f>
        <v>78783.909204411146</v>
      </c>
      <c r="M779" s="65">
        <f>IF(VLOOKUP($D779,$C$5:$AU$836,3,)=0,0,(VLOOKUP($D779,$C$5:$AU$836,11,)/VLOOKUP($D779,$C$5:$AU$836,3,))*$E779)</f>
        <v>59185.022619652955</v>
      </c>
      <c r="N779" s="65">
        <f>IF(VLOOKUP($D779,$C$5:$AU$836,3,)=0,0,(VLOOKUP($D779,$C$5:$AU$836,12,)/VLOOKUP($D779,$C$5:$AU$836,3,))*$E779)</f>
        <v>22234.395636001482</v>
      </c>
      <c r="O779" s="65">
        <f>IF(VLOOKUP($D779,$C$5:$AU$836,3,)=0,0,(VLOOKUP($D779,$C$5:$AU$836,13,)/VLOOKUP($D779,$C$5:$AU$836,3,))*$E779)</f>
        <v>0</v>
      </c>
      <c r="P779" s="65">
        <f>IF(VLOOKUP($D779,$C$5:$AU$836,3,)=0,0,(VLOOKUP($D779,$C$5:$AU$836,14,)/VLOOKUP($D779,$C$5:$AU$836,3,))*$E779)</f>
        <v>0</v>
      </c>
      <c r="Q779" s="65">
        <f>IF(VLOOKUP($D779,$C$5:$AU$836,3,)=0,0,(VLOOKUP($D779,$C$5:$AU$836,15,)/VLOOKUP($D779,$C$5:$AU$836,3,))*$E779)</f>
        <v>0</v>
      </c>
      <c r="R779" s="65">
        <f>IF(VLOOKUP($D779,$C$5:$AU$836,3,)=0,0,(VLOOKUP($D779,$C$5:$AU$836,16,)/VLOOKUP($D779,$C$5:$AU$836,3,))*$E779)</f>
        <v>0</v>
      </c>
      <c r="S779" s="65">
        <f>IF(VLOOKUP($D779,$C$5:$AU$836,3,)=0,0,(VLOOKUP($D779,$C$5:$AU$836,17,)/VLOOKUP($D779,$C$5:$AU$836,3,))*$E779)</f>
        <v>0</v>
      </c>
      <c r="T779" s="65">
        <f>IF(VLOOKUP($D779,$C$5:$AU$836,3,)=0,0,(VLOOKUP($D779,$C$5:$AU$836,18,)/VLOOKUP($D779,$C$5:$AU$836,3,))*$E779)</f>
        <v>0</v>
      </c>
      <c r="U779" s="65">
        <f>IF(VLOOKUP($D779,$C$5:$AU$836,3,)=0,0,(VLOOKUP($D779,$C$5:$AU$836,19,)/VLOOKUP($D779,$C$5:$AU$836,3,))*$E779)</f>
        <v>0</v>
      </c>
      <c r="V779" s="65">
        <f>IF(VLOOKUP($D779,$C$5:$AU$836,3,)=0,0,(VLOOKUP($D779,$C$5:$AU$836,20,)/VLOOKUP($D779,$C$5:$AU$836,3,))*$E779)</f>
        <v>0</v>
      </c>
      <c r="W779" s="65">
        <f>IF(VLOOKUP($D779,$C$5:$AU$836,3,)=0,0,(VLOOKUP($D779,$C$5:$AU$836,21,)/VLOOKUP($D779,$C$5:$AU$836,3,))*$E779)</f>
        <v>0</v>
      </c>
      <c r="X779" s="65">
        <f>IF(VLOOKUP($D779,$C$5:$AU$836,3,)=0,0,(VLOOKUP($D779,$C$5:$AU$836,22,)/VLOOKUP($D779,$C$5:$AU$836,3,))*$E779)</f>
        <v>0</v>
      </c>
      <c r="Y779" s="65">
        <v>0</v>
      </c>
      <c r="Z779" s="65">
        <v>0</v>
      </c>
      <c r="AA779" s="65">
        <v>0</v>
      </c>
      <c r="AB779" s="65">
        <v>0</v>
      </c>
      <c r="AC779" s="65">
        <v>0</v>
      </c>
      <c r="AD779" s="65">
        <v>0</v>
      </c>
      <c r="AE779" s="65">
        <v>0</v>
      </c>
      <c r="AF779" s="65">
        <v>0</v>
      </c>
      <c r="AG779" s="16">
        <f>SUM(F779:AF779)</f>
        <v>1704215.9999999995</v>
      </c>
      <c r="AH779" s="14" t="str">
        <f t="shared" si="566"/>
        <v>ok</v>
      </c>
    </row>
    <row r="780" spans="1:34" x14ac:dyDescent="0.25">
      <c r="A780" s="2" t="s">
        <v>911</v>
      </c>
      <c r="C780" s="2" t="s">
        <v>935</v>
      </c>
      <c r="E780" s="16">
        <f t="shared" ref="E780:AF780" si="567">E778+E779</f>
        <v>1704216</v>
      </c>
      <c r="F780" s="16">
        <f t="shared" si="567"/>
        <v>1211280.6733461085</v>
      </c>
      <c r="G780" s="16">
        <f t="shared" si="567"/>
        <v>79273.293725205032</v>
      </c>
      <c r="H780" s="16">
        <f t="shared" si="567"/>
        <v>201280.57207980807</v>
      </c>
      <c r="I780" s="16">
        <f t="shared" si="567"/>
        <v>20691.865447061387</v>
      </c>
      <c r="J780" s="16">
        <f t="shared" si="567"/>
        <v>20295.035150816373</v>
      </c>
      <c r="K780" s="16">
        <f t="shared" si="567"/>
        <v>11191.23279093468</v>
      </c>
      <c r="L780" s="16">
        <f t="shared" si="567"/>
        <v>78783.909204411146</v>
      </c>
      <c r="M780" s="16">
        <f t="shared" si="567"/>
        <v>59185.022619652955</v>
      </c>
      <c r="N780" s="16">
        <f t="shared" si="567"/>
        <v>22234.395636001482</v>
      </c>
      <c r="O780" s="16">
        <f t="shared" si="567"/>
        <v>0</v>
      </c>
      <c r="P780" s="16">
        <f t="shared" si="567"/>
        <v>0</v>
      </c>
      <c r="Q780" s="16">
        <f t="shared" si="567"/>
        <v>0</v>
      </c>
      <c r="R780" s="16">
        <f t="shared" si="567"/>
        <v>0</v>
      </c>
      <c r="S780" s="16">
        <f t="shared" si="567"/>
        <v>0</v>
      </c>
      <c r="T780" s="16">
        <f t="shared" si="567"/>
        <v>0</v>
      </c>
      <c r="U780" s="16">
        <f t="shared" si="567"/>
        <v>0</v>
      </c>
      <c r="V780" s="16">
        <f t="shared" si="567"/>
        <v>0</v>
      </c>
      <c r="W780" s="16">
        <f t="shared" si="567"/>
        <v>0</v>
      </c>
      <c r="X780" s="16">
        <f t="shared" si="567"/>
        <v>0</v>
      </c>
      <c r="Y780" s="16">
        <f t="shared" si="567"/>
        <v>0</v>
      </c>
      <c r="Z780" s="16">
        <f t="shared" si="567"/>
        <v>0</v>
      </c>
      <c r="AA780" s="16">
        <f t="shared" si="567"/>
        <v>0</v>
      </c>
      <c r="AB780" s="16">
        <f t="shared" si="567"/>
        <v>0</v>
      </c>
      <c r="AC780" s="16">
        <f t="shared" si="567"/>
        <v>0</v>
      </c>
      <c r="AD780" s="16">
        <f t="shared" si="567"/>
        <v>0</v>
      </c>
      <c r="AE780" s="16">
        <f t="shared" si="567"/>
        <v>0</v>
      </c>
      <c r="AF780" s="16">
        <f t="shared" si="567"/>
        <v>0</v>
      </c>
      <c r="AG780" s="16">
        <f>SUM(F780:AF780)</f>
        <v>1704215.9999999995</v>
      </c>
      <c r="AH780" s="14" t="str">
        <f t="shared" si="566"/>
        <v>ok</v>
      </c>
    </row>
    <row r="781" spans="1:34" x14ac:dyDescent="0.25">
      <c r="A781" s="2" t="s">
        <v>908</v>
      </c>
      <c r="C781" s="2" t="s">
        <v>936</v>
      </c>
      <c r="D781" s="2" t="s">
        <v>935</v>
      </c>
      <c r="E781" s="43">
        <v>1</v>
      </c>
      <c r="F781" s="77">
        <f>IF(VLOOKUP($D781,$C$5:$AU$836,3,)=0,0,(VLOOKUP($D781,$C$5:$AU$836,4,)/VLOOKUP($D781,$C$5:$AU$836,3,))*$E781)</f>
        <v>0.71075536982759724</v>
      </c>
      <c r="G781" s="77">
        <f>IF(VLOOKUP($D781,$C$5:$AU$836,3,)=0,0,(VLOOKUP($D781,$C$5:$AU$836,5,)/VLOOKUP($D781,$C$5:$AU$836,3,))*$E781)</f>
        <v>4.6515989595922722E-2</v>
      </c>
      <c r="H781" s="77">
        <f>IF(VLOOKUP($D781,$C$5:$AU$836,3,)=0,0,(VLOOKUP($D781,$C$5:$AU$836,6,)/VLOOKUP($D781,$C$5:$AU$836,3,))*$E781)</f>
        <v>0.11810743009090871</v>
      </c>
      <c r="I781" s="77">
        <f>IF(VLOOKUP($D781,$C$5:$AU$836,3,)=0,0,(VLOOKUP($D781,$C$5:$AU$836,7,)/VLOOKUP($D781,$C$5:$AU$836,3,))*$E781)</f>
        <v>1.214157445245285E-2</v>
      </c>
      <c r="J781" s="77">
        <f>IF(VLOOKUP($D781,$C$5:$AU$836,3,)=0,0,(VLOOKUP($D781,$C$5:$AU$836,8,)/VLOOKUP($D781,$C$5:$AU$836,3,))*$E781)</f>
        <v>1.1908722339666084E-2</v>
      </c>
      <c r="K781" s="77">
        <f>IF(VLOOKUP($D781,$C$5:$AU$836,3,)=0,0,(VLOOKUP($D781,$C$5:$AU$836,9,)/VLOOKUP($D781,$C$5:$AU$836,3,))*$E781)</f>
        <v>6.566792466996367E-3</v>
      </c>
      <c r="L781" s="77">
        <f>IF(VLOOKUP($D781,$C$5:$AU$836,3,)=0,0,(VLOOKUP($D781,$C$5:$AU$836,10,)/VLOOKUP($D781,$C$5:$AU$836,3,))*$E781)</f>
        <v>4.6228828507895212E-2</v>
      </c>
      <c r="M781" s="77">
        <f>IF(VLOOKUP($D781,$C$5:$AU$836,3,)=0,0,(VLOOKUP($D781,$C$5:$AU$836,11,)/VLOOKUP($D781,$C$5:$AU$836,3,))*$E781)</f>
        <v>3.4728592279178787E-2</v>
      </c>
      <c r="N781" s="77">
        <f>IF(VLOOKUP($D781,$C$5:$AU$836,3,)=0,0,(VLOOKUP($D781,$C$5:$AU$836,12,)/VLOOKUP($D781,$C$5:$AU$836,3,))*$E781)</f>
        <v>1.3046700439381793E-2</v>
      </c>
      <c r="O781" s="77">
        <f>IF(VLOOKUP($D781,$C$5:$AU$836,3,)=0,0,(VLOOKUP($D781,$C$5:$AU$836,13,)/VLOOKUP($D781,$C$5:$AU$836,3,))*$E781)</f>
        <v>0</v>
      </c>
      <c r="P781" s="77">
        <f>IF(VLOOKUP($D781,$C$5:$AU$836,3,)=0,0,(VLOOKUP($D781,$C$5:$AU$836,14,)/VLOOKUP($D781,$C$5:$AU$836,3,))*$E781)</f>
        <v>0</v>
      </c>
      <c r="Q781" s="77">
        <f>IF(VLOOKUP($D781,$C$5:$AU$836,3,)=0,0,(VLOOKUP($D781,$C$5:$AU$836,15,)/VLOOKUP($D781,$C$5:$AU$836,3,))*$E781)</f>
        <v>0</v>
      </c>
      <c r="R781" s="77">
        <f>IF(VLOOKUP($D781,$C$5:$AU$836,3,)=0,0,(VLOOKUP($D781,$C$5:$AU$836,16,)/VLOOKUP($D781,$C$5:$AU$836,3,))*$E781)</f>
        <v>0</v>
      </c>
      <c r="S781" s="77">
        <f>IF(VLOOKUP($D781,$C$5:$AU$836,3,)=0,0,(VLOOKUP($D781,$C$5:$AU$836,17,)/VLOOKUP($D781,$C$5:$AU$836,3,))*$E781)</f>
        <v>0</v>
      </c>
      <c r="T781" s="77">
        <f>IF(VLOOKUP($D781,$C$5:$AU$836,3,)=0,0,(VLOOKUP($D781,$C$5:$AU$836,18,)/VLOOKUP($D781,$C$5:$AU$836,3,))*$E781)</f>
        <v>0</v>
      </c>
      <c r="U781" s="77">
        <f>IF(VLOOKUP($D781,$C$5:$AU$836,3,)=0,0,(VLOOKUP($D781,$C$5:$AU$836,19,)/VLOOKUP($D781,$C$5:$AU$836,3,))*$E781)</f>
        <v>0</v>
      </c>
      <c r="V781" s="77">
        <f>IF(VLOOKUP($D781,$C$5:$AU$836,3,)=0,0,(VLOOKUP($D781,$C$5:$AU$836,20,)/VLOOKUP($D781,$C$5:$AU$836,3,))*$E781)</f>
        <v>0</v>
      </c>
      <c r="W781" s="77">
        <f>IF(VLOOKUP($D781,$C$5:$AU$836,3,)=0,0,(VLOOKUP($D781,$C$5:$AU$836,21,)/VLOOKUP($D781,$C$5:$AU$836,3,))*$E781)</f>
        <v>0</v>
      </c>
      <c r="X781" s="77">
        <f>IF(VLOOKUP($D781,$C$5:$AU$836,3,)=0,0,(VLOOKUP($D781,$C$5:$AU$836,22,)/VLOOKUP($D781,$C$5:$AU$836,3,))*$E781)</f>
        <v>0</v>
      </c>
      <c r="Y781" s="77">
        <f>IF(VLOOKUP($D781,$C$5:$AU$836,3,)=0,0,(VLOOKUP($D781,$C$5:$AU$836,23,)/VLOOKUP($D781,$C$5:$AU$836,3,))*$E781)</f>
        <v>0</v>
      </c>
      <c r="Z781" s="77">
        <f>IF(VLOOKUP($D781,$C$5:$AU$836,3,)=0,0,(VLOOKUP($D781,$C$5:$AU$836,24,)/VLOOKUP($D781,$C$5:$AU$836,3,))*$E781)</f>
        <v>0</v>
      </c>
      <c r="AA781" s="77">
        <f>IF(VLOOKUP($D781,$C$5:$AU$836,3,)=0,0,(VLOOKUP($D781,$C$5:$AU$836,25,)/VLOOKUP($D781,$C$5:$AU$836,3,))*$E781)</f>
        <v>0</v>
      </c>
      <c r="AB781" s="77">
        <f>IF(VLOOKUP($D781,$C$5:$AU$836,3,)=0,0,(VLOOKUP($D781,$C$5:$AU$836,26,)/VLOOKUP($D781,$C$5:$AU$836,3,))*$E781)</f>
        <v>0</v>
      </c>
      <c r="AC781" s="77">
        <f>IF(VLOOKUP($D781,$C$5:$AU$836,3,)=0,0,(VLOOKUP($D781,$C$5:$AU$836,27,)/VLOOKUP($D781,$C$5:$AU$836,3,))*$E781)</f>
        <v>0</v>
      </c>
      <c r="AD781" s="77">
        <f>IF(VLOOKUP($D781,$C$5:$AU$836,3,)=0,0,(VLOOKUP($D781,$C$5:$AU$836,28,)/VLOOKUP($D781,$C$5:$AU$836,3,))*$E781)</f>
        <v>0</v>
      </c>
      <c r="AE781" s="77">
        <f>IF(VLOOKUP($D781,$C$5:$AU$836,3,)=0,0,(VLOOKUP($D781,$C$5:$AU$836,29,)/VLOOKUP($D781,$C$5:$AU$836,3,))*$E781)</f>
        <v>0</v>
      </c>
      <c r="AF781" s="77">
        <f>IF(VLOOKUP($D781,$C$5:$AU$836,3,)=0,0,(VLOOKUP($D781,$C$5:$AU$836,30,)/VLOOKUP($D781,$C$5:$AU$836,3,))*$E781)</f>
        <v>0</v>
      </c>
      <c r="AG781" s="78">
        <f>SUM(F781:AF781)</f>
        <v>0.99999999999999989</v>
      </c>
      <c r="AH781" s="14" t="str">
        <f t="shared" si="566"/>
        <v>ok</v>
      </c>
    </row>
    <row r="782" spans="1:34" x14ac:dyDescent="0.25">
      <c r="E782" s="43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  <c r="AC782" s="77"/>
      <c r="AD782" s="77"/>
      <c r="AE782" s="77"/>
      <c r="AF782" s="77"/>
      <c r="AG782" s="78"/>
      <c r="AH782" s="14"/>
    </row>
    <row r="783" spans="1:34" x14ac:dyDescent="0.25">
      <c r="A783" s="9" t="s">
        <v>1050</v>
      </c>
      <c r="C783" s="2" t="s">
        <v>937</v>
      </c>
      <c r="E783" s="17">
        <v>1</v>
      </c>
      <c r="F783" s="17">
        <v>1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  <c r="N783" s="17">
        <f>N641</f>
        <v>0</v>
      </c>
      <c r="O783" s="17">
        <v>0</v>
      </c>
      <c r="P783" s="17">
        <f>P641</f>
        <v>0</v>
      </c>
      <c r="Q783" s="17">
        <f>Q641</f>
        <v>0</v>
      </c>
      <c r="R783" s="17">
        <v>0</v>
      </c>
      <c r="S783" s="17">
        <f>S641</f>
        <v>0</v>
      </c>
      <c r="T783" s="17">
        <f>T641</f>
        <v>0</v>
      </c>
      <c r="U783" s="17">
        <v>0</v>
      </c>
      <c r="V783" s="17">
        <f>V641</f>
        <v>0</v>
      </c>
      <c r="W783" s="17">
        <f>W641</f>
        <v>0</v>
      </c>
      <c r="X783" s="17">
        <f>X641</f>
        <v>0</v>
      </c>
      <c r="Y783" s="17">
        <f t="shared" ref="Y783:AF783" si="568">Y654</f>
        <v>0</v>
      </c>
      <c r="Z783" s="17">
        <f t="shared" si="568"/>
        <v>0</v>
      </c>
      <c r="AA783" s="17">
        <f t="shared" si="568"/>
        <v>0</v>
      </c>
      <c r="AB783" s="17">
        <f t="shared" si="568"/>
        <v>0</v>
      </c>
      <c r="AC783" s="17">
        <f t="shared" si="568"/>
        <v>0</v>
      </c>
      <c r="AD783" s="17">
        <f t="shared" si="568"/>
        <v>0</v>
      </c>
      <c r="AE783" s="17">
        <f t="shared" si="568"/>
        <v>0</v>
      </c>
      <c r="AF783" s="17">
        <f t="shared" si="568"/>
        <v>0</v>
      </c>
      <c r="AG783" s="17">
        <f>SUM(F783:AF783)</f>
        <v>1</v>
      </c>
      <c r="AH783" s="14" t="str">
        <f t="shared" ref="AH783:AH788" si="569">IF(ABS(E783-AG783)&lt;0.01,"ok","err")</f>
        <v>ok</v>
      </c>
    </row>
    <row r="784" spans="1:34" x14ac:dyDescent="0.25">
      <c r="A784" s="9" t="s">
        <v>1051</v>
      </c>
      <c r="E784" s="16">
        <f>'Proforma Purchased Power'!BL115</f>
        <v>-130049</v>
      </c>
      <c r="AG784" s="16">
        <f>E784</f>
        <v>-130049</v>
      </c>
      <c r="AH784" s="14" t="str">
        <f t="shared" si="569"/>
        <v>ok</v>
      </c>
    </row>
    <row r="785" spans="1:34" x14ac:dyDescent="0.25">
      <c r="A785" s="2" t="s">
        <v>594</v>
      </c>
      <c r="E785" s="16">
        <v>0</v>
      </c>
      <c r="F785" s="65">
        <v>0</v>
      </c>
      <c r="G785" s="65">
        <v>0</v>
      </c>
      <c r="H785" s="65">
        <v>0</v>
      </c>
      <c r="I785" s="65">
        <f>'Proforma Purchased Power'!BM46</f>
        <v>0</v>
      </c>
      <c r="J785" s="65">
        <f>'Proforma Purchased Power'!BM28</f>
        <v>0</v>
      </c>
      <c r="K785" s="65">
        <v>0</v>
      </c>
      <c r="L785" s="65">
        <v>0</v>
      </c>
      <c r="M785" s="65">
        <v>0</v>
      </c>
      <c r="N785" s="65">
        <v>0</v>
      </c>
      <c r="O785" s="65">
        <v>0</v>
      </c>
      <c r="P785" s="65">
        <v>0</v>
      </c>
      <c r="Q785" s="65">
        <v>0</v>
      </c>
      <c r="R785" s="65">
        <v>0</v>
      </c>
      <c r="S785" s="65">
        <v>0</v>
      </c>
      <c r="T785" s="65">
        <v>0</v>
      </c>
      <c r="U785" s="65">
        <v>0</v>
      </c>
      <c r="V785" s="65">
        <v>0</v>
      </c>
      <c r="W785" s="65">
        <v>0</v>
      </c>
      <c r="X785" s="65">
        <v>0</v>
      </c>
      <c r="Y785" s="65">
        <v>0</v>
      </c>
      <c r="Z785" s="65">
        <v>0</v>
      </c>
      <c r="AA785" s="65">
        <v>0</v>
      </c>
      <c r="AB785" s="65">
        <v>0</v>
      </c>
      <c r="AC785" s="65">
        <v>0</v>
      </c>
      <c r="AD785" s="65">
        <v>0</v>
      </c>
      <c r="AE785" s="65">
        <v>0</v>
      </c>
      <c r="AF785" s="65">
        <v>0</v>
      </c>
      <c r="AG785" s="16">
        <f>SUM(F785:AF785)</f>
        <v>0</v>
      </c>
      <c r="AH785" s="14" t="str">
        <f t="shared" si="569"/>
        <v>ok</v>
      </c>
    </row>
    <row r="786" spans="1:34" x14ac:dyDescent="0.25">
      <c r="A786" s="9" t="s">
        <v>1052</v>
      </c>
      <c r="D786" s="2" t="s">
        <v>937</v>
      </c>
      <c r="E786" s="16">
        <f>E784-E785</f>
        <v>-130049</v>
      </c>
      <c r="F786" s="65">
        <f>IF(VLOOKUP($D786,$C$5:$AU$836,3,)=0,0,(VLOOKUP($D786,$C$5:$AU$836,4,)/VLOOKUP($D786,$C$5:$AU$836,3,))*$E786)</f>
        <v>-130049</v>
      </c>
      <c r="G786" s="65">
        <f>IF(VLOOKUP($D786,$C$5:$AU$836,3,)=0,0,(VLOOKUP($D786,$C$5:$AU$836,5,)/VLOOKUP($D786,$C$5:$AU$836,3,))*$E786)</f>
        <v>0</v>
      </c>
      <c r="H786" s="65">
        <f>IF(VLOOKUP($D786,$C$5:$AU$836,3,)=0,0,(VLOOKUP($D786,$C$5:$AU$836,6,)/VLOOKUP($D786,$C$5:$AU$836,3,))*$E786)</f>
        <v>0</v>
      </c>
      <c r="I786" s="65">
        <f>IF(VLOOKUP($D786,$C$5:$AU$836,3,)=0,0,(VLOOKUP($D786,$C$5:$AU$836,7,)/VLOOKUP($D786,$C$5:$AU$836,3,))*$E786)</f>
        <v>0</v>
      </c>
      <c r="J786" s="65">
        <f>IF(VLOOKUP($D786,$C$5:$AU$836,3,)=0,0,(VLOOKUP($D786,$C$5:$AU$836,8,)/VLOOKUP($D786,$C$5:$AU$836,3,))*$E786)</f>
        <v>0</v>
      </c>
      <c r="K786" s="65">
        <f>IF(VLOOKUP($D786,$C$5:$AU$836,3,)=0,0,(VLOOKUP($D786,$C$5:$AU$836,9,)/VLOOKUP($D786,$C$5:$AU$836,3,))*$E786)</f>
        <v>0</v>
      </c>
      <c r="L786" s="65">
        <f>IF(VLOOKUP($D786,$C$5:$AU$836,3,)=0,0,(VLOOKUP($D786,$C$5:$AU$836,10,)/VLOOKUP($D786,$C$5:$AU$836,3,))*$E786)</f>
        <v>0</v>
      </c>
      <c r="M786" s="65">
        <f>IF(VLOOKUP($D786,$C$5:$AU$836,3,)=0,0,(VLOOKUP($D786,$C$5:$AU$836,11,)/VLOOKUP($D786,$C$5:$AU$836,3,))*$E786)</f>
        <v>0</v>
      </c>
      <c r="N786" s="65">
        <f>IF(VLOOKUP($D786,$C$5:$AU$836,3,)=0,0,(VLOOKUP($D786,$C$5:$AU$836,12,)/VLOOKUP($D786,$C$5:$AU$836,3,))*$E786)</f>
        <v>0</v>
      </c>
      <c r="O786" s="65">
        <f>IF(VLOOKUP($D786,$C$5:$AU$836,3,)=0,0,(VLOOKUP($D786,$C$5:$AU$836,13,)/VLOOKUP($D786,$C$5:$AU$836,3,))*$E786)</f>
        <v>0</v>
      </c>
      <c r="P786" s="65">
        <f>IF(VLOOKUP($D786,$C$5:$AU$836,3,)=0,0,(VLOOKUP($D786,$C$5:$AU$836,14,)/VLOOKUP($D786,$C$5:$AU$836,3,))*$E786)</f>
        <v>0</v>
      </c>
      <c r="Q786" s="65">
        <f>IF(VLOOKUP($D786,$C$5:$AU$836,3,)=0,0,(VLOOKUP($D786,$C$5:$AU$836,15,)/VLOOKUP($D786,$C$5:$AU$836,3,))*$E786)</f>
        <v>0</v>
      </c>
      <c r="R786" s="65">
        <f>IF(VLOOKUP($D786,$C$5:$AU$836,3,)=0,0,(VLOOKUP($D786,$C$5:$AU$836,16,)/VLOOKUP($D786,$C$5:$AU$836,3,))*$E786)</f>
        <v>0</v>
      </c>
      <c r="S786" s="65">
        <f>IF(VLOOKUP($D786,$C$5:$AU$836,3,)=0,0,(VLOOKUP($D786,$C$5:$AU$836,17,)/VLOOKUP($D786,$C$5:$AU$836,3,))*$E786)</f>
        <v>0</v>
      </c>
      <c r="T786" s="65">
        <f>IF(VLOOKUP($D786,$C$5:$AU$836,3,)=0,0,(VLOOKUP($D786,$C$5:$AU$836,18,)/VLOOKUP($D786,$C$5:$AU$836,3,))*$E786)</f>
        <v>0</v>
      </c>
      <c r="U786" s="65">
        <f>IF(VLOOKUP($D786,$C$5:$AU$836,3,)=0,0,(VLOOKUP($D786,$C$5:$AU$836,19,)/VLOOKUP($D786,$C$5:$AU$836,3,))*$E786)</f>
        <v>0</v>
      </c>
      <c r="V786" s="65">
        <f>IF(VLOOKUP($D786,$C$5:$AU$836,3,)=0,0,(VLOOKUP($D786,$C$5:$AU$836,20,)/VLOOKUP($D786,$C$5:$AU$836,3,))*$E786)</f>
        <v>0</v>
      </c>
      <c r="W786" s="65">
        <f>IF(VLOOKUP($D786,$C$5:$AU$836,3,)=0,0,(VLOOKUP($D786,$C$5:$AU$836,21,)/VLOOKUP($D786,$C$5:$AU$836,3,))*$E786)</f>
        <v>0</v>
      </c>
      <c r="X786" s="65">
        <f>IF(VLOOKUP($D786,$C$5:$AU$836,3,)=0,0,(VLOOKUP($D786,$C$5:$AU$836,22,)/VLOOKUP($D786,$C$5:$AU$836,3,))*$E786)</f>
        <v>0</v>
      </c>
      <c r="Y786" s="65">
        <f>IF(VLOOKUP($D786,$C$5:$AU$836,3,)=0,0,(VLOOKUP($D786,$C$5:$AU$836,23,)/VLOOKUP($D786,$C$5:$AU$836,3,))*$E786)</f>
        <v>0</v>
      </c>
      <c r="Z786" s="65">
        <f>IF(VLOOKUP($D786,$C$5:$AU$836,3,)=0,0,(VLOOKUP($D786,$C$5:$AU$836,24,)/VLOOKUP($D786,$C$5:$AU$836,3,))*$E786)</f>
        <v>0</v>
      </c>
      <c r="AA786" s="65">
        <f>IF(VLOOKUP($D786,$C$5:$AU$836,3,)=0,0,(VLOOKUP($D786,$C$5:$AU$836,25,)/VLOOKUP($D786,$C$5:$AU$836,3,))*$E786)</f>
        <v>0</v>
      </c>
      <c r="AB786" s="65">
        <f>IF(VLOOKUP($D786,$C$5:$AU$836,3,)=0,0,(VLOOKUP($D786,$C$5:$AU$836,26,)/VLOOKUP($D786,$C$5:$AU$836,3,))*$E786)</f>
        <v>0</v>
      </c>
      <c r="AC786" s="65">
        <f>IF(VLOOKUP($D786,$C$5:$AU$836,3,)=0,0,(VLOOKUP($D786,$C$5:$AU$836,27,)/VLOOKUP($D786,$C$5:$AU$836,3,))*$E786)</f>
        <v>0</v>
      </c>
      <c r="AD786" s="65">
        <f>IF(VLOOKUP($D786,$C$5:$AU$836,3,)=0,0,(VLOOKUP($D786,$C$5:$AU$836,28,)/VLOOKUP($D786,$C$5:$AU$836,3,))*$E786)</f>
        <v>0</v>
      </c>
      <c r="AE786" s="65">
        <f>IF(VLOOKUP($D786,$C$5:$AU$836,3,)=0,0,(VLOOKUP($D786,$C$5:$AU$836,29,)/VLOOKUP($D786,$C$5:$AU$836,3,))*$E786)</f>
        <v>0</v>
      </c>
      <c r="AF786" s="65">
        <f>IF(VLOOKUP($D786,$C$5:$AU$836,3,)=0,0,(VLOOKUP($D786,$C$5:$AU$836,30,)/VLOOKUP($D786,$C$5:$AU$836,3,))*$E786)</f>
        <v>0</v>
      </c>
      <c r="AG786" s="33">
        <f>SUM(F786:AF786)</f>
        <v>-130049</v>
      </c>
      <c r="AH786" s="14" t="str">
        <f t="shared" si="569"/>
        <v>ok</v>
      </c>
    </row>
    <row r="787" spans="1:34" x14ac:dyDescent="0.25">
      <c r="A787" s="9" t="s">
        <v>1053</v>
      </c>
      <c r="C787" s="2" t="s">
        <v>938</v>
      </c>
      <c r="E787" s="16">
        <f t="shared" ref="E787:AF787" si="570">E785+E786</f>
        <v>-130049</v>
      </c>
      <c r="F787" s="16">
        <f t="shared" si="570"/>
        <v>-130049</v>
      </c>
      <c r="G787" s="16">
        <f t="shared" si="570"/>
        <v>0</v>
      </c>
      <c r="H787" s="16">
        <f t="shared" si="570"/>
        <v>0</v>
      </c>
      <c r="I787" s="16">
        <f t="shared" si="570"/>
        <v>0</v>
      </c>
      <c r="J787" s="16">
        <f t="shared" si="570"/>
        <v>0</v>
      </c>
      <c r="K787" s="16">
        <f t="shared" si="570"/>
        <v>0</v>
      </c>
      <c r="L787" s="16">
        <f t="shared" si="570"/>
        <v>0</v>
      </c>
      <c r="M787" s="16">
        <f t="shared" si="570"/>
        <v>0</v>
      </c>
      <c r="N787" s="16">
        <f t="shared" si="570"/>
        <v>0</v>
      </c>
      <c r="O787" s="16">
        <f t="shared" si="570"/>
        <v>0</v>
      </c>
      <c r="P787" s="16">
        <f t="shared" si="570"/>
        <v>0</v>
      </c>
      <c r="Q787" s="16">
        <f t="shared" si="570"/>
        <v>0</v>
      </c>
      <c r="R787" s="16">
        <f t="shared" si="570"/>
        <v>0</v>
      </c>
      <c r="S787" s="16">
        <f t="shared" si="570"/>
        <v>0</v>
      </c>
      <c r="T787" s="16">
        <f t="shared" si="570"/>
        <v>0</v>
      </c>
      <c r="U787" s="16">
        <f t="shared" si="570"/>
        <v>0</v>
      </c>
      <c r="V787" s="16">
        <f t="shared" si="570"/>
        <v>0</v>
      </c>
      <c r="W787" s="16">
        <f t="shared" si="570"/>
        <v>0</v>
      </c>
      <c r="X787" s="16">
        <f t="shared" si="570"/>
        <v>0</v>
      </c>
      <c r="Y787" s="16">
        <f t="shared" si="570"/>
        <v>0</v>
      </c>
      <c r="Z787" s="16">
        <f t="shared" si="570"/>
        <v>0</v>
      </c>
      <c r="AA787" s="16">
        <f t="shared" si="570"/>
        <v>0</v>
      </c>
      <c r="AB787" s="16">
        <f t="shared" si="570"/>
        <v>0</v>
      </c>
      <c r="AC787" s="16">
        <f t="shared" si="570"/>
        <v>0</v>
      </c>
      <c r="AD787" s="16">
        <f t="shared" si="570"/>
        <v>0</v>
      </c>
      <c r="AE787" s="16">
        <f t="shared" si="570"/>
        <v>0</v>
      </c>
      <c r="AF787" s="16">
        <f t="shared" si="570"/>
        <v>0</v>
      </c>
      <c r="AG787" s="16">
        <f>SUM(F787:AF787)</f>
        <v>-130049</v>
      </c>
      <c r="AH787" s="14" t="str">
        <f t="shared" si="569"/>
        <v>ok</v>
      </c>
    </row>
    <row r="788" spans="1:34" x14ac:dyDescent="0.25">
      <c r="A788" s="9" t="s">
        <v>1054</v>
      </c>
      <c r="C788" s="2" t="s">
        <v>939</v>
      </c>
      <c r="D788" s="2" t="s">
        <v>938</v>
      </c>
      <c r="E788" s="43">
        <v>1</v>
      </c>
      <c r="F788" s="77">
        <f>IF(VLOOKUP($D788,$C$5:$AU$836,3,)=0,0,(VLOOKUP($D788,$C$5:$AU$836,4,)/VLOOKUP($D788,$C$5:$AU$836,3,))*$E788)</f>
        <v>1</v>
      </c>
      <c r="G788" s="77">
        <f>IF(VLOOKUP($D788,$C$5:$AU$836,3,)=0,0,(VLOOKUP($D788,$C$5:$AU$836,5,)/VLOOKUP($D788,$C$5:$AU$836,3,))*$E788)</f>
        <v>0</v>
      </c>
      <c r="H788" s="77">
        <f>IF(VLOOKUP($D788,$C$5:$AU$836,3,)=0,0,(VLOOKUP($D788,$C$5:$AU$836,6,)/VLOOKUP($D788,$C$5:$AU$836,3,))*$E788)</f>
        <v>0</v>
      </c>
      <c r="I788" s="77">
        <f>IF(VLOOKUP($D788,$C$5:$AU$836,3,)=0,0,(VLOOKUP($D788,$C$5:$AU$836,7,)/VLOOKUP($D788,$C$5:$AU$836,3,))*$E788)</f>
        <v>0</v>
      </c>
      <c r="J788" s="77">
        <f>IF(VLOOKUP($D788,$C$5:$AU$836,3,)=0,0,(VLOOKUP($D788,$C$5:$AU$836,8,)/VLOOKUP($D788,$C$5:$AU$836,3,))*$E788)</f>
        <v>0</v>
      </c>
      <c r="K788" s="77">
        <f>IF(VLOOKUP($D788,$C$5:$AU$836,3,)=0,0,(VLOOKUP($D788,$C$5:$AU$836,9,)/VLOOKUP($D788,$C$5:$AU$836,3,))*$E788)</f>
        <v>0</v>
      </c>
      <c r="L788" s="77">
        <f>IF(VLOOKUP($D788,$C$5:$AU$836,3,)=0,0,(VLOOKUP($D788,$C$5:$AU$836,10,)/VLOOKUP($D788,$C$5:$AU$836,3,))*$E788)</f>
        <v>0</v>
      </c>
      <c r="M788" s="77">
        <f>IF(VLOOKUP($D788,$C$5:$AU$836,3,)=0,0,(VLOOKUP($D788,$C$5:$AU$836,11,)/VLOOKUP($D788,$C$5:$AU$836,3,))*$E788)</f>
        <v>0</v>
      </c>
      <c r="N788" s="77">
        <f>IF(VLOOKUP($D788,$C$5:$AU$836,3,)=0,0,(VLOOKUP($D788,$C$5:$AU$836,12,)/VLOOKUP($D788,$C$5:$AU$836,3,))*$E788)</f>
        <v>0</v>
      </c>
      <c r="O788" s="77">
        <f>IF(VLOOKUP($D788,$C$5:$AU$836,3,)=0,0,(VLOOKUP($D788,$C$5:$AU$836,13,)/VLOOKUP($D788,$C$5:$AU$836,3,))*$E788)</f>
        <v>0</v>
      </c>
      <c r="P788" s="77">
        <f>IF(VLOOKUP($D788,$C$5:$AU$836,3,)=0,0,(VLOOKUP($D788,$C$5:$AU$836,14,)/VLOOKUP($D788,$C$5:$AU$836,3,))*$E788)</f>
        <v>0</v>
      </c>
      <c r="Q788" s="77">
        <f>IF(VLOOKUP($D788,$C$5:$AU$836,3,)=0,0,(VLOOKUP($D788,$C$5:$AU$836,15,)/VLOOKUP($D788,$C$5:$AU$836,3,))*$E788)</f>
        <v>0</v>
      </c>
      <c r="R788" s="77">
        <f>IF(VLOOKUP($D788,$C$5:$AU$836,3,)=0,0,(VLOOKUP($D788,$C$5:$AU$836,16,)/VLOOKUP($D788,$C$5:$AU$836,3,))*$E788)</f>
        <v>0</v>
      </c>
      <c r="S788" s="77">
        <f>IF(VLOOKUP($D788,$C$5:$AU$836,3,)=0,0,(VLOOKUP($D788,$C$5:$AU$836,17,)/VLOOKUP($D788,$C$5:$AU$836,3,))*$E788)</f>
        <v>0</v>
      </c>
      <c r="T788" s="77">
        <f>IF(VLOOKUP($D788,$C$5:$AU$836,3,)=0,0,(VLOOKUP($D788,$C$5:$AU$836,18,)/VLOOKUP($D788,$C$5:$AU$836,3,))*$E788)</f>
        <v>0</v>
      </c>
      <c r="U788" s="77">
        <f>IF(VLOOKUP($D788,$C$5:$AU$836,3,)=0,0,(VLOOKUP($D788,$C$5:$AU$836,19,)/VLOOKUP($D788,$C$5:$AU$836,3,))*$E788)</f>
        <v>0</v>
      </c>
      <c r="V788" s="77">
        <f>IF(VLOOKUP($D788,$C$5:$AU$836,3,)=0,0,(VLOOKUP($D788,$C$5:$AU$836,20,)/VLOOKUP($D788,$C$5:$AU$836,3,))*$E788)</f>
        <v>0</v>
      </c>
      <c r="W788" s="77">
        <f>IF(VLOOKUP($D788,$C$5:$AU$836,3,)=0,0,(VLOOKUP($D788,$C$5:$AU$836,21,)/VLOOKUP($D788,$C$5:$AU$836,3,))*$E788)</f>
        <v>0</v>
      </c>
      <c r="X788" s="77">
        <f>IF(VLOOKUP($D788,$C$5:$AU$836,3,)=0,0,(VLOOKUP($D788,$C$5:$AU$836,22,)/VLOOKUP($D788,$C$5:$AU$836,3,))*$E788)</f>
        <v>0</v>
      </c>
      <c r="Y788" s="77">
        <f>IF(VLOOKUP($D788,$C$5:$AU$836,3,)=0,0,(VLOOKUP($D788,$C$5:$AU$836,23,)/VLOOKUP($D788,$C$5:$AU$836,3,))*$E788)</f>
        <v>0</v>
      </c>
      <c r="Z788" s="77">
        <f>IF(VLOOKUP($D788,$C$5:$AU$836,3,)=0,0,(VLOOKUP($D788,$C$5:$AU$836,24,)/VLOOKUP($D788,$C$5:$AU$836,3,))*$E788)</f>
        <v>0</v>
      </c>
      <c r="AA788" s="77">
        <f>IF(VLOOKUP($D788,$C$5:$AU$836,3,)=0,0,(VLOOKUP($D788,$C$5:$AU$836,25,)/VLOOKUP($D788,$C$5:$AU$836,3,))*$E788)</f>
        <v>0</v>
      </c>
      <c r="AB788" s="77">
        <f>IF(VLOOKUP($D788,$C$5:$AU$836,3,)=0,0,(VLOOKUP($D788,$C$5:$AU$836,26,)/VLOOKUP($D788,$C$5:$AU$836,3,))*$E788)</f>
        <v>0</v>
      </c>
      <c r="AC788" s="77">
        <f>IF(VLOOKUP($D788,$C$5:$AU$836,3,)=0,0,(VLOOKUP($D788,$C$5:$AU$836,27,)/VLOOKUP($D788,$C$5:$AU$836,3,))*$E788)</f>
        <v>0</v>
      </c>
      <c r="AD788" s="77">
        <f>IF(VLOOKUP($D788,$C$5:$AU$836,3,)=0,0,(VLOOKUP($D788,$C$5:$AU$836,28,)/VLOOKUP($D788,$C$5:$AU$836,3,))*$E788)</f>
        <v>0</v>
      </c>
      <c r="AE788" s="77">
        <f>IF(VLOOKUP($D788,$C$5:$AU$836,3,)=0,0,(VLOOKUP($D788,$C$5:$AU$836,29,)/VLOOKUP($D788,$C$5:$AU$836,3,))*$E788)</f>
        <v>0</v>
      </c>
      <c r="AF788" s="77">
        <f>IF(VLOOKUP($D788,$C$5:$AU$836,3,)=0,0,(VLOOKUP($D788,$C$5:$AU$836,30,)/VLOOKUP($D788,$C$5:$AU$836,3,))*$E788)</f>
        <v>0</v>
      </c>
      <c r="AG788" s="78">
        <f>SUM(F788:AF788)</f>
        <v>1</v>
      </c>
      <c r="AH788" s="14" t="str">
        <f t="shared" si="569"/>
        <v>ok</v>
      </c>
    </row>
    <row r="789" spans="1:34" x14ac:dyDescent="0.25">
      <c r="E789" s="43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  <c r="AC789" s="77"/>
      <c r="AD789" s="77"/>
      <c r="AE789" s="77"/>
      <c r="AF789" s="77"/>
      <c r="AG789" s="78"/>
      <c r="AH789" s="14"/>
    </row>
    <row r="790" spans="1:34" x14ac:dyDescent="0.25">
      <c r="A790" s="9" t="s">
        <v>1055</v>
      </c>
      <c r="C790" s="2" t="s">
        <v>940</v>
      </c>
      <c r="E790" s="17">
        <v>1078659856</v>
      </c>
      <c r="F790" s="17">
        <f>F621</f>
        <v>776790917</v>
      </c>
      <c r="G790" s="17">
        <f t="shared" ref="G790:J790" si="571">G621</f>
        <v>69269843</v>
      </c>
      <c r="H790" s="17">
        <f t="shared" si="571"/>
        <v>192207412</v>
      </c>
      <c r="I790" s="17">
        <f t="shared" si="571"/>
        <v>13613706</v>
      </c>
      <c r="J790" s="17">
        <f t="shared" si="571"/>
        <v>10779640</v>
      </c>
      <c r="K790" s="17">
        <v>0</v>
      </c>
      <c r="L790" s="17">
        <v>0</v>
      </c>
      <c r="M790" s="17">
        <v>0</v>
      </c>
      <c r="N790" s="17">
        <f t="shared" ref="N790" si="572">N621</f>
        <v>15998338</v>
      </c>
      <c r="O790" s="17">
        <v>0</v>
      </c>
      <c r="P790" s="17">
        <f>P642</f>
        <v>0</v>
      </c>
      <c r="Q790" s="17">
        <f>Q642</f>
        <v>0</v>
      </c>
      <c r="R790" s="17">
        <v>0</v>
      </c>
      <c r="S790" s="17">
        <f>S642</f>
        <v>0</v>
      </c>
      <c r="T790" s="17">
        <f>T642</f>
        <v>0</v>
      </c>
      <c r="U790" s="17">
        <v>0</v>
      </c>
      <c r="V790" s="17">
        <f>V642</f>
        <v>0</v>
      </c>
      <c r="W790" s="17">
        <f>W642</f>
        <v>0</v>
      </c>
      <c r="X790" s="17">
        <f>X642</f>
        <v>0</v>
      </c>
      <c r="Y790" s="17">
        <f t="shared" ref="Y790:AF790" si="573">Y621</f>
        <v>0</v>
      </c>
      <c r="Z790" s="17">
        <f t="shared" si="573"/>
        <v>0</v>
      </c>
      <c r="AA790" s="17">
        <f t="shared" si="573"/>
        <v>0</v>
      </c>
      <c r="AB790" s="17">
        <f t="shared" si="573"/>
        <v>0</v>
      </c>
      <c r="AC790" s="17">
        <f t="shared" si="573"/>
        <v>0</v>
      </c>
      <c r="AD790" s="17">
        <f t="shared" si="573"/>
        <v>0</v>
      </c>
      <c r="AE790" s="17">
        <f t="shared" si="573"/>
        <v>0</v>
      </c>
      <c r="AF790" s="17">
        <f t="shared" si="573"/>
        <v>0</v>
      </c>
      <c r="AG790" s="17">
        <f>SUM(F790:AF790)</f>
        <v>1078659856</v>
      </c>
      <c r="AH790" s="14" t="str">
        <f t="shared" ref="AH790:AH795" si="574">IF(ABS(E790-AG790)&lt;0.01,"ok","err")</f>
        <v>ok</v>
      </c>
    </row>
    <row r="791" spans="1:34" x14ac:dyDescent="0.25">
      <c r="A791" s="9" t="s">
        <v>1056</v>
      </c>
      <c r="E791" s="16">
        <f>'Proforma Purchased Power'!BL110</f>
        <v>-4703521.0679199994</v>
      </c>
      <c r="AG791" s="16">
        <f>E791</f>
        <v>-4703521.0679199994</v>
      </c>
      <c r="AH791" s="14" t="str">
        <f t="shared" si="574"/>
        <v>ok</v>
      </c>
    </row>
    <row r="792" spans="1:34" x14ac:dyDescent="0.25">
      <c r="A792" s="2" t="s">
        <v>594</v>
      </c>
      <c r="E792" s="16">
        <v>-565831.32655999996</v>
      </c>
      <c r="F792" s="65">
        <v>0</v>
      </c>
      <c r="G792" s="65">
        <v>0</v>
      </c>
      <c r="H792" s="65">
        <v>0</v>
      </c>
      <c r="I792" s="65">
        <v>0</v>
      </c>
      <c r="J792" s="65">
        <v>0</v>
      </c>
      <c r="K792" s="65">
        <f>'Proforma Purchased Power'!BL91</f>
        <v>-37149.805840000001</v>
      </c>
      <c r="L792" s="65">
        <f>'Proforma Purchased Power'!BL85+'Proforma Purchased Power'!BL97</f>
        <v>-291769.64992</v>
      </c>
      <c r="M792" s="65">
        <f>'Proforma Purchased Power'!BL21+'Proforma Purchased Power'!BL28+'Proforma Purchased Power'!BL35+'Proforma Purchased Power'!BL42+'Proforma Purchased Power'!BL49+'Proforma Purchased Power'!BL57+'Proforma Purchased Power'!BL64+'Proforma Purchased Power'!BL71</f>
        <v>-236911.87080000003</v>
      </c>
      <c r="N792" s="65">
        <v>0</v>
      </c>
      <c r="O792" s="65">
        <v>0</v>
      </c>
      <c r="P792" s="65">
        <v>0</v>
      </c>
      <c r="Q792" s="65">
        <v>0</v>
      </c>
      <c r="R792" s="65">
        <v>0</v>
      </c>
      <c r="S792" s="65">
        <v>0</v>
      </c>
      <c r="T792" s="65">
        <v>0</v>
      </c>
      <c r="U792" s="65">
        <v>0</v>
      </c>
      <c r="V792" s="65">
        <v>0</v>
      </c>
      <c r="W792" s="65">
        <v>0</v>
      </c>
      <c r="X792" s="65">
        <v>0</v>
      </c>
      <c r="Y792" s="65">
        <v>0</v>
      </c>
      <c r="Z792" s="65">
        <v>0</v>
      </c>
      <c r="AA792" s="65">
        <v>0</v>
      </c>
      <c r="AB792" s="65">
        <v>0</v>
      </c>
      <c r="AC792" s="65">
        <v>0</v>
      </c>
      <c r="AD792" s="65">
        <v>0</v>
      </c>
      <c r="AE792" s="65">
        <v>0</v>
      </c>
      <c r="AF792" s="65">
        <v>0</v>
      </c>
      <c r="AG792" s="16">
        <f>SUM(F792:AF792)</f>
        <v>-565831.32655999996</v>
      </c>
      <c r="AH792" s="14" t="str">
        <f t="shared" si="574"/>
        <v>ok</v>
      </c>
    </row>
    <row r="793" spans="1:34" x14ac:dyDescent="0.25">
      <c r="A793" s="9" t="s">
        <v>1057</v>
      </c>
      <c r="D793" s="2" t="s">
        <v>940</v>
      </c>
      <c r="E793" s="16">
        <f>E791-E792</f>
        <v>-4137689.7413599994</v>
      </c>
      <c r="F793" s="65">
        <f>IF(VLOOKUP($D793,$C$5:$AU$836,3,)=0,0,(VLOOKUP($D793,$C$5:$AU$836,4,)/VLOOKUP($D793,$C$5:$AU$836,3,))*$E793)</f>
        <v>-2979734.3347618999</v>
      </c>
      <c r="G793" s="65">
        <f>IF(VLOOKUP($D793,$C$5:$AU$836,3,)=0,0,(VLOOKUP($D793,$C$5:$AU$836,5,)/VLOOKUP($D793,$C$5:$AU$836,3,))*$E793)</f>
        <v>-265715.94110267673</v>
      </c>
      <c r="H793" s="65">
        <f>IF(VLOOKUP($D793,$C$5:$AU$836,3,)=0,0,(VLOOKUP($D793,$C$5:$AU$836,6,)/VLOOKUP($D793,$C$5:$AU$836,3,))*$E793)</f>
        <v>-737298.81799342204</v>
      </c>
      <c r="I793" s="65">
        <f>IF(VLOOKUP($D793,$C$5:$AU$836,3,)=0,0,(VLOOKUP($D793,$C$5:$AU$836,7,)/VLOOKUP($D793,$C$5:$AU$836,3,))*$E793)</f>
        <v>-52221.551905136512</v>
      </c>
      <c r="J793" s="65">
        <f>IF(VLOOKUP($D793,$C$5:$AU$836,3,)=0,0,(VLOOKUP($D793,$C$5:$AU$836,8,)/VLOOKUP($D793,$C$5:$AU$836,3,))*$E793)</f>
        <v>-41350.204696552551</v>
      </c>
      <c r="K793" s="65">
        <f>IF(VLOOKUP($D793,$C$5:$AU$836,3,)=0,0,(VLOOKUP($D793,$C$5:$AU$836,9,)/VLOOKUP($D793,$C$5:$AU$836,3,))*$E793)</f>
        <v>0</v>
      </c>
      <c r="L793" s="65">
        <f>IF(VLOOKUP($D793,$C$5:$AU$836,3,)=0,0,(VLOOKUP($D793,$C$5:$AU$836,10,)/VLOOKUP($D793,$C$5:$AU$836,3,))*$E793)</f>
        <v>0</v>
      </c>
      <c r="M793" s="65">
        <f>IF(VLOOKUP($D793,$C$5:$AU$836,3,)=0,0,(VLOOKUP($D793,$C$5:$AU$836,11,)/VLOOKUP($D793,$C$5:$AU$836,3,))*$E793)</f>
        <v>0</v>
      </c>
      <c r="N793" s="65">
        <f>IF(VLOOKUP($D793,$C$5:$AU$836,3,)=0,0,(VLOOKUP($D793,$C$5:$AU$836,12,)/VLOOKUP($D793,$C$5:$AU$836,3,))*$E793)</f>
        <v>-61368.890900311628</v>
      </c>
      <c r="O793" s="65">
        <f>IF(VLOOKUP($D793,$C$5:$AU$836,3,)=0,0,(VLOOKUP($D793,$C$5:$AU$836,13,)/VLOOKUP($D793,$C$5:$AU$836,3,))*$E793)</f>
        <v>0</v>
      </c>
      <c r="P793" s="65">
        <f>IF(VLOOKUP($D793,$C$5:$AU$836,3,)=0,0,(VLOOKUP($D793,$C$5:$AU$836,14,)/VLOOKUP($D793,$C$5:$AU$836,3,))*$E793)</f>
        <v>0</v>
      </c>
      <c r="Q793" s="65">
        <f>IF(VLOOKUP($D793,$C$5:$AU$836,3,)=0,0,(VLOOKUP($D793,$C$5:$AU$836,15,)/VLOOKUP($D793,$C$5:$AU$836,3,))*$E793)</f>
        <v>0</v>
      </c>
      <c r="R793" s="65">
        <f>IF(VLOOKUP($D793,$C$5:$AU$836,3,)=0,0,(VLOOKUP($D793,$C$5:$AU$836,16,)/VLOOKUP($D793,$C$5:$AU$836,3,))*$E793)</f>
        <v>0</v>
      </c>
      <c r="S793" s="65">
        <f>IF(VLOOKUP($D793,$C$5:$AU$836,3,)=0,0,(VLOOKUP($D793,$C$5:$AU$836,17,)/VLOOKUP($D793,$C$5:$AU$836,3,))*$E793)</f>
        <v>0</v>
      </c>
      <c r="T793" s="65">
        <f>IF(VLOOKUP($D793,$C$5:$AU$836,3,)=0,0,(VLOOKUP($D793,$C$5:$AU$836,18,)/VLOOKUP($D793,$C$5:$AU$836,3,))*$E793)</f>
        <v>0</v>
      </c>
      <c r="U793" s="65">
        <f>IF(VLOOKUP($D793,$C$5:$AU$836,3,)=0,0,(VLOOKUP($D793,$C$5:$AU$836,19,)/VLOOKUP($D793,$C$5:$AU$836,3,))*$E793)</f>
        <v>0</v>
      </c>
      <c r="V793" s="65">
        <f>IF(VLOOKUP($D793,$C$5:$AU$836,3,)=0,0,(VLOOKUP($D793,$C$5:$AU$836,20,)/VLOOKUP($D793,$C$5:$AU$836,3,))*$E793)</f>
        <v>0</v>
      </c>
      <c r="W793" s="65">
        <f>IF(VLOOKUP($D793,$C$5:$AU$836,3,)=0,0,(VLOOKUP($D793,$C$5:$AU$836,21,)/VLOOKUP($D793,$C$5:$AU$836,3,))*$E793)</f>
        <v>0</v>
      </c>
      <c r="X793" s="65">
        <f>IF(VLOOKUP($D793,$C$5:$AU$836,3,)=0,0,(VLOOKUP($D793,$C$5:$AU$836,22,)/VLOOKUP($D793,$C$5:$AU$836,3,))*$E793)</f>
        <v>0</v>
      </c>
      <c r="Y793" s="65">
        <f>IF(VLOOKUP($D793,$C$5:$AU$836,3,)=0,0,(VLOOKUP($D793,$C$5:$AU$836,23,)/VLOOKUP($D793,$C$5:$AU$836,3,))*$E793)</f>
        <v>0</v>
      </c>
      <c r="Z793" s="65">
        <f>IF(VLOOKUP($D793,$C$5:$AU$836,3,)=0,0,(VLOOKUP($D793,$C$5:$AU$836,24,)/VLOOKUP($D793,$C$5:$AU$836,3,))*$E793)</f>
        <v>0</v>
      </c>
      <c r="AA793" s="65">
        <f>IF(VLOOKUP($D793,$C$5:$AU$836,3,)=0,0,(VLOOKUP($D793,$C$5:$AU$836,25,)/VLOOKUP($D793,$C$5:$AU$836,3,))*$E793)</f>
        <v>0</v>
      </c>
      <c r="AB793" s="65">
        <f>IF(VLOOKUP($D793,$C$5:$AU$836,3,)=0,0,(VLOOKUP($D793,$C$5:$AU$836,26,)/VLOOKUP($D793,$C$5:$AU$836,3,))*$E793)</f>
        <v>0</v>
      </c>
      <c r="AC793" s="65">
        <f>IF(VLOOKUP($D793,$C$5:$AU$836,3,)=0,0,(VLOOKUP($D793,$C$5:$AU$836,27,)/VLOOKUP($D793,$C$5:$AU$836,3,))*$E793)</f>
        <v>0</v>
      </c>
      <c r="AD793" s="65">
        <f>IF(VLOOKUP($D793,$C$5:$AU$836,3,)=0,0,(VLOOKUP($D793,$C$5:$AU$836,28,)/VLOOKUP($D793,$C$5:$AU$836,3,))*$E793)</f>
        <v>0</v>
      </c>
      <c r="AE793" s="65">
        <f>IF(VLOOKUP($D793,$C$5:$AU$836,3,)=0,0,(VLOOKUP($D793,$C$5:$AU$836,29,)/VLOOKUP($D793,$C$5:$AU$836,3,))*$E793)</f>
        <v>0</v>
      </c>
      <c r="AF793" s="65">
        <f>IF(VLOOKUP($D793,$C$5:$AU$836,3,)=0,0,(VLOOKUP($D793,$C$5:$AU$836,30,)/VLOOKUP($D793,$C$5:$AU$836,3,))*$E793)</f>
        <v>0</v>
      </c>
      <c r="AG793" s="33">
        <f>SUM(F793:AF793)</f>
        <v>-4137689.7413599989</v>
      </c>
      <c r="AH793" s="14" t="str">
        <f t="shared" si="574"/>
        <v>ok</v>
      </c>
    </row>
    <row r="794" spans="1:34" x14ac:dyDescent="0.25">
      <c r="A794" s="9" t="s">
        <v>1058</v>
      </c>
      <c r="C794" s="2" t="s">
        <v>941</v>
      </c>
      <c r="E794" s="16">
        <f t="shared" ref="E794:AF794" si="575">E792+E793</f>
        <v>-4703521.0679199994</v>
      </c>
      <c r="F794" s="16">
        <f t="shared" si="575"/>
        <v>-2979734.3347618999</v>
      </c>
      <c r="G794" s="16">
        <f t="shared" si="575"/>
        <v>-265715.94110267673</v>
      </c>
      <c r="H794" s="16">
        <f t="shared" si="575"/>
        <v>-737298.81799342204</v>
      </c>
      <c r="I794" s="16">
        <f t="shared" si="575"/>
        <v>-52221.551905136512</v>
      </c>
      <c r="J794" s="16">
        <f t="shared" si="575"/>
        <v>-41350.204696552551</v>
      </c>
      <c r="K794" s="16">
        <f t="shared" si="575"/>
        <v>-37149.805840000001</v>
      </c>
      <c r="L794" s="16">
        <f t="shared" si="575"/>
        <v>-291769.64992</v>
      </c>
      <c r="M794" s="16">
        <f t="shared" si="575"/>
        <v>-236911.87080000003</v>
      </c>
      <c r="N794" s="16">
        <f t="shared" si="575"/>
        <v>-61368.890900311628</v>
      </c>
      <c r="O794" s="16">
        <f t="shared" si="575"/>
        <v>0</v>
      </c>
      <c r="P794" s="16">
        <f t="shared" si="575"/>
        <v>0</v>
      </c>
      <c r="Q794" s="16">
        <f t="shared" si="575"/>
        <v>0</v>
      </c>
      <c r="R794" s="16">
        <f t="shared" si="575"/>
        <v>0</v>
      </c>
      <c r="S794" s="16">
        <f t="shared" si="575"/>
        <v>0</v>
      </c>
      <c r="T794" s="16">
        <f t="shared" si="575"/>
        <v>0</v>
      </c>
      <c r="U794" s="16">
        <f t="shared" si="575"/>
        <v>0</v>
      </c>
      <c r="V794" s="16">
        <f t="shared" si="575"/>
        <v>0</v>
      </c>
      <c r="W794" s="16">
        <f t="shared" si="575"/>
        <v>0</v>
      </c>
      <c r="X794" s="16">
        <f t="shared" si="575"/>
        <v>0</v>
      </c>
      <c r="Y794" s="16">
        <f t="shared" si="575"/>
        <v>0</v>
      </c>
      <c r="Z794" s="16">
        <f t="shared" si="575"/>
        <v>0</v>
      </c>
      <c r="AA794" s="16">
        <f t="shared" si="575"/>
        <v>0</v>
      </c>
      <c r="AB794" s="16">
        <f t="shared" si="575"/>
        <v>0</v>
      </c>
      <c r="AC794" s="16">
        <f t="shared" si="575"/>
        <v>0</v>
      </c>
      <c r="AD794" s="16">
        <f t="shared" si="575"/>
        <v>0</v>
      </c>
      <c r="AE794" s="16">
        <f t="shared" si="575"/>
        <v>0</v>
      </c>
      <c r="AF794" s="16">
        <f t="shared" si="575"/>
        <v>0</v>
      </c>
      <c r="AG794" s="16">
        <f>SUM(F794:AF794)</f>
        <v>-4703521.0679199994</v>
      </c>
      <c r="AH794" s="14" t="str">
        <f t="shared" si="574"/>
        <v>ok</v>
      </c>
    </row>
    <row r="795" spans="1:34" x14ac:dyDescent="0.25">
      <c r="A795" s="9" t="s">
        <v>1055</v>
      </c>
      <c r="C795" s="2" t="s">
        <v>942</v>
      </c>
      <c r="D795" s="2" t="s">
        <v>941</v>
      </c>
      <c r="E795" s="43">
        <v>1</v>
      </c>
      <c r="F795" s="77">
        <f>IF(VLOOKUP($D795,$C$5:$AU$836,3,)=0,0,(VLOOKUP($D795,$C$5:$AU$836,4,)/VLOOKUP($D795,$C$5:$AU$836,3,))*$E795)</f>
        <v>0.63351142510765968</v>
      </c>
      <c r="G795" s="77">
        <f>IF(VLOOKUP($D795,$C$5:$AU$836,3,)=0,0,(VLOOKUP($D795,$C$5:$AU$836,5,)/VLOOKUP($D795,$C$5:$AU$836,3,))*$E795)</f>
        <v>5.6492984142235844E-2</v>
      </c>
      <c r="H795" s="77">
        <f>IF(VLOOKUP($D795,$C$5:$AU$836,3,)=0,0,(VLOOKUP($D795,$C$5:$AU$836,6,)/VLOOKUP($D795,$C$5:$AU$836,3,))*$E795)</f>
        <v>0.15675465408715003</v>
      </c>
      <c r="I795" s="77">
        <f>IF(VLOOKUP($D795,$C$5:$AU$836,3,)=0,0,(VLOOKUP($D795,$C$5:$AU$836,7,)/VLOOKUP($D795,$C$5:$AU$836,3,))*$E795)</f>
        <v>1.1102650790980731E-2</v>
      </c>
      <c r="J795" s="77">
        <f>IF(VLOOKUP($D795,$C$5:$AU$836,3,)=0,0,(VLOOKUP($D795,$C$5:$AU$836,8,)/VLOOKUP($D795,$C$5:$AU$836,3,))*$E795)</f>
        <v>8.7913297505093392E-3</v>
      </c>
      <c r="K795" s="77">
        <f>IF(VLOOKUP($D795,$C$5:$AU$836,3,)=0,0,(VLOOKUP($D795,$C$5:$AU$836,9,)/VLOOKUP($D795,$C$5:$AU$836,3,))*$E795)</f>
        <v>7.8982968936564084E-3</v>
      </c>
      <c r="L795" s="77">
        <f>IF(VLOOKUP($D795,$C$5:$AU$836,3,)=0,0,(VLOOKUP($D795,$C$5:$AU$836,10,)/VLOOKUP($D795,$C$5:$AU$836,3,))*$E795)</f>
        <v>6.2032176683547199E-2</v>
      </c>
      <c r="M795" s="77">
        <f>IF(VLOOKUP($D795,$C$5:$AU$836,3,)=0,0,(VLOOKUP($D795,$C$5:$AU$836,11,)/VLOOKUP($D795,$C$5:$AU$836,3,))*$E795)</f>
        <v>5.0369046375881903E-2</v>
      </c>
      <c r="N795" s="77">
        <f>IF(VLOOKUP($D795,$C$5:$AU$836,3,)=0,0,(VLOOKUP($D795,$C$5:$AU$836,12,)/VLOOKUP($D795,$C$5:$AU$836,3,))*$E795)</f>
        <v>1.3047436168378918E-2</v>
      </c>
      <c r="O795" s="77">
        <f>IF(VLOOKUP($D795,$C$5:$AU$836,3,)=0,0,(VLOOKUP($D795,$C$5:$AU$836,13,)/VLOOKUP($D795,$C$5:$AU$836,3,))*$E795)</f>
        <v>0</v>
      </c>
      <c r="P795" s="77">
        <f>IF(VLOOKUP($D795,$C$5:$AU$836,3,)=0,0,(VLOOKUP($D795,$C$5:$AU$836,14,)/VLOOKUP($D795,$C$5:$AU$836,3,))*$E795)</f>
        <v>0</v>
      </c>
      <c r="Q795" s="77">
        <f>IF(VLOOKUP($D795,$C$5:$AU$836,3,)=0,0,(VLOOKUP($D795,$C$5:$AU$836,15,)/VLOOKUP($D795,$C$5:$AU$836,3,))*$E795)</f>
        <v>0</v>
      </c>
      <c r="R795" s="77">
        <f>IF(VLOOKUP($D795,$C$5:$AU$836,3,)=0,0,(VLOOKUP($D795,$C$5:$AU$836,16,)/VLOOKUP($D795,$C$5:$AU$836,3,))*$E795)</f>
        <v>0</v>
      </c>
      <c r="S795" s="77">
        <f>IF(VLOOKUP($D795,$C$5:$AU$836,3,)=0,0,(VLOOKUP($D795,$C$5:$AU$836,17,)/VLOOKUP($D795,$C$5:$AU$836,3,))*$E795)</f>
        <v>0</v>
      </c>
      <c r="T795" s="77">
        <f>IF(VLOOKUP($D795,$C$5:$AU$836,3,)=0,0,(VLOOKUP($D795,$C$5:$AU$836,18,)/VLOOKUP($D795,$C$5:$AU$836,3,))*$E795)</f>
        <v>0</v>
      </c>
      <c r="U795" s="77">
        <f>IF(VLOOKUP($D795,$C$5:$AU$836,3,)=0,0,(VLOOKUP($D795,$C$5:$AU$836,19,)/VLOOKUP($D795,$C$5:$AU$836,3,))*$E795)</f>
        <v>0</v>
      </c>
      <c r="V795" s="77">
        <f>IF(VLOOKUP($D795,$C$5:$AU$836,3,)=0,0,(VLOOKUP($D795,$C$5:$AU$836,20,)/VLOOKUP($D795,$C$5:$AU$836,3,))*$E795)</f>
        <v>0</v>
      </c>
      <c r="W795" s="77">
        <f>IF(VLOOKUP($D795,$C$5:$AU$836,3,)=0,0,(VLOOKUP($D795,$C$5:$AU$836,21,)/VLOOKUP($D795,$C$5:$AU$836,3,))*$E795)</f>
        <v>0</v>
      </c>
      <c r="X795" s="77">
        <f>IF(VLOOKUP($D795,$C$5:$AU$836,3,)=0,0,(VLOOKUP($D795,$C$5:$AU$836,22,)/VLOOKUP($D795,$C$5:$AU$836,3,))*$E795)</f>
        <v>0</v>
      </c>
      <c r="Y795" s="77">
        <f>IF(VLOOKUP($D795,$C$5:$AU$836,3,)=0,0,(VLOOKUP($D795,$C$5:$AU$836,23,)/VLOOKUP($D795,$C$5:$AU$836,3,))*$E795)</f>
        <v>0</v>
      </c>
      <c r="Z795" s="77">
        <f>IF(VLOOKUP($D795,$C$5:$AU$836,3,)=0,0,(VLOOKUP($D795,$C$5:$AU$836,24,)/VLOOKUP($D795,$C$5:$AU$836,3,))*$E795)</f>
        <v>0</v>
      </c>
      <c r="AA795" s="77">
        <f>IF(VLOOKUP($D795,$C$5:$AU$836,3,)=0,0,(VLOOKUP($D795,$C$5:$AU$836,25,)/VLOOKUP($D795,$C$5:$AU$836,3,))*$E795)</f>
        <v>0</v>
      </c>
      <c r="AB795" s="77">
        <f>IF(VLOOKUP($D795,$C$5:$AU$836,3,)=0,0,(VLOOKUP($D795,$C$5:$AU$836,26,)/VLOOKUP($D795,$C$5:$AU$836,3,))*$E795)</f>
        <v>0</v>
      </c>
      <c r="AC795" s="77">
        <f>IF(VLOOKUP($D795,$C$5:$AU$836,3,)=0,0,(VLOOKUP($D795,$C$5:$AU$836,27,)/VLOOKUP($D795,$C$5:$AU$836,3,))*$E795)</f>
        <v>0</v>
      </c>
      <c r="AD795" s="77">
        <f>IF(VLOOKUP($D795,$C$5:$AU$836,3,)=0,0,(VLOOKUP($D795,$C$5:$AU$836,28,)/VLOOKUP($D795,$C$5:$AU$836,3,))*$E795)</f>
        <v>0</v>
      </c>
      <c r="AE795" s="77">
        <f>IF(VLOOKUP($D795,$C$5:$AU$836,3,)=0,0,(VLOOKUP($D795,$C$5:$AU$836,29,)/VLOOKUP($D795,$C$5:$AU$836,3,))*$E795)</f>
        <v>0</v>
      </c>
      <c r="AF795" s="77">
        <f>IF(VLOOKUP($D795,$C$5:$AU$836,3,)=0,0,(VLOOKUP($D795,$C$5:$AU$836,30,)/VLOOKUP($D795,$C$5:$AU$836,3,))*$E795)</f>
        <v>0</v>
      </c>
      <c r="AG795" s="78">
        <f>SUM(F795:AF795)</f>
        <v>1</v>
      </c>
      <c r="AH795" s="14" t="str">
        <f t="shared" si="574"/>
        <v>ok</v>
      </c>
    </row>
    <row r="796" spans="1:34" x14ac:dyDescent="0.25">
      <c r="E796" s="43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  <c r="AC796" s="77"/>
      <c r="AD796" s="77"/>
      <c r="AE796" s="77"/>
      <c r="AF796" s="77"/>
      <c r="AG796" s="78"/>
      <c r="AH796" s="14"/>
    </row>
    <row r="797" spans="1:34" x14ac:dyDescent="0.25">
      <c r="A797" s="9" t="s">
        <v>1059</v>
      </c>
      <c r="C797" s="2" t="s">
        <v>943</v>
      </c>
      <c r="E797" s="17">
        <v>553538475.70848143</v>
      </c>
      <c r="F797" s="17">
        <f>F622</f>
        <v>405686937.45452952</v>
      </c>
      <c r="G797" s="17">
        <f t="shared" ref="G797:N797" si="576">G622</f>
        <v>35815261.660127677</v>
      </c>
      <c r="H797" s="17">
        <f t="shared" si="576"/>
        <v>96219078.436564922</v>
      </c>
      <c r="I797" s="17">
        <f t="shared" si="576"/>
        <v>7142697.8878758829</v>
      </c>
      <c r="J797" s="17">
        <f t="shared" si="576"/>
        <v>5474832.6693834495</v>
      </c>
      <c r="K797" s="17">
        <f t="shared" si="576"/>
        <v>0</v>
      </c>
      <c r="L797" s="17">
        <f t="shared" si="576"/>
        <v>0</v>
      </c>
      <c r="M797" s="17">
        <f t="shared" si="576"/>
        <v>0</v>
      </c>
      <c r="N797" s="17">
        <f t="shared" si="576"/>
        <v>3199667.6</v>
      </c>
      <c r="O797" s="17">
        <f t="shared" ref="O797:AF797" si="577">O622</f>
        <v>0</v>
      </c>
      <c r="P797" s="17">
        <f t="shared" si="577"/>
        <v>0</v>
      </c>
      <c r="Q797" s="17">
        <f t="shared" si="577"/>
        <v>0</v>
      </c>
      <c r="R797" s="17">
        <f t="shared" si="577"/>
        <v>0</v>
      </c>
      <c r="S797" s="17">
        <f t="shared" si="577"/>
        <v>0</v>
      </c>
      <c r="T797" s="17">
        <f t="shared" si="577"/>
        <v>0</v>
      </c>
      <c r="U797" s="17">
        <f t="shared" si="577"/>
        <v>0</v>
      </c>
      <c r="V797" s="17">
        <f t="shared" si="577"/>
        <v>0</v>
      </c>
      <c r="W797" s="17">
        <f t="shared" si="577"/>
        <v>0</v>
      </c>
      <c r="X797" s="17">
        <f t="shared" si="577"/>
        <v>0</v>
      </c>
      <c r="Y797" s="17">
        <f t="shared" si="577"/>
        <v>0</v>
      </c>
      <c r="Z797" s="17">
        <f t="shared" si="577"/>
        <v>0</v>
      </c>
      <c r="AA797" s="17">
        <f t="shared" si="577"/>
        <v>0</v>
      </c>
      <c r="AB797" s="17">
        <f t="shared" si="577"/>
        <v>0</v>
      </c>
      <c r="AC797" s="17">
        <f t="shared" si="577"/>
        <v>0</v>
      </c>
      <c r="AD797" s="17">
        <f t="shared" si="577"/>
        <v>0</v>
      </c>
      <c r="AE797" s="17">
        <f t="shared" si="577"/>
        <v>0</v>
      </c>
      <c r="AF797" s="17">
        <f t="shared" si="577"/>
        <v>0</v>
      </c>
      <c r="AG797" s="17">
        <f>SUM(F797:AF797)</f>
        <v>553538475.70848143</v>
      </c>
      <c r="AH797" s="14" t="str">
        <f t="shared" ref="AH797:AH802" si="578">IF(ABS(E797-AG797)&lt;0.01,"ok","err")</f>
        <v>ok</v>
      </c>
    </row>
    <row r="798" spans="1:34" x14ac:dyDescent="0.25">
      <c r="A798" s="9" t="s">
        <v>1060</v>
      </c>
      <c r="E798" s="16">
        <f>'Proforma Purchased Power'!BL12</f>
        <v>30010192.978423003</v>
      </c>
      <c r="AG798" s="16">
        <f>E798</f>
        <v>30010192.978423003</v>
      </c>
      <c r="AH798" s="14" t="str">
        <f t="shared" si="578"/>
        <v>ok</v>
      </c>
    </row>
    <row r="799" spans="1:34" x14ac:dyDescent="0.25">
      <c r="A799" s="2" t="s">
        <v>594</v>
      </c>
      <c r="E799" s="13">
        <v>0</v>
      </c>
      <c r="F799" s="33">
        <v>0</v>
      </c>
      <c r="G799" s="33">
        <v>0</v>
      </c>
      <c r="H799" s="33">
        <v>0</v>
      </c>
      <c r="I799" s="33">
        <f>'Proforma Purchased Power'!BM48+'Proforma Purchased Power'!BM49+'Proforma Purchased Power'!BM50</f>
        <v>0</v>
      </c>
      <c r="J799" s="33">
        <v>0</v>
      </c>
      <c r="K799" s="33">
        <v>0</v>
      </c>
      <c r="L799" s="33">
        <v>0</v>
      </c>
      <c r="M799" s="33">
        <v>0</v>
      </c>
      <c r="N799" s="33">
        <v>0</v>
      </c>
      <c r="O799" s="17">
        <v>0</v>
      </c>
      <c r="P799" s="2">
        <v>0</v>
      </c>
      <c r="Q799" s="2">
        <v>0</v>
      </c>
      <c r="R799" s="17">
        <v>0</v>
      </c>
      <c r="U799" s="17">
        <v>0</v>
      </c>
      <c r="V799" s="17">
        <v>0</v>
      </c>
      <c r="W799" s="17">
        <v>0</v>
      </c>
      <c r="X799" s="17">
        <v>0</v>
      </c>
      <c r="Y799" s="17">
        <v>0</v>
      </c>
      <c r="AA799" s="2">
        <v>0</v>
      </c>
      <c r="AB799" s="17">
        <v>0</v>
      </c>
      <c r="AC799" s="17">
        <v>0</v>
      </c>
      <c r="AG799" s="16">
        <f>SUM(F799:AF799)</f>
        <v>0</v>
      </c>
      <c r="AH799" s="14" t="str">
        <f t="shared" si="578"/>
        <v>ok</v>
      </c>
    </row>
    <row r="800" spans="1:34" x14ac:dyDescent="0.25">
      <c r="A800" s="9" t="s">
        <v>1061</v>
      </c>
      <c r="D800" s="2" t="s">
        <v>943</v>
      </c>
      <c r="E800" s="16">
        <f>E798-E799</f>
        <v>30010192.978423003</v>
      </c>
      <c r="F800" s="65">
        <f>IF(VLOOKUP($D800,$C$5:$AU$836,3,)=0,0,(VLOOKUP($D800,$C$5:$AU$836,4,)/VLOOKUP($D800,$C$5:$AU$836,3,))*$E800)</f>
        <v>21994393.914990705</v>
      </c>
      <c r="G800" s="65">
        <f>IF(VLOOKUP($D800,$C$5:$AU$836,3,)=0,0,(VLOOKUP($D800,$C$5:$AU$836,5,)/VLOOKUP($D800,$C$5:$AU$836,3,))*$E800)</f>
        <v>1941731.1734608253</v>
      </c>
      <c r="H800" s="65">
        <f>IF(VLOOKUP($D800,$C$5:$AU$836,3,)=0,0,(VLOOKUP($D800,$C$5:$AU$836,6,)/VLOOKUP($D800,$C$5:$AU$836,3,))*$E800)</f>
        <v>5216535.5053079454</v>
      </c>
      <c r="I800" s="65">
        <f>IF(VLOOKUP($D800,$C$5:$AU$836,3,)=0,0,(VLOOKUP($D800,$C$5:$AU$836,7,)/VLOOKUP($D800,$C$5:$AU$836,3,))*$E800)</f>
        <v>387242.71465931134</v>
      </c>
      <c r="J800" s="65">
        <f>IF(VLOOKUP($D800,$C$5:$AU$836,3,)=0,0,(VLOOKUP($D800,$C$5:$AU$836,8,)/VLOOKUP($D800,$C$5:$AU$836,3,))*$E800)</f>
        <v>296819.08691619179</v>
      </c>
      <c r="K800" s="65">
        <f>IF(VLOOKUP($D800,$C$5:$AU$836,3,)=0,0,(VLOOKUP($D800,$C$5:$AU$836,9,)/VLOOKUP($D800,$C$5:$AU$836,3,))*$E800)</f>
        <v>0</v>
      </c>
      <c r="L800" s="65">
        <f>IF(VLOOKUP($D800,$C$5:$AU$836,3,)=0,0,(VLOOKUP($D800,$C$5:$AU$836,10,)/VLOOKUP($D800,$C$5:$AU$836,3,))*$E800)</f>
        <v>0</v>
      </c>
      <c r="M800" s="65">
        <f>IF(VLOOKUP($D800,$C$5:$AU$836,3,)=0,0,(VLOOKUP($D800,$C$5:$AU$836,11,)/VLOOKUP($D800,$C$5:$AU$836,3,))*$E800)</f>
        <v>0</v>
      </c>
      <c r="N800" s="65">
        <f>IF(VLOOKUP($D800,$C$5:$AU$836,3,)=0,0,(VLOOKUP($D800,$C$5:$AU$836,12,)/VLOOKUP($D800,$C$5:$AU$836,3,))*$E800)</f>
        <v>173470.58308802635</v>
      </c>
      <c r="O800" s="65">
        <f>IF(VLOOKUP($D800,$C$5:$AU$836,3,)=0,0,(VLOOKUP($D800,$C$5:$AU$836,13,)/VLOOKUP($D800,$C$5:$AU$836,3,))*$E800)</f>
        <v>0</v>
      </c>
      <c r="P800" s="65">
        <f>IF(VLOOKUP($D800,$C$5:$AU$836,3,)=0,0,(VLOOKUP($D800,$C$5:$AU$836,14,)/VLOOKUP($D800,$C$5:$AU$836,3,))*$E800)</f>
        <v>0</v>
      </c>
      <c r="Q800" s="65">
        <f>IF(VLOOKUP($D800,$C$5:$AU$836,3,)=0,0,(VLOOKUP($D800,$C$5:$AU$836,15,)/VLOOKUP($D800,$C$5:$AU$836,3,))*$E800)</f>
        <v>0</v>
      </c>
      <c r="R800" s="65">
        <f>IF(VLOOKUP($D800,$C$5:$AU$836,3,)=0,0,(VLOOKUP($D800,$C$5:$AU$836,16,)/VLOOKUP($D800,$C$5:$AU$836,3,))*$E800)</f>
        <v>0</v>
      </c>
      <c r="S800" s="65">
        <f>IF(VLOOKUP($D800,$C$5:$AU$836,3,)=0,0,(VLOOKUP($D800,$C$5:$AU$836,17,)/VLOOKUP($D800,$C$5:$AU$836,3,))*$E800)</f>
        <v>0</v>
      </c>
      <c r="T800" s="65">
        <f>IF(VLOOKUP($D800,$C$5:$AU$836,3,)=0,0,(VLOOKUP($D800,$C$5:$AU$836,18,)/VLOOKUP($D800,$C$5:$AU$836,3,))*$E800)</f>
        <v>0</v>
      </c>
      <c r="U800" s="65">
        <f>IF(VLOOKUP($D800,$C$5:$AU$836,3,)=0,0,(VLOOKUP($D800,$C$5:$AU$836,19,)/VLOOKUP($D800,$C$5:$AU$836,3,))*$E800)</f>
        <v>0</v>
      </c>
      <c r="V800" s="65">
        <f>IF(VLOOKUP($D800,$C$5:$AU$836,3,)=0,0,(VLOOKUP($D800,$C$5:$AU$836,20,)/VLOOKUP($D800,$C$5:$AU$836,3,))*$E800)</f>
        <v>0</v>
      </c>
      <c r="W800" s="65">
        <f>IF(VLOOKUP($D800,$C$5:$AU$836,3,)=0,0,(VLOOKUP($D800,$C$5:$AU$836,21,)/VLOOKUP($D800,$C$5:$AU$836,3,))*$E800)</f>
        <v>0</v>
      </c>
      <c r="X800" s="65">
        <f>IF(VLOOKUP($D800,$C$5:$AU$836,3,)=0,0,(VLOOKUP($D800,$C$5:$AU$836,22,)/VLOOKUP($D800,$C$5:$AU$836,3,))*$E800)</f>
        <v>0</v>
      </c>
      <c r="Y800" s="65">
        <f>IF(VLOOKUP($D800,$C$5:$AU$836,3,)=0,0,(VLOOKUP($D800,$C$5:$AU$836,23,)/VLOOKUP($D800,$C$5:$AU$836,3,))*$E800)</f>
        <v>0</v>
      </c>
      <c r="Z800" s="65">
        <f>IF(VLOOKUP($D800,$C$5:$AU$836,3,)=0,0,(VLOOKUP($D800,$C$5:$AU$836,24,)/VLOOKUP($D800,$C$5:$AU$836,3,))*$E800)</f>
        <v>0</v>
      </c>
      <c r="AA800" s="65">
        <f>IF(VLOOKUP($D800,$C$5:$AU$836,3,)=0,0,(VLOOKUP($D800,$C$5:$AU$836,25,)/VLOOKUP($D800,$C$5:$AU$836,3,))*$E800)</f>
        <v>0</v>
      </c>
      <c r="AB800" s="65">
        <f>IF(VLOOKUP($D800,$C$5:$AU$836,3,)=0,0,(VLOOKUP($D800,$C$5:$AU$836,26,)/VLOOKUP($D800,$C$5:$AU$836,3,))*$E800)</f>
        <v>0</v>
      </c>
      <c r="AC800" s="65">
        <f>IF(VLOOKUP($D800,$C$5:$AU$836,3,)=0,0,(VLOOKUP($D800,$C$5:$AU$836,27,)/VLOOKUP($D800,$C$5:$AU$836,3,))*$E800)</f>
        <v>0</v>
      </c>
      <c r="AD800" s="65">
        <f>IF(VLOOKUP($D800,$C$5:$AU$836,3,)=0,0,(VLOOKUP($D800,$C$5:$AU$836,28,)/VLOOKUP($D800,$C$5:$AU$836,3,))*$E800)</f>
        <v>0</v>
      </c>
      <c r="AE800" s="65">
        <f>IF(VLOOKUP($D800,$C$5:$AU$836,3,)=0,0,(VLOOKUP($D800,$C$5:$AU$836,29,)/VLOOKUP($D800,$C$5:$AU$836,3,))*$E800)</f>
        <v>0</v>
      </c>
      <c r="AF800" s="65">
        <f>IF(VLOOKUP($D800,$C$5:$AU$836,3,)=0,0,(VLOOKUP($D800,$C$5:$AU$836,30,)/VLOOKUP($D800,$C$5:$AU$836,3,))*$E800)</f>
        <v>0</v>
      </c>
      <c r="AG800" s="16">
        <f>SUM(F800:AF800)</f>
        <v>30010192.978423007</v>
      </c>
      <c r="AH800" s="14" t="str">
        <f t="shared" si="578"/>
        <v>ok</v>
      </c>
    </row>
    <row r="801" spans="1:34" x14ac:dyDescent="0.25">
      <c r="A801" s="9" t="s">
        <v>1062</v>
      </c>
      <c r="C801" s="2" t="s">
        <v>944</v>
      </c>
      <c r="E801" s="16">
        <f t="shared" ref="E801:AF801" si="579">E799+E800</f>
        <v>30010192.978423003</v>
      </c>
      <c r="F801" s="16">
        <f t="shared" si="579"/>
        <v>21994393.914990705</v>
      </c>
      <c r="G801" s="16">
        <f t="shared" si="579"/>
        <v>1941731.1734608253</v>
      </c>
      <c r="H801" s="16">
        <f t="shared" si="579"/>
        <v>5216535.5053079454</v>
      </c>
      <c r="I801" s="16">
        <f t="shared" si="579"/>
        <v>387242.71465931134</v>
      </c>
      <c r="J801" s="16">
        <f t="shared" si="579"/>
        <v>296819.08691619179</v>
      </c>
      <c r="K801" s="16">
        <f t="shared" si="579"/>
        <v>0</v>
      </c>
      <c r="L801" s="16">
        <f t="shared" si="579"/>
        <v>0</v>
      </c>
      <c r="M801" s="16">
        <f>M799+M800</f>
        <v>0</v>
      </c>
      <c r="N801" s="16">
        <f>N799+N800</f>
        <v>173470.58308802635</v>
      </c>
      <c r="O801" s="16">
        <f t="shared" si="579"/>
        <v>0</v>
      </c>
      <c r="P801" s="16">
        <f t="shared" si="579"/>
        <v>0</v>
      </c>
      <c r="Q801" s="16">
        <f t="shared" si="579"/>
        <v>0</v>
      </c>
      <c r="R801" s="16">
        <f t="shared" si="579"/>
        <v>0</v>
      </c>
      <c r="S801" s="16">
        <f t="shared" si="579"/>
        <v>0</v>
      </c>
      <c r="T801" s="16">
        <f t="shared" si="579"/>
        <v>0</v>
      </c>
      <c r="U801" s="16">
        <f t="shared" si="579"/>
        <v>0</v>
      </c>
      <c r="V801" s="16">
        <f t="shared" si="579"/>
        <v>0</v>
      </c>
      <c r="W801" s="16">
        <f t="shared" si="579"/>
        <v>0</v>
      </c>
      <c r="X801" s="16">
        <f t="shared" si="579"/>
        <v>0</v>
      </c>
      <c r="Y801" s="16">
        <f t="shared" si="579"/>
        <v>0</v>
      </c>
      <c r="Z801" s="16">
        <f t="shared" si="579"/>
        <v>0</v>
      </c>
      <c r="AA801" s="16">
        <f t="shared" si="579"/>
        <v>0</v>
      </c>
      <c r="AB801" s="16">
        <f t="shared" si="579"/>
        <v>0</v>
      </c>
      <c r="AC801" s="16">
        <f t="shared" si="579"/>
        <v>0</v>
      </c>
      <c r="AD801" s="16">
        <f t="shared" si="579"/>
        <v>0</v>
      </c>
      <c r="AE801" s="16">
        <f t="shared" si="579"/>
        <v>0</v>
      </c>
      <c r="AF801" s="16">
        <f t="shared" si="579"/>
        <v>0</v>
      </c>
      <c r="AG801" s="16">
        <f>SUM(F801:AF801)</f>
        <v>30010192.978423007</v>
      </c>
      <c r="AH801" s="14" t="str">
        <f t="shared" si="578"/>
        <v>ok</v>
      </c>
    </row>
    <row r="802" spans="1:34" x14ac:dyDescent="0.25">
      <c r="A802" s="9" t="s">
        <v>1059</v>
      </c>
      <c r="C802" s="2" t="s">
        <v>945</v>
      </c>
      <c r="D802" s="2" t="s">
        <v>944</v>
      </c>
      <c r="E802" s="43">
        <v>1</v>
      </c>
      <c r="F802" s="77">
        <f>IF(VLOOKUP($D802,$C$5:$AU$836,3,)=0,0,(VLOOKUP($D802,$C$5:$AU$836,4,)/VLOOKUP($D802,$C$5:$AU$836,3,))*$E802)</f>
        <v>0.73289745023647235</v>
      </c>
      <c r="G802" s="77">
        <f>IF(VLOOKUP($D802,$C$5:$AU$836,3,)=0,0,(VLOOKUP($D802,$C$5:$AU$836,5,)/VLOOKUP($D802,$C$5:$AU$836,3,))*$E802)</f>
        <v>6.4702388780269043E-2</v>
      </c>
      <c r="H802" s="77">
        <f>IF(VLOOKUP($D802,$C$5:$AU$836,3,)=0,0,(VLOOKUP($D802,$C$5:$AU$836,6,)/VLOOKUP($D802,$C$5:$AU$836,3,))*$E802)</f>
        <v>0.17382545687255582</v>
      </c>
      <c r="I802" s="77">
        <f>IF(VLOOKUP($D802,$C$5:$AU$836,3,)=0,0,(VLOOKUP($D802,$C$5:$AU$836,7,)/VLOOKUP($D802,$C$5:$AU$836,3,))*$E802)</f>
        <v>1.290370624866473E-2</v>
      </c>
      <c r="J802" s="77">
        <f>IF(VLOOKUP($D802,$C$5:$AU$836,3,)=0,0,(VLOOKUP($D802,$C$5:$AU$836,8,)/VLOOKUP($D802,$C$5:$AU$836,3,))*$E802)</f>
        <v>9.8906090717111161E-3</v>
      </c>
      <c r="K802" s="77">
        <f>IF(VLOOKUP($D802,$C$5:$AU$836,3,)=0,0,(VLOOKUP($D802,$C$5:$AU$836,9,)/VLOOKUP($D802,$C$5:$AU$836,3,))*$E802)</f>
        <v>0</v>
      </c>
      <c r="L802" s="77">
        <f>IF(VLOOKUP($D802,$C$5:$AU$836,3,)=0,0,(VLOOKUP($D802,$C$5:$AU$836,10,)/VLOOKUP($D802,$C$5:$AU$836,3,))*$E802)</f>
        <v>0</v>
      </c>
      <c r="M802" s="77">
        <f>IF(VLOOKUP($D802,$C$5:$AU$836,3,)=0,0,(VLOOKUP($D802,$C$5:$AU$836,11,)/VLOOKUP($D802,$C$5:$AU$836,3,))*$E802)</f>
        <v>0</v>
      </c>
      <c r="N802" s="77">
        <f>IF(VLOOKUP($D802,$C$5:$AU$836,3,)=0,0,(VLOOKUP($D802,$C$5:$AU$836,12,)/VLOOKUP($D802,$C$5:$AU$836,3,))*$E802)</f>
        <v>5.7803887903269992E-3</v>
      </c>
      <c r="O802" s="77">
        <f>IF(VLOOKUP($D802,$C$5:$AU$836,3,)=0,0,(VLOOKUP($D802,$C$5:$AU$836,13,)/VLOOKUP($D802,$C$5:$AU$836,3,))*$E802)</f>
        <v>0</v>
      </c>
      <c r="P802" s="77">
        <f>IF(VLOOKUP($D802,$C$5:$AU$836,3,)=0,0,(VLOOKUP($D802,$C$5:$AU$836,14,)/VLOOKUP($D802,$C$5:$AU$836,3,))*$E802)</f>
        <v>0</v>
      </c>
      <c r="Q802" s="77">
        <f>IF(VLOOKUP($D802,$C$5:$AU$836,3,)=0,0,(VLOOKUP($D802,$C$5:$AU$836,15,)/VLOOKUP($D802,$C$5:$AU$836,3,))*$E802)</f>
        <v>0</v>
      </c>
      <c r="R802" s="77">
        <f>IF(VLOOKUP($D802,$C$5:$AU$836,3,)=0,0,(VLOOKUP($D802,$C$5:$AU$836,16,)/VLOOKUP($D802,$C$5:$AU$836,3,))*$E802)</f>
        <v>0</v>
      </c>
      <c r="S802" s="77">
        <f>IF(VLOOKUP($D802,$C$5:$AU$836,3,)=0,0,(VLOOKUP($D802,$C$5:$AU$836,17,)/VLOOKUP($D802,$C$5:$AU$836,3,))*$E802)</f>
        <v>0</v>
      </c>
      <c r="T802" s="77">
        <f>IF(VLOOKUP($D802,$C$5:$AU$836,3,)=0,0,(VLOOKUP($D802,$C$5:$AU$836,18,)/VLOOKUP($D802,$C$5:$AU$836,3,))*$E802)</f>
        <v>0</v>
      </c>
      <c r="U802" s="77">
        <f>IF(VLOOKUP($D802,$C$5:$AU$836,3,)=0,0,(VLOOKUP($D802,$C$5:$AU$836,19,)/VLOOKUP($D802,$C$5:$AU$836,3,))*$E802)</f>
        <v>0</v>
      </c>
      <c r="V802" s="77">
        <f>IF(VLOOKUP($D802,$C$5:$AU$836,3,)=0,0,(VLOOKUP($D802,$C$5:$AU$836,20,)/VLOOKUP($D802,$C$5:$AU$836,3,))*$E802)</f>
        <v>0</v>
      </c>
      <c r="W802" s="77">
        <f>IF(VLOOKUP($D802,$C$5:$AU$836,3,)=0,0,(VLOOKUP($D802,$C$5:$AU$836,21,)/VLOOKUP($D802,$C$5:$AU$836,3,))*$E802)</f>
        <v>0</v>
      </c>
      <c r="X802" s="77">
        <f>IF(VLOOKUP($D802,$C$5:$AU$836,3,)=0,0,(VLOOKUP($D802,$C$5:$AU$836,22,)/VLOOKUP($D802,$C$5:$AU$836,3,))*$E802)</f>
        <v>0</v>
      </c>
      <c r="Y802" s="77">
        <f>IF(VLOOKUP($D802,$C$5:$AU$836,3,)=0,0,(VLOOKUP($D802,$C$5:$AU$836,23,)/VLOOKUP($D802,$C$5:$AU$836,3,))*$E802)</f>
        <v>0</v>
      </c>
      <c r="Z802" s="77">
        <f>IF(VLOOKUP($D802,$C$5:$AU$836,3,)=0,0,(VLOOKUP($D802,$C$5:$AU$836,24,)/VLOOKUP($D802,$C$5:$AU$836,3,))*$E802)</f>
        <v>0</v>
      </c>
      <c r="AA802" s="77">
        <f>IF(VLOOKUP($D802,$C$5:$AU$836,3,)=0,0,(VLOOKUP($D802,$C$5:$AU$836,25,)/VLOOKUP($D802,$C$5:$AU$836,3,))*$E802)</f>
        <v>0</v>
      </c>
      <c r="AB802" s="77">
        <f>IF(VLOOKUP($D802,$C$5:$AU$836,3,)=0,0,(VLOOKUP($D802,$C$5:$AU$836,26,)/VLOOKUP($D802,$C$5:$AU$836,3,))*$E802)</f>
        <v>0</v>
      </c>
      <c r="AC802" s="77">
        <f>IF(VLOOKUP($D802,$C$5:$AU$836,3,)=0,0,(VLOOKUP($D802,$C$5:$AU$836,27,)/VLOOKUP($D802,$C$5:$AU$836,3,))*$E802)</f>
        <v>0</v>
      </c>
      <c r="AD802" s="77">
        <f>IF(VLOOKUP($D802,$C$5:$AU$836,3,)=0,0,(VLOOKUP($D802,$C$5:$AU$836,28,)/VLOOKUP($D802,$C$5:$AU$836,3,))*$E802)</f>
        <v>0</v>
      </c>
      <c r="AE802" s="77">
        <f>IF(VLOOKUP($D802,$C$5:$AU$836,3,)=0,0,(VLOOKUP($D802,$C$5:$AU$836,29,)/VLOOKUP($D802,$C$5:$AU$836,3,))*$E802)</f>
        <v>0</v>
      </c>
      <c r="AF802" s="77">
        <f>IF(VLOOKUP($D802,$C$5:$AU$836,3,)=0,0,(VLOOKUP($D802,$C$5:$AU$836,30,)/VLOOKUP($D802,$C$5:$AU$836,3,))*$E802)</f>
        <v>0</v>
      </c>
      <c r="AG802" s="16">
        <f>SUM(F802:AF802)</f>
        <v>1</v>
      </c>
      <c r="AH802" s="14" t="str">
        <f t="shared" si="578"/>
        <v>ok</v>
      </c>
    </row>
    <row r="803" spans="1:34" x14ac:dyDescent="0.25">
      <c r="E803" s="43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  <c r="AC803" s="77"/>
      <c r="AD803" s="77"/>
      <c r="AE803" s="77"/>
      <c r="AF803" s="77"/>
      <c r="AG803" s="16"/>
      <c r="AH803" s="14"/>
    </row>
    <row r="804" spans="1:34" x14ac:dyDescent="0.25">
      <c r="A804" s="2" t="s">
        <v>924</v>
      </c>
      <c r="C804" s="2" t="s">
        <v>954</v>
      </c>
      <c r="E804" s="17">
        <v>525121380.29151851</v>
      </c>
      <c r="F804" s="17">
        <f>F623</f>
        <v>371103979.54547048</v>
      </c>
      <c r="G804" s="17">
        <f t="shared" ref="G804:N804" si="580">G623</f>
        <v>33454581.339872323</v>
      </c>
      <c r="H804" s="17">
        <f t="shared" si="580"/>
        <v>95988333.563435078</v>
      </c>
      <c r="I804" s="17">
        <f t="shared" si="580"/>
        <v>6471008.1121241171</v>
      </c>
      <c r="J804" s="17">
        <f t="shared" si="580"/>
        <v>5304807.3306165505</v>
      </c>
      <c r="K804" s="17">
        <f t="shared" si="580"/>
        <v>0</v>
      </c>
      <c r="L804" s="17">
        <f t="shared" si="580"/>
        <v>0</v>
      </c>
      <c r="M804" s="17">
        <f t="shared" si="580"/>
        <v>0</v>
      </c>
      <c r="N804" s="17">
        <f t="shared" si="580"/>
        <v>12798670.4</v>
      </c>
      <c r="O804" s="17">
        <f t="shared" ref="O804:AF804" si="581">O623</f>
        <v>0</v>
      </c>
      <c r="P804" s="17">
        <f t="shared" si="581"/>
        <v>0</v>
      </c>
      <c r="Q804" s="17">
        <f t="shared" si="581"/>
        <v>0</v>
      </c>
      <c r="R804" s="17">
        <f t="shared" si="581"/>
        <v>0</v>
      </c>
      <c r="S804" s="17">
        <f t="shared" si="581"/>
        <v>0</v>
      </c>
      <c r="T804" s="17">
        <f t="shared" si="581"/>
        <v>0</v>
      </c>
      <c r="U804" s="17">
        <f t="shared" si="581"/>
        <v>0</v>
      </c>
      <c r="V804" s="17">
        <f t="shared" si="581"/>
        <v>0</v>
      </c>
      <c r="W804" s="17">
        <f t="shared" si="581"/>
        <v>0</v>
      </c>
      <c r="X804" s="17">
        <f t="shared" si="581"/>
        <v>0</v>
      </c>
      <c r="Y804" s="17">
        <f t="shared" si="581"/>
        <v>0</v>
      </c>
      <c r="Z804" s="17">
        <f t="shared" si="581"/>
        <v>0</v>
      </c>
      <c r="AA804" s="17">
        <f t="shared" si="581"/>
        <v>0</v>
      </c>
      <c r="AB804" s="17">
        <f t="shared" si="581"/>
        <v>0</v>
      </c>
      <c r="AC804" s="17">
        <f t="shared" si="581"/>
        <v>0</v>
      </c>
      <c r="AD804" s="17">
        <f t="shared" si="581"/>
        <v>0</v>
      </c>
      <c r="AE804" s="17">
        <f t="shared" si="581"/>
        <v>0</v>
      </c>
      <c r="AF804" s="17">
        <f t="shared" si="581"/>
        <v>0</v>
      </c>
      <c r="AG804" s="17">
        <f>SUM(F804:AF804)</f>
        <v>525121380.29151851</v>
      </c>
      <c r="AH804" s="14" t="str">
        <f t="shared" ref="AH804:AH809" si="582">IF(ABS(E804-AG804)&lt;0.01,"ok","err")</f>
        <v>ok</v>
      </c>
    </row>
    <row r="805" spans="1:34" x14ac:dyDescent="0.25">
      <c r="A805" s="2" t="s">
        <v>925</v>
      </c>
      <c r="E805" s="16">
        <f>'Proforma Purchased Power'!BL13+'Proforma Purchased Power'!BL76+'Proforma Purchased Power'!BL77+'Proforma Purchased Power'!BL101+'Proforma Purchased Power'!BL102+'Proforma Purchased Power'!BL117</f>
        <v>30283026.645750001</v>
      </c>
      <c r="AG805" s="16">
        <f>E805</f>
        <v>30283026.645750001</v>
      </c>
      <c r="AH805" s="14" t="str">
        <f t="shared" si="582"/>
        <v>ok</v>
      </c>
    </row>
    <row r="806" spans="1:34" x14ac:dyDescent="0.25">
      <c r="A806" s="2" t="s">
        <v>594</v>
      </c>
      <c r="E806" s="13">
        <v>6494464.5615200009</v>
      </c>
      <c r="F806" s="33">
        <v>0</v>
      </c>
      <c r="G806" s="33">
        <v>0</v>
      </c>
      <c r="H806" s="33">
        <v>0</v>
      </c>
      <c r="I806" s="33">
        <v>0</v>
      </c>
      <c r="J806" s="33">
        <f>'Proforma Purchased Power'!BM31+'Proforma Purchased Power'!BM43</f>
        <v>0</v>
      </c>
      <c r="K806" s="33">
        <f>'Proforma Purchased Power'!BL89+'Proforma Purchased Power'!BL90</f>
        <v>448194.83009200002</v>
      </c>
      <c r="L806" s="33">
        <f>'Proforma Purchased Power'!BL83+'Proforma Purchased Power'!BL84+'Proforma Purchased Power'!BL95+'Proforma Purchased Power'!BL96</f>
        <v>3377114.9182200003</v>
      </c>
      <c r="M806" s="33">
        <f>'Proforma Purchased Power'!BL76+'Proforma Purchased Power'!BL77</f>
        <v>2669154.8132080003</v>
      </c>
      <c r="N806" s="33">
        <v>0</v>
      </c>
      <c r="O806" s="17">
        <v>0</v>
      </c>
      <c r="P806" s="2">
        <v>0</v>
      </c>
      <c r="Q806" s="2">
        <v>0</v>
      </c>
      <c r="R806" s="17">
        <v>0</v>
      </c>
      <c r="U806" s="17">
        <v>0</v>
      </c>
      <c r="V806" s="17">
        <v>0</v>
      </c>
      <c r="W806" s="17">
        <v>0</v>
      </c>
      <c r="X806" s="17">
        <v>0</v>
      </c>
      <c r="Y806" s="17">
        <v>0</v>
      </c>
      <c r="AA806" s="2">
        <v>0</v>
      </c>
      <c r="AB806" s="17">
        <v>0</v>
      </c>
      <c r="AC806" s="17">
        <v>0</v>
      </c>
      <c r="AG806" s="16">
        <f>SUM(F806:AF806)</f>
        <v>6494464.5615200009</v>
      </c>
      <c r="AH806" s="14" t="str">
        <f t="shared" si="582"/>
        <v>ok</v>
      </c>
    </row>
    <row r="807" spans="1:34" x14ac:dyDescent="0.25">
      <c r="A807" s="2" t="s">
        <v>926</v>
      </c>
      <c r="D807" s="2" t="s">
        <v>954</v>
      </c>
      <c r="E807" s="16">
        <f>E805-E806</f>
        <v>23788562.084229998</v>
      </c>
      <c r="F807" s="65">
        <f>IF(VLOOKUP($D807,$C$5:$AU$836,3,)=0,0,(VLOOKUP($D807,$C$5:$AU$836,4,)/VLOOKUP($D807,$C$5:$AU$836,3,))*$E807)</f>
        <v>16811408.53991016</v>
      </c>
      <c r="G807" s="65">
        <f>IF(VLOOKUP($D807,$C$5:$AU$836,3,)=0,0,(VLOOKUP($D807,$C$5:$AU$836,5,)/VLOOKUP($D807,$C$5:$AU$836,3,))*$E807)</f>
        <v>1515528.4379464241</v>
      </c>
      <c r="H807" s="65">
        <f>IF(VLOOKUP($D807,$C$5:$AU$836,3,)=0,0,(VLOOKUP($D807,$C$5:$AU$836,6,)/VLOOKUP($D807,$C$5:$AU$836,3,))*$E807)</f>
        <v>4348374.5245107366</v>
      </c>
      <c r="I807" s="65">
        <f>IF(VLOOKUP($D807,$C$5:$AU$836,3,)=0,0,(VLOOKUP($D807,$C$5:$AU$836,7,)/VLOOKUP($D807,$C$5:$AU$836,3,))*$E807)</f>
        <v>293143.61212518852</v>
      </c>
      <c r="J807" s="65">
        <f>IF(VLOOKUP($D807,$C$5:$AU$836,3,)=0,0,(VLOOKUP($D807,$C$5:$AU$836,8,)/VLOOKUP($D807,$C$5:$AU$836,3,))*$E807)</f>
        <v>240313.46516341498</v>
      </c>
      <c r="K807" s="65">
        <f>IF(VLOOKUP($D807,$C$5:$AU$836,3,)=0,0,(VLOOKUP($D807,$C$5:$AU$836,9,)/VLOOKUP($D807,$C$5:$AU$836,3,))*$E807)</f>
        <v>0</v>
      </c>
      <c r="L807" s="65">
        <f>IF(VLOOKUP($D807,$C$5:$AU$836,3,)=0,0,(VLOOKUP($D807,$C$5:$AU$836,10,)/VLOOKUP($D807,$C$5:$AU$836,3,))*$E807)</f>
        <v>0</v>
      </c>
      <c r="M807" s="65">
        <f>IF(VLOOKUP($D807,$C$5:$AU$836,3,)=0,0,(VLOOKUP($D807,$C$5:$AU$836,11,)/VLOOKUP($D807,$C$5:$AU$836,3,))*$E807)</f>
        <v>0</v>
      </c>
      <c r="N807" s="65">
        <f>IF(VLOOKUP($D807,$C$5:$AU$836,3,)=0,0,(VLOOKUP($D807,$C$5:$AU$836,12,)/VLOOKUP($D807,$C$5:$AU$836,3,))*$E807)</f>
        <v>579793.50457407825</v>
      </c>
      <c r="O807" s="65">
        <f>IF(VLOOKUP($D807,$C$5:$AU$836,3,)=0,0,(VLOOKUP($D807,$C$5:$AU$836,13,)/VLOOKUP($D807,$C$5:$AU$836,3,))*$E807)</f>
        <v>0</v>
      </c>
      <c r="P807" s="65">
        <f>IF(VLOOKUP($D807,$C$5:$AU$836,3,)=0,0,(VLOOKUP($D807,$C$5:$AU$836,14,)/VLOOKUP($D807,$C$5:$AU$836,3,))*$E807)</f>
        <v>0</v>
      </c>
      <c r="Q807" s="65">
        <f>IF(VLOOKUP($D807,$C$5:$AU$836,3,)=0,0,(VLOOKUP($D807,$C$5:$AU$836,15,)/VLOOKUP($D807,$C$5:$AU$836,3,))*$E807)</f>
        <v>0</v>
      </c>
      <c r="R807" s="65">
        <f>IF(VLOOKUP($D807,$C$5:$AU$836,3,)=0,0,(VLOOKUP($D807,$C$5:$AU$836,16,)/VLOOKUP($D807,$C$5:$AU$836,3,))*$E807)</f>
        <v>0</v>
      </c>
      <c r="S807" s="65">
        <f>IF(VLOOKUP($D807,$C$5:$AU$836,3,)=0,0,(VLOOKUP($D807,$C$5:$AU$836,17,)/VLOOKUP($D807,$C$5:$AU$836,3,))*$E807)</f>
        <v>0</v>
      </c>
      <c r="T807" s="65">
        <f>IF(VLOOKUP($D807,$C$5:$AU$836,3,)=0,0,(VLOOKUP($D807,$C$5:$AU$836,18,)/VLOOKUP($D807,$C$5:$AU$836,3,))*$E807)</f>
        <v>0</v>
      </c>
      <c r="U807" s="65">
        <f>IF(VLOOKUP($D807,$C$5:$AU$836,3,)=0,0,(VLOOKUP($D807,$C$5:$AU$836,19,)/VLOOKUP($D807,$C$5:$AU$836,3,))*$E807)</f>
        <v>0</v>
      </c>
      <c r="V807" s="65">
        <f>IF(VLOOKUP($D807,$C$5:$AU$836,3,)=0,0,(VLOOKUP($D807,$C$5:$AU$836,20,)/VLOOKUP($D807,$C$5:$AU$836,3,))*$E807)</f>
        <v>0</v>
      </c>
      <c r="W807" s="65">
        <f>IF(VLOOKUP($D807,$C$5:$AU$836,3,)=0,0,(VLOOKUP($D807,$C$5:$AU$836,21,)/VLOOKUP($D807,$C$5:$AU$836,3,))*$E807)</f>
        <v>0</v>
      </c>
      <c r="X807" s="65">
        <f>IF(VLOOKUP($D807,$C$5:$AU$836,3,)=0,0,(VLOOKUP($D807,$C$5:$AU$836,22,)/VLOOKUP($D807,$C$5:$AU$836,3,))*$E807)</f>
        <v>0</v>
      </c>
      <c r="Y807" s="65">
        <f>IF(VLOOKUP($D807,$C$5:$AU$836,3,)=0,0,(VLOOKUP($D807,$C$5:$AU$836,23,)/VLOOKUP($D807,$C$5:$AU$836,3,))*$E807)</f>
        <v>0</v>
      </c>
      <c r="Z807" s="65">
        <f>IF(VLOOKUP($D807,$C$5:$AU$836,3,)=0,0,(VLOOKUP($D807,$C$5:$AU$836,24,)/VLOOKUP($D807,$C$5:$AU$836,3,))*$E807)</f>
        <v>0</v>
      </c>
      <c r="AA807" s="65">
        <f>IF(VLOOKUP($D807,$C$5:$AU$836,3,)=0,0,(VLOOKUP($D807,$C$5:$AU$836,25,)/VLOOKUP($D807,$C$5:$AU$836,3,))*$E807)</f>
        <v>0</v>
      </c>
      <c r="AB807" s="65">
        <f>IF(VLOOKUP($D807,$C$5:$AU$836,3,)=0,0,(VLOOKUP($D807,$C$5:$AU$836,26,)/VLOOKUP($D807,$C$5:$AU$836,3,))*$E807)</f>
        <v>0</v>
      </c>
      <c r="AC807" s="65">
        <f>IF(VLOOKUP($D807,$C$5:$AU$836,3,)=0,0,(VLOOKUP($D807,$C$5:$AU$836,27,)/VLOOKUP($D807,$C$5:$AU$836,3,))*$E807)</f>
        <v>0</v>
      </c>
      <c r="AD807" s="65">
        <f>IF(VLOOKUP($D807,$C$5:$AU$836,3,)=0,0,(VLOOKUP($D807,$C$5:$AU$836,28,)/VLOOKUP($D807,$C$5:$AU$836,3,))*$E807)</f>
        <v>0</v>
      </c>
      <c r="AE807" s="65">
        <f>IF(VLOOKUP($D807,$C$5:$AU$836,3,)=0,0,(VLOOKUP($D807,$C$5:$AU$836,29,)/VLOOKUP($D807,$C$5:$AU$836,3,))*$E807)</f>
        <v>0</v>
      </c>
      <c r="AF807" s="65">
        <f>IF(VLOOKUP($D807,$C$5:$AU$836,3,)=0,0,(VLOOKUP($D807,$C$5:$AU$836,30,)/VLOOKUP($D807,$C$5:$AU$836,3,))*$E807)</f>
        <v>0</v>
      </c>
      <c r="AG807" s="16">
        <f>SUM(F807:AF807)</f>
        <v>23788562.084230002</v>
      </c>
      <c r="AH807" s="14" t="str">
        <f t="shared" si="582"/>
        <v>ok</v>
      </c>
    </row>
    <row r="808" spans="1:34" x14ac:dyDescent="0.25">
      <c r="A808" s="2" t="s">
        <v>927</v>
      </c>
      <c r="C808" s="2" t="s">
        <v>955</v>
      </c>
      <c r="E808" s="16">
        <f t="shared" ref="E808:N808" si="583">E806+E807</f>
        <v>30283026.645750001</v>
      </c>
      <c r="F808" s="16">
        <f t="shared" si="583"/>
        <v>16811408.53991016</v>
      </c>
      <c r="G808" s="16">
        <f t="shared" si="583"/>
        <v>1515528.4379464241</v>
      </c>
      <c r="H808" s="16">
        <f t="shared" si="583"/>
        <v>4348374.5245107366</v>
      </c>
      <c r="I808" s="16">
        <f t="shared" si="583"/>
        <v>293143.61212518852</v>
      </c>
      <c r="J808" s="16">
        <f t="shared" si="583"/>
        <v>240313.46516341498</v>
      </c>
      <c r="K808" s="16">
        <f t="shared" si="583"/>
        <v>448194.83009200002</v>
      </c>
      <c r="L808" s="16">
        <f t="shared" si="583"/>
        <v>3377114.9182200003</v>
      </c>
      <c r="M808" s="16">
        <f t="shared" si="583"/>
        <v>2669154.8132080003</v>
      </c>
      <c r="N808" s="16">
        <f t="shared" si="583"/>
        <v>579793.50457407825</v>
      </c>
      <c r="O808" s="16">
        <f t="shared" ref="O808:AF808" si="584">O806+O807</f>
        <v>0</v>
      </c>
      <c r="P808" s="16">
        <f t="shared" si="584"/>
        <v>0</v>
      </c>
      <c r="Q808" s="16">
        <f t="shared" si="584"/>
        <v>0</v>
      </c>
      <c r="R808" s="16">
        <f t="shared" si="584"/>
        <v>0</v>
      </c>
      <c r="S808" s="16">
        <f t="shared" si="584"/>
        <v>0</v>
      </c>
      <c r="T808" s="16">
        <f t="shared" si="584"/>
        <v>0</v>
      </c>
      <c r="U808" s="16">
        <f t="shared" si="584"/>
        <v>0</v>
      </c>
      <c r="V808" s="16">
        <f t="shared" si="584"/>
        <v>0</v>
      </c>
      <c r="W808" s="16">
        <f t="shared" si="584"/>
        <v>0</v>
      </c>
      <c r="X808" s="16">
        <f t="shared" si="584"/>
        <v>0</v>
      </c>
      <c r="Y808" s="16">
        <f t="shared" si="584"/>
        <v>0</v>
      </c>
      <c r="Z808" s="16">
        <f t="shared" si="584"/>
        <v>0</v>
      </c>
      <c r="AA808" s="16">
        <f t="shared" si="584"/>
        <v>0</v>
      </c>
      <c r="AB808" s="16">
        <f t="shared" si="584"/>
        <v>0</v>
      </c>
      <c r="AC808" s="16">
        <f t="shared" si="584"/>
        <v>0</v>
      </c>
      <c r="AD808" s="16">
        <f t="shared" si="584"/>
        <v>0</v>
      </c>
      <c r="AE808" s="16">
        <f t="shared" si="584"/>
        <v>0</v>
      </c>
      <c r="AF808" s="16">
        <f t="shared" si="584"/>
        <v>0</v>
      </c>
      <c r="AG808" s="16">
        <f>SUM(F808:AF808)</f>
        <v>30283026.645750005</v>
      </c>
      <c r="AH808" s="14" t="str">
        <f t="shared" si="582"/>
        <v>ok</v>
      </c>
    </row>
    <row r="809" spans="1:34" x14ac:dyDescent="0.25">
      <c r="A809" s="2" t="s">
        <v>924</v>
      </c>
      <c r="C809" s="2" t="s">
        <v>953</v>
      </c>
      <c r="D809" s="2" t="s">
        <v>955</v>
      </c>
      <c r="E809" s="43">
        <v>1</v>
      </c>
      <c r="F809" s="77">
        <f>IF(VLOOKUP($D809,$C$5:$AU$836,3,)=0,0,(VLOOKUP($D809,$C$5:$AU$836,4,)/VLOOKUP($D809,$C$5:$AU$836,3,))*$E809)</f>
        <v>0.55514294315986135</v>
      </c>
      <c r="G809" s="77">
        <f>IF(VLOOKUP($D809,$C$5:$AU$836,3,)=0,0,(VLOOKUP($D809,$C$5:$AU$836,5,)/VLOOKUP($D809,$C$5:$AU$836,3,))*$E809)</f>
        <v>5.004547450540639E-2</v>
      </c>
      <c r="H809" s="77">
        <f>IF(VLOOKUP($D809,$C$5:$AU$836,3,)=0,0,(VLOOKUP($D809,$C$5:$AU$836,6,)/VLOOKUP($D809,$C$5:$AU$836,3,))*$E809)</f>
        <v>0.14359114679579094</v>
      </c>
      <c r="I809" s="77">
        <f>IF(VLOOKUP($D809,$C$5:$AU$836,3,)=0,0,(VLOOKUP($D809,$C$5:$AU$836,7,)/VLOOKUP($D809,$C$5:$AU$836,3,))*$E809)</f>
        <v>9.6801292537359064E-3</v>
      </c>
      <c r="J809" s="77">
        <f>IF(VLOOKUP($D809,$C$5:$AU$836,3,)=0,0,(VLOOKUP($D809,$C$5:$AU$836,8,)/VLOOKUP($D809,$C$5:$AU$836,3,))*$E809)</f>
        <v>7.9355827927834015E-3</v>
      </c>
      <c r="K809" s="77">
        <f>IF(VLOOKUP($D809,$C$5:$AU$836,3,)=0,0,(VLOOKUP($D809,$C$5:$AU$836,9,)/VLOOKUP($D809,$C$5:$AU$836,3,))*$E809)</f>
        <v>1.4800199310820897E-2</v>
      </c>
      <c r="L809" s="77">
        <f>IF(VLOOKUP($D809,$C$5:$AU$836,3,)=0,0,(VLOOKUP($D809,$C$5:$AU$836,10,)/VLOOKUP($D809,$C$5:$AU$836,3,))*$E809)</f>
        <v>0.11151840790966491</v>
      </c>
      <c r="M809" s="77">
        <f>IF(VLOOKUP($D809,$C$5:$AU$836,3,)=0,0,(VLOOKUP($D809,$C$5:$AU$836,11,)/VLOOKUP($D809,$C$5:$AU$836,3,))*$E809)</f>
        <v>8.8140292066301654E-2</v>
      </c>
      <c r="N809" s="77">
        <f>IF(VLOOKUP($D809,$C$5:$AU$836,3,)=0,0,(VLOOKUP($D809,$C$5:$AU$836,12,)/VLOOKUP($D809,$C$5:$AU$836,3,))*$E809)</f>
        <v>1.9145824205634609E-2</v>
      </c>
      <c r="O809" s="77">
        <f>IF(VLOOKUP($D809,$C$5:$AU$836,3,)=0,0,(VLOOKUP($D809,$C$5:$AU$836,13,)/VLOOKUP($D809,$C$5:$AU$836,3,))*$E809)</f>
        <v>0</v>
      </c>
      <c r="P809" s="77">
        <f>IF(VLOOKUP($D809,$C$5:$AU$836,3,)=0,0,(VLOOKUP($D809,$C$5:$AU$836,14,)/VLOOKUP($D809,$C$5:$AU$836,3,))*$E809)</f>
        <v>0</v>
      </c>
      <c r="Q809" s="77">
        <f>IF(VLOOKUP($D809,$C$5:$AU$836,3,)=0,0,(VLOOKUP($D809,$C$5:$AU$836,15,)/VLOOKUP($D809,$C$5:$AU$836,3,))*$E809)</f>
        <v>0</v>
      </c>
      <c r="R809" s="77">
        <f>IF(VLOOKUP($D809,$C$5:$AU$836,3,)=0,0,(VLOOKUP($D809,$C$5:$AU$836,16,)/VLOOKUP($D809,$C$5:$AU$836,3,))*$E809)</f>
        <v>0</v>
      </c>
      <c r="S809" s="77">
        <f>IF(VLOOKUP($D809,$C$5:$AU$836,3,)=0,0,(VLOOKUP($D809,$C$5:$AU$836,17,)/VLOOKUP($D809,$C$5:$AU$836,3,))*$E809)</f>
        <v>0</v>
      </c>
      <c r="T809" s="77">
        <f>IF(VLOOKUP($D809,$C$5:$AU$836,3,)=0,0,(VLOOKUP($D809,$C$5:$AU$836,18,)/VLOOKUP($D809,$C$5:$AU$836,3,))*$E809)</f>
        <v>0</v>
      </c>
      <c r="U809" s="77">
        <f>IF(VLOOKUP($D809,$C$5:$AU$836,3,)=0,0,(VLOOKUP($D809,$C$5:$AU$836,19,)/VLOOKUP($D809,$C$5:$AU$836,3,))*$E809)</f>
        <v>0</v>
      </c>
      <c r="V809" s="77">
        <f>IF(VLOOKUP($D809,$C$5:$AU$836,3,)=0,0,(VLOOKUP($D809,$C$5:$AU$836,20,)/VLOOKUP($D809,$C$5:$AU$836,3,))*$E809)</f>
        <v>0</v>
      </c>
      <c r="W809" s="77">
        <f>IF(VLOOKUP($D809,$C$5:$AU$836,3,)=0,0,(VLOOKUP($D809,$C$5:$AU$836,21,)/VLOOKUP($D809,$C$5:$AU$836,3,))*$E809)</f>
        <v>0</v>
      </c>
      <c r="X809" s="77">
        <f>IF(VLOOKUP($D809,$C$5:$AU$836,3,)=0,0,(VLOOKUP($D809,$C$5:$AU$836,22,)/VLOOKUP($D809,$C$5:$AU$836,3,))*$E809)</f>
        <v>0</v>
      </c>
      <c r="Y809" s="77">
        <f>IF(VLOOKUP($D809,$C$5:$AU$836,3,)=0,0,(VLOOKUP($D809,$C$5:$AU$836,23,)/VLOOKUP($D809,$C$5:$AU$836,3,))*$E809)</f>
        <v>0</v>
      </c>
      <c r="Z809" s="77">
        <f>IF(VLOOKUP($D809,$C$5:$AU$836,3,)=0,0,(VLOOKUP($D809,$C$5:$AU$836,24,)/VLOOKUP($D809,$C$5:$AU$836,3,))*$E809)</f>
        <v>0</v>
      </c>
      <c r="AA809" s="77">
        <f>IF(VLOOKUP($D809,$C$5:$AU$836,3,)=0,0,(VLOOKUP($D809,$C$5:$AU$836,25,)/VLOOKUP($D809,$C$5:$AU$836,3,))*$E809)</f>
        <v>0</v>
      </c>
      <c r="AB809" s="77">
        <f>IF(VLOOKUP($D809,$C$5:$AU$836,3,)=0,0,(VLOOKUP($D809,$C$5:$AU$836,26,)/VLOOKUP($D809,$C$5:$AU$836,3,))*$E809)</f>
        <v>0</v>
      </c>
      <c r="AC809" s="77">
        <f>IF(VLOOKUP($D809,$C$5:$AU$836,3,)=0,0,(VLOOKUP($D809,$C$5:$AU$836,27,)/VLOOKUP($D809,$C$5:$AU$836,3,))*$E809)</f>
        <v>0</v>
      </c>
      <c r="AD809" s="77">
        <f>IF(VLOOKUP($D809,$C$5:$AU$836,3,)=0,0,(VLOOKUP($D809,$C$5:$AU$836,28,)/VLOOKUP($D809,$C$5:$AU$836,3,))*$E809)</f>
        <v>0</v>
      </c>
      <c r="AE809" s="77">
        <f>IF(VLOOKUP($D809,$C$5:$AU$836,3,)=0,0,(VLOOKUP($D809,$C$5:$AU$836,29,)/VLOOKUP($D809,$C$5:$AU$836,3,))*$E809)</f>
        <v>0</v>
      </c>
      <c r="AF809" s="77">
        <f>IF(VLOOKUP($D809,$C$5:$AU$836,3,)=0,0,(VLOOKUP($D809,$C$5:$AU$836,30,)/VLOOKUP($D809,$C$5:$AU$836,3,))*$E809)</f>
        <v>0</v>
      </c>
      <c r="AG809" s="73">
        <f>SUM(F809:AF809)</f>
        <v>1.0000000000000002</v>
      </c>
      <c r="AH809" s="14" t="str">
        <f t="shared" si="582"/>
        <v>ok</v>
      </c>
    </row>
    <row r="810" spans="1:34" x14ac:dyDescent="0.25">
      <c r="E810" s="43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  <c r="AC810" s="77"/>
      <c r="AD810" s="77"/>
      <c r="AE810" s="77"/>
      <c r="AF810" s="77"/>
      <c r="AG810" s="16"/>
      <c r="AH810" s="14"/>
    </row>
    <row r="812" spans="1:34" x14ac:dyDescent="0.25">
      <c r="A812" s="7" t="s">
        <v>946</v>
      </c>
    </row>
    <row r="814" spans="1:34" x14ac:dyDescent="0.25">
      <c r="A814" s="118" t="s">
        <v>12</v>
      </c>
      <c r="E814" s="16">
        <f t="shared" ref="E814:AF814" si="585">E180</f>
        <v>19679910.880000003</v>
      </c>
      <c r="F814" s="16">
        <f t="shared" si="585"/>
        <v>14414129.239034249</v>
      </c>
      <c r="G814" s="16">
        <f t="shared" si="585"/>
        <v>772988.6526527208</v>
      </c>
      <c r="H814" s="16">
        <f t="shared" si="585"/>
        <v>1713030.3980972418</v>
      </c>
      <c r="I814" s="16">
        <f t="shared" si="585"/>
        <v>153627.5605403838</v>
      </c>
      <c r="J814" s="16">
        <f t="shared" si="585"/>
        <v>116212.65363933834</v>
      </c>
      <c r="K814" s="16">
        <f t="shared" si="585"/>
        <v>197891.99999999997</v>
      </c>
      <c r="L814" s="16">
        <f t="shared" si="585"/>
        <v>1222556.7000000002</v>
      </c>
      <c r="M814" s="16">
        <f t="shared" si="585"/>
        <v>962948.68000000017</v>
      </c>
      <c r="N814" s="16">
        <f t="shared" si="585"/>
        <v>126524.99603606931</v>
      </c>
      <c r="O814" s="16">
        <f t="shared" si="585"/>
        <v>0</v>
      </c>
      <c r="P814" s="16">
        <f t="shared" si="585"/>
        <v>0</v>
      </c>
      <c r="Q814" s="16">
        <f t="shared" si="585"/>
        <v>0</v>
      </c>
      <c r="R814" s="16">
        <f t="shared" si="585"/>
        <v>0</v>
      </c>
      <c r="S814" s="16">
        <f t="shared" si="585"/>
        <v>0</v>
      </c>
      <c r="T814" s="16">
        <f t="shared" si="585"/>
        <v>0</v>
      </c>
      <c r="U814" s="16">
        <f t="shared" si="585"/>
        <v>0</v>
      </c>
      <c r="V814" s="16">
        <f t="shared" si="585"/>
        <v>0</v>
      </c>
      <c r="W814" s="16">
        <f t="shared" si="585"/>
        <v>0</v>
      </c>
      <c r="X814" s="16">
        <f t="shared" si="585"/>
        <v>0</v>
      </c>
      <c r="Y814" s="16">
        <f t="shared" si="585"/>
        <v>0</v>
      </c>
      <c r="Z814" s="16">
        <f t="shared" si="585"/>
        <v>0</v>
      </c>
      <c r="AA814" s="16">
        <f t="shared" si="585"/>
        <v>0</v>
      </c>
      <c r="AB814" s="16">
        <f t="shared" si="585"/>
        <v>0</v>
      </c>
      <c r="AC814" s="16">
        <f t="shared" si="585"/>
        <v>0</v>
      </c>
      <c r="AD814" s="16">
        <f t="shared" si="585"/>
        <v>0</v>
      </c>
      <c r="AE814" s="16">
        <f t="shared" si="585"/>
        <v>0</v>
      </c>
      <c r="AF814" s="16">
        <f t="shared" si="585"/>
        <v>0</v>
      </c>
      <c r="AG814" s="16">
        <f t="shared" ref="AG814:AG821" si="586">SUM(F814:AF814)</f>
        <v>19679910.880000003</v>
      </c>
      <c r="AH814" s="14" t="str">
        <f t="shared" ref="AH814:AH822" si="587">IF(ABS(E814-AG814)&lt;0.01,"ok","err")</f>
        <v>ok</v>
      </c>
    </row>
    <row r="815" spans="1:34" x14ac:dyDescent="0.25">
      <c r="A815" s="118" t="s">
        <v>1082</v>
      </c>
      <c r="E815" s="16">
        <f t="shared" ref="E815:X815" si="588">E181+E295+E352+E409</f>
        <v>1704216</v>
      </c>
      <c r="F815" s="16">
        <f t="shared" si="588"/>
        <v>1211280.6733461085</v>
      </c>
      <c r="G815" s="16">
        <f t="shared" si="588"/>
        <v>79273.293725205032</v>
      </c>
      <c r="H815" s="16">
        <f t="shared" si="588"/>
        <v>201280.57207980807</v>
      </c>
      <c r="I815" s="16">
        <f t="shared" si="588"/>
        <v>20691.865447061387</v>
      </c>
      <c r="J815" s="16">
        <f t="shared" si="588"/>
        <v>20295.035150816373</v>
      </c>
      <c r="K815" s="16">
        <f t="shared" si="588"/>
        <v>11191.23279093468</v>
      </c>
      <c r="L815" s="16">
        <f t="shared" si="588"/>
        <v>78783.909204411146</v>
      </c>
      <c r="M815" s="16">
        <f t="shared" si="588"/>
        <v>59185.022619652955</v>
      </c>
      <c r="N815" s="16">
        <f t="shared" si="588"/>
        <v>22234.395636001482</v>
      </c>
      <c r="O815" s="16">
        <f t="shared" si="588"/>
        <v>0</v>
      </c>
      <c r="P815" s="16">
        <f t="shared" si="588"/>
        <v>0</v>
      </c>
      <c r="Q815" s="16">
        <f t="shared" si="588"/>
        <v>0</v>
      </c>
      <c r="R815" s="16">
        <f t="shared" si="588"/>
        <v>0</v>
      </c>
      <c r="S815" s="16">
        <f t="shared" si="588"/>
        <v>0</v>
      </c>
      <c r="T815" s="16">
        <f t="shared" si="588"/>
        <v>0</v>
      </c>
      <c r="U815" s="16">
        <f t="shared" si="588"/>
        <v>0</v>
      </c>
      <c r="V815" s="16">
        <f t="shared" si="588"/>
        <v>0</v>
      </c>
      <c r="W815" s="16">
        <f t="shared" si="588"/>
        <v>0</v>
      </c>
      <c r="X815" s="16">
        <f t="shared" si="588"/>
        <v>0</v>
      </c>
      <c r="Y815" s="16"/>
      <c r="Z815" s="16"/>
      <c r="AA815" s="16"/>
      <c r="AB815" s="16"/>
      <c r="AC815" s="16"/>
      <c r="AD815" s="16"/>
      <c r="AE815" s="16"/>
      <c r="AF815" s="16"/>
      <c r="AG815" s="16">
        <f t="shared" si="586"/>
        <v>1704215.9999999995</v>
      </c>
      <c r="AH815" s="14" t="str">
        <f t="shared" si="587"/>
        <v>ok</v>
      </c>
    </row>
    <row r="816" spans="1:34" x14ac:dyDescent="0.25">
      <c r="A816" s="118" t="s">
        <v>1044</v>
      </c>
      <c r="E816" s="16">
        <f t="shared" ref="E816:X816" si="589">E182+E296+E353+E410</f>
        <v>-130049</v>
      </c>
      <c r="F816" s="16">
        <f t="shared" si="589"/>
        <v>-130049</v>
      </c>
      <c r="G816" s="16">
        <f t="shared" si="589"/>
        <v>0</v>
      </c>
      <c r="H816" s="16">
        <f t="shared" si="589"/>
        <v>0</v>
      </c>
      <c r="I816" s="16">
        <f t="shared" si="589"/>
        <v>0</v>
      </c>
      <c r="J816" s="16">
        <f t="shared" si="589"/>
        <v>0</v>
      </c>
      <c r="K816" s="16">
        <f t="shared" si="589"/>
        <v>0</v>
      </c>
      <c r="L816" s="16">
        <f t="shared" si="589"/>
        <v>0</v>
      </c>
      <c r="M816" s="16">
        <f t="shared" si="589"/>
        <v>0</v>
      </c>
      <c r="N816" s="16">
        <f t="shared" si="589"/>
        <v>0</v>
      </c>
      <c r="O816" s="16">
        <f t="shared" si="589"/>
        <v>0</v>
      </c>
      <c r="P816" s="16">
        <f t="shared" si="589"/>
        <v>0</v>
      </c>
      <c r="Q816" s="16">
        <f t="shared" si="589"/>
        <v>0</v>
      </c>
      <c r="R816" s="16">
        <f t="shared" si="589"/>
        <v>0</v>
      </c>
      <c r="S816" s="16">
        <f t="shared" si="589"/>
        <v>0</v>
      </c>
      <c r="T816" s="16">
        <f t="shared" si="589"/>
        <v>0</v>
      </c>
      <c r="U816" s="16">
        <f t="shared" si="589"/>
        <v>0</v>
      </c>
      <c r="V816" s="16">
        <f t="shared" si="589"/>
        <v>0</v>
      </c>
      <c r="W816" s="16">
        <f t="shared" si="589"/>
        <v>0</v>
      </c>
      <c r="X816" s="16">
        <f t="shared" si="589"/>
        <v>0</v>
      </c>
      <c r="Y816" s="16"/>
      <c r="Z816" s="16"/>
      <c r="AA816" s="16"/>
      <c r="AB816" s="16"/>
      <c r="AC816" s="16"/>
      <c r="AD816" s="16"/>
      <c r="AE816" s="16"/>
      <c r="AF816" s="16"/>
      <c r="AG816" s="16">
        <f t="shared" si="586"/>
        <v>-130049</v>
      </c>
      <c r="AH816" s="14" t="str">
        <f t="shared" si="587"/>
        <v>ok</v>
      </c>
    </row>
    <row r="817" spans="1:34" x14ac:dyDescent="0.25">
      <c r="A817" s="118" t="s">
        <v>984</v>
      </c>
      <c r="E817" s="16">
        <f t="shared" ref="E817:X817" si="590">E183+E297+E354+E411</f>
        <v>-6340583</v>
      </c>
      <c r="F817" s="16">
        <f t="shared" si="590"/>
        <v>-4006180.9014360947</v>
      </c>
      <c r="G817" s="16">
        <f t="shared" si="590"/>
        <v>-357248.67013613234</v>
      </c>
      <c r="H817" s="16">
        <f t="shared" si="590"/>
        <v>-991280.46713355021</v>
      </c>
      <c r="I817" s="16">
        <f t="shared" si="590"/>
        <v>-70210.61624355473</v>
      </c>
      <c r="J817" s="16">
        <f t="shared" si="590"/>
        <v>-55594.352286120484</v>
      </c>
      <c r="K817" s="16">
        <f t="shared" si="590"/>
        <v>-52376</v>
      </c>
      <c r="L817" s="16">
        <f t="shared" si="590"/>
        <v>-402866</v>
      </c>
      <c r="M817" s="16">
        <f t="shared" si="590"/>
        <v>-322317</v>
      </c>
      <c r="N817" s="16">
        <f t="shared" si="590"/>
        <v>-82508.992764547642</v>
      </c>
      <c r="O817" s="16">
        <f t="shared" si="590"/>
        <v>0</v>
      </c>
      <c r="P817" s="16">
        <f t="shared" si="590"/>
        <v>0</v>
      </c>
      <c r="Q817" s="16">
        <f t="shared" si="590"/>
        <v>0</v>
      </c>
      <c r="R817" s="16">
        <f t="shared" si="590"/>
        <v>0</v>
      </c>
      <c r="S817" s="16">
        <f t="shared" si="590"/>
        <v>0</v>
      </c>
      <c r="T817" s="16">
        <f t="shared" si="590"/>
        <v>0</v>
      </c>
      <c r="U817" s="16">
        <f t="shared" si="590"/>
        <v>0</v>
      </c>
      <c r="V817" s="16">
        <f t="shared" si="590"/>
        <v>0</v>
      </c>
      <c r="W817" s="16">
        <f t="shared" si="590"/>
        <v>0</v>
      </c>
      <c r="X817" s="16">
        <f t="shared" si="590"/>
        <v>0</v>
      </c>
      <c r="Y817" s="16">
        <f t="shared" ref="Y817:AF819" si="591">Y183+Y297+Y354+Y411</f>
        <v>0</v>
      </c>
      <c r="Z817" s="16">
        <f t="shared" si="591"/>
        <v>0</v>
      </c>
      <c r="AA817" s="16">
        <f t="shared" si="591"/>
        <v>0</v>
      </c>
      <c r="AB817" s="16">
        <f t="shared" si="591"/>
        <v>0</v>
      </c>
      <c r="AC817" s="16">
        <f t="shared" si="591"/>
        <v>0</v>
      </c>
      <c r="AD817" s="16">
        <f t="shared" si="591"/>
        <v>0</v>
      </c>
      <c r="AE817" s="16">
        <f t="shared" si="591"/>
        <v>0</v>
      </c>
      <c r="AF817" s="16">
        <f t="shared" si="591"/>
        <v>0</v>
      </c>
      <c r="AG817" s="16">
        <f t="shared" si="586"/>
        <v>-6340583</v>
      </c>
      <c r="AH817" s="14" t="str">
        <f t="shared" si="587"/>
        <v>ok</v>
      </c>
    </row>
    <row r="818" spans="1:34" x14ac:dyDescent="0.25">
      <c r="A818" s="118" t="s">
        <v>859</v>
      </c>
      <c r="E818" s="16">
        <f t="shared" ref="E818:X818" si="592">E184+E298+E355+E412</f>
        <v>29509797.417011004</v>
      </c>
      <c r="F818" s="16">
        <f t="shared" si="592"/>
        <v>21627655.283922203</v>
      </c>
      <c r="G818" s="16">
        <f t="shared" si="592"/>
        <v>1909354.3853024251</v>
      </c>
      <c r="H818" s="16">
        <f t="shared" si="592"/>
        <v>5129554.0182285057</v>
      </c>
      <c r="I818" s="16">
        <f t="shared" si="592"/>
        <v>380785.75732671528</v>
      </c>
      <c r="J818" s="16">
        <f t="shared" si="592"/>
        <v>291869.87003704632</v>
      </c>
      <c r="K818" s="16">
        <f t="shared" si="592"/>
        <v>0</v>
      </c>
      <c r="L818" s="16">
        <f t="shared" si="592"/>
        <v>0</v>
      </c>
      <c r="M818" s="16">
        <f t="shared" si="592"/>
        <v>0</v>
      </c>
      <c r="N818" s="16">
        <f t="shared" si="592"/>
        <v>170578.10219411104</v>
      </c>
      <c r="O818" s="16">
        <f t="shared" si="592"/>
        <v>0</v>
      </c>
      <c r="P818" s="16">
        <f t="shared" si="592"/>
        <v>0</v>
      </c>
      <c r="Q818" s="16">
        <f t="shared" si="592"/>
        <v>0</v>
      </c>
      <c r="R818" s="16">
        <f t="shared" si="592"/>
        <v>0</v>
      </c>
      <c r="S818" s="16">
        <f t="shared" si="592"/>
        <v>0</v>
      </c>
      <c r="T818" s="16">
        <f t="shared" si="592"/>
        <v>0</v>
      </c>
      <c r="U818" s="16">
        <f t="shared" si="592"/>
        <v>0</v>
      </c>
      <c r="V818" s="16">
        <f t="shared" si="592"/>
        <v>0</v>
      </c>
      <c r="W818" s="16">
        <f t="shared" si="592"/>
        <v>0</v>
      </c>
      <c r="X818" s="16">
        <f t="shared" si="592"/>
        <v>0</v>
      </c>
      <c r="Y818" s="16">
        <f t="shared" si="591"/>
        <v>0</v>
      </c>
      <c r="Z818" s="16">
        <f t="shared" si="591"/>
        <v>0</v>
      </c>
      <c r="AA818" s="16">
        <f t="shared" si="591"/>
        <v>0</v>
      </c>
      <c r="AB818" s="16">
        <f t="shared" si="591"/>
        <v>0</v>
      </c>
      <c r="AC818" s="16">
        <f t="shared" si="591"/>
        <v>0</v>
      </c>
      <c r="AD818" s="16">
        <f t="shared" si="591"/>
        <v>0</v>
      </c>
      <c r="AE818" s="16">
        <f t="shared" si="591"/>
        <v>0</v>
      </c>
      <c r="AF818" s="16">
        <f t="shared" si="591"/>
        <v>0</v>
      </c>
      <c r="AG818" s="16">
        <f t="shared" si="586"/>
        <v>29509797.417011004</v>
      </c>
      <c r="AH818" s="14" t="str">
        <f t="shared" si="587"/>
        <v>ok</v>
      </c>
    </row>
    <row r="819" spans="1:34" x14ac:dyDescent="0.25">
      <c r="A819" s="118" t="s">
        <v>1083</v>
      </c>
      <c r="E819" s="16">
        <f t="shared" ref="E819:X819" si="593">E185+E299+E356+E413</f>
        <v>29823651.702989001</v>
      </c>
      <c r="F819" s="16">
        <f t="shared" si="593"/>
        <v>16444705.988909721</v>
      </c>
      <c r="G819" s="16">
        <f t="shared" si="593"/>
        <v>1482470.6401426697</v>
      </c>
      <c r="H819" s="16">
        <f t="shared" si="593"/>
        <v>4253524.6475918619</v>
      </c>
      <c r="I819" s="16">
        <f t="shared" si="593"/>
        <v>286749.3525293555</v>
      </c>
      <c r="J819" s="16">
        <f t="shared" si="593"/>
        <v>235071.57478248858</v>
      </c>
      <c r="K819" s="16">
        <f t="shared" si="593"/>
        <v>451861.05688599998</v>
      </c>
      <c r="L819" s="16">
        <f t="shared" si="593"/>
        <v>3408128.4290300002</v>
      </c>
      <c r="M819" s="16">
        <f t="shared" si="593"/>
        <v>2693993.382044001</v>
      </c>
      <c r="N819" s="16">
        <f t="shared" si="593"/>
        <v>567146.63107290433</v>
      </c>
      <c r="O819" s="16">
        <f t="shared" si="593"/>
        <v>0</v>
      </c>
      <c r="P819" s="16">
        <f t="shared" si="593"/>
        <v>0</v>
      </c>
      <c r="Q819" s="16">
        <f t="shared" si="593"/>
        <v>0</v>
      </c>
      <c r="R819" s="16">
        <f t="shared" si="593"/>
        <v>0</v>
      </c>
      <c r="S819" s="16">
        <f t="shared" si="593"/>
        <v>0</v>
      </c>
      <c r="T819" s="16">
        <f t="shared" si="593"/>
        <v>0</v>
      </c>
      <c r="U819" s="16">
        <f t="shared" si="593"/>
        <v>0</v>
      </c>
      <c r="V819" s="16">
        <f t="shared" si="593"/>
        <v>0</v>
      </c>
      <c r="W819" s="16">
        <f t="shared" si="593"/>
        <v>0</v>
      </c>
      <c r="X819" s="16">
        <f t="shared" si="593"/>
        <v>0</v>
      </c>
      <c r="Y819" s="16">
        <f t="shared" si="591"/>
        <v>0</v>
      </c>
      <c r="Z819" s="16">
        <f t="shared" si="591"/>
        <v>0</v>
      </c>
      <c r="AA819" s="16">
        <f t="shared" si="591"/>
        <v>0</v>
      </c>
      <c r="AB819" s="16">
        <f t="shared" si="591"/>
        <v>0</v>
      </c>
      <c r="AC819" s="16">
        <f t="shared" si="591"/>
        <v>0</v>
      </c>
      <c r="AD819" s="16">
        <f t="shared" si="591"/>
        <v>0</v>
      </c>
      <c r="AE819" s="16">
        <f t="shared" si="591"/>
        <v>0</v>
      </c>
      <c r="AF819" s="16">
        <f t="shared" si="591"/>
        <v>0</v>
      </c>
      <c r="AG819" s="16">
        <f t="shared" ref="AG819" si="594">SUM(F819:AF819)</f>
        <v>29823651.702989001</v>
      </c>
      <c r="AH819" s="14" t="str">
        <f t="shared" ref="AH819" si="595">IF(ABS(E819-AG819)&lt;0.01,"ok","err")</f>
        <v>ok</v>
      </c>
    </row>
    <row r="820" spans="1:34" x14ac:dyDescent="0.25">
      <c r="A820" s="2" t="s">
        <v>632</v>
      </c>
      <c r="E820" s="16">
        <f t="shared" ref="E820:N820" si="596">(E191+E194+E197+E200+E205+E210+E215+E305+E308+E311+E314+E319+E324+E329+E362+E365+E368+E371+E376+E381+E386+E419+E422+E425+E428+E433+E438+E443)-E469-E470-E471-E472-E473-E474</f>
        <v>11301964.608506178</v>
      </c>
      <c r="F820" s="16">
        <f t="shared" si="596"/>
        <v>7075329.1796399746</v>
      </c>
      <c r="G820" s="16">
        <f t="shared" si="596"/>
        <v>777665.00859449885</v>
      </c>
      <c r="H820" s="16">
        <f t="shared" si="596"/>
        <v>2304950.965791842</v>
      </c>
      <c r="I820" s="16">
        <f t="shared" si="596"/>
        <v>290752.33944320405</v>
      </c>
      <c r="J820" s="16">
        <f t="shared" si="596"/>
        <v>241921.4642748989</v>
      </c>
      <c r="K820" s="16">
        <f t="shared" si="596"/>
        <v>1417.2451920611948</v>
      </c>
      <c r="L820" s="16">
        <f t="shared" si="596"/>
        <v>-34436.289507031208</v>
      </c>
      <c r="M820" s="16">
        <f t="shared" si="596"/>
        <v>587348.66241031315</v>
      </c>
      <c r="N820" s="16">
        <f t="shared" si="596"/>
        <v>57016.032666418207</v>
      </c>
      <c r="O820" s="16">
        <f t="shared" ref="O820:AF820" si="597">(O191+O194+O197+O200+O205+O210+O215+O305+O308+O311+O314+O319+O324+O329+O362+O365+O368+O371+O376+O381+O386+O419+O422+O425+O428+O433+O438+O443)-O471-O472-O473-O474</f>
        <v>0</v>
      </c>
      <c r="P820" s="16">
        <f t="shared" si="597"/>
        <v>0</v>
      </c>
      <c r="Q820" s="16">
        <f t="shared" si="597"/>
        <v>0</v>
      </c>
      <c r="R820" s="16">
        <f t="shared" si="597"/>
        <v>0</v>
      </c>
      <c r="S820" s="16">
        <f t="shared" si="597"/>
        <v>0</v>
      </c>
      <c r="T820" s="16">
        <f t="shared" si="597"/>
        <v>0</v>
      </c>
      <c r="U820" s="16">
        <f t="shared" si="597"/>
        <v>0</v>
      </c>
      <c r="V820" s="16">
        <f t="shared" si="597"/>
        <v>0</v>
      </c>
      <c r="W820" s="16">
        <f t="shared" si="597"/>
        <v>0</v>
      </c>
      <c r="X820" s="16">
        <f t="shared" si="597"/>
        <v>0</v>
      </c>
      <c r="Y820" s="16">
        <f t="shared" si="597"/>
        <v>0</v>
      </c>
      <c r="Z820" s="16">
        <f t="shared" si="597"/>
        <v>0</v>
      </c>
      <c r="AA820" s="16">
        <f t="shared" si="597"/>
        <v>0</v>
      </c>
      <c r="AB820" s="16">
        <f t="shared" si="597"/>
        <v>0</v>
      </c>
      <c r="AC820" s="16">
        <f t="shared" si="597"/>
        <v>0</v>
      </c>
      <c r="AD820" s="16">
        <f t="shared" si="597"/>
        <v>0</v>
      </c>
      <c r="AE820" s="16">
        <f t="shared" si="597"/>
        <v>0</v>
      </c>
      <c r="AF820" s="16">
        <f t="shared" si="597"/>
        <v>0</v>
      </c>
      <c r="AG820" s="16">
        <f t="shared" si="586"/>
        <v>11301964.60850618</v>
      </c>
      <c r="AH820" s="14" t="str">
        <f t="shared" si="587"/>
        <v>ok</v>
      </c>
    </row>
    <row r="821" spans="1:34" x14ac:dyDescent="0.25">
      <c r="A821" s="2" t="s">
        <v>633</v>
      </c>
      <c r="E821" s="13">
        <f t="shared" ref="E821:AF821" si="598">(E201+E206+E211+E216+E220+E223+E226+E229+E315+E320+E325+E330+E334+E337+E340+E343+E372+E377+E382+E387+E391+E394+E397+E400+E429+E434+E439+E444+E448+E451+E454+E457)</f>
        <v>17516275.401493829</v>
      </c>
      <c r="F821" s="13">
        <f t="shared" si="598"/>
        <v>14237021.365814831</v>
      </c>
      <c r="G821" s="13">
        <f t="shared" si="598"/>
        <v>1626762.3588515529</v>
      </c>
      <c r="H821" s="13">
        <f t="shared" si="598"/>
        <v>257653.46698459648</v>
      </c>
      <c r="I821" s="13">
        <f t="shared" si="598"/>
        <v>53848.014207555927</v>
      </c>
      <c r="J821" s="13">
        <f t="shared" si="598"/>
        <v>9662.3761381956774</v>
      </c>
      <c r="K821" s="13">
        <f t="shared" si="598"/>
        <v>1869.5116957732714</v>
      </c>
      <c r="L821" s="13">
        <f t="shared" si="598"/>
        <v>3739.0233915465428</v>
      </c>
      <c r="M821" s="13">
        <f t="shared" si="598"/>
        <v>3746.9168974886461</v>
      </c>
      <c r="N821" s="13">
        <f t="shared" si="598"/>
        <v>1321972.3675122785</v>
      </c>
      <c r="O821" s="13">
        <f t="shared" si="598"/>
        <v>0</v>
      </c>
      <c r="P821" s="13">
        <f t="shared" si="598"/>
        <v>0</v>
      </c>
      <c r="Q821" s="13">
        <f t="shared" si="598"/>
        <v>0</v>
      </c>
      <c r="R821" s="13">
        <f t="shared" si="598"/>
        <v>0</v>
      </c>
      <c r="S821" s="13">
        <f t="shared" si="598"/>
        <v>0</v>
      </c>
      <c r="T821" s="13">
        <f t="shared" si="598"/>
        <v>0</v>
      </c>
      <c r="U821" s="13">
        <f t="shared" si="598"/>
        <v>0</v>
      </c>
      <c r="V821" s="13">
        <f t="shared" si="598"/>
        <v>0</v>
      </c>
      <c r="W821" s="13">
        <f t="shared" si="598"/>
        <v>0</v>
      </c>
      <c r="X821" s="13">
        <f t="shared" si="598"/>
        <v>0</v>
      </c>
      <c r="Y821" s="13">
        <f t="shared" si="598"/>
        <v>0</v>
      </c>
      <c r="Z821" s="13">
        <f t="shared" si="598"/>
        <v>0</v>
      </c>
      <c r="AA821" s="13">
        <f t="shared" si="598"/>
        <v>0</v>
      </c>
      <c r="AB821" s="13">
        <f t="shared" si="598"/>
        <v>0</v>
      </c>
      <c r="AC821" s="13">
        <f t="shared" si="598"/>
        <v>0</v>
      </c>
      <c r="AD821" s="13">
        <f t="shared" si="598"/>
        <v>0</v>
      </c>
      <c r="AE821" s="13">
        <f t="shared" si="598"/>
        <v>0</v>
      </c>
      <c r="AF821" s="13">
        <f t="shared" si="598"/>
        <v>0</v>
      </c>
      <c r="AG821" s="16">
        <f t="shared" si="586"/>
        <v>17516275.401493818</v>
      </c>
      <c r="AH821" s="14" t="str">
        <f t="shared" si="587"/>
        <v>ok</v>
      </c>
    </row>
    <row r="822" spans="1:34" x14ac:dyDescent="0.25">
      <c r="A822" s="2" t="s">
        <v>1</v>
      </c>
      <c r="C822" s="16">
        <f>E822+E466+E467+E468+E469+E470+E471+E472+E473+E474</f>
        <v>98706063.477580011</v>
      </c>
      <c r="D822" s="16"/>
      <c r="E822" s="16">
        <f t="shared" ref="E822:AG822" si="599">SUM(E814:E821)</f>
        <v>103065184.01000001</v>
      </c>
      <c r="F822" s="16">
        <f t="shared" si="599"/>
        <v>70873891.829230994</v>
      </c>
      <c r="G822" s="16">
        <f t="shared" si="599"/>
        <v>6291265.6691329405</v>
      </c>
      <c r="H822" s="16">
        <f t="shared" si="599"/>
        <v>12868713.601640305</v>
      </c>
      <c r="I822" s="16">
        <f t="shared" si="599"/>
        <v>1116244.2732507212</v>
      </c>
      <c r="J822" s="16">
        <f t="shared" si="599"/>
        <v>859438.62173666363</v>
      </c>
      <c r="K822" s="16">
        <f t="shared" si="599"/>
        <v>611855.046564769</v>
      </c>
      <c r="L822" s="16">
        <f t="shared" si="599"/>
        <v>4275905.772118927</v>
      </c>
      <c r="M822" s="16">
        <f t="shared" si="599"/>
        <v>3984905.6639714562</v>
      </c>
      <c r="N822" s="16">
        <f t="shared" si="599"/>
        <v>2182963.5323532354</v>
      </c>
      <c r="O822" s="16">
        <f t="shared" si="599"/>
        <v>0</v>
      </c>
      <c r="P822" s="16">
        <f t="shared" si="599"/>
        <v>0</v>
      </c>
      <c r="Q822" s="16">
        <f t="shared" si="599"/>
        <v>0</v>
      </c>
      <c r="R822" s="16">
        <f t="shared" si="599"/>
        <v>0</v>
      </c>
      <c r="S822" s="16">
        <f t="shared" si="599"/>
        <v>0</v>
      </c>
      <c r="T822" s="16">
        <f t="shared" si="599"/>
        <v>0</v>
      </c>
      <c r="U822" s="16">
        <f t="shared" si="599"/>
        <v>0</v>
      </c>
      <c r="V822" s="16">
        <f t="shared" si="599"/>
        <v>0</v>
      </c>
      <c r="W822" s="16">
        <f t="shared" si="599"/>
        <v>0</v>
      </c>
      <c r="X822" s="16">
        <f t="shared" si="599"/>
        <v>0</v>
      </c>
      <c r="Y822" s="16">
        <f t="shared" si="599"/>
        <v>0</v>
      </c>
      <c r="Z822" s="16">
        <f t="shared" si="599"/>
        <v>0</v>
      </c>
      <c r="AA822" s="16">
        <f t="shared" si="599"/>
        <v>0</v>
      </c>
      <c r="AB822" s="16">
        <f t="shared" si="599"/>
        <v>0</v>
      </c>
      <c r="AC822" s="16">
        <f t="shared" si="599"/>
        <v>0</v>
      </c>
      <c r="AD822" s="16">
        <f t="shared" si="599"/>
        <v>0</v>
      </c>
      <c r="AE822" s="16">
        <f t="shared" si="599"/>
        <v>0</v>
      </c>
      <c r="AF822" s="16">
        <f t="shared" si="599"/>
        <v>0</v>
      </c>
      <c r="AG822" s="16">
        <f t="shared" si="599"/>
        <v>103065184.00999999</v>
      </c>
      <c r="AH822" s="14" t="str">
        <f t="shared" si="587"/>
        <v>ok</v>
      </c>
    </row>
    <row r="823" spans="1:34" ht="14.25" customHeight="1" x14ac:dyDescent="0.25">
      <c r="F823" s="16"/>
      <c r="G823" s="16"/>
      <c r="H823" s="16"/>
      <c r="I823" s="16"/>
    </row>
    <row r="824" spans="1:34" x14ac:dyDescent="0.25">
      <c r="A824" s="7" t="s">
        <v>947</v>
      </c>
    </row>
    <row r="826" spans="1:34" x14ac:dyDescent="0.25">
      <c r="A826" s="118" t="s">
        <v>12</v>
      </c>
      <c r="E826" s="16">
        <f>E525+E531</f>
        <v>21189539.629999999</v>
      </c>
      <c r="F826" s="16">
        <f t="shared" ref="F826:N826" si="600">F525+F531</f>
        <v>15604570.461721342</v>
      </c>
      <c r="G826" s="16">
        <f t="shared" si="600"/>
        <v>834880.1259132782</v>
      </c>
      <c r="H826" s="16">
        <f t="shared" si="600"/>
        <v>1847505.6593759183</v>
      </c>
      <c r="I826" s="16">
        <f t="shared" si="600"/>
        <v>165929.51619722878</v>
      </c>
      <c r="J826" s="16">
        <f t="shared" si="600"/>
        <v>125480.28355086534</v>
      </c>
      <c r="K826" s="16">
        <f t="shared" si="600"/>
        <v>205759.15210469763</v>
      </c>
      <c r="L826" s="16">
        <f t="shared" si="600"/>
        <v>1270292.0436232751</v>
      </c>
      <c r="M826" s="16">
        <f t="shared" si="600"/>
        <v>998732.80116282008</v>
      </c>
      <c r="N826" s="16">
        <f t="shared" si="600"/>
        <v>136389.58635057349</v>
      </c>
      <c r="O826" s="16">
        <f t="shared" ref="O826:AF831" si="601">O814</f>
        <v>0</v>
      </c>
      <c r="P826" s="16">
        <f t="shared" si="601"/>
        <v>0</v>
      </c>
      <c r="Q826" s="16">
        <f t="shared" si="601"/>
        <v>0</v>
      </c>
      <c r="R826" s="16">
        <f t="shared" si="601"/>
        <v>0</v>
      </c>
      <c r="S826" s="16">
        <f t="shared" si="601"/>
        <v>0</v>
      </c>
      <c r="T826" s="16">
        <f t="shared" si="601"/>
        <v>0</v>
      </c>
      <c r="U826" s="16">
        <f t="shared" si="601"/>
        <v>0</v>
      </c>
      <c r="V826" s="16">
        <f t="shared" si="601"/>
        <v>0</v>
      </c>
      <c r="W826" s="16">
        <f t="shared" si="601"/>
        <v>0</v>
      </c>
      <c r="X826" s="16">
        <f t="shared" si="601"/>
        <v>0</v>
      </c>
      <c r="Y826" s="16">
        <f t="shared" si="601"/>
        <v>0</v>
      </c>
      <c r="Z826" s="16">
        <f t="shared" si="601"/>
        <v>0</v>
      </c>
      <c r="AA826" s="16">
        <f t="shared" si="601"/>
        <v>0</v>
      </c>
      <c r="AB826" s="16">
        <f t="shared" si="601"/>
        <v>0</v>
      </c>
      <c r="AC826" s="16">
        <f t="shared" si="601"/>
        <v>0</v>
      </c>
      <c r="AD826" s="16">
        <f t="shared" si="601"/>
        <v>0</v>
      </c>
      <c r="AE826" s="16">
        <f t="shared" si="601"/>
        <v>0</v>
      </c>
      <c r="AF826" s="16">
        <f t="shared" si="601"/>
        <v>0</v>
      </c>
      <c r="AG826" s="16">
        <f>SUM(F826:AF826)</f>
        <v>21189539.629999999</v>
      </c>
      <c r="AH826" s="14" t="str">
        <f>IF(ABS(E826-AG826)&lt;0.01,"ok","err")</f>
        <v>ok</v>
      </c>
    </row>
    <row r="827" spans="1:34" x14ac:dyDescent="0.25">
      <c r="A827" s="118" t="s">
        <v>1082</v>
      </c>
      <c r="E827" s="16">
        <f t="shared" ref="E827:N831" si="602">E526</f>
        <v>1704216</v>
      </c>
      <c r="F827" s="16">
        <f t="shared" si="602"/>
        <v>1211280.6733461085</v>
      </c>
      <c r="G827" s="16">
        <f t="shared" si="602"/>
        <v>79273.293725205032</v>
      </c>
      <c r="H827" s="16">
        <f t="shared" si="602"/>
        <v>201280.57207980807</v>
      </c>
      <c r="I827" s="16">
        <f t="shared" si="602"/>
        <v>20691.865447061387</v>
      </c>
      <c r="J827" s="16">
        <f t="shared" si="602"/>
        <v>20295.035150816373</v>
      </c>
      <c r="K827" s="16">
        <f t="shared" si="602"/>
        <v>11191.23279093468</v>
      </c>
      <c r="L827" s="16">
        <f t="shared" si="602"/>
        <v>78783.909204411146</v>
      </c>
      <c r="M827" s="16">
        <f t="shared" si="602"/>
        <v>59185.022619652955</v>
      </c>
      <c r="N827" s="16">
        <f t="shared" si="602"/>
        <v>22234.395636001482</v>
      </c>
      <c r="O827" s="16">
        <f t="shared" ref="O827:T827" si="603">O815</f>
        <v>0</v>
      </c>
      <c r="P827" s="16">
        <f t="shared" si="603"/>
        <v>0</v>
      </c>
      <c r="Q827" s="16">
        <f t="shared" si="603"/>
        <v>0</v>
      </c>
      <c r="R827" s="16">
        <f t="shared" si="603"/>
        <v>0</v>
      </c>
      <c r="S827" s="16">
        <f t="shared" si="603"/>
        <v>0</v>
      </c>
      <c r="T827" s="16">
        <f t="shared" si="603"/>
        <v>0</v>
      </c>
      <c r="U827" s="16">
        <f t="shared" si="601"/>
        <v>0</v>
      </c>
      <c r="V827" s="16">
        <f t="shared" si="601"/>
        <v>0</v>
      </c>
      <c r="W827" s="16">
        <f t="shared" si="601"/>
        <v>0</v>
      </c>
      <c r="X827" s="16">
        <f t="shared" si="601"/>
        <v>0</v>
      </c>
      <c r="Y827" s="16">
        <f t="shared" si="601"/>
        <v>0</v>
      </c>
      <c r="Z827" s="16">
        <f t="shared" si="601"/>
        <v>0</v>
      </c>
      <c r="AA827" s="16">
        <f t="shared" si="601"/>
        <v>0</v>
      </c>
      <c r="AB827" s="16">
        <f t="shared" si="601"/>
        <v>0</v>
      </c>
      <c r="AC827" s="16">
        <f t="shared" si="601"/>
        <v>0</v>
      </c>
      <c r="AD827" s="16">
        <f t="shared" si="601"/>
        <v>0</v>
      </c>
      <c r="AE827" s="16">
        <f t="shared" si="601"/>
        <v>0</v>
      </c>
      <c r="AF827" s="16">
        <f t="shared" si="601"/>
        <v>0</v>
      </c>
      <c r="AG827" s="16">
        <f t="shared" ref="AG827:AG830" si="604">SUM(F827:AF827)</f>
        <v>1704215.9999999995</v>
      </c>
      <c r="AH827" s="14" t="str">
        <f t="shared" ref="AH827:AH833" si="605">IF(ABS(E827-AG827)&lt;0.01,"ok","err")</f>
        <v>ok</v>
      </c>
    </row>
    <row r="828" spans="1:34" x14ac:dyDescent="0.25">
      <c r="A828" s="118" t="s">
        <v>1044</v>
      </c>
      <c r="E828" s="16">
        <f t="shared" si="602"/>
        <v>-130049</v>
      </c>
      <c r="F828" s="16">
        <f t="shared" si="602"/>
        <v>-130049</v>
      </c>
      <c r="G828" s="16">
        <f t="shared" si="602"/>
        <v>0</v>
      </c>
      <c r="H828" s="16">
        <f t="shared" si="602"/>
        <v>0</v>
      </c>
      <c r="I828" s="16">
        <f t="shared" si="602"/>
        <v>0</v>
      </c>
      <c r="J828" s="16">
        <f t="shared" si="602"/>
        <v>0</v>
      </c>
      <c r="K828" s="16">
        <f t="shared" si="602"/>
        <v>0</v>
      </c>
      <c r="L828" s="16">
        <f t="shared" si="602"/>
        <v>0</v>
      </c>
      <c r="M828" s="16">
        <f t="shared" si="602"/>
        <v>0</v>
      </c>
      <c r="N828" s="16">
        <f t="shared" si="602"/>
        <v>0</v>
      </c>
      <c r="O828" s="16">
        <f t="shared" si="601"/>
        <v>0</v>
      </c>
      <c r="P828" s="16">
        <f t="shared" si="601"/>
        <v>0</v>
      </c>
      <c r="Q828" s="16">
        <f t="shared" si="601"/>
        <v>0</v>
      </c>
      <c r="R828" s="16">
        <f t="shared" si="601"/>
        <v>0</v>
      </c>
      <c r="S828" s="16">
        <f t="shared" si="601"/>
        <v>0</v>
      </c>
      <c r="T828" s="16">
        <f t="shared" si="601"/>
        <v>0</v>
      </c>
      <c r="U828" s="16">
        <f t="shared" si="601"/>
        <v>0</v>
      </c>
      <c r="V828" s="16">
        <f t="shared" si="601"/>
        <v>0</v>
      </c>
      <c r="W828" s="16">
        <f t="shared" si="601"/>
        <v>0</v>
      </c>
      <c r="X828" s="16">
        <f t="shared" si="601"/>
        <v>0</v>
      </c>
      <c r="Y828" s="16">
        <f t="shared" si="601"/>
        <v>0</v>
      </c>
      <c r="Z828" s="16">
        <f t="shared" si="601"/>
        <v>0</v>
      </c>
      <c r="AA828" s="16">
        <f t="shared" si="601"/>
        <v>0</v>
      </c>
      <c r="AB828" s="16">
        <f t="shared" si="601"/>
        <v>0</v>
      </c>
      <c r="AC828" s="16">
        <f t="shared" si="601"/>
        <v>0</v>
      </c>
      <c r="AD828" s="16">
        <f t="shared" si="601"/>
        <v>0</v>
      </c>
      <c r="AE828" s="16">
        <f t="shared" si="601"/>
        <v>0</v>
      </c>
      <c r="AF828" s="16">
        <f t="shared" si="601"/>
        <v>0</v>
      </c>
      <c r="AG828" s="16">
        <f t="shared" si="604"/>
        <v>-130049</v>
      </c>
      <c r="AH828" s="14" t="str">
        <f t="shared" si="605"/>
        <v>ok</v>
      </c>
    </row>
    <row r="829" spans="1:34" x14ac:dyDescent="0.25">
      <c r="A829" s="118" t="s">
        <v>984</v>
      </c>
      <c r="E829" s="16">
        <f t="shared" si="602"/>
        <v>-4703521.0679199994</v>
      </c>
      <c r="F829" s="16">
        <f t="shared" si="602"/>
        <v>-2979734.3347619004</v>
      </c>
      <c r="G829" s="16">
        <f t="shared" si="602"/>
        <v>-265715.94110267673</v>
      </c>
      <c r="H829" s="16">
        <f t="shared" si="602"/>
        <v>-737298.81799342204</v>
      </c>
      <c r="I829" s="16">
        <f t="shared" si="602"/>
        <v>-52221.551905136512</v>
      </c>
      <c r="J829" s="16">
        <f t="shared" si="602"/>
        <v>-41350.204696552551</v>
      </c>
      <c r="K829" s="16">
        <f t="shared" si="602"/>
        <v>-37149.805840000001</v>
      </c>
      <c r="L829" s="16">
        <f t="shared" si="602"/>
        <v>-291769.64992</v>
      </c>
      <c r="M829" s="16">
        <f t="shared" si="602"/>
        <v>-236911.87080000003</v>
      </c>
      <c r="N829" s="16">
        <f t="shared" si="602"/>
        <v>-61368.890900311628</v>
      </c>
      <c r="O829" s="16">
        <f t="shared" si="601"/>
        <v>0</v>
      </c>
      <c r="P829" s="16">
        <f t="shared" si="601"/>
        <v>0</v>
      </c>
      <c r="Q829" s="16">
        <f t="shared" si="601"/>
        <v>0</v>
      </c>
      <c r="R829" s="16">
        <f t="shared" si="601"/>
        <v>0</v>
      </c>
      <c r="S829" s="16">
        <f t="shared" si="601"/>
        <v>0</v>
      </c>
      <c r="T829" s="16">
        <f t="shared" si="601"/>
        <v>0</v>
      </c>
      <c r="U829" s="16">
        <f t="shared" si="601"/>
        <v>0</v>
      </c>
      <c r="V829" s="16">
        <f t="shared" si="601"/>
        <v>0</v>
      </c>
      <c r="W829" s="16">
        <f t="shared" si="601"/>
        <v>0</v>
      </c>
      <c r="X829" s="16">
        <f t="shared" si="601"/>
        <v>0</v>
      </c>
      <c r="Y829" s="16">
        <f t="shared" si="601"/>
        <v>0</v>
      </c>
      <c r="Z829" s="16">
        <f t="shared" si="601"/>
        <v>0</v>
      </c>
      <c r="AA829" s="16">
        <f t="shared" si="601"/>
        <v>0</v>
      </c>
      <c r="AB829" s="16">
        <f t="shared" si="601"/>
        <v>0</v>
      </c>
      <c r="AC829" s="16">
        <f t="shared" si="601"/>
        <v>0</v>
      </c>
      <c r="AD829" s="16">
        <f t="shared" si="601"/>
        <v>0</v>
      </c>
      <c r="AE829" s="16">
        <f t="shared" si="601"/>
        <v>0</v>
      </c>
      <c r="AF829" s="16">
        <f t="shared" si="601"/>
        <v>0</v>
      </c>
      <c r="AG829" s="16">
        <f t="shared" si="604"/>
        <v>-4703521.0679199994</v>
      </c>
      <c r="AH829" s="14" t="str">
        <f t="shared" si="605"/>
        <v>ok</v>
      </c>
    </row>
    <row r="830" spans="1:34" x14ac:dyDescent="0.25">
      <c r="A830" s="118" t="s">
        <v>859</v>
      </c>
      <c r="E830" s="16">
        <f t="shared" si="602"/>
        <v>30010192.978423003</v>
      </c>
      <c r="F830" s="16">
        <f t="shared" si="602"/>
        <v>21994393.914990705</v>
      </c>
      <c r="G830" s="16">
        <f t="shared" si="602"/>
        <v>1941731.1734608253</v>
      </c>
      <c r="H830" s="16">
        <f t="shared" si="602"/>
        <v>5216535.5053079454</v>
      </c>
      <c r="I830" s="16">
        <f t="shared" si="602"/>
        <v>387242.71465931134</v>
      </c>
      <c r="J830" s="16">
        <f t="shared" si="602"/>
        <v>296819.08691619179</v>
      </c>
      <c r="K830" s="16">
        <f t="shared" si="602"/>
        <v>0</v>
      </c>
      <c r="L830" s="16">
        <f t="shared" si="602"/>
        <v>0</v>
      </c>
      <c r="M830" s="16">
        <f t="shared" si="602"/>
        <v>0</v>
      </c>
      <c r="N830" s="16">
        <f t="shared" si="602"/>
        <v>173470.58308802635</v>
      </c>
      <c r="O830" s="16">
        <f t="shared" si="601"/>
        <v>0</v>
      </c>
      <c r="P830" s="16">
        <f t="shared" si="601"/>
        <v>0</v>
      </c>
      <c r="Q830" s="16">
        <f t="shared" si="601"/>
        <v>0</v>
      </c>
      <c r="R830" s="16">
        <f t="shared" si="601"/>
        <v>0</v>
      </c>
      <c r="S830" s="16">
        <f t="shared" si="601"/>
        <v>0</v>
      </c>
      <c r="T830" s="16">
        <f t="shared" si="601"/>
        <v>0</v>
      </c>
      <c r="U830" s="16">
        <f t="shared" si="601"/>
        <v>0</v>
      </c>
      <c r="V830" s="16">
        <f t="shared" si="601"/>
        <v>0</v>
      </c>
      <c r="W830" s="16">
        <f t="shared" si="601"/>
        <v>0</v>
      </c>
      <c r="X830" s="16">
        <f t="shared" si="601"/>
        <v>0</v>
      </c>
      <c r="Y830" s="16">
        <f t="shared" si="601"/>
        <v>0</v>
      </c>
      <c r="Z830" s="16">
        <f t="shared" si="601"/>
        <v>0</v>
      </c>
      <c r="AA830" s="16">
        <f t="shared" si="601"/>
        <v>0</v>
      </c>
      <c r="AB830" s="16">
        <f t="shared" si="601"/>
        <v>0</v>
      </c>
      <c r="AC830" s="16">
        <f t="shared" si="601"/>
        <v>0</v>
      </c>
      <c r="AD830" s="16">
        <f t="shared" si="601"/>
        <v>0</v>
      </c>
      <c r="AE830" s="16">
        <f t="shared" si="601"/>
        <v>0</v>
      </c>
      <c r="AF830" s="16">
        <f t="shared" si="601"/>
        <v>0</v>
      </c>
      <c r="AG830" s="16">
        <f t="shared" si="604"/>
        <v>30010192.978423007</v>
      </c>
      <c r="AH830" s="14" t="str">
        <f t="shared" si="605"/>
        <v>ok</v>
      </c>
    </row>
    <row r="831" spans="1:34" x14ac:dyDescent="0.25">
      <c r="A831" s="118" t="s">
        <v>1083</v>
      </c>
      <c r="E831" s="16">
        <f t="shared" si="602"/>
        <v>30283026.645750001</v>
      </c>
      <c r="F831" s="16">
        <f t="shared" si="602"/>
        <v>16811408.53991016</v>
      </c>
      <c r="G831" s="16">
        <f t="shared" si="602"/>
        <v>1515528.4379464241</v>
      </c>
      <c r="H831" s="16">
        <f t="shared" si="602"/>
        <v>4348374.5245107366</v>
      </c>
      <c r="I831" s="16">
        <f t="shared" si="602"/>
        <v>293143.61212518852</v>
      </c>
      <c r="J831" s="16">
        <f t="shared" si="602"/>
        <v>240313.46516341495</v>
      </c>
      <c r="K831" s="16">
        <f t="shared" si="602"/>
        <v>448194.83009200002</v>
      </c>
      <c r="L831" s="16">
        <f t="shared" si="602"/>
        <v>3377114.9182200003</v>
      </c>
      <c r="M831" s="16">
        <f t="shared" si="602"/>
        <v>2669154.8132080003</v>
      </c>
      <c r="N831" s="16">
        <f t="shared" si="602"/>
        <v>579793.50457407825</v>
      </c>
      <c r="O831" s="16">
        <f t="shared" si="601"/>
        <v>0</v>
      </c>
      <c r="P831" s="16">
        <f t="shared" si="601"/>
        <v>0</v>
      </c>
      <c r="Q831" s="16">
        <f t="shared" si="601"/>
        <v>0</v>
      </c>
      <c r="R831" s="16">
        <f t="shared" si="601"/>
        <v>0</v>
      </c>
      <c r="S831" s="16">
        <f t="shared" si="601"/>
        <v>0</v>
      </c>
      <c r="T831" s="16">
        <f t="shared" si="601"/>
        <v>0</v>
      </c>
      <c r="U831" s="16">
        <f t="shared" si="601"/>
        <v>0</v>
      </c>
      <c r="V831" s="16">
        <f t="shared" si="601"/>
        <v>0</v>
      </c>
      <c r="W831" s="16">
        <f t="shared" si="601"/>
        <v>0</v>
      </c>
      <c r="X831" s="16">
        <f t="shared" si="601"/>
        <v>0</v>
      </c>
      <c r="Y831" s="16">
        <f t="shared" si="601"/>
        <v>0</v>
      </c>
      <c r="Z831" s="16">
        <f t="shared" si="601"/>
        <v>0</v>
      </c>
      <c r="AA831" s="16">
        <f t="shared" si="601"/>
        <v>0</v>
      </c>
      <c r="AB831" s="16">
        <f t="shared" si="601"/>
        <v>0</v>
      </c>
      <c r="AC831" s="16">
        <f t="shared" si="601"/>
        <v>0</v>
      </c>
      <c r="AD831" s="16">
        <f t="shared" si="601"/>
        <v>0</v>
      </c>
      <c r="AE831" s="16">
        <f t="shared" si="601"/>
        <v>0</v>
      </c>
      <c r="AF831" s="16">
        <f t="shared" si="601"/>
        <v>0</v>
      </c>
      <c r="AG831" s="16">
        <f t="shared" ref="AG831" si="606">SUM(F831:AF831)</f>
        <v>30283026.645750005</v>
      </c>
      <c r="AH831" s="14" t="str">
        <f t="shared" ref="AH831" si="607">IF(ABS(E831-AG831)&lt;0.01,"ok","err")</f>
        <v>ok</v>
      </c>
    </row>
    <row r="832" spans="1:34" x14ac:dyDescent="0.25">
      <c r="A832" s="2" t="s">
        <v>632</v>
      </c>
      <c r="E832" s="16">
        <f>E820+(SUM(E532:E544)*(E820/(E820+E821)))</f>
        <v>12263004.500196435</v>
      </c>
      <c r="F832" s="16">
        <f>F820+(SUM(F532:F544)*(F820/(F820+F821)))</f>
        <v>7685950.4706130074</v>
      </c>
      <c r="G832" s="16">
        <f t="shared" ref="G832:AG832" si="608">G820+(SUM(G532:G544)*(G820/(G820+G821)))</f>
        <v>814567.88217383844</v>
      </c>
      <c r="H832" s="16">
        <f t="shared" si="608"/>
        <v>2643287.857577872</v>
      </c>
      <c r="I832" s="16">
        <f t="shared" si="608"/>
        <v>305059.25958634156</v>
      </c>
      <c r="J832" s="16">
        <f t="shared" si="608"/>
        <v>286839.21609392948</v>
      </c>
      <c r="K832" s="16">
        <f t="shared" si="608"/>
        <v>1755.2060094733695</v>
      </c>
      <c r="L832" s="16">
        <f t="shared" si="608"/>
        <v>-28109.873946207164</v>
      </c>
      <c r="M832" s="16">
        <f t="shared" si="608"/>
        <v>599142.46551367943</v>
      </c>
      <c r="N832" s="16">
        <f t="shared" si="608"/>
        <v>58627.20995998336</v>
      </c>
      <c r="O832" s="16" t="e">
        <f t="shared" si="608"/>
        <v>#DIV/0!</v>
      </c>
      <c r="P832" s="16" t="e">
        <f t="shared" si="608"/>
        <v>#DIV/0!</v>
      </c>
      <c r="Q832" s="16" t="e">
        <f t="shared" si="608"/>
        <v>#DIV/0!</v>
      </c>
      <c r="R832" s="16" t="e">
        <f t="shared" si="608"/>
        <v>#DIV/0!</v>
      </c>
      <c r="S832" s="16" t="e">
        <f t="shared" si="608"/>
        <v>#DIV/0!</v>
      </c>
      <c r="T832" s="16" t="e">
        <f t="shared" si="608"/>
        <v>#DIV/0!</v>
      </c>
      <c r="U832" s="16" t="e">
        <f t="shared" si="608"/>
        <v>#DIV/0!</v>
      </c>
      <c r="V832" s="16" t="e">
        <f t="shared" si="608"/>
        <v>#DIV/0!</v>
      </c>
      <c r="W832" s="16" t="e">
        <f t="shared" si="608"/>
        <v>#DIV/0!</v>
      </c>
      <c r="X832" s="16" t="e">
        <f t="shared" si="608"/>
        <v>#DIV/0!</v>
      </c>
      <c r="Y832" s="16" t="e">
        <f t="shared" si="608"/>
        <v>#DIV/0!</v>
      </c>
      <c r="Z832" s="16" t="e">
        <f t="shared" si="608"/>
        <v>#DIV/0!</v>
      </c>
      <c r="AA832" s="16" t="e">
        <f t="shared" si="608"/>
        <v>#DIV/0!</v>
      </c>
      <c r="AB832" s="16" t="e">
        <f t="shared" si="608"/>
        <v>#DIV/0!</v>
      </c>
      <c r="AC832" s="16" t="e">
        <f t="shared" si="608"/>
        <v>#DIV/0!</v>
      </c>
      <c r="AD832" s="16" t="e">
        <f t="shared" si="608"/>
        <v>#DIV/0!</v>
      </c>
      <c r="AE832" s="16" t="e">
        <f t="shared" si="608"/>
        <v>#DIV/0!</v>
      </c>
      <c r="AF832" s="16" t="e">
        <f t="shared" si="608"/>
        <v>#DIV/0!</v>
      </c>
      <c r="AG832" s="16">
        <f t="shared" si="608"/>
        <v>12263004.500196436</v>
      </c>
      <c r="AH832" s="14" t="str">
        <f t="shared" si="605"/>
        <v>ok</v>
      </c>
    </row>
    <row r="833" spans="1:34" x14ac:dyDescent="0.25">
      <c r="A833" s="2" t="s">
        <v>633</v>
      </c>
      <c r="E833" s="16">
        <f>E821+(SUM(E532:E544)*(E821/(E820+E821)))</f>
        <v>19005736.747178692</v>
      </c>
      <c r="F833" s="16">
        <f>F821+(SUM(F532:F544)*(F821/(F820+F821)))</f>
        <v>15465717.32402138</v>
      </c>
      <c r="G833" s="16">
        <f t="shared" ref="G833:AG833" si="609">G821+(SUM(G532:G544)*(G821/(G820+G821)))</f>
        <v>1703957.8157756408</v>
      </c>
      <c r="H833" s="16">
        <f t="shared" si="609"/>
        <v>295473.65252052405</v>
      </c>
      <c r="I833" s="16">
        <f t="shared" si="609"/>
        <v>56497.689324906198</v>
      </c>
      <c r="J833" s="16">
        <f t="shared" si="609"/>
        <v>11456.397246072333</v>
      </c>
      <c r="K833" s="16">
        <f t="shared" si="609"/>
        <v>2315.321428912147</v>
      </c>
      <c r="L833" s="16">
        <f t="shared" si="609"/>
        <v>3052.1138520697264</v>
      </c>
      <c r="M833" s="16">
        <f t="shared" si="609"/>
        <v>3822.1539806077467</v>
      </c>
      <c r="N833" s="16">
        <f t="shared" si="609"/>
        <v>1359329.0856430868</v>
      </c>
      <c r="O833" s="16" t="e">
        <f t="shared" si="609"/>
        <v>#DIV/0!</v>
      </c>
      <c r="P833" s="16" t="e">
        <f t="shared" si="609"/>
        <v>#DIV/0!</v>
      </c>
      <c r="Q833" s="16" t="e">
        <f t="shared" si="609"/>
        <v>#DIV/0!</v>
      </c>
      <c r="R833" s="16" t="e">
        <f t="shared" si="609"/>
        <v>#DIV/0!</v>
      </c>
      <c r="S833" s="16" t="e">
        <f t="shared" si="609"/>
        <v>#DIV/0!</v>
      </c>
      <c r="T833" s="16" t="e">
        <f t="shared" si="609"/>
        <v>#DIV/0!</v>
      </c>
      <c r="U833" s="16" t="e">
        <f t="shared" si="609"/>
        <v>#DIV/0!</v>
      </c>
      <c r="V833" s="16" t="e">
        <f t="shared" si="609"/>
        <v>#DIV/0!</v>
      </c>
      <c r="W833" s="16" t="e">
        <f t="shared" si="609"/>
        <v>#DIV/0!</v>
      </c>
      <c r="X833" s="16" t="e">
        <f t="shared" si="609"/>
        <v>#DIV/0!</v>
      </c>
      <c r="Y833" s="16" t="e">
        <f t="shared" si="609"/>
        <v>#DIV/0!</v>
      </c>
      <c r="Z833" s="16" t="e">
        <f t="shared" si="609"/>
        <v>#DIV/0!</v>
      </c>
      <c r="AA833" s="16" t="e">
        <f t="shared" si="609"/>
        <v>#DIV/0!</v>
      </c>
      <c r="AB833" s="16" t="e">
        <f t="shared" si="609"/>
        <v>#DIV/0!</v>
      </c>
      <c r="AC833" s="16" t="e">
        <f t="shared" si="609"/>
        <v>#DIV/0!</v>
      </c>
      <c r="AD833" s="16" t="e">
        <f t="shared" si="609"/>
        <v>#DIV/0!</v>
      </c>
      <c r="AE833" s="16" t="e">
        <f t="shared" si="609"/>
        <v>#DIV/0!</v>
      </c>
      <c r="AF833" s="16" t="e">
        <f t="shared" si="609"/>
        <v>#DIV/0!</v>
      </c>
      <c r="AG833" s="16">
        <f t="shared" si="609"/>
        <v>19005736.747178681</v>
      </c>
      <c r="AH833" s="14" t="str">
        <f t="shared" si="605"/>
        <v>ok</v>
      </c>
    </row>
    <row r="834" spans="1:34" x14ac:dyDescent="0.25">
      <c r="A834" s="2" t="s">
        <v>1</v>
      </c>
      <c r="D834" s="20"/>
      <c r="E834" s="17">
        <f t="shared" ref="E834:N834" si="610">SUM(E826:E833)</f>
        <v>109622146.43362813</v>
      </c>
      <c r="F834" s="17">
        <f t="shared" si="610"/>
        <v>75663538.049840808</v>
      </c>
      <c r="G834" s="17">
        <f t="shared" si="610"/>
        <v>6624222.7878925353</v>
      </c>
      <c r="H834" s="17">
        <f t="shared" si="610"/>
        <v>13815158.953379383</v>
      </c>
      <c r="I834" s="17">
        <f t="shared" si="610"/>
        <v>1176343.1054349011</v>
      </c>
      <c r="J834" s="17">
        <f t="shared" si="610"/>
        <v>939853.27942473767</v>
      </c>
      <c r="K834" s="17">
        <f t="shared" si="610"/>
        <v>632065.93658601784</v>
      </c>
      <c r="L834" s="17">
        <f t="shared" si="610"/>
        <v>4409363.4610335492</v>
      </c>
      <c r="M834" s="17">
        <f t="shared" si="610"/>
        <v>4093125.3856847608</v>
      </c>
      <c r="N834" s="17">
        <f t="shared" si="610"/>
        <v>2268475.4743514382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  <c r="V834" s="16">
        <v>0</v>
      </c>
      <c r="W834" s="16">
        <v>0</v>
      </c>
      <c r="X834" s="16">
        <v>0</v>
      </c>
      <c r="Y834" s="16">
        <v>0</v>
      </c>
      <c r="Z834" s="16">
        <v>0</v>
      </c>
      <c r="AA834" s="16">
        <v>0</v>
      </c>
      <c r="AB834" s="16">
        <v>0</v>
      </c>
      <c r="AC834" s="16">
        <v>0</v>
      </c>
      <c r="AG834" s="16">
        <f>SUM(AG826:AG833)</f>
        <v>109622146.43362814</v>
      </c>
      <c r="AH834" s="14" t="str">
        <f>IF(ABS(E834-AG834)&lt;0.01,"ok","err")</f>
        <v>ok</v>
      </c>
    </row>
    <row r="835" spans="1:34" x14ac:dyDescent="0.25">
      <c r="E835" s="17"/>
      <c r="F835" s="16"/>
      <c r="G835" s="16"/>
      <c r="H835" s="16"/>
      <c r="I835" s="16"/>
      <c r="L835" s="16"/>
    </row>
    <row r="836" spans="1:34" x14ac:dyDescent="0.25">
      <c r="A836" s="7" t="s">
        <v>79</v>
      </c>
      <c r="F836" s="16"/>
      <c r="R836" s="16">
        <f>SUM(R826:R830)</f>
        <v>0</v>
      </c>
      <c r="S836" s="16">
        <f>SUM(S826:S830)</f>
        <v>0</v>
      </c>
      <c r="T836" s="16">
        <f>SUM(T826:T830)</f>
        <v>0</v>
      </c>
      <c r="U836" s="16">
        <f>SUM(U826:U830)</f>
        <v>0</v>
      </c>
    </row>
    <row r="838" spans="1:34" x14ac:dyDescent="0.25">
      <c r="A838" s="2" t="s">
        <v>632</v>
      </c>
      <c r="E838" s="16">
        <f t="shared" ref="E838:AF838" si="611">E134+E137+E140+E143+E148+E153+E158</f>
        <v>95427473.585494533</v>
      </c>
      <c r="F838" s="16">
        <f t="shared" si="611"/>
        <v>61601812.107735984</v>
      </c>
      <c r="G838" s="16">
        <f t="shared" si="611"/>
        <v>7124093.5030741654</v>
      </c>
      <c r="H838" s="16">
        <f t="shared" si="611"/>
        <v>17060406.433046099</v>
      </c>
      <c r="I838" s="16">
        <f t="shared" si="611"/>
        <v>2470641.4515404198</v>
      </c>
      <c r="J838" s="16">
        <f t="shared" si="611"/>
        <v>1804623.1413705172</v>
      </c>
      <c r="K838" s="16">
        <f t="shared" si="611"/>
        <v>11289.363093886092</v>
      </c>
      <c r="L838" s="16">
        <f t="shared" si="611"/>
        <v>258703.47215418375</v>
      </c>
      <c r="M838" s="16">
        <f t="shared" si="611"/>
        <v>4135722.5196139766</v>
      </c>
      <c r="N838" s="16">
        <f t="shared" si="611"/>
        <v>960181.59386528563</v>
      </c>
      <c r="O838" s="16">
        <f t="shared" si="611"/>
        <v>0</v>
      </c>
      <c r="P838" s="16">
        <f t="shared" si="611"/>
        <v>0</v>
      </c>
      <c r="Q838" s="16">
        <f t="shared" si="611"/>
        <v>0</v>
      </c>
      <c r="R838" s="16">
        <f t="shared" si="611"/>
        <v>0</v>
      </c>
      <c r="S838" s="16">
        <f t="shared" si="611"/>
        <v>0</v>
      </c>
      <c r="T838" s="16">
        <f t="shared" si="611"/>
        <v>0</v>
      </c>
      <c r="U838" s="16">
        <f t="shared" si="611"/>
        <v>0</v>
      </c>
      <c r="V838" s="16">
        <f t="shared" si="611"/>
        <v>0</v>
      </c>
      <c r="W838" s="16">
        <f t="shared" si="611"/>
        <v>0</v>
      </c>
      <c r="X838" s="16">
        <f t="shared" si="611"/>
        <v>0</v>
      </c>
      <c r="Y838" s="16">
        <f t="shared" si="611"/>
        <v>0</v>
      </c>
      <c r="Z838" s="16">
        <f t="shared" si="611"/>
        <v>0</v>
      </c>
      <c r="AA838" s="16">
        <f t="shared" si="611"/>
        <v>0</v>
      </c>
      <c r="AB838" s="16">
        <f t="shared" si="611"/>
        <v>0</v>
      </c>
      <c r="AC838" s="16">
        <f t="shared" si="611"/>
        <v>0</v>
      </c>
      <c r="AD838" s="16">
        <f t="shared" si="611"/>
        <v>0</v>
      </c>
      <c r="AE838" s="16">
        <f t="shared" si="611"/>
        <v>0</v>
      </c>
      <c r="AF838" s="16">
        <f t="shared" si="611"/>
        <v>0</v>
      </c>
      <c r="AG838" s="16">
        <f>SUM(F838:AF838)</f>
        <v>95427473.585494533</v>
      </c>
      <c r="AH838" s="14" t="str">
        <f>IF(ABS(E838-AG838)&lt;0.01,"ok","err")</f>
        <v>ok</v>
      </c>
    </row>
    <row r="839" spans="1:34" x14ac:dyDescent="0.25">
      <c r="A839" s="2" t="s">
        <v>633</v>
      </c>
      <c r="E839" s="13">
        <f t="shared" ref="E839:AF839" si="612">E144+E149+E154+E159+E163+E166+E169+E172</f>
        <v>104778535.21575546</v>
      </c>
      <c r="F839" s="13">
        <f t="shared" si="612"/>
        <v>80841191.933090732</v>
      </c>
      <c r="G839" s="13">
        <f t="shared" si="612"/>
        <v>8701879.167993797</v>
      </c>
      <c r="H839" s="13">
        <f t="shared" si="612"/>
        <v>1268981.8943312364</v>
      </c>
      <c r="I839" s="13">
        <f t="shared" si="612"/>
        <v>303133.92085040663</v>
      </c>
      <c r="J839" s="13">
        <f t="shared" si="612"/>
        <v>46321.726099263295</v>
      </c>
      <c r="K839" s="13">
        <f t="shared" si="612"/>
        <v>7038.9525157197959</v>
      </c>
      <c r="L839" s="13">
        <f t="shared" si="612"/>
        <v>14077.905031439592</v>
      </c>
      <c r="M839" s="13">
        <f t="shared" si="612"/>
        <v>14662.944357684872</v>
      </c>
      <c r="N839" s="13">
        <f t="shared" si="612"/>
        <v>13581246.771485185</v>
      </c>
      <c r="O839" s="13">
        <f t="shared" si="612"/>
        <v>0</v>
      </c>
      <c r="P839" s="13">
        <f t="shared" si="612"/>
        <v>0</v>
      </c>
      <c r="Q839" s="13">
        <f t="shared" si="612"/>
        <v>0</v>
      </c>
      <c r="R839" s="13">
        <f t="shared" si="612"/>
        <v>0</v>
      </c>
      <c r="S839" s="13">
        <f t="shared" si="612"/>
        <v>0</v>
      </c>
      <c r="T839" s="13">
        <f t="shared" si="612"/>
        <v>0</v>
      </c>
      <c r="U839" s="13">
        <f t="shared" si="612"/>
        <v>0</v>
      </c>
      <c r="V839" s="13">
        <f t="shared" si="612"/>
        <v>0</v>
      </c>
      <c r="W839" s="13">
        <f t="shared" si="612"/>
        <v>0</v>
      </c>
      <c r="X839" s="13">
        <f t="shared" si="612"/>
        <v>0</v>
      </c>
      <c r="Y839" s="13">
        <f t="shared" si="612"/>
        <v>0</v>
      </c>
      <c r="Z839" s="13">
        <f t="shared" si="612"/>
        <v>0</v>
      </c>
      <c r="AA839" s="13">
        <f t="shared" si="612"/>
        <v>0</v>
      </c>
      <c r="AB839" s="13">
        <f t="shared" si="612"/>
        <v>0</v>
      </c>
      <c r="AC839" s="13">
        <f t="shared" si="612"/>
        <v>0</v>
      </c>
      <c r="AD839" s="13">
        <f t="shared" si="612"/>
        <v>0</v>
      </c>
      <c r="AE839" s="13">
        <f t="shared" si="612"/>
        <v>0</v>
      </c>
      <c r="AF839" s="13">
        <f t="shared" si="612"/>
        <v>0</v>
      </c>
      <c r="AG839" s="16">
        <f>SUM(F839:AF839)</f>
        <v>104778535.21575546</v>
      </c>
      <c r="AH839" s="14" t="str">
        <f>IF(ABS(E839-AG839)&lt;0.01,"ok","err")</f>
        <v>ok</v>
      </c>
    </row>
    <row r="840" spans="1:34" x14ac:dyDescent="0.25">
      <c r="A840" s="2" t="s">
        <v>1</v>
      </c>
      <c r="E840" s="16">
        <f>SUM(E838:E839)</f>
        <v>200206008.80124998</v>
      </c>
      <c r="F840" s="16">
        <f t="shared" ref="F840:AG840" si="613">SUM(F838:F839)</f>
        <v>142443004.04082671</v>
      </c>
      <c r="G840" s="16">
        <f t="shared" si="613"/>
        <v>15825972.671067962</v>
      </c>
      <c r="H840" s="16">
        <f t="shared" si="613"/>
        <v>18329388.327377334</v>
      </c>
      <c r="I840" s="16">
        <f t="shared" si="613"/>
        <v>2773775.3723908262</v>
      </c>
      <c r="J840" s="16">
        <f t="shared" si="613"/>
        <v>1850944.8674697806</v>
      </c>
      <c r="K840" s="16">
        <f t="shared" si="613"/>
        <v>18328.315609605888</v>
      </c>
      <c r="L840" s="16">
        <f t="shared" si="613"/>
        <v>272781.37718562334</v>
      </c>
      <c r="M840" s="16">
        <f>SUM(M838:M839)</f>
        <v>4150385.4639716614</v>
      </c>
      <c r="N840" s="16">
        <f>SUM(N838:N839)</f>
        <v>14541428.36535047</v>
      </c>
      <c r="O840" s="16">
        <f t="shared" si="613"/>
        <v>0</v>
      </c>
      <c r="P840" s="16">
        <f t="shared" si="613"/>
        <v>0</v>
      </c>
      <c r="Q840" s="16">
        <f t="shared" si="613"/>
        <v>0</v>
      </c>
      <c r="R840" s="16">
        <f t="shared" si="613"/>
        <v>0</v>
      </c>
      <c r="S840" s="16">
        <f t="shared" si="613"/>
        <v>0</v>
      </c>
      <c r="T840" s="16">
        <f t="shared" si="613"/>
        <v>0</v>
      </c>
      <c r="U840" s="16">
        <f t="shared" si="613"/>
        <v>0</v>
      </c>
      <c r="V840" s="16">
        <f t="shared" si="613"/>
        <v>0</v>
      </c>
      <c r="W840" s="16">
        <f t="shared" si="613"/>
        <v>0</v>
      </c>
      <c r="X840" s="16">
        <f t="shared" si="613"/>
        <v>0</v>
      </c>
      <c r="Y840" s="16">
        <f t="shared" si="613"/>
        <v>0</v>
      </c>
      <c r="Z840" s="16">
        <f t="shared" si="613"/>
        <v>0</v>
      </c>
      <c r="AA840" s="16">
        <f t="shared" si="613"/>
        <v>0</v>
      </c>
      <c r="AB840" s="16">
        <f t="shared" si="613"/>
        <v>0</v>
      </c>
      <c r="AC840" s="16">
        <f t="shared" si="613"/>
        <v>0</v>
      </c>
      <c r="AD840" s="16">
        <f t="shared" si="613"/>
        <v>0</v>
      </c>
      <c r="AE840" s="16">
        <f t="shared" si="613"/>
        <v>0</v>
      </c>
      <c r="AF840" s="16">
        <f t="shared" si="613"/>
        <v>0</v>
      </c>
      <c r="AG840" s="16">
        <f t="shared" si="613"/>
        <v>200206008.80124998</v>
      </c>
    </row>
    <row r="841" spans="1:34" x14ac:dyDescent="0.25"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</row>
    <row r="842" spans="1:34" x14ac:dyDescent="0.25">
      <c r="A842" s="7" t="s">
        <v>948</v>
      </c>
      <c r="C842" s="24"/>
      <c r="E842" s="24">
        <v>0.05</v>
      </c>
      <c r="F842" s="24">
        <v>0.05</v>
      </c>
      <c r="G842" s="24">
        <v>0.05</v>
      </c>
      <c r="H842" s="24">
        <v>0.05</v>
      </c>
      <c r="I842" s="24">
        <v>0.05</v>
      </c>
      <c r="J842" s="24">
        <v>0.05</v>
      </c>
      <c r="K842" s="24">
        <v>0.05</v>
      </c>
      <c r="L842" s="24">
        <v>0.05</v>
      </c>
      <c r="M842" s="24">
        <v>0.05</v>
      </c>
      <c r="N842" s="24">
        <v>0.05</v>
      </c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</row>
    <row r="843" spans="1:34" x14ac:dyDescent="0.25">
      <c r="A843" s="118" t="s">
        <v>12</v>
      </c>
      <c r="E843" s="16">
        <f t="shared" ref="E843:X843" si="614">E826</f>
        <v>21189539.629999999</v>
      </c>
      <c r="F843" s="16">
        <f t="shared" ref="F843:N843" si="615">F826</f>
        <v>15604570.461721342</v>
      </c>
      <c r="G843" s="16">
        <f t="shared" si="615"/>
        <v>834880.1259132782</v>
      </c>
      <c r="H843" s="16">
        <f t="shared" si="615"/>
        <v>1847505.6593759183</v>
      </c>
      <c r="I843" s="16">
        <f t="shared" si="615"/>
        <v>165929.51619722878</v>
      </c>
      <c r="J843" s="16">
        <f t="shared" si="615"/>
        <v>125480.28355086534</v>
      </c>
      <c r="K843" s="16">
        <f t="shared" si="615"/>
        <v>205759.15210469763</v>
      </c>
      <c r="L843" s="16">
        <f t="shared" si="615"/>
        <v>1270292.0436232751</v>
      </c>
      <c r="M843" s="16">
        <f t="shared" si="615"/>
        <v>998732.80116282008</v>
      </c>
      <c r="N843" s="16">
        <f t="shared" si="615"/>
        <v>136389.58635057349</v>
      </c>
      <c r="O843" s="16">
        <f t="shared" si="614"/>
        <v>0</v>
      </c>
      <c r="P843" s="16">
        <f t="shared" si="614"/>
        <v>0</v>
      </c>
      <c r="Q843" s="16">
        <f t="shared" si="614"/>
        <v>0</v>
      </c>
      <c r="R843" s="16">
        <f t="shared" si="614"/>
        <v>0</v>
      </c>
      <c r="S843" s="16">
        <f t="shared" si="614"/>
        <v>0</v>
      </c>
      <c r="T843" s="16">
        <f t="shared" si="614"/>
        <v>0</v>
      </c>
      <c r="U843" s="16">
        <f t="shared" si="614"/>
        <v>0</v>
      </c>
      <c r="V843" s="16">
        <f t="shared" si="614"/>
        <v>0</v>
      </c>
      <c r="W843" s="16">
        <f t="shared" si="614"/>
        <v>0</v>
      </c>
      <c r="X843" s="16">
        <f t="shared" si="614"/>
        <v>0</v>
      </c>
      <c r="Y843" s="16">
        <f t="shared" ref="Y843:AF843" si="616">Y814</f>
        <v>0</v>
      </c>
      <c r="Z843" s="16">
        <f t="shared" si="616"/>
        <v>0</v>
      </c>
      <c r="AA843" s="16">
        <f t="shared" si="616"/>
        <v>0</v>
      </c>
      <c r="AB843" s="16">
        <f t="shared" si="616"/>
        <v>0</v>
      </c>
      <c r="AC843" s="16">
        <f t="shared" si="616"/>
        <v>0</v>
      </c>
      <c r="AD843" s="16">
        <f t="shared" si="616"/>
        <v>0</v>
      </c>
      <c r="AE843" s="16">
        <f t="shared" si="616"/>
        <v>0</v>
      </c>
      <c r="AF843" s="16">
        <f t="shared" si="616"/>
        <v>0</v>
      </c>
      <c r="AG843" s="16">
        <f>SUM(F843:AF843)</f>
        <v>21189539.629999999</v>
      </c>
    </row>
    <row r="844" spans="1:34" x14ac:dyDescent="0.25">
      <c r="A844" s="118" t="s">
        <v>1082</v>
      </c>
      <c r="E844" s="16">
        <f t="shared" ref="E844:N844" si="617">E827</f>
        <v>1704216</v>
      </c>
      <c r="F844" s="16">
        <f t="shared" si="617"/>
        <v>1211280.6733461085</v>
      </c>
      <c r="G844" s="16">
        <f t="shared" si="617"/>
        <v>79273.293725205032</v>
      </c>
      <c r="H844" s="16">
        <f t="shared" si="617"/>
        <v>201280.57207980807</v>
      </c>
      <c r="I844" s="16">
        <f t="shared" si="617"/>
        <v>20691.865447061387</v>
      </c>
      <c r="J844" s="16">
        <f t="shared" si="617"/>
        <v>20295.035150816373</v>
      </c>
      <c r="K844" s="16">
        <f t="shared" si="617"/>
        <v>11191.23279093468</v>
      </c>
      <c r="L844" s="16">
        <f t="shared" si="617"/>
        <v>78783.909204411146</v>
      </c>
      <c r="M844" s="16">
        <f t="shared" si="617"/>
        <v>59185.022619652955</v>
      </c>
      <c r="N844" s="16">
        <f t="shared" si="617"/>
        <v>22234.395636001482</v>
      </c>
      <c r="O844" s="16">
        <f t="shared" ref="O844:X844" si="618">O827</f>
        <v>0</v>
      </c>
      <c r="P844" s="16">
        <f t="shared" si="618"/>
        <v>0</v>
      </c>
      <c r="Q844" s="16">
        <f t="shared" si="618"/>
        <v>0</v>
      </c>
      <c r="R844" s="16">
        <f t="shared" si="618"/>
        <v>0</v>
      </c>
      <c r="S844" s="16">
        <f t="shared" si="618"/>
        <v>0</v>
      </c>
      <c r="T844" s="16">
        <f t="shared" si="618"/>
        <v>0</v>
      </c>
      <c r="U844" s="16">
        <f t="shared" si="618"/>
        <v>0</v>
      </c>
      <c r="V844" s="16">
        <f t="shared" si="618"/>
        <v>0</v>
      </c>
      <c r="W844" s="16">
        <f t="shared" si="618"/>
        <v>0</v>
      </c>
      <c r="X844" s="16">
        <f t="shared" si="618"/>
        <v>0</v>
      </c>
      <c r="Y844" s="16"/>
      <c r="Z844" s="16"/>
      <c r="AA844" s="16"/>
      <c r="AB844" s="16"/>
      <c r="AC844" s="16"/>
      <c r="AD844" s="16"/>
      <c r="AE844" s="16"/>
      <c r="AF844" s="16"/>
      <c r="AG844" s="16">
        <f t="shared" ref="AG844:AG851" si="619">SUM(F844:AF844)</f>
        <v>1704215.9999999995</v>
      </c>
    </row>
    <row r="845" spans="1:34" x14ac:dyDescent="0.25">
      <c r="A845" s="118" t="s">
        <v>1044</v>
      </c>
      <c r="E845" s="16">
        <f t="shared" ref="E845:N845" si="620">E828</f>
        <v>-130049</v>
      </c>
      <c r="F845" s="16">
        <f t="shared" si="620"/>
        <v>-130049</v>
      </c>
      <c r="G845" s="16">
        <f t="shared" si="620"/>
        <v>0</v>
      </c>
      <c r="H845" s="16">
        <f t="shared" si="620"/>
        <v>0</v>
      </c>
      <c r="I845" s="16">
        <f t="shared" si="620"/>
        <v>0</v>
      </c>
      <c r="J845" s="16">
        <f t="shared" si="620"/>
        <v>0</v>
      </c>
      <c r="K845" s="16">
        <f t="shared" si="620"/>
        <v>0</v>
      </c>
      <c r="L845" s="16">
        <f t="shared" si="620"/>
        <v>0</v>
      </c>
      <c r="M845" s="16">
        <f t="shared" si="620"/>
        <v>0</v>
      </c>
      <c r="N845" s="16">
        <f t="shared" si="620"/>
        <v>0</v>
      </c>
      <c r="O845" s="16">
        <f t="shared" ref="O845:X845" si="621">O828</f>
        <v>0</v>
      </c>
      <c r="P845" s="16">
        <f t="shared" si="621"/>
        <v>0</v>
      </c>
      <c r="Q845" s="16">
        <f t="shared" si="621"/>
        <v>0</v>
      </c>
      <c r="R845" s="16">
        <f t="shared" si="621"/>
        <v>0</v>
      </c>
      <c r="S845" s="16">
        <f t="shared" si="621"/>
        <v>0</v>
      </c>
      <c r="T845" s="16">
        <f t="shared" si="621"/>
        <v>0</v>
      </c>
      <c r="U845" s="16">
        <f t="shared" si="621"/>
        <v>0</v>
      </c>
      <c r="V845" s="16">
        <f t="shared" si="621"/>
        <v>0</v>
      </c>
      <c r="W845" s="16">
        <f t="shared" si="621"/>
        <v>0</v>
      </c>
      <c r="X845" s="16">
        <f t="shared" si="621"/>
        <v>0</v>
      </c>
      <c r="Y845" s="16"/>
      <c r="Z845" s="16"/>
      <c r="AA845" s="16"/>
      <c r="AB845" s="16"/>
      <c r="AC845" s="16"/>
      <c r="AD845" s="16"/>
      <c r="AE845" s="16"/>
      <c r="AF845" s="16"/>
      <c r="AG845" s="16">
        <f t="shared" si="619"/>
        <v>-130049</v>
      </c>
    </row>
    <row r="846" spans="1:34" x14ac:dyDescent="0.25">
      <c r="A846" s="118" t="s">
        <v>984</v>
      </c>
      <c r="E846" s="16">
        <f t="shared" ref="E846:N846" si="622">E829</f>
        <v>-4703521.0679199994</v>
      </c>
      <c r="F846" s="16">
        <f t="shared" si="622"/>
        <v>-2979734.3347619004</v>
      </c>
      <c r="G846" s="16">
        <f t="shared" si="622"/>
        <v>-265715.94110267673</v>
      </c>
      <c r="H846" s="16">
        <f t="shared" si="622"/>
        <v>-737298.81799342204</v>
      </c>
      <c r="I846" s="16">
        <f t="shared" si="622"/>
        <v>-52221.551905136512</v>
      </c>
      <c r="J846" s="16">
        <f t="shared" si="622"/>
        <v>-41350.204696552551</v>
      </c>
      <c r="K846" s="16">
        <f t="shared" si="622"/>
        <v>-37149.805840000001</v>
      </c>
      <c r="L846" s="16">
        <f t="shared" si="622"/>
        <v>-291769.64992</v>
      </c>
      <c r="M846" s="16">
        <f t="shared" si="622"/>
        <v>-236911.87080000003</v>
      </c>
      <c r="N846" s="16">
        <f t="shared" si="622"/>
        <v>-61368.890900311628</v>
      </c>
      <c r="O846" s="16">
        <f t="shared" ref="O846:X846" si="623">O829</f>
        <v>0</v>
      </c>
      <c r="P846" s="16">
        <f t="shared" si="623"/>
        <v>0</v>
      </c>
      <c r="Q846" s="16">
        <f t="shared" si="623"/>
        <v>0</v>
      </c>
      <c r="R846" s="16">
        <f t="shared" si="623"/>
        <v>0</v>
      </c>
      <c r="S846" s="16">
        <f t="shared" si="623"/>
        <v>0</v>
      </c>
      <c r="T846" s="16">
        <f t="shared" si="623"/>
        <v>0</v>
      </c>
      <c r="U846" s="16">
        <f t="shared" si="623"/>
        <v>0</v>
      </c>
      <c r="V846" s="16">
        <f t="shared" si="623"/>
        <v>0</v>
      </c>
      <c r="W846" s="16">
        <f t="shared" si="623"/>
        <v>0</v>
      </c>
      <c r="X846" s="16">
        <f t="shared" si="623"/>
        <v>0</v>
      </c>
      <c r="Y846" s="16"/>
      <c r="Z846" s="16"/>
      <c r="AA846" s="16"/>
      <c r="AB846" s="16"/>
      <c r="AC846" s="16"/>
      <c r="AD846" s="16"/>
      <c r="AE846" s="16"/>
      <c r="AF846" s="16"/>
      <c r="AG846" s="16">
        <f t="shared" si="619"/>
        <v>-4703521.0679199994</v>
      </c>
    </row>
    <row r="847" spans="1:34" x14ac:dyDescent="0.25">
      <c r="A847" s="118" t="s">
        <v>859</v>
      </c>
      <c r="E847" s="16">
        <f t="shared" ref="E847:N847" si="624">E830</f>
        <v>30010192.978423003</v>
      </c>
      <c r="F847" s="16">
        <f t="shared" si="624"/>
        <v>21994393.914990705</v>
      </c>
      <c r="G847" s="16">
        <f t="shared" si="624"/>
        <v>1941731.1734608253</v>
      </c>
      <c r="H847" s="16">
        <f t="shared" si="624"/>
        <v>5216535.5053079454</v>
      </c>
      <c r="I847" s="16">
        <f t="shared" si="624"/>
        <v>387242.71465931134</v>
      </c>
      <c r="J847" s="16">
        <f t="shared" si="624"/>
        <v>296819.08691619179</v>
      </c>
      <c r="K847" s="16">
        <f t="shared" si="624"/>
        <v>0</v>
      </c>
      <c r="L847" s="16">
        <f t="shared" si="624"/>
        <v>0</v>
      </c>
      <c r="M847" s="16">
        <f t="shared" si="624"/>
        <v>0</v>
      </c>
      <c r="N847" s="16">
        <f t="shared" si="624"/>
        <v>173470.58308802635</v>
      </c>
      <c r="O847" s="16">
        <f t="shared" ref="O847:X847" si="625">O830</f>
        <v>0</v>
      </c>
      <c r="P847" s="16">
        <f t="shared" si="625"/>
        <v>0</v>
      </c>
      <c r="Q847" s="16">
        <f t="shared" si="625"/>
        <v>0</v>
      </c>
      <c r="R847" s="16">
        <f t="shared" si="625"/>
        <v>0</v>
      </c>
      <c r="S847" s="16">
        <f t="shared" si="625"/>
        <v>0</v>
      </c>
      <c r="T847" s="16">
        <f t="shared" si="625"/>
        <v>0</v>
      </c>
      <c r="U847" s="16">
        <f t="shared" si="625"/>
        <v>0</v>
      </c>
      <c r="V847" s="16">
        <f t="shared" si="625"/>
        <v>0</v>
      </c>
      <c r="W847" s="16">
        <f t="shared" si="625"/>
        <v>0</v>
      </c>
      <c r="X847" s="16">
        <f t="shared" si="625"/>
        <v>0</v>
      </c>
      <c r="Y847" s="16">
        <f t="shared" ref="Y847:AF847" si="626">Y830</f>
        <v>0</v>
      </c>
      <c r="Z847" s="16">
        <f t="shared" si="626"/>
        <v>0</v>
      </c>
      <c r="AA847" s="16">
        <f t="shared" si="626"/>
        <v>0</v>
      </c>
      <c r="AB847" s="16">
        <f t="shared" si="626"/>
        <v>0</v>
      </c>
      <c r="AC847" s="16">
        <f t="shared" si="626"/>
        <v>0</v>
      </c>
      <c r="AD847" s="16">
        <f t="shared" si="626"/>
        <v>0</v>
      </c>
      <c r="AE847" s="16">
        <f t="shared" si="626"/>
        <v>0</v>
      </c>
      <c r="AF847" s="16">
        <f t="shared" si="626"/>
        <v>0</v>
      </c>
      <c r="AG847" s="16">
        <f t="shared" si="619"/>
        <v>30010192.978423007</v>
      </c>
    </row>
    <row r="848" spans="1:34" x14ac:dyDescent="0.25">
      <c r="A848" s="118" t="s">
        <v>1083</v>
      </c>
      <c r="E848" s="16">
        <f t="shared" ref="E848:N848" si="627">E831</f>
        <v>30283026.645750001</v>
      </c>
      <c r="F848" s="16">
        <f t="shared" si="627"/>
        <v>16811408.53991016</v>
      </c>
      <c r="G848" s="16">
        <f t="shared" si="627"/>
        <v>1515528.4379464241</v>
      </c>
      <c r="H848" s="16">
        <f t="shared" si="627"/>
        <v>4348374.5245107366</v>
      </c>
      <c r="I848" s="16">
        <f t="shared" si="627"/>
        <v>293143.61212518852</v>
      </c>
      <c r="J848" s="16">
        <f t="shared" si="627"/>
        <v>240313.46516341495</v>
      </c>
      <c r="K848" s="16">
        <f t="shared" si="627"/>
        <v>448194.83009200002</v>
      </c>
      <c r="L848" s="16">
        <f t="shared" si="627"/>
        <v>3377114.9182200003</v>
      </c>
      <c r="M848" s="16">
        <f t="shared" si="627"/>
        <v>2669154.8132080003</v>
      </c>
      <c r="N848" s="16">
        <f t="shared" si="627"/>
        <v>579793.50457407825</v>
      </c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>
        <f t="shared" si="619"/>
        <v>30283026.645750005</v>
      </c>
    </row>
    <row r="849" spans="1:33" x14ac:dyDescent="0.25">
      <c r="A849" s="2" t="s">
        <v>632</v>
      </c>
      <c r="E849" s="16">
        <f t="shared" ref="E849:N849" si="628">E832+(E838*E842)</f>
        <v>17034378.179471161</v>
      </c>
      <c r="F849" s="16">
        <f t="shared" si="628"/>
        <v>10766041.075999808</v>
      </c>
      <c r="G849" s="16">
        <f t="shared" si="628"/>
        <v>1170772.5573275466</v>
      </c>
      <c r="H849" s="16">
        <f t="shared" si="628"/>
        <v>3496308.1792301768</v>
      </c>
      <c r="I849" s="16">
        <f t="shared" si="628"/>
        <v>428591.33216336253</v>
      </c>
      <c r="J849" s="16">
        <f t="shared" si="628"/>
        <v>377070.37316245533</v>
      </c>
      <c r="K849" s="16">
        <f t="shared" si="628"/>
        <v>2319.674164167674</v>
      </c>
      <c r="L849" s="16">
        <f t="shared" si="628"/>
        <v>-15174.700338497976</v>
      </c>
      <c r="M849" s="16">
        <f t="shared" si="628"/>
        <v>805928.59149437828</v>
      </c>
      <c r="N849" s="16">
        <f t="shared" si="628"/>
        <v>106636.28965324764</v>
      </c>
      <c r="O849" s="16" t="e">
        <f t="shared" ref="O849:X849" si="629">O832+(O838*$C$842)</f>
        <v>#DIV/0!</v>
      </c>
      <c r="P849" s="16" t="e">
        <f t="shared" si="629"/>
        <v>#DIV/0!</v>
      </c>
      <c r="Q849" s="16" t="e">
        <f t="shared" si="629"/>
        <v>#DIV/0!</v>
      </c>
      <c r="R849" s="16" t="e">
        <f t="shared" si="629"/>
        <v>#DIV/0!</v>
      </c>
      <c r="S849" s="16" t="e">
        <f t="shared" si="629"/>
        <v>#DIV/0!</v>
      </c>
      <c r="T849" s="16" t="e">
        <f t="shared" si="629"/>
        <v>#DIV/0!</v>
      </c>
      <c r="U849" s="16" t="e">
        <f t="shared" si="629"/>
        <v>#DIV/0!</v>
      </c>
      <c r="V849" s="16" t="e">
        <f t="shared" si="629"/>
        <v>#DIV/0!</v>
      </c>
      <c r="W849" s="16" t="e">
        <f t="shared" si="629"/>
        <v>#DIV/0!</v>
      </c>
      <c r="X849" s="16" t="e">
        <f t="shared" si="629"/>
        <v>#DIV/0!</v>
      </c>
      <c r="Y849" s="16">
        <f t="shared" ref="Y849:AF849" si="630">Y820+(Y838*0.07)-Y471-Y472-Y473-Y474</f>
        <v>0</v>
      </c>
      <c r="Z849" s="16">
        <f t="shared" si="630"/>
        <v>0</v>
      </c>
      <c r="AA849" s="16">
        <f t="shared" si="630"/>
        <v>0</v>
      </c>
      <c r="AB849" s="16">
        <f t="shared" si="630"/>
        <v>0</v>
      </c>
      <c r="AC849" s="16">
        <f t="shared" si="630"/>
        <v>0</v>
      </c>
      <c r="AD849" s="16">
        <f t="shared" si="630"/>
        <v>0</v>
      </c>
      <c r="AE849" s="16">
        <f t="shared" si="630"/>
        <v>0</v>
      </c>
      <c r="AF849" s="16">
        <f t="shared" si="630"/>
        <v>0</v>
      </c>
      <c r="AG849" s="16" t="e">
        <f t="shared" si="619"/>
        <v>#DIV/0!</v>
      </c>
    </row>
    <row r="850" spans="1:33" x14ac:dyDescent="0.25">
      <c r="A850" s="2" t="s">
        <v>633</v>
      </c>
      <c r="E850" s="16">
        <f t="shared" ref="E850:N850" si="631">E833+(E839*E842)</f>
        <v>24244663.507966466</v>
      </c>
      <c r="F850" s="16">
        <f t="shared" si="631"/>
        <v>19507776.920675918</v>
      </c>
      <c r="G850" s="16">
        <f t="shared" si="631"/>
        <v>2139051.7741753305</v>
      </c>
      <c r="H850" s="16">
        <f t="shared" si="631"/>
        <v>358922.74723708589</v>
      </c>
      <c r="I850" s="16">
        <f t="shared" si="631"/>
        <v>71654.385367426526</v>
      </c>
      <c r="J850" s="16">
        <f t="shared" si="631"/>
        <v>13772.483551035497</v>
      </c>
      <c r="K850" s="16">
        <f t="shared" si="631"/>
        <v>2667.2690546981366</v>
      </c>
      <c r="L850" s="16">
        <f t="shared" si="631"/>
        <v>3756.0091036417061</v>
      </c>
      <c r="M850" s="16">
        <f t="shared" si="631"/>
        <v>4555.3011984919904</v>
      </c>
      <c r="N850" s="16">
        <f t="shared" si="631"/>
        <v>2038391.4242173461</v>
      </c>
      <c r="O850" s="16" t="e">
        <f t="shared" ref="O850:X850" si="632">O833+(O839*$C$842)</f>
        <v>#DIV/0!</v>
      </c>
      <c r="P850" s="16" t="e">
        <f t="shared" si="632"/>
        <v>#DIV/0!</v>
      </c>
      <c r="Q850" s="16" t="e">
        <f t="shared" si="632"/>
        <v>#DIV/0!</v>
      </c>
      <c r="R850" s="16" t="e">
        <f t="shared" si="632"/>
        <v>#DIV/0!</v>
      </c>
      <c r="S850" s="16" t="e">
        <f t="shared" si="632"/>
        <v>#DIV/0!</v>
      </c>
      <c r="T850" s="16" t="e">
        <f t="shared" si="632"/>
        <v>#DIV/0!</v>
      </c>
      <c r="U850" s="16" t="e">
        <f t="shared" si="632"/>
        <v>#DIV/0!</v>
      </c>
      <c r="V850" s="16" t="e">
        <f t="shared" si="632"/>
        <v>#DIV/0!</v>
      </c>
      <c r="W850" s="16" t="e">
        <f t="shared" si="632"/>
        <v>#DIV/0!</v>
      </c>
      <c r="X850" s="16" t="e">
        <f t="shared" si="632"/>
        <v>#DIV/0!</v>
      </c>
      <c r="Y850" s="16">
        <f t="shared" ref="Y850:AF850" si="633">Y821+(Y839*0.07)</f>
        <v>0</v>
      </c>
      <c r="Z850" s="16">
        <f t="shared" si="633"/>
        <v>0</v>
      </c>
      <c r="AA850" s="16">
        <f t="shared" si="633"/>
        <v>0</v>
      </c>
      <c r="AB850" s="16">
        <f t="shared" si="633"/>
        <v>0</v>
      </c>
      <c r="AC850" s="16">
        <f t="shared" si="633"/>
        <v>0</v>
      </c>
      <c r="AD850" s="16">
        <f t="shared" si="633"/>
        <v>0</v>
      </c>
      <c r="AE850" s="16">
        <f t="shared" si="633"/>
        <v>0</v>
      </c>
      <c r="AF850" s="16">
        <f t="shared" si="633"/>
        <v>0</v>
      </c>
      <c r="AG850" s="16" t="e">
        <f t="shared" si="619"/>
        <v>#DIV/0!</v>
      </c>
    </row>
    <row r="851" spans="1:33" x14ac:dyDescent="0.25">
      <c r="A851" s="2" t="s">
        <v>1</v>
      </c>
      <c r="E851" s="16">
        <f t="shared" ref="E851:AF851" si="634">SUM(E843:E850)</f>
        <v>119632446.87369063</v>
      </c>
      <c r="F851" s="16">
        <f t="shared" si="634"/>
        <v>82785688.251882136</v>
      </c>
      <c r="G851" s="16">
        <f t="shared" si="634"/>
        <v>7415521.4214459341</v>
      </c>
      <c r="H851" s="16">
        <f t="shared" si="634"/>
        <v>14731628.36974825</v>
      </c>
      <c r="I851" s="16">
        <f t="shared" si="634"/>
        <v>1315031.8740544426</v>
      </c>
      <c r="J851" s="16">
        <f t="shared" si="634"/>
        <v>1032400.5227982268</v>
      </c>
      <c r="K851" s="16">
        <f t="shared" si="634"/>
        <v>632982.35236649821</v>
      </c>
      <c r="L851" s="16">
        <f t="shared" si="634"/>
        <v>4423002.5298928311</v>
      </c>
      <c r="M851" s="16">
        <f t="shared" si="634"/>
        <v>4300644.6588833435</v>
      </c>
      <c r="N851" s="16">
        <f t="shared" si="634"/>
        <v>2995546.8926189616</v>
      </c>
      <c r="O851" s="16" t="e">
        <f t="shared" si="634"/>
        <v>#DIV/0!</v>
      </c>
      <c r="P851" s="16" t="e">
        <f t="shared" si="634"/>
        <v>#DIV/0!</v>
      </c>
      <c r="Q851" s="16" t="e">
        <f t="shared" si="634"/>
        <v>#DIV/0!</v>
      </c>
      <c r="R851" s="16" t="e">
        <f t="shared" si="634"/>
        <v>#DIV/0!</v>
      </c>
      <c r="S851" s="16" t="e">
        <f t="shared" si="634"/>
        <v>#DIV/0!</v>
      </c>
      <c r="T851" s="16" t="e">
        <f t="shared" si="634"/>
        <v>#DIV/0!</v>
      </c>
      <c r="U851" s="16" t="e">
        <f t="shared" si="634"/>
        <v>#DIV/0!</v>
      </c>
      <c r="V851" s="16" t="e">
        <f t="shared" si="634"/>
        <v>#DIV/0!</v>
      </c>
      <c r="W851" s="16" t="e">
        <f t="shared" si="634"/>
        <v>#DIV/0!</v>
      </c>
      <c r="X851" s="16" t="e">
        <f t="shared" si="634"/>
        <v>#DIV/0!</v>
      </c>
      <c r="Y851" s="16">
        <f t="shared" si="634"/>
        <v>0</v>
      </c>
      <c r="Z851" s="16">
        <f t="shared" si="634"/>
        <v>0</v>
      </c>
      <c r="AA851" s="16">
        <f t="shared" si="634"/>
        <v>0</v>
      </c>
      <c r="AB851" s="16">
        <f t="shared" si="634"/>
        <v>0</v>
      </c>
      <c r="AC851" s="16">
        <f t="shared" si="634"/>
        <v>0</v>
      </c>
      <c r="AD851" s="16">
        <f t="shared" si="634"/>
        <v>0</v>
      </c>
      <c r="AE851" s="16">
        <f t="shared" si="634"/>
        <v>0</v>
      </c>
      <c r="AF851" s="16">
        <f t="shared" si="634"/>
        <v>0</v>
      </c>
      <c r="AG851" s="16" t="e">
        <f t="shared" si="619"/>
        <v>#DIV/0!</v>
      </c>
    </row>
    <row r="852" spans="1:33" x14ac:dyDescent="0.25">
      <c r="F852" s="16"/>
      <c r="G852" s="16"/>
      <c r="H852" s="16"/>
      <c r="I852" s="16"/>
      <c r="J852" s="16"/>
      <c r="K852" s="16"/>
      <c r="L852" s="16"/>
    </row>
    <row r="853" spans="1:33" x14ac:dyDescent="0.25">
      <c r="A853" s="7" t="s">
        <v>634</v>
      </c>
      <c r="E853" s="17"/>
      <c r="F853" s="16">
        <f>SUM(F843:F848)/F621</f>
        <v>6.7601035369993151E-2</v>
      </c>
      <c r="G853" s="16"/>
      <c r="J853" s="16"/>
      <c r="K853" s="16"/>
      <c r="L853" s="16"/>
      <c r="M853" s="73"/>
    </row>
    <row r="854" spans="1:33" x14ac:dyDescent="0.25">
      <c r="F854" s="16"/>
      <c r="K854" s="16"/>
      <c r="M854" s="15"/>
    </row>
    <row r="855" spans="1:33" x14ac:dyDescent="0.25">
      <c r="A855" s="9" t="s">
        <v>1084</v>
      </c>
      <c r="F855" s="125">
        <f>(F826+F828)/F$621</f>
        <v>1.9921089604760842E-2</v>
      </c>
      <c r="G855" s="125">
        <f t="shared" ref="G855:I855" si="635">(G826+G828)/G$621</f>
        <v>1.2052577135381673E-2</v>
      </c>
      <c r="H855" s="229">
        <f>(H826+H828)/626079.4</f>
        <v>2.9509127107135584</v>
      </c>
      <c r="I855" s="125">
        <f t="shared" si="635"/>
        <v>1.2188416306127719E-2</v>
      </c>
      <c r="J855" s="125">
        <f t="shared" ref="J855" si="636">(J826+J828)/J$621</f>
        <v>1.1640489251112777E-2</v>
      </c>
      <c r="K855" s="21">
        <f>(K826+K828)/29351</f>
        <v>7.0102944398724958</v>
      </c>
      <c r="L855" s="21">
        <f>(L826+L828)/170620</f>
        <v>7.445153227190688</v>
      </c>
      <c r="M855" s="21">
        <f>(M826+M828)/137127.3</f>
        <v>7.283252869142907</v>
      </c>
      <c r="N855" s="21">
        <f>(N826+N828)/N$627</f>
        <v>0.44912123692484379</v>
      </c>
      <c r="O855" s="125" t="e">
        <f>(O826+O827)/O$627</f>
        <v>#DIV/0!</v>
      </c>
      <c r="P855" s="125">
        <f>(P826+P827+P828+P829)/2025</f>
        <v>0</v>
      </c>
      <c r="Q855" s="125">
        <f>(Q826+Q827+Q828+Q829)/32228</f>
        <v>0</v>
      </c>
      <c r="R855" s="125" t="e">
        <f>(R826+R827+R828+R829)/R$621</f>
        <v>#DIV/0!</v>
      </c>
      <c r="S855" s="125">
        <f>(S826+S827+S828+S829)/43343</f>
        <v>0</v>
      </c>
      <c r="T855" s="125" t="e">
        <f>(T826+T827+T828+T829)/T$621</f>
        <v>#DIV/0!</v>
      </c>
      <c r="U855" s="125" t="e">
        <f>(U826+U827+U828+U829)/U$621</f>
        <v>#DIV/0!</v>
      </c>
      <c r="V855" s="125" t="e">
        <f>(V826+V827+V828+V829)/V$621</f>
        <v>#DIV/0!</v>
      </c>
      <c r="W855" s="125" t="e">
        <f>(W826+W827+W828+W829)/W$621</f>
        <v>#DIV/0!</v>
      </c>
      <c r="X855" s="125" t="e">
        <f>(X826+X827+X828+X829)/X$627</f>
        <v>#DIV/0!</v>
      </c>
      <c r="Y855" s="11" t="e">
        <f>Y814/Y631/12</f>
        <v>#DIV/0!</v>
      </c>
      <c r="Z855" s="11" t="e">
        <f>Z814/Z631/12</f>
        <v>#DIV/0!</v>
      </c>
      <c r="AA855" s="11">
        <v>0</v>
      </c>
      <c r="AB855" s="11">
        <v>0</v>
      </c>
      <c r="AC855" s="2">
        <v>0</v>
      </c>
      <c r="AD855" s="2">
        <v>0</v>
      </c>
      <c r="AE855" s="2">
        <v>0</v>
      </c>
      <c r="AF855" s="2">
        <v>0</v>
      </c>
      <c r="AG855" s="83"/>
    </row>
    <row r="856" spans="1:33" x14ac:dyDescent="0.25">
      <c r="A856" s="9" t="s">
        <v>1085</v>
      </c>
      <c r="F856" s="125">
        <f>(F827)/F$621</f>
        <v>1.5593393882927038E-3</v>
      </c>
      <c r="G856" s="125">
        <f t="shared" ref="G856:I856" si="637">(G827)/G$621</f>
        <v>1.14441278183935E-3</v>
      </c>
      <c r="H856" s="229">
        <f>(H827)/626079.4</f>
        <v>0.32149368287761593</v>
      </c>
      <c r="I856" s="125">
        <f t="shared" si="637"/>
        <v>1.5199289192128424E-3</v>
      </c>
      <c r="J856" s="125">
        <f t="shared" ref="J856" si="638">(J827)/J$621</f>
        <v>1.8827191957074979E-3</v>
      </c>
      <c r="K856" s="21">
        <f>(K827)/29351</f>
        <v>0.38128965932795067</v>
      </c>
      <c r="L856" s="21">
        <f>(L827)/170620</f>
        <v>0.46175072795927291</v>
      </c>
      <c r="M856" s="21">
        <f>(M827)/137127.3</f>
        <v>0.43160641695455942</v>
      </c>
      <c r="N856" s="21">
        <f>(N827)/N$627</f>
        <v>7.3216288263017709E-2</v>
      </c>
      <c r="O856" s="125" t="e">
        <f>O845/O627</f>
        <v>#DIV/0!</v>
      </c>
      <c r="P856" s="125"/>
      <c r="Q856" s="125"/>
      <c r="R856" s="125"/>
      <c r="S856" s="125"/>
      <c r="T856" s="125"/>
      <c r="U856" s="125"/>
      <c r="V856" s="125"/>
      <c r="W856" s="125"/>
      <c r="X856" s="125"/>
      <c r="Y856" s="11"/>
      <c r="Z856" s="11"/>
      <c r="AA856" s="11"/>
      <c r="AB856" s="11"/>
    </row>
    <row r="857" spans="1:33" x14ac:dyDescent="0.25">
      <c r="A857" s="9" t="s">
        <v>971</v>
      </c>
      <c r="F857" s="125">
        <f t="shared" ref="F857:M857" si="639">(F829+F830+F831)/F621</f>
        <v>4.6120606376939606E-2</v>
      </c>
      <c r="G857" s="125">
        <f t="shared" si="639"/>
        <v>4.6074071083206769E-2</v>
      </c>
      <c r="H857" s="125">
        <f t="shared" si="639"/>
        <v>4.5927527559786609E-2</v>
      </c>
      <c r="I857" s="125">
        <f t="shared" si="639"/>
        <v>4.6142084666685422E-2</v>
      </c>
      <c r="J857" s="125">
        <f t="shared" si="639"/>
        <v>4.5992477242566006E-2</v>
      </c>
      <c r="K857" s="125">
        <f t="shared" si="639"/>
        <v>3.4666184281948412E-2</v>
      </c>
      <c r="L857" s="125">
        <f t="shared" si="639"/>
        <v>3.5833657387039641E-2</v>
      </c>
      <c r="M857" s="125">
        <f t="shared" si="639"/>
        <v>3.6125623134950352E-2</v>
      </c>
      <c r="N857" s="21">
        <f>(N829+N830+N831)/N627</f>
        <v>2.2783618229714504</v>
      </c>
      <c r="O857" s="125" t="e">
        <f>O830/O627</f>
        <v>#DIV/0!</v>
      </c>
      <c r="P857" s="125" t="e">
        <f t="shared" ref="P857:W857" si="640">P830/P622</f>
        <v>#DIV/0!</v>
      </c>
      <c r="Q857" s="125" t="e">
        <f t="shared" si="640"/>
        <v>#DIV/0!</v>
      </c>
      <c r="R857" s="125" t="e">
        <f t="shared" si="640"/>
        <v>#DIV/0!</v>
      </c>
      <c r="S857" s="125" t="e">
        <f t="shared" si="640"/>
        <v>#DIV/0!</v>
      </c>
      <c r="T857" s="125" t="e">
        <f t="shared" si="640"/>
        <v>#DIV/0!</v>
      </c>
      <c r="U857" s="125" t="e">
        <f t="shared" si="640"/>
        <v>#DIV/0!</v>
      </c>
      <c r="V857" s="125" t="e">
        <f t="shared" si="640"/>
        <v>#DIV/0!</v>
      </c>
      <c r="W857" s="125" t="e">
        <f t="shared" si="640"/>
        <v>#DIV/0!</v>
      </c>
      <c r="X857" s="125" t="e">
        <f>X830/X627</f>
        <v>#DIV/0!</v>
      </c>
      <c r="Y857" s="11"/>
      <c r="Z857" s="11"/>
      <c r="AA857" s="11"/>
      <c r="AB857" s="11"/>
    </row>
    <row r="858" spans="1:33" x14ac:dyDescent="0.25">
      <c r="A858" s="2" t="s">
        <v>632</v>
      </c>
      <c r="F858" s="125">
        <f>F832/F$621</f>
        <v>9.8944906568893456E-3</v>
      </c>
      <c r="G858" s="125">
        <f>G832/G$621</f>
        <v>1.1759343559849535E-2</v>
      </c>
      <c r="H858" s="21">
        <f>H832/626079.4</f>
        <v>4.2219690626745932</v>
      </c>
      <c r="I858" s="125">
        <f>I832/I$621</f>
        <v>2.2408245013249263E-2</v>
      </c>
      <c r="J858" s="125">
        <f>J832/J$621</f>
        <v>2.6609350228201451E-2</v>
      </c>
      <c r="K858" s="21">
        <f>K832/29351</f>
        <v>5.9800552263070066E-2</v>
      </c>
      <c r="L858" s="21">
        <f>L832/170620</f>
        <v>-0.16475134184859433</v>
      </c>
      <c r="M858" s="21">
        <f>M832/137127.3</f>
        <v>4.3692427803484755</v>
      </c>
      <c r="N858" s="21">
        <f>N832/N627</f>
        <v>0.19305524533962731</v>
      </c>
      <c r="O858" s="125" t="e">
        <f>O832/O627</f>
        <v>#DIV/0!</v>
      </c>
      <c r="P858" s="125" t="e">
        <f>P832/2025</f>
        <v>#DIV/0!</v>
      </c>
      <c r="Q858" s="125" t="e">
        <f>Q832/32228</f>
        <v>#DIV/0!</v>
      </c>
      <c r="R858" s="125" t="e">
        <f>R832/R$621</f>
        <v>#DIV/0!</v>
      </c>
      <c r="S858" s="125" t="e">
        <f>S832/43343</f>
        <v>#DIV/0!</v>
      </c>
      <c r="T858" s="125" t="e">
        <f>T832/T$621</f>
        <v>#DIV/0!</v>
      </c>
      <c r="U858" s="125" t="e">
        <f>U832/U$621</f>
        <v>#DIV/0!</v>
      </c>
      <c r="V858" s="125" t="e">
        <f>V832/V$621</f>
        <v>#DIV/0!</v>
      </c>
      <c r="W858" s="125" t="e">
        <f>W832/W$621</f>
        <v>#DIV/0!</v>
      </c>
      <c r="X858" s="125" t="e">
        <f>X832/X$627</f>
        <v>#DIV/0!</v>
      </c>
      <c r="Y858" s="11" t="e">
        <f>Y820/Y$631</f>
        <v>#DIV/0!</v>
      </c>
      <c r="Z858" s="11" t="e">
        <f>Z820/Z$631/12</f>
        <v>#DIV/0!</v>
      </c>
      <c r="AA858" s="11">
        <v>0</v>
      </c>
      <c r="AB858" s="11">
        <v>0</v>
      </c>
      <c r="AC858" s="2">
        <v>0</v>
      </c>
      <c r="AD858" s="2">
        <v>0</v>
      </c>
      <c r="AE858" s="2">
        <v>0</v>
      </c>
      <c r="AF858" s="2">
        <v>0</v>
      </c>
    </row>
    <row r="859" spans="1:33" x14ac:dyDescent="0.25">
      <c r="A859" s="2" t="s">
        <v>633</v>
      </c>
      <c r="F859" s="21">
        <f t="shared" ref="F859:X859" si="641">F833/F627</f>
        <v>20.317761253430646</v>
      </c>
      <c r="G859" s="21">
        <f t="shared" si="641"/>
        <v>31.200018599180446</v>
      </c>
      <c r="H859" s="21">
        <f t="shared" si="641"/>
        <v>57.008229311310835</v>
      </c>
      <c r="I859" s="21">
        <f t="shared" si="641"/>
        <v>28.419360827417606</v>
      </c>
      <c r="J859" s="21">
        <f t="shared" si="641"/>
        <v>58.451006357511901</v>
      </c>
      <c r="K859" s="21">
        <f t="shared" si="641"/>
        <v>192.94345240934558</v>
      </c>
      <c r="L859" s="21">
        <f t="shared" si="641"/>
        <v>127.17141050290526</v>
      </c>
      <c r="M859" s="21">
        <f t="shared" si="641"/>
        <v>39.814103964664028</v>
      </c>
      <c r="N859" s="21">
        <f t="shared" si="641"/>
        <v>4.4761742935616216</v>
      </c>
      <c r="O859" s="21" t="e">
        <f t="shared" si="641"/>
        <v>#DIV/0!</v>
      </c>
      <c r="P859" s="21" t="e">
        <f t="shared" si="641"/>
        <v>#DIV/0!</v>
      </c>
      <c r="Q859" s="21" t="e">
        <f t="shared" si="641"/>
        <v>#DIV/0!</v>
      </c>
      <c r="R859" s="21" t="e">
        <f t="shared" si="641"/>
        <v>#DIV/0!</v>
      </c>
      <c r="S859" s="21" t="e">
        <f t="shared" si="641"/>
        <v>#DIV/0!</v>
      </c>
      <c r="T859" s="21" t="e">
        <f t="shared" si="641"/>
        <v>#DIV/0!</v>
      </c>
      <c r="U859" s="21" t="e">
        <f t="shared" si="641"/>
        <v>#DIV/0!</v>
      </c>
      <c r="V859" s="21" t="e">
        <f t="shared" si="641"/>
        <v>#DIV/0!</v>
      </c>
      <c r="W859" s="21" t="e">
        <f t="shared" si="641"/>
        <v>#DIV/0!</v>
      </c>
      <c r="X859" s="21" t="e">
        <f t="shared" si="641"/>
        <v>#DIV/0!</v>
      </c>
      <c r="Y859" s="21" t="e">
        <f>Y821/Y631/12</f>
        <v>#DIV/0!</v>
      </c>
      <c r="Z859" s="21" t="e">
        <f>Z821/Z631/12</f>
        <v>#DIV/0!</v>
      </c>
      <c r="AA859" s="21">
        <v>0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38"/>
    </row>
    <row r="860" spans="1:33" x14ac:dyDescent="0.25">
      <c r="L860" s="15">
        <f>(L852-L835)/L627</f>
        <v>0</v>
      </c>
    </row>
    <row r="861" spans="1:33" x14ac:dyDescent="0.25">
      <c r="P861" s="126"/>
      <c r="Q861" s="126"/>
      <c r="R861" s="126"/>
      <c r="S861" s="126"/>
    </row>
    <row r="862" spans="1:33" x14ac:dyDescent="0.25">
      <c r="A862" s="7" t="s">
        <v>635</v>
      </c>
    </row>
    <row r="864" spans="1:33" x14ac:dyDescent="0.25">
      <c r="A864" s="2" t="s">
        <v>632</v>
      </c>
      <c r="F864" s="125">
        <f>F838/F$621</f>
        <v>7.9302951102524263E-2</v>
      </c>
      <c r="G864" s="125">
        <f>G838/G$621</f>
        <v>0.10284552692106096</v>
      </c>
      <c r="H864" s="21">
        <f>H838/626079.4</f>
        <v>27.249589162406714</v>
      </c>
      <c r="I864" s="125">
        <f>I838/I$621</f>
        <v>0.18148191620565479</v>
      </c>
      <c r="J864" s="125">
        <f>J838/J$621</f>
        <v>0.16741033479508752</v>
      </c>
      <c r="K864" s="21">
        <f>K838/29351</f>
        <v>0.38463299696385445</v>
      </c>
      <c r="L864" s="21">
        <f>L838/170620</f>
        <v>1.5162552582005846</v>
      </c>
      <c r="M864" s="21">
        <f>M838/137127.3</f>
        <v>30.159731283369371</v>
      </c>
      <c r="N864" s="21">
        <f>N838/N627</f>
        <v>3.1618099053456938</v>
      </c>
      <c r="O864" s="125" t="e">
        <f>O838/O627</f>
        <v>#DIV/0!</v>
      </c>
      <c r="P864" s="125">
        <f>P838/2025</f>
        <v>0</v>
      </c>
      <c r="Q864" s="125">
        <f>Q838/32228</f>
        <v>0</v>
      </c>
      <c r="R864" s="125" t="e">
        <f>R838/R$621</f>
        <v>#DIV/0!</v>
      </c>
      <c r="S864" s="125">
        <f>S838/43343</f>
        <v>0</v>
      </c>
      <c r="T864" s="125" t="e">
        <f>T838/T$621</f>
        <v>#DIV/0!</v>
      </c>
      <c r="U864" s="125" t="e">
        <f>U838/U$621</f>
        <v>#DIV/0!</v>
      </c>
      <c r="V864" s="125" t="e">
        <f>V838/V$621</f>
        <v>#DIV/0!</v>
      </c>
      <c r="W864" s="125" t="e">
        <f>W838/W$621</f>
        <v>#DIV/0!</v>
      </c>
      <c r="X864" s="125" t="e">
        <f>X838/X$627</f>
        <v>#DIV/0!</v>
      </c>
      <c r="Y864" s="11" t="e">
        <f>Y838/Y$631/12</f>
        <v>#DIV/0!</v>
      </c>
      <c r="Z864" s="11" t="e">
        <f>Z838/Z$631/12</f>
        <v>#DIV/0!</v>
      </c>
      <c r="AA864" s="11"/>
      <c r="AB864" s="11"/>
      <c r="AC864" s="82"/>
      <c r="AD864" s="82"/>
      <c r="AE864" s="82"/>
      <c r="AF864" s="82"/>
      <c r="AG864" s="38"/>
    </row>
    <row r="865" spans="1:33" x14ac:dyDescent="0.25">
      <c r="A865" s="2" t="s">
        <v>633</v>
      </c>
      <c r="F865" s="21">
        <f t="shared" ref="F865:W865" si="642">F839/F$627</f>
        <v>106.20341770944877</v>
      </c>
      <c r="G865" s="21">
        <f t="shared" si="642"/>
        <v>159.33422140831649</v>
      </c>
      <c r="H865" s="21">
        <f t="shared" si="642"/>
        <v>244.8354031123358</v>
      </c>
      <c r="I865" s="21">
        <f t="shared" si="642"/>
        <v>152.48185153440977</v>
      </c>
      <c r="J865" s="137">
        <f t="shared" si="642"/>
        <v>236.33533724113926</v>
      </c>
      <c r="K865" s="138">
        <f t="shared" si="642"/>
        <v>586.57937630998299</v>
      </c>
      <c r="L865" s="138">
        <f t="shared" si="642"/>
        <v>586.57937630998299</v>
      </c>
      <c r="M865" s="138">
        <f t="shared" si="642"/>
        <v>152.73900372588409</v>
      </c>
      <c r="N865" s="138">
        <f t="shared" si="642"/>
        <v>44.722082617895701</v>
      </c>
      <c r="O865" s="138" t="e">
        <f t="shared" si="642"/>
        <v>#DIV/0!</v>
      </c>
      <c r="P865" s="138" t="e">
        <f t="shared" si="642"/>
        <v>#DIV/0!</v>
      </c>
      <c r="Q865" s="138" t="e">
        <f t="shared" si="642"/>
        <v>#DIV/0!</v>
      </c>
      <c r="R865" s="138" t="e">
        <f t="shared" si="642"/>
        <v>#DIV/0!</v>
      </c>
      <c r="S865" s="138" t="e">
        <f t="shared" si="642"/>
        <v>#DIV/0!</v>
      </c>
      <c r="T865" s="138" t="e">
        <f t="shared" si="642"/>
        <v>#DIV/0!</v>
      </c>
      <c r="U865" s="138" t="e">
        <f t="shared" si="642"/>
        <v>#DIV/0!</v>
      </c>
      <c r="V865" s="138" t="e">
        <f t="shared" si="642"/>
        <v>#DIV/0!</v>
      </c>
      <c r="W865" s="138" t="e">
        <f t="shared" si="642"/>
        <v>#DIV/0!</v>
      </c>
      <c r="X865" s="138" t="e">
        <f>X839/X$627</f>
        <v>#DIV/0!</v>
      </c>
      <c r="Y865" s="82" t="e">
        <f t="shared" ref="Y865:AF865" si="643">Y839/Y$627</f>
        <v>#DIV/0!</v>
      </c>
      <c r="Z865" s="82" t="e">
        <f t="shared" si="643"/>
        <v>#DIV/0!</v>
      </c>
      <c r="AA865" s="82" t="e">
        <f t="shared" si="643"/>
        <v>#DIV/0!</v>
      </c>
      <c r="AB865" s="82" t="e">
        <f t="shared" si="643"/>
        <v>#DIV/0!</v>
      </c>
      <c r="AC865" s="82" t="e">
        <f t="shared" si="643"/>
        <v>#DIV/0!</v>
      </c>
      <c r="AD865" s="82" t="e">
        <f t="shared" si="643"/>
        <v>#DIV/0!</v>
      </c>
      <c r="AE865" s="82" t="e">
        <f t="shared" si="643"/>
        <v>#DIV/0!</v>
      </c>
      <c r="AF865" s="82" t="e">
        <f t="shared" si="643"/>
        <v>#DIV/0!</v>
      </c>
      <c r="AG865" s="38"/>
    </row>
    <row r="871" spans="1:33" x14ac:dyDescent="0.25">
      <c r="A871" s="7" t="s">
        <v>638</v>
      </c>
    </row>
    <row r="872" spans="1:33" x14ac:dyDescent="0.25">
      <c r="A872" s="7"/>
    </row>
    <row r="873" spans="1:33" x14ac:dyDescent="0.25">
      <c r="A873" s="7" t="s">
        <v>102</v>
      </c>
    </row>
    <row r="874" spans="1:33" x14ac:dyDescent="0.25">
      <c r="A874" s="9" t="s">
        <v>1084</v>
      </c>
      <c r="F874" s="125">
        <f t="shared" ref="F874:AF874" si="644">F855</f>
        <v>1.9921089604760842E-2</v>
      </c>
      <c r="G874" s="125">
        <f t="shared" si="644"/>
        <v>1.2052577135381673E-2</v>
      </c>
      <c r="H874" s="21">
        <f t="shared" si="644"/>
        <v>2.9509127107135584</v>
      </c>
      <c r="I874" s="125">
        <f t="shared" si="644"/>
        <v>1.2188416306127719E-2</v>
      </c>
      <c r="J874" s="139">
        <f t="shared" si="644"/>
        <v>1.1640489251112777E-2</v>
      </c>
      <c r="K874" s="138">
        <f t="shared" si="644"/>
        <v>7.0102944398724958</v>
      </c>
      <c r="L874" s="138">
        <f t="shared" si="644"/>
        <v>7.445153227190688</v>
      </c>
      <c r="M874" s="138">
        <f t="shared" si="644"/>
        <v>7.283252869142907</v>
      </c>
      <c r="N874" s="138">
        <f t="shared" si="644"/>
        <v>0.44912123692484379</v>
      </c>
      <c r="O874" s="140" t="e">
        <f t="shared" si="644"/>
        <v>#DIV/0!</v>
      </c>
      <c r="P874" s="125">
        <f t="shared" si="644"/>
        <v>0</v>
      </c>
      <c r="Q874" s="125">
        <f t="shared" si="644"/>
        <v>0</v>
      </c>
      <c r="R874" s="125" t="e">
        <f t="shared" si="644"/>
        <v>#DIV/0!</v>
      </c>
      <c r="S874" s="125">
        <f t="shared" si="644"/>
        <v>0</v>
      </c>
      <c r="T874" s="125" t="e">
        <f t="shared" si="644"/>
        <v>#DIV/0!</v>
      </c>
      <c r="U874" s="139" t="e">
        <f t="shared" si="644"/>
        <v>#DIV/0!</v>
      </c>
      <c r="V874" s="139" t="e">
        <f t="shared" si="644"/>
        <v>#DIV/0!</v>
      </c>
      <c r="W874" s="83" t="e">
        <f t="shared" si="644"/>
        <v>#DIV/0!</v>
      </c>
      <c r="X874" s="83" t="e">
        <f t="shared" si="644"/>
        <v>#DIV/0!</v>
      </c>
      <c r="Y874" s="83" t="e">
        <f t="shared" si="644"/>
        <v>#DIV/0!</v>
      </c>
      <c r="Z874" s="83" t="e">
        <f t="shared" si="644"/>
        <v>#DIV/0!</v>
      </c>
      <c r="AA874" s="83">
        <f t="shared" si="644"/>
        <v>0</v>
      </c>
      <c r="AB874" s="83">
        <f t="shared" si="644"/>
        <v>0</v>
      </c>
      <c r="AC874" s="83">
        <f t="shared" si="644"/>
        <v>0</v>
      </c>
      <c r="AD874" s="83">
        <f t="shared" si="644"/>
        <v>0</v>
      </c>
      <c r="AE874" s="83">
        <f t="shared" si="644"/>
        <v>0</v>
      </c>
      <c r="AF874" s="83">
        <f t="shared" si="644"/>
        <v>0</v>
      </c>
    </row>
    <row r="875" spans="1:33" x14ac:dyDescent="0.25">
      <c r="A875" s="9" t="s">
        <v>1085</v>
      </c>
      <c r="F875" s="125">
        <f t="shared" ref="F875:O875" si="645">F856</f>
        <v>1.5593393882927038E-3</v>
      </c>
      <c r="G875" s="125">
        <f t="shared" si="645"/>
        <v>1.14441278183935E-3</v>
      </c>
      <c r="H875" s="21">
        <f t="shared" si="645"/>
        <v>0.32149368287761593</v>
      </c>
      <c r="I875" s="125">
        <f t="shared" si="645"/>
        <v>1.5199289192128424E-3</v>
      </c>
      <c r="J875" s="125">
        <f t="shared" si="645"/>
        <v>1.8827191957074979E-3</v>
      </c>
      <c r="K875" s="21">
        <f t="shared" si="645"/>
        <v>0.38128965932795067</v>
      </c>
      <c r="L875" s="21">
        <f t="shared" si="645"/>
        <v>0.46175072795927291</v>
      </c>
      <c r="M875" s="21">
        <f t="shared" si="645"/>
        <v>0.43160641695455942</v>
      </c>
      <c r="N875" s="21">
        <f t="shared" si="645"/>
        <v>7.3216288263017709E-2</v>
      </c>
      <c r="O875" s="125" t="e">
        <f t="shared" si="645"/>
        <v>#DIV/0!</v>
      </c>
      <c r="P875" s="125"/>
      <c r="Q875" s="125"/>
      <c r="R875" s="125"/>
      <c r="S875" s="125"/>
      <c r="T875" s="125"/>
      <c r="U875" s="139"/>
      <c r="V875" s="139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</row>
    <row r="876" spans="1:33" x14ac:dyDescent="0.25">
      <c r="A876" s="9" t="s">
        <v>971</v>
      </c>
      <c r="F876" s="125">
        <f t="shared" ref="F876:O876" si="646">F857</f>
        <v>4.6120606376939606E-2</v>
      </c>
      <c r="G876" s="125">
        <f t="shared" si="646"/>
        <v>4.6074071083206769E-2</v>
      </c>
      <c r="H876" s="125">
        <f t="shared" si="646"/>
        <v>4.5927527559786609E-2</v>
      </c>
      <c r="I876" s="125">
        <f t="shared" si="646"/>
        <v>4.6142084666685422E-2</v>
      </c>
      <c r="J876" s="125">
        <f t="shared" si="646"/>
        <v>4.5992477242566006E-2</v>
      </c>
      <c r="K876" s="125">
        <f t="shared" si="646"/>
        <v>3.4666184281948412E-2</v>
      </c>
      <c r="L876" s="125">
        <f t="shared" si="646"/>
        <v>3.5833657387039641E-2</v>
      </c>
      <c r="M876" s="125">
        <f t="shared" si="646"/>
        <v>3.6125623134950352E-2</v>
      </c>
      <c r="N876" s="21">
        <f t="shared" si="646"/>
        <v>2.2783618229714504</v>
      </c>
      <c r="O876" s="125" t="e">
        <f t="shared" si="646"/>
        <v>#DIV/0!</v>
      </c>
      <c r="P876" s="125" t="e">
        <f t="shared" ref="P876:X876" si="647">P857</f>
        <v>#DIV/0!</v>
      </c>
      <c r="Q876" s="125" t="e">
        <f t="shared" si="647"/>
        <v>#DIV/0!</v>
      </c>
      <c r="R876" s="125" t="e">
        <f t="shared" si="647"/>
        <v>#DIV/0!</v>
      </c>
      <c r="S876" s="125" t="e">
        <f t="shared" si="647"/>
        <v>#DIV/0!</v>
      </c>
      <c r="T876" s="125" t="e">
        <f t="shared" si="647"/>
        <v>#DIV/0!</v>
      </c>
      <c r="U876" s="125" t="e">
        <f t="shared" si="647"/>
        <v>#DIV/0!</v>
      </c>
      <c r="V876" s="125" t="e">
        <f t="shared" si="647"/>
        <v>#DIV/0!</v>
      </c>
      <c r="W876" s="125" t="e">
        <f t="shared" si="647"/>
        <v>#DIV/0!</v>
      </c>
      <c r="X876" s="125" t="e">
        <f t="shared" si="647"/>
        <v>#DIV/0!</v>
      </c>
      <c r="Y876" s="83"/>
      <c r="Z876" s="83"/>
      <c r="AA876" s="83"/>
      <c r="AB876" s="83"/>
      <c r="AC876" s="83"/>
      <c r="AD876" s="83"/>
      <c r="AE876" s="83"/>
      <c r="AF876" s="83"/>
    </row>
    <row r="877" spans="1:33" x14ac:dyDescent="0.25">
      <c r="F877" s="83"/>
      <c r="J877" s="21"/>
    </row>
    <row r="878" spans="1:33" x14ac:dyDescent="0.25">
      <c r="A878" s="7" t="s">
        <v>639</v>
      </c>
      <c r="J878" s="21"/>
    </row>
    <row r="879" spans="1:33" x14ac:dyDescent="0.25">
      <c r="A879" s="2" t="s">
        <v>640</v>
      </c>
      <c r="F879" s="125">
        <f t="shared" ref="F879:AF879" si="648">F858</f>
        <v>9.8944906568893456E-3</v>
      </c>
      <c r="G879" s="125">
        <f t="shared" si="648"/>
        <v>1.1759343559849535E-2</v>
      </c>
      <c r="H879" s="21">
        <f t="shared" si="648"/>
        <v>4.2219690626745932</v>
      </c>
      <c r="I879" s="125">
        <f t="shared" si="648"/>
        <v>2.2408245013249263E-2</v>
      </c>
      <c r="J879" s="139">
        <f t="shared" si="648"/>
        <v>2.6609350228201451E-2</v>
      </c>
      <c r="K879" s="138">
        <f t="shared" si="648"/>
        <v>5.9800552263070066E-2</v>
      </c>
      <c r="L879" s="138">
        <f t="shared" si="648"/>
        <v>-0.16475134184859433</v>
      </c>
      <c r="M879" s="138">
        <f t="shared" si="648"/>
        <v>4.3692427803484755</v>
      </c>
      <c r="N879" s="138">
        <f t="shared" si="648"/>
        <v>0.19305524533962731</v>
      </c>
      <c r="O879" s="140" t="e">
        <f t="shared" si="648"/>
        <v>#DIV/0!</v>
      </c>
      <c r="P879" s="125" t="e">
        <f t="shared" si="648"/>
        <v>#DIV/0!</v>
      </c>
      <c r="Q879" s="125" t="e">
        <f t="shared" si="648"/>
        <v>#DIV/0!</v>
      </c>
      <c r="R879" s="125" t="e">
        <f t="shared" si="648"/>
        <v>#DIV/0!</v>
      </c>
      <c r="S879" s="125" t="e">
        <f t="shared" si="648"/>
        <v>#DIV/0!</v>
      </c>
      <c r="T879" s="125" t="e">
        <f t="shared" si="648"/>
        <v>#DIV/0!</v>
      </c>
      <c r="U879" s="139" t="e">
        <f t="shared" si="648"/>
        <v>#DIV/0!</v>
      </c>
      <c r="V879" s="139" t="e">
        <f t="shared" si="648"/>
        <v>#DIV/0!</v>
      </c>
      <c r="W879" s="83" t="e">
        <f t="shared" si="648"/>
        <v>#DIV/0!</v>
      </c>
      <c r="X879" s="83" t="e">
        <f t="shared" si="648"/>
        <v>#DIV/0!</v>
      </c>
      <c r="Y879" s="83" t="e">
        <f t="shared" si="648"/>
        <v>#DIV/0!</v>
      </c>
      <c r="Z879" s="83" t="e">
        <f t="shared" si="648"/>
        <v>#DIV/0!</v>
      </c>
      <c r="AA879" s="83">
        <f t="shared" si="648"/>
        <v>0</v>
      </c>
      <c r="AB879" s="83">
        <f t="shared" si="648"/>
        <v>0</v>
      </c>
      <c r="AC879" s="83">
        <f t="shared" si="648"/>
        <v>0</v>
      </c>
      <c r="AD879" s="83">
        <f t="shared" si="648"/>
        <v>0</v>
      </c>
      <c r="AE879" s="83">
        <f t="shared" si="648"/>
        <v>0</v>
      </c>
      <c r="AF879" s="83">
        <f t="shared" si="648"/>
        <v>0</v>
      </c>
    </row>
    <row r="880" spans="1:33" ht="17.25" x14ac:dyDescent="0.4">
      <c r="A880" s="2" t="s">
        <v>641</v>
      </c>
      <c r="F880" s="127">
        <f>(F838*F556)/F$621</f>
        <v>-1.4906297968159295E-3</v>
      </c>
      <c r="G880" s="127">
        <f>(G838*G556)/G$621</f>
        <v>7.0802213460471435E-3</v>
      </c>
      <c r="H880" s="130">
        <f>(H838*H556)/626079.4</f>
        <v>2.7787946353158159</v>
      </c>
      <c r="I880" s="127">
        <f>(I838*I556)/I$621</f>
        <v>1.9935492070381762E-2</v>
      </c>
      <c r="J880" s="127">
        <f>(J838*J556)/J$621</f>
        <v>-6.1123540633145727E-3</v>
      </c>
      <c r="K880" s="130">
        <f>(K838*K556)/29351</f>
        <v>2.8488216913895199</v>
      </c>
      <c r="L880" s="130">
        <f>(L838*L556)/170620</f>
        <v>3.824813371377469</v>
      </c>
      <c r="M880" s="130">
        <f>(M838*M556)/137127.3</f>
        <v>-0.23643869394401046</v>
      </c>
      <c r="N880" s="130">
        <f>(N838*N556)/336835</f>
        <v>0.29486635843507625</v>
      </c>
      <c r="O880" s="127" t="e">
        <f>(O838*O556)/O627</f>
        <v>#DIV/0!</v>
      </c>
      <c r="P880" s="127" t="e">
        <f>(P838*P556)/2025</f>
        <v>#DIV/0!</v>
      </c>
      <c r="Q880" s="127" t="e">
        <f>(Q838*Q556)/32228</f>
        <v>#DIV/0!</v>
      </c>
      <c r="R880" s="127" t="e">
        <f>(R838*R556)/R$621</f>
        <v>#DIV/0!</v>
      </c>
      <c r="S880" s="127" t="e">
        <f>(S838*S556)/43343</f>
        <v>#DIV/0!</v>
      </c>
      <c r="T880" s="127" t="e">
        <f>(T838*T556)/T$621</f>
        <v>#DIV/0!</v>
      </c>
      <c r="U880" s="127" t="e">
        <f>(U838*U556)/U$621</f>
        <v>#DIV/0!</v>
      </c>
      <c r="V880" s="127" t="e">
        <f>(V838*V556)/V$621</f>
        <v>#DIV/0!</v>
      </c>
      <c r="W880" s="127" t="e">
        <f>(W838*W556)/W$621</f>
        <v>#DIV/0!</v>
      </c>
      <c r="X880" s="127" t="e">
        <f>(X838*X556)/X$627</f>
        <v>#DIV/0!</v>
      </c>
      <c r="Y880" s="84" t="e">
        <f>(Y838*Y490)/Y$631/12</f>
        <v>#DIV/0!</v>
      </c>
      <c r="Z880" s="84" t="e">
        <f>(Z838*Z490)/Z$631/12</f>
        <v>#DIV/0!</v>
      </c>
      <c r="AA880" s="84" t="e">
        <f t="shared" ref="AA880:AF880" si="649">(AA838*AA490)/AA$621</f>
        <v>#DIV/0!</v>
      </c>
      <c r="AB880" s="84" t="e">
        <f t="shared" si="649"/>
        <v>#DIV/0!</v>
      </c>
      <c r="AC880" s="84" t="e">
        <f t="shared" si="649"/>
        <v>#DIV/0!</v>
      </c>
      <c r="AD880" s="84" t="e">
        <f t="shared" si="649"/>
        <v>#DIV/0!</v>
      </c>
      <c r="AE880" s="84" t="e">
        <f t="shared" si="649"/>
        <v>#DIV/0!</v>
      </c>
      <c r="AF880" s="84" t="e">
        <f t="shared" si="649"/>
        <v>#DIV/0!</v>
      </c>
      <c r="AG880" s="38"/>
    </row>
    <row r="881" spans="1:32" x14ac:dyDescent="0.25">
      <c r="B881" s="2" t="s">
        <v>642</v>
      </c>
      <c r="F881" s="125">
        <f t="shared" ref="F881:N881" si="650">F879+F880</f>
        <v>8.4038608600734161E-3</v>
      </c>
      <c r="G881" s="125">
        <f t="shared" si="650"/>
        <v>1.883956490589668E-2</v>
      </c>
      <c r="H881" s="21">
        <f t="shared" si="650"/>
        <v>7.0007636979904095</v>
      </c>
      <c r="I881" s="125">
        <f t="shared" si="650"/>
        <v>4.2343737083631025E-2</v>
      </c>
      <c r="J881" s="139">
        <f t="shared" si="650"/>
        <v>2.0496996164886878E-2</v>
      </c>
      <c r="K881" s="138">
        <f t="shared" si="650"/>
        <v>2.9086222436525899</v>
      </c>
      <c r="L881" s="138">
        <f t="shared" si="650"/>
        <v>3.6600620295288748</v>
      </c>
      <c r="M881" s="138">
        <f t="shared" si="650"/>
        <v>4.1328040864044651</v>
      </c>
      <c r="N881" s="138">
        <f t="shared" si="650"/>
        <v>0.48792160377470356</v>
      </c>
      <c r="O881" s="138" t="e">
        <f t="shared" ref="O881:T881" si="651">O879+O880</f>
        <v>#DIV/0!</v>
      </c>
      <c r="P881" s="125" t="e">
        <f t="shared" si="651"/>
        <v>#DIV/0!</v>
      </c>
      <c r="Q881" s="125" t="e">
        <f t="shared" si="651"/>
        <v>#DIV/0!</v>
      </c>
      <c r="R881" s="125" t="e">
        <f t="shared" si="651"/>
        <v>#DIV/0!</v>
      </c>
      <c r="S881" s="125" t="e">
        <f t="shared" si="651"/>
        <v>#DIV/0!</v>
      </c>
      <c r="T881" s="21" t="e">
        <f t="shared" si="651"/>
        <v>#DIV/0!</v>
      </c>
      <c r="U881" s="137" t="e">
        <f t="shared" ref="U881:AF881" si="652">U879+U880</f>
        <v>#DIV/0!</v>
      </c>
      <c r="V881" s="137" t="e">
        <f t="shared" si="652"/>
        <v>#DIV/0!</v>
      </c>
      <c r="W881" s="83" t="e">
        <f t="shared" si="652"/>
        <v>#DIV/0!</v>
      </c>
      <c r="X881" s="83" t="e">
        <f t="shared" si="652"/>
        <v>#DIV/0!</v>
      </c>
      <c r="Y881" s="83" t="e">
        <f t="shared" si="652"/>
        <v>#DIV/0!</v>
      </c>
      <c r="Z881" s="83" t="e">
        <f t="shared" si="652"/>
        <v>#DIV/0!</v>
      </c>
      <c r="AA881" s="83" t="e">
        <f t="shared" si="652"/>
        <v>#DIV/0!</v>
      </c>
      <c r="AB881" s="83" t="e">
        <f t="shared" si="652"/>
        <v>#DIV/0!</v>
      </c>
      <c r="AC881" s="83" t="e">
        <f t="shared" si="652"/>
        <v>#DIV/0!</v>
      </c>
      <c r="AD881" s="83" t="e">
        <f t="shared" si="652"/>
        <v>#DIV/0!</v>
      </c>
      <c r="AE881" s="83" t="e">
        <f t="shared" si="652"/>
        <v>#DIV/0!</v>
      </c>
      <c r="AF881" s="83" t="e">
        <f t="shared" si="652"/>
        <v>#DIV/0!</v>
      </c>
    </row>
    <row r="882" spans="1:32" x14ac:dyDescent="0.25">
      <c r="H882" s="21"/>
    </row>
    <row r="883" spans="1:32" x14ac:dyDescent="0.25">
      <c r="A883" s="7" t="s">
        <v>643</v>
      </c>
    </row>
    <row r="884" spans="1:32" x14ac:dyDescent="0.25">
      <c r="A884" s="2" t="s">
        <v>644</v>
      </c>
      <c r="F884" s="21">
        <f t="shared" ref="F884:AF884" si="653">F859</f>
        <v>20.317761253430646</v>
      </c>
      <c r="G884" s="21">
        <f t="shared" si="653"/>
        <v>31.200018599180446</v>
      </c>
      <c r="H884" s="21">
        <f t="shared" si="653"/>
        <v>57.008229311310835</v>
      </c>
      <c r="I884" s="21">
        <f t="shared" si="653"/>
        <v>28.419360827417606</v>
      </c>
      <c r="J884" s="137">
        <f t="shared" si="653"/>
        <v>58.451006357511901</v>
      </c>
      <c r="K884" s="138">
        <f t="shared" si="653"/>
        <v>192.94345240934558</v>
      </c>
      <c r="L884" s="138">
        <f t="shared" si="653"/>
        <v>127.17141050290526</v>
      </c>
      <c r="M884" s="138">
        <f t="shared" si="653"/>
        <v>39.814103964664028</v>
      </c>
      <c r="N884" s="138">
        <f t="shared" si="653"/>
        <v>4.4761742935616216</v>
      </c>
      <c r="O884" s="138" t="e">
        <f t="shared" si="653"/>
        <v>#DIV/0!</v>
      </c>
      <c r="P884" s="125" t="e">
        <f t="shared" si="653"/>
        <v>#DIV/0!</v>
      </c>
      <c r="Q884" s="125" t="e">
        <f t="shared" si="653"/>
        <v>#DIV/0!</v>
      </c>
      <c r="R884" s="125" t="e">
        <f t="shared" si="653"/>
        <v>#DIV/0!</v>
      </c>
      <c r="S884" s="125" t="e">
        <f t="shared" si="653"/>
        <v>#DIV/0!</v>
      </c>
      <c r="T884" s="21" t="e">
        <f t="shared" si="653"/>
        <v>#DIV/0!</v>
      </c>
      <c r="U884" s="137" t="e">
        <f t="shared" si="653"/>
        <v>#DIV/0!</v>
      </c>
      <c r="V884" s="137" t="e">
        <f t="shared" si="653"/>
        <v>#DIV/0!</v>
      </c>
      <c r="W884" s="15" t="e">
        <f t="shared" si="653"/>
        <v>#DIV/0!</v>
      </c>
      <c r="X884" s="15" t="e">
        <f t="shared" si="653"/>
        <v>#DIV/0!</v>
      </c>
      <c r="Y884" s="15" t="e">
        <f t="shared" si="653"/>
        <v>#DIV/0!</v>
      </c>
      <c r="Z884" s="15" t="e">
        <f t="shared" si="653"/>
        <v>#DIV/0!</v>
      </c>
      <c r="AA884" s="15">
        <f t="shared" si="653"/>
        <v>0</v>
      </c>
      <c r="AB884" s="15">
        <f t="shared" si="653"/>
        <v>0</v>
      </c>
      <c r="AC884" s="15">
        <f t="shared" si="653"/>
        <v>0</v>
      </c>
      <c r="AD884" s="15">
        <f t="shared" si="653"/>
        <v>0</v>
      </c>
      <c r="AE884" s="15">
        <f t="shared" si="653"/>
        <v>0</v>
      </c>
      <c r="AF884" s="15">
        <f t="shared" si="653"/>
        <v>0</v>
      </c>
    </row>
    <row r="885" spans="1:32" ht="17.25" x14ac:dyDescent="0.4">
      <c r="A885" s="2" t="s">
        <v>645</v>
      </c>
      <c r="F885" s="129">
        <f t="shared" ref="F885:V885" si="654">(F839*F556)/F627</f>
        <v>-1.9962684460093667</v>
      </c>
      <c r="G885" s="129">
        <f t="shared" si="654"/>
        <v>10.969087225707478</v>
      </c>
      <c r="H885" s="129">
        <f t="shared" si="654"/>
        <v>24.96724998858129</v>
      </c>
      <c r="I885" s="129">
        <f t="shared" si="654"/>
        <v>16.749882333712311</v>
      </c>
      <c r="J885" s="130">
        <f t="shared" si="654"/>
        <v>-8.6288893732807157</v>
      </c>
      <c r="K885" s="130">
        <f t="shared" si="654"/>
        <v>4344.5571860561204</v>
      </c>
      <c r="L885" s="130">
        <f t="shared" si="654"/>
        <v>1479.6694882016229</v>
      </c>
      <c r="M885" s="130">
        <f t="shared" si="654"/>
        <v>-1.1974049177013382</v>
      </c>
      <c r="N885" s="130">
        <f t="shared" si="654"/>
        <v>4.6260580841345282</v>
      </c>
      <c r="O885" s="130" t="e">
        <f t="shared" si="654"/>
        <v>#DIV/0!</v>
      </c>
      <c r="P885" s="130" t="e">
        <f t="shared" si="654"/>
        <v>#DIV/0!</v>
      </c>
      <c r="Q885" s="130" t="e">
        <f t="shared" si="654"/>
        <v>#DIV/0!</v>
      </c>
      <c r="R885" s="130" t="e">
        <f t="shared" si="654"/>
        <v>#DIV/0!</v>
      </c>
      <c r="S885" s="130" t="e">
        <f t="shared" si="654"/>
        <v>#DIV/0!</v>
      </c>
      <c r="T885" s="130" t="e">
        <f t="shared" si="654"/>
        <v>#DIV/0!</v>
      </c>
      <c r="U885" s="130" t="e">
        <f t="shared" si="654"/>
        <v>#DIV/0!</v>
      </c>
      <c r="V885" s="130" t="e">
        <f t="shared" si="654"/>
        <v>#DIV/0!</v>
      </c>
      <c r="W885" s="85" t="e">
        <f>(W839*W490)/W627</f>
        <v>#DIV/0!</v>
      </c>
      <c r="X885" s="85" t="e">
        <f>(X839*X490)/X627</f>
        <v>#DIV/0!</v>
      </c>
      <c r="Y885" s="85" t="e">
        <f>(Y839*Y490)/Y631/12</f>
        <v>#DIV/0!</v>
      </c>
      <c r="Z885" s="85" t="e">
        <f>(Z839*Z490)/Z631/12</f>
        <v>#DIV/0!</v>
      </c>
      <c r="AA885" s="85" t="e">
        <f t="shared" ref="AA885:AF885" si="655">(AA839*AA490)/AA627</f>
        <v>#DIV/0!</v>
      </c>
      <c r="AB885" s="85" t="e">
        <f t="shared" si="655"/>
        <v>#DIV/0!</v>
      </c>
      <c r="AC885" s="85" t="e">
        <f t="shared" si="655"/>
        <v>#DIV/0!</v>
      </c>
      <c r="AD885" s="85" t="e">
        <f t="shared" si="655"/>
        <v>#DIV/0!</v>
      </c>
      <c r="AE885" s="85" t="e">
        <f t="shared" si="655"/>
        <v>#DIV/0!</v>
      </c>
      <c r="AF885" s="85" t="e">
        <f t="shared" si="655"/>
        <v>#DIV/0!</v>
      </c>
    </row>
    <row r="886" spans="1:32" x14ac:dyDescent="0.25">
      <c r="B886" s="2" t="s">
        <v>646</v>
      </c>
      <c r="F886" s="21">
        <f t="shared" ref="F886:N886" si="656">F884+F885</f>
        <v>18.321492807421279</v>
      </c>
      <c r="G886" s="21">
        <f t="shared" si="656"/>
        <v>42.169105824887922</v>
      </c>
      <c r="H886" s="21">
        <f t="shared" si="656"/>
        <v>81.975479299892129</v>
      </c>
      <c r="I886" s="21">
        <f t="shared" si="656"/>
        <v>45.169243161129913</v>
      </c>
      <c r="J886" s="137">
        <f t="shared" si="656"/>
        <v>49.822116984231187</v>
      </c>
      <c r="K886" s="138">
        <f t="shared" si="656"/>
        <v>4537.5006384654662</v>
      </c>
      <c r="L886" s="138">
        <f t="shared" si="656"/>
        <v>1606.8408987045282</v>
      </c>
      <c r="M886" s="138">
        <f t="shared" si="656"/>
        <v>38.616699046962687</v>
      </c>
      <c r="N886" s="138">
        <f t="shared" si="656"/>
        <v>9.1022323776961507</v>
      </c>
      <c r="O886" s="138" t="e">
        <f t="shared" ref="O886:T886" si="657">O884+O885</f>
        <v>#DIV/0!</v>
      </c>
      <c r="P886" s="125" t="e">
        <f t="shared" si="657"/>
        <v>#DIV/0!</v>
      </c>
      <c r="Q886" s="125" t="e">
        <f t="shared" si="657"/>
        <v>#DIV/0!</v>
      </c>
      <c r="R886" s="125" t="e">
        <f t="shared" si="657"/>
        <v>#DIV/0!</v>
      </c>
      <c r="S886" s="125" t="e">
        <f t="shared" si="657"/>
        <v>#DIV/0!</v>
      </c>
      <c r="T886" s="21" t="e">
        <f t="shared" si="657"/>
        <v>#DIV/0!</v>
      </c>
      <c r="U886" s="137" t="e">
        <f t="shared" ref="U886:AF886" si="658">U884+U885</f>
        <v>#DIV/0!</v>
      </c>
      <c r="V886" s="137" t="e">
        <f t="shared" si="658"/>
        <v>#DIV/0!</v>
      </c>
      <c r="W886" s="15" t="e">
        <f t="shared" si="658"/>
        <v>#DIV/0!</v>
      </c>
      <c r="X886" s="15" t="e">
        <f t="shared" si="658"/>
        <v>#DIV/0!</v>
      </c>
      <c r="Y886" s="15" t="e">
        <f t="shared" si="658"/>
        <v>#DIV/0!</v>
      </c>
      <c r="Z886" s="15" t="e">
        <f t="shared" si="658"/>
        <v>#DIV/0!</v>
      </c>
      <c r="AA886" s="15" t="e">
        <f t="shared" si="658"/>
        <v>#DIV/0!</v>
      </c>
      <c r="AB886" s="15" t="e">
        <f t="shared" si="658"/>
        <v>#DIV/0!</v>
      </c>
      <c r="AC886" s="15" t="e">
        <f t="shared" si="658"/>
        <v>#DIV/0!</v>
      </c>
      <c r="AD886" s="15" t="e">
        <f t="shared" si="658"/>
        <v>#DIV/0!</v>
      </c>
      <c r="AE886" s="15" t="e">
        <f t="shared" si="658"/>
        <v>#DIV/0!</v>
      </c>
      <c r="AF886" s="15" t="e">
        <f t="shared" si="658"/>
        <v>#DIV/0!</v>
      </c>
    </row>
    <row r="889" spans="1:32" x14ac:dyDescent="0.25">
      <c r="A889" s="7" t="s">
        <v>647</v>
      </c>
    </row>
    <row r="890" spans="1:32" x14ac:dyDescent="0.25">
      <c r="A890" s="7"/>
    </row>
    <row r="891" spans="1:32" x14ac:dyDescent="0.25">
      <c r="A891" s="7" t="s">
        <v>102</v>
      </c>
    </row>
    <row r="892" spans="1:32" x14ac:dyDescent="0.25">
      <c r="A892" s="9" t="s">
        <v>1084</v>
      </c>
      <c r="F892" s="125">
        <f t="shared" ref="F892:AF892" si="659">F855</f>
        <v>1.9921089604760842E-2</v>
      </c>
      <c r="G892" s="125">
        <f t="shared" si="659"/>
        <v>1.2052577135381673E-2</v>
      </c>
      <c r="H892" s="21">
        <f t="shared" si="659"/>
        <v>2.9509127107135584</v>
      </c>
      <c r="I892" s="125">
        <f t="shared" si="659"/>
        <v>1.2188416306127719E-2</v>
      </c>
      <c r="J892" s="139">
        <f t="shared" si="659"/>
        <v>1.1640489251112777E-2</v>
      </c>
      <c r="K892" s="138">
        <f t="shared" si="659"/>
        <v>7.0102944398724958</v>
      </c>
      <c r="L892" s="138">
        <f t="shared" si="659"/>
        <v>7.445153227190688</v>
      </c>
      <c r="M892" s="138">
        <f t="shared" si="659"/>
        <v>7.283252869142907</v>
      </c>
      <c r="N892" s="138">
        <f t="shared" si="659"/>
        <v>0.44912123692484379</v>
      </c>
      <c r="O892" s="138" t="e">
        <f t="shared" si="659"/>
        <v>#DIV/0!</v>
      </c>
      <c r="P892" s="125">
        <f t="shared" si="659"/>
        <v>0</v>
      </c>
      <c r="Q892" s="125">
        <f t="shared" si="659"/>
        <v>0</v>
      </c>
      <c r="R892" s="125" t="e">
        <f t="shared" si="659"/>
        <v>#DIV/0!</v>
      </c>
      <c r="S892" s="125">
        <f t="shared" si="659"/>
        <v>0</v>
      </c>
      <c r="T892" s="125" t="e">
        <f t="shared" si="659"/>
        <v>#DIV/0!</v>
      </c>
      <c r="U892" s="139" t="e">
        <f t="shared" si="659"/>
        <v>#DIV/0!</v>
      </c>
      <c r="V892" s="139" t="e">
        <f t="shared" si="659"/>
        <v>#DIV/0!</v>
      </c>
      <c r="W892" s="83" t="e">
        <f t="shared" si="659"/>
        <v>#DIV/0!</v>
      </c>
      <c r="X892" s="83" t="e">
        <f t="shared" si="659"/>
        <v>#DIV/0!</v>
      </c>
      <c r="Y892" s="83" t="e">
        <f t="shared" si="659"/>
        <v>#DIV/0!</v>
      </c>
      <c r="Z892" s="83" t="e">
        <f t="shared" si="659"/>
        <v>#DIV/0!</v>
      </c>
      <c r="AA892" s="83">
        <f t="shared" si="659"/>
        <v>0</v>
      </c>
      <c r="AB892" s="83">
        <f t="shared" si="659"/>
        <v>0</v>
      </c>
      <c r="AC892" s="83">
        <f t="shared" si="659"/>
        <v>0</v>
      </c>
      <c r="AD892" s="83">
        <f t="shared" si="659"/>
        <v>0</v>
      </c>
      <c r="AE892" s="83">
        <f t="shared" si="659"/>
        <v>0</v>
      </c>
      <c r="AF892" s="83">
        <f t="shared" si="659"/>
        <v>0</v>
      </c>
    </row>
    <row r="893" spans="1:32" x14ac:dyDescent="0.25">
      <c r="A893" s="9" t="s">
        <v>1085</v>
      </c>
      <c r="F893" s="125">
        <f t="shared" ref="F893:O893" si="660">F875</f>
        <v>1.5593393882927038E-3</v>
      </c>
      <c r="G893" s="125">
        <f t="shared" si="660"/>
        <v>1.14441278183935E-3</v>
      </c>
      <c r="H893" s="21">
        <f t="shared" si="660"/>
        <v>0.32149368287761593</v>
      </c>
      <c r="I893" s="125">
        <f t="shared" si="660"/>
        <v>1.5199289192128424E-3</v>
      </c>
      <c r="J893" s="125">
        <f t="shared" si="660"/>
        <v>1.8827191957074979E-3</v>
      </c>
      <c r="K893" s="21">
        <f t="shared" si="660"/>
        <v>0.38128965932795067</v>
      </c>
      <c r="L893" s="21">
        <f t="shared" si="660"/>
        <v>0.46175072795927291</v>
      </c>
      <c r="M893" s="21">
        <f t="shared" si="660"/>
        <v>0.43160641695455942</v>
      </c>
      <c r="N893" s="21">
        <f t="shared" si="660"/>
        <v>7.3216288263017709E-2</v>
      </c>
      <c r="O893" s="125" t="e">
        <f t="shared" si="660"/>
        <v>#DIV/0!</v>
      </c>
      <c r="P893" s="125"/>
      <c r="Q893" s="125"/>
      <c r="R893" s="125"/>
      <c r="S893" s="125"/>
      <c r="T893" s="125"/>
      <c r="U893" s="139"/>
      <c r="V893" s="139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</row>
    <row r="894" spans="1:32" x14ac:dyDescent="0.25">
      <c r="A894" s="9" t="s">
        <v>971</v>
      </c>
      <c r="F894" s="125">
        <f t="shared" ref="F894:X894" si="661">F857</f>
        <v>4.6120606376939606E-2</v>
      </c>
      <c r="G894" s="125">
        <f t="shared" si="661"/>
        <v>4.6074071083206769E-2</v>
      </c>
      <c r="H894" s="21">
        <f t="shared" si="661"/>
        <v>4.5927527559786609E-2</v>
      </c>
      <c r="I894" s="125">
        <f t="shared" si="661"/>
        <v>4.6142084666685422E-2</v>
      </c>
      <c r="J894" s="125">
        <f t="shared" si="661"/>
        <v>4.5992477242566006E-2</v>
      </c>
      <c r="K894" s="21">
        <f t="shared" si="661"/>
        <v>3.4666184281948412E-2</v>
      </c>
      <c r="L894" s="21">
        <f t="shared" si="661"/>
        <v>3.5833657387039641E-2</v>
      </c>
      <c r="M894" s="125">
        <f t="shared" si="661"/>
        <v>3.6125623134950352E-2</v>
      </c>
      <c r="N894" s="21">
        <f t="shared" si="661"/>
        <v>2.2783618229714504</v>
      </c>
      <c r="O894" s="125" t="e">
        <f t="shared" si="661"/>
        <v>#DIV/0!</v>
      </c>
      <c r="P894" s="125" t="e">
        <f t="shared" si="661"/>
        <v>#DIV/0!</v>
      </c>
      <c r="Q894" s="125" t="e">
        <f t="shared" si="661"/>
        <v>#DIV/0!</v>
      </c>
      <c r="R894" s="125" t="e">
        <f t="shared" si="661"/>
        <v>#DIV/0!</v>
      </c>
      <c r="S894" s="125" t="e">
        <f t="shared" si="661"/>
        <v>#DIV/0!</v>
      </c>
      <c r="T894" s="125" t="e">
        <f t="shared" si="661"/>
        <v>#DIV/0!</v>
      </c>
      <c r="U894" s="125" t="e">
        <f t="shared" si="661"/>
        <v>#DIV/0!</v>
      </c>
      <c r="V894" s="125" t="e">
        <f t="shared" si="661"/>
        <v>#DIV/0!</v>
      </c>
      <c r="W894" s="125" t="e">
        <f t="shared" si="661"/>
        <v>#DIV/0!</v>
      </c>
      <c r="X894" s="125" t="e">
        <f t="shared" si="661"/>
        <v>#DIV/0!</v>
      </c>
      <c r="Y894" s="83"/>
      <c r="Z894" s="83"/>
      <c r="AA894" s="83"/>
      <c r="AB894" s="83"/>
      <c r="AC894" s="83"/>
      <c r="AD894" s="83"/>
      <c r="AE894" s="83"/>
      <c r="AF894" s="83"/>
    </row>
    <row r="895" spans="1:32" x14ac:dyDescent="0.25">
      <c r="F895" s="83"/>
      <c r="H895" s="21"/>
      <c r="J895" s="125"/>
      <c r="L895" s="21"/>
    </row>
    <row r="896" spans="1:32" x14ac:dyDescent="0.25">
      <c r="A896" s="7" t="s">
        <v>639</v>
      </c>
      <c r="H896" s="21"/>
      <c r="J896" s="125"/>
      <c r="L896" s="21"/>
    </row>
    <row r="897" spans="1:32" x14ac:dyDescent="0.25">
      <c r="A897" s="2" t="s">
        <v>648</v>
      </c>
      <c r="F897" s="125">
        <f t="shared" ref="F897:AF897" si="662">F858</f>
        <v>9.8944906568893456E-3</v>
      </c>
      <c r="G897" s="125">
        <f t="shared" si="662"/>
        <v>1.1759343559849535E-2</v>
      </c>
      <c r="H897" s="21">
        <f t="shared" si="662"/>
        <v>4.2219690626745932</v>
      </c>
      <c r="I897" s="125">
        <f t="shared" si="662"/>
        <v>2.2408245013249263E-2</v>
      </c>
      <c r="J897" s="139">
        <f t="shared" si="662"/>
        <v>2.6609350228201451E-2</v>
      </c>
      <c r="K897" s="138">
        <f t="shared" si="662"/>
        <v>5.9800552263070066E-2</v>
      </c>
      <c r="L897" s="138">
        <f t="shared" si="662"/>
        <v>-0.16475134184859433</v>
      </c>
      <c r="M897" s="138">
        <f t="shared" si="662"/>
        <v>4.3692427803484755</v>
      </c>
      <c r="N897" s="138">
        <f t="shared" si="662"/>
        <v>0.19305524533962731</v>
      </c>
      <c r="O897" s="138" t="e">
        <f t="shared" si="662"/>
        <v>#DIV/0!</v>
      </c>
      <c r="P897" s="125" t="e">
        <f t="shared" si="662"/>
        <v>#DIV/0!</v>
      </c>
      <c r="Q897" s="125" t="e">
        <f t="shared" si="662"/>
        <v>#DIV/0!</v>
      </c>
      <c r="R897" s="125" t="e">
        <f t="shared" si="662"/>
        <v>#DIV/0!</v>
      </c>
      <c r="S897" s="125" t="e">
        <f t="shared" si="662"/>
        <v>#DIV/0!</v>
      </c>
      <c r="T897" s="21" t="e">
        <f t="shared" si="662"/>
        <v>#DIV/0!</v>
      </c>
      <c r="U897" s="137" t="e">
        <f t="shared" si="662"/>
        <v>#DIV/0!</v>
      </c>
      <c r="V897" s="137" t="e">
        <f t="shared" si="662"/>
        <v>#DIV/0!</v>
      </c>
      <c r="W897" s="83" t="e">
        <f t="shared" si="662"/>
        <v>#DIV/0!</v>
      </c>
      <c r="X897" s="83" t="e">
        <f t="shared" si="662"/>
        <v>#DIV/0!</v>
      </c>
      <c r="Y897" s="83" t="e">
        <f t="shared" si="662"/>
        <v>#DIV/0!</v>
      </c>
      <c r="Z897" s="83" t="e">
        <f t="shared" si="662"/>
        <v>#DIV/0!</v>
      </c>
      <c r="AA897" s="83">
        <f t="shared" si="662"/>
        <v>0</v>
      </c>
      <c r="AB897" s="83">
        <f t="shared" si="662"/>
        <v>0</v>
      </c>
      <c r="AC897" s="83">
        <f t="shared" si="662"/>
        <v>0</v>
      </c>
      <c r="AD897" s="83">
        <f t="shared" si="662"/>
        <v>0</v>
      </c>
      <c r="AE897" s="83">
        <f t="shared" si="662"/>
        <v>0</v>
      </c>
      <c r="AF897" s="83">
        <f t="shared" si="662"/>
        <v>0</v>
      </c>
    </row>
    <row r="898" spans="1:32" ht="17.25" x14ac:dyDescent="0.4">
      <c r="A898" s="2" t="s">
        <v>641</v>
      </c>
      <c r="F898" s="127">
        <f>(F838*$E$556)/F621</f>
        <v>1.1145684811208264E-3</v>
      </c>
      <c r="G898" s="127">
        <f>(G838*$E$556)/G621</f>
        <v>1.4454491432769549E-3</v>
      </c>
      <c r="H898" s="130">
        <f>(H838*$E$556)/626079.4</f>
        <v>0.38298112216083008</v>
      </c>
      <c r="I898" s="127">
        <f>(I838*$E$556)/I621</f>
        <v>2.5506493879998275E-3</v>
      </c>
      <c r="J898" s="127">
        <f>(J838*$E$556)/J621</f>
        <v>2.3528794323840795E-3</v>
      </c>
      <c r="K898" s="193">
        <f>(K838*$E$556)/29351</f>
        <v>5.405849457742422E-3</v>
      </c>
      <c r="L898" s="130">
        <f>(L838*$E$556)/170620</f>
        <v>2.1310308086003864E-2</v>
      </c>
      <c r="M898" s="130">
        <f>(M838*$E$556)/137127.3</f>
        <v>0.42388190376495682</v>
      </c>
      <c r="N898" s="130">
        <f>(N838*$E$556)/N627</f>
        <v>4.4437862838647382E-2</v>
      </c>
      <c r="O898" s="127" t="e">
        <f>(O838*$E$556)/O627</f>
        <v>#DIV/0!</v>
      </c>
      <c r="P898" s="127">
        <f>(P838*$E$556)/2025</f>
        <v>0</v>
      </c>
      <c r="Q898" s="127">
        <f>(Q838*$E$556)/32228</f>
        <v>0</v>
      </c>
      <c r="R898" s="127" t="e">
        <f>(R838*$E$556)/R621</f>
        <v>#DIV/0!</v>
      </c>
      <c r="S898" s="127">
        <f>(S838*$E$556)/43343</f>
        <v>0</v>
      </c>
      <c r="T898" s="127" t="e">
        <f>(T838*$E$556)/T621</f>
        <v>#DIV/0!</v>
      </c>
      <c r="U898" s="127" t="e">
        <f>(U838*$E$556)/U621</f>
        <v>#DIV/0!</v>
      </c>
      <c r="V898" s="127" t="e">
        <f>(V838*$E$556)/V621</f>
        <v>#DIV/0!</v>
      </c>
      <c r="W898" s="127" t="e">
        <f>(W838*$E$556)/W621</f>
        <v>#DIV/0!</v>
      </c>
      <c r="X898" s="84" t="e">
        <f>(X838*$E$556)/X627</f>
        <v>#DIV/0!</v>
      </c>
      <c r="Y898" s="84" t="e">
        <f t="shared" ref="Y898:AF898" si="663">(Y838*$E$556)/Y621</f>
        <v>#DIV/0!</v>
      </c>
      <c r="Z898" s="84" t="e">
        <f t="shared" si="663"/>
        <v>#DIV/0!</v>
      </c>
      <c r="AA898" s="84" t="e">
        <f t="shared" si="663"/>
        <v>#DIV/0!</v>
      </c>
      <c r="AB898" s="84" t="e">
        <f t="shared" si="663"/>
        <v>#DIV/0!</v>
      </c>
      <c r="AC898" s="84" t="e">
        <f t="shared" si="663"/>
        <v>#DIV/0!</v>
      </c>
      <c r="AD898" s="84" t="e">
        <f t="shared" si="663"/>
        <v>#DIV/0!</v>
      </c>
      <c r="AE898" s="84" t="e">
        <f t="shared" si="663"/>
        <v>#DIV/0!</v>
      </c>
      <c r="AF898" s="84" t="e">
        <f t="shared" si="663"/>
        <v>#DIV/0!</v>
      </c>
    </row>
    <row r="899" spans="1:32" x14ac:dyDescent="0.25">
      <c r="B899" s="2" t="s">
        <v>642</v>
      </c>
      <c r="F899" s="125">
        <f t="shared" ref="F899:N899" si="664">F897+F898</f>
        <v>1.1009059138010173E-2</v>
      </c>
      <c r="G899" s="125">
        <f t="shared" si="664"/>
        <v>1.3204792703126489E-2</v>
      </c>
      <c r="H899" s="21">
        <f t="shared" si="664"/>
        <v>4.6049501848354231</v>
      </c>
      <c r="I899" s="125">
        <f t="shared" si="664"/>
        <v>2.4958894401249092E-2</v>
      </c>
      <c r="J899" s="139">
        <f t="shared" si="664"/>
        <v>2.896222966058553E-2</v>
      </c>
      <c r="K899" s="138">
        <f t="shared" si="664"/>
        <v>6.520640172081249E-2</v>
      </c>
      <c r="L899" s="138">
        <f t="shared" si="664"/>
        <v>-0.14344103376259046</v>
      </c>
      <c r="M899" s="138">
        <f t="shared" si="664"/>
        <v>4.7931246841134323</v>
      </c>
      <c r="N899" s="138">
        <f t="shared" si="664"/>
        <v>0.23749310817827468</v>
      </c>
      <c r="O899" s="138" t="e">
        <f t="shared" ref="O899:T899" si="665">O897+O898</f>
        <v>#DIV/0!</v>
      </c>
      <c r="P899" s="125" t="e">
        <f t="shared" si="665"/>
        <v>#DIV/0!</v>
      </c>
      <c r="Q899" s="125" t="e">
        <f t="shared" si="665"/>
        <v>#DIV/0!</v>
      </c>
      <c r="R899" s="125" t="e">
        <f t="shared" si="665"/>
        <v>#DIV/0!</v>
      </c>
      <c r="S899" s="125" t="e">
        <f t="shared" si="665"/>
        <v>#DIV/0!</v>
      </c>
      <c r="T899" s="21" t="e">
        <f t="shared" si="665"/>
        <v>#DIV/0!</v>
      </c>
      <c r="U899" s="137" t="e">
        <f t="shared" ref="U899:AF899" si="666">U897+U898</f>
        <v>#DIV/0!</v>
      </c>
      <c r="V899" s="137" t="e">
        <f t="shared" si="666"/>
        <v>#DIV/0!</v>
      </c>
      <c r="W899" s="83" t="e">
        <f t="shared" si="666"/>
        <v>#DIV/0!</v>
      </c>
      <c r="X899" s="83" t="e">
        <f t="shared" si="666"/>
        <v>#DIV/0!</v>
      </c>
      <c r="Y899" s="83" t="e">
        <f t="shared" si="666"/>
        <v>#DIV/0!</v>
      </c>
      <c r="Z899" s="83" t="e">
        <f t="shared" si="666"/>
        <v>#DIV/0!</v>
      </c>
      <c r="AA899" s="83" t="e">
        <f t="shared" si="666"/>
        <v>#DIV/0!</v>
      </c>
      <c r="AB899" s="83" t="e">
        <f t="shared" si="666"/>
        <v>#DIV/0!</v>
      </c>
      <c r="AC899" s="83" t="e">
        <f t="shared" si="666"/>
        <v>#DIV/0!</v>
      </c>
      <c r="AD899" s="83" t="e">
        <f t="shared" si="666"/>
        <v>#DIV/0!</v>
      </c>
      <c r="AE899" s="83" t="e">
        <f t="shared" si="666"/>
        <v>#DIV/0!</v>
      </c>
      <c r="AF899" s="83" t="e">
        <f t="shared" si="666"/>
        <v>#DIV/0!</v>
      </c>
    </row>
    <row r="901" spans="1:32" x14ac:dyDescent="0.25">
      <c r="A901" s="7" t="s">
        <v>643</v>
      </c>
    </row>
    <row r="902" spans="1:32" x14ac:dyDescent="0.25">
      <c r="A902" s="2" t="s">
        <v>644</v>
      </c>
      <c r="F902" s="21">
        <f t="shared" ref="F902:AF902" si="667">F859</f>
        <v>20.317761253430646</v>
      </c>
      <c r="G902" s="21">
        <f t="shared" si="667"/>
        <v>31.200018599180446</v>
      </c>
      <c r="H902" s="21">
        <f t="shared" si="667"/>
        <v>57.008229311310835</v>
      </c>
      <c r="I902" s="21">
        <f t="shared" si="667"/>
        <v>28.419360827417606</v>
      </c>
      <c r="J902" s="137">
        <f t="shared" si="667"/>
        <v>58.451006357511901</v>
      </c>
      <c r="K902" s="138">
        <f t="shared" si="667"/>
        <v>192.94345240934558</v>
      </c>
      <c r="L902" s="138">
        <f t="shared" si="667"/>
        <v>127.17141050290526</v>
      </c>
      <c r="M902" s="138">
        <f t="shared" si="667"/>
        <v>39.814103964664028</v>
      </c>
      <c r="N902" s="138">
        <f t="shared" si="667"/>
        <v>4.4761742935616216</v>
      </c>
      <c r="O902" s="138" t="e">
        <f t="shared" si="667"/>
        <v>#DIV/0!</v>
      </c>
      <c r="P902" s="125" t="e">
        <f t="shared" si="667"/>
        <v>#DIV/0!</v>
      </c>
      <c r="Q902" s="125" t="e">
        <f t="shared" si="667"/>
        <v>#DIV/0!</v>
      </c>
      <c r="R902" s="125" t="e">
        <f t="shared" si="667"/>
        <v>#DIV/0!</v>
      </c>
      <c r="S902" s="125" t="e">
        <f t="shared" si="667"/>
        <v>#DIV/0!</v>
      </c>
      <c r="T902" s="21" t="e">
        <f t="shared" si="667"/>
        <v>#DIV/0!</v>
      </c>
      <c r="U902" s="137" t="e">
        <f t="shared" si="667"/>
        <v>#DIV/0!</v>
      </c>
      <c r="V902" s="137" t="e">
        <f t="shared" si="667"/>
        <v>#DIV/0!</v>
      </c>
      <c r="W902" s="15" t="e">
        <f t="shared" si="667"/>
        <v>#DIV/0!</v>
      </c>
      <c r="X902" s="15" t="e">
        <f t="shared" si="667"/>
        <v>#DIV/0!</v>
      </c>
      <c r="Y902" s="15" t="e">
        <f t="shared" si="667"/>
        <v>#DIV/0!</v>
      </c>
      <c r="Z902" s="15" t="e">
        <f t="shared" si="667"/>
        <v>#DIV/0!</v>
      </c>
      <c r="AA902" s="15">
        <f t="shared" si="667"/>
        <v>0</v>
      </c>
      <c r="AB902" s="15">
        <f t="shared" si="667"/>
        <v>0</v>
      </c>
      <c r="AC902" s="15">
        <f t="shared" si="667"/>
        <v>0</v>
      </c>
      <c r="AD902" s="15">
        <f t="shared" si="667"/>
        <v>0</v>
      </c>
      <c r="AE902" s="15">
        <f t="shared" si="667"/>
        <v>0</v>
      </c>
      <c r="AF902" s="15">
        <f t="shared" si="667"/>
        <v>0</v>
      </c>
    </row>
    <row r="903" spans="1:32" ht="17.25" x14ac:dyDescent="0.4">
      <c r="A903" s="2" t="s">
        <v>645</v>
      </c>
      <c r="F903" s="129">
        <f t="shared" ref="F903:AF903" si="668">(F839*$E$556)/F627</f>
        <v>1.4926428376319676</v>
      </c>
      <c r="G903" s="129">
        <f t="shared" si="668"/>
        <v>2.2393731718261867</v>
      </c>
      <c r="H903" s="129">
        <f t="shared" si="668"/>
        <v>3.4410550878331083</v>
      </c>
      <c r="I903" s="129">
        <f t="shared" si="668"/>
        <v>2.1430660940156208</v>
      </c>
      <c r="J903" s="129">
        <f t="shared" si="668"/>
        <v>3.3215903595250982</v>
      </c>
      <c r="K903" s="129">
        <f t="shared" si="668"/>
        <v>8.2441179731810639</v>
      </c>
      <c r="L903" s="129">
        <f t="shared" si="668"/>
        <v>8.2441179731810639</v>
      </c>
      <c r="M903" s="129">
        <f t="shared" si="668"/>
        <v>2.1466802562061029</v>
      </c>
      <c r="N903" s="129">
        <f t="shared" si="668"/>
        <v>0.62854941717801338</v>
      </c>
      <c r="O903" s="129" t="e">
        <f t="shared" si="668"/>
        <v>#DIV/0!</v>
      </c>
      <c r="P903" s="129" t="e">
        <f t="shared" si="668"/>
        <v>#DIV/0!</v>
      </c>
      <c r="Q903" s="129" t="e">
        <f t="shared" si="668"/>
        <v>#DIV/0!</v>
      </c>
      <c r="R903" s="129" t="e">
        <f t="shared" si="668"/>
        <v>#DIV/0!</v>
      </c>
      <c r="S903" s="129" t="e">
        <f t="shared" si="668"/>
        <v>#DIV/0!</v>
      </c>
      <c r="T903" s="129" t="e">
        <f t="shared" si="668"/>
        <v>#DIV/0!</v>
      </c>
      <c r="U903" s="129" t="e">
        <f t="shared" si="668"/>
        <v>#DIV/0!</v>
      </c>
      <c r="V903" s="129" t="e">
        <f t="shared" si="668"/>
        <v>#DIV/0!</v>
      </c>
      <c r="W903" s="129" t="e">
        <f t="shared" si="668"/>
        <v>#DIV/0!</v>
      </c>
      <c r="X903" s="85" t="e">
        <f t="shared" si="668"/>
        <v>#DIV/0!</v>
      </c>
      <c r="Y903" s="85" t="e">
        <f t="shared" si="668"/>
        <v>#DIV/0!</v>
      </c>
      <c r="Z903" s="85" t="e">
        <f t="shared" si="668"/>
        <v>#DIV/0!</v>
      </c>
      <c r="AA903" s="85" t="e">
        <f t="shared" si="668"/>
        <v>#DIV/0!</v>
      </c>
      <c r="AB903" s="85" t="e">
        <f t="shared" si="668"/>
        <v>#DIV/0!</v>
      </c>
      <c r="AC903" s="85" t="e">
        <f t="shared" si="668"/>
        <v>#DIV/0!</v>
      </c>
      <c r="AD903" s="85" t="e">
        <f t="shared" si="668"/>
        <v>#DIV/0!</v>
      </c>
      <c r="AE903" s="85" t="e">
        <f t="shared" si="668"/>
        <v>#DIV/0!</v>
      </c>
      <c r="AF903" s="85" t="e">
        <f t="shared" si="668"/>
        <v>#DIV/0!</v>
      </c>
    </row>
    <row r="904" spans="1:32" x14ac:dyDescent="0.25">
      <c r="B904" s="2" t="s">
        <v>646</v>
      </c>
      <c r="F904" s="21">
        <f t="shared" ref="F904:N904" si="669">F902+F903</f>
        <v>21.810404091062615</v>
      </c>
      <c r="G904" s="21">
        <f t="shared" si="669"/>
        <v>33.439391771006633</v>
      </c>
      <c r="H904" s="21">
        <f t="shared" si="669"/>
        <v>60.449284399143941</v>
      </c>
      <c r="I904" s="21">
        <f t="shared" si="669"/>
        <v>30.562426921433225</v>
      </c>
      <c r="J904" s="137">
        <f t="shared" si="669"/>
        <v>61.772596717036997</v>
      </c>
      <c r="K904" s="138">
        <f t="shared" si="669"/>
        <v>201.18757038252664</v>
      </c>
      <c r="L904" s="138">
        <f t="shared" si="669"/>
        <v>135.41552847608634</v>
      </c>
      <c r="M904" s="138">
        <f t="shared" si="669"/>
        <v>41.960784220870131</v>
      </c>
      <c r="N904" s="138">
        <f t="shared" si="669"/>
        <v>5.104723710739635</v>
      </c>
      <c r="O904" s="138" t="e">
        <f t="shared" ref="O904:T904" si="670">O902+O903</f>
        <v>#DIV/0!</v>
      </c>
      <c r="P904" s="125" t="e">
        <f t="shared" si="670"/>
        <v>#DIV/0!</v>
      </c>
      <c r="Q904" s="125" t="e">
        <f t="shared" si="670"/>
        <v>#DIV/0!</v>
      </c>
      <c r="R904" s="125" t="e">
        <f t="shared" si="670"/>
        <v>#DIV/0!</v>
      </c>
      <c r="S904" s="125" t="e">
        <f t="shared" si="670"/>
        <v>#DIV/0!</v>
      </c>
      <c r="T904" s="21" t="e">
        <f t="shared" si="670"/>
        <v>#DIV/0!</v>
      </c>
      <c r="U904" s="137" t="e">
        <f t="shared" ref="U904:AF904" si="671">U902+U903</f>
        <v>#DIV/0!</v>
      </c>
      <c r="V904" s="137" t="e">
        <f t="shared" si="671"/>
        <v>#DIV/0!</v>
      </c>
      <c r="W904" s="15" t="e">
        <f t="shared" si="671"/>
        <v>#DIV/0!</v>
      </c>
      <c r="X904" s="15" t="e">
        <f t="shared" si="671"/>
        <v>#DIV/0!</v>
      </c>
      <c r="Y904" s="15" t="e">
        <f t="shared" si="671"/>
        <v>#DIV/0!</v>
      </c>
      <c r="Z904" s="15" t="e">
        <f t="shared" si="671"/>
        <v>#DIV/0!</v>
      </c>
      <c r="AA904" s="15" t="e">
        <f t="shared" si="671"/>
        <v>#DIV/0!</v>
      </c>
      <c r="AB904" s="15" t="e">
        <f t="shared" si="671"/>
        <v>#DIV/0!</v>
      </c>
      <c r="AC904" s="15" t="e">
        <f t="shared" si="671"/>
        <v>#DIV/0!</v>
      </c>
      <c r="AD904" s="15" t="e">
        <f t="shared" si="671"/>
        <v>#DIV/0!</v>
      </c>
      <c r="AE904" s="15" t="e">
        <f t="shared" si="671"/>
        <v>#DIV/0!</v>
      </c>
      <c r="AF904" s="15" t="e">
        <f t="shared" si="671"/>
        <v>#DIV/0!</v>
      </c>
    </row>
    <row r="906" spans="1:32" x14ac:dyDescent="0.25">
      <c r="B906" s="46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32" x14ac:dyDescent="0.25">
      <c r="A907" s="7" t="s">
        <v>647</v>
      </c>
      <c r="F907" s="24">
        <v>5.74E-2</v>
      </c>
      <c r="G907" s="24">
        <v>5.74E-2</v>
      </c>
      <c r="H907" s="24">
        <v>5.74E-2</v>
      </c>
      <c r="I907" s="24">
        <v>5.74E-2</v>
      </c>
      <c r="J907" s="24">
        <v>5.74E-2</v>
      </c>
      <c r="K907" s="24">
        <v>5.74E-2</v>
      </c>
      <c r="L907" s="24">
        <v>5.74E-2</v>
      </c>
      <c r="M907" s="24">
        <v>5.74E-2</v>
      </c>
      <c r="N907" s="24">
        <v>5.74E-2</v>
      </c>
      <c r="O907" s="24">
        <v>0.05</v>
      </c>
      <c r="P907" s="24">
        <v>6.0100000000000001E-2</v>
      </c>
      <c r="Q907" s="24">
        <v>6.0100000000000001E-2</v>
      </c>
      <c r="R907" s="24">
        <v>6.0100000000000001E-2</v>
      </c>
      <c r="S907" s="24">
        <v>6.0100000000000001E-2</v>
      </c>
      <c r="T907" s="24">
        <v>6.0100000000000001E-2</v>
      </c>
      <c r="U907" s="24">
        <v>6.0100000000000001E-2</v>
      </c>
      <c r="V907" s="24">
        <v>6.0100000000000001E-2</v>
      </c>
      <c r="W907" s="24">
        <v>6.0100000000000001E-2</v>
      </c>
      <c r="X907" s="24">
        <v>6.0100000000000001E-2</v>
      </c>
      <c r="Y907" s="24">
        <v>8.4500000000000006E-2</v>
      </c>
      <c r="Z907" s="24">
        <v>8.4500000000000006E-2</v>
      </c>
      <c r="AA907" s="24">
        <v>8.4500000000000006E-2</v>
      </c>
      <c r="AB907" s="24">
        <v>8.4500000000000006E-2</v>
      </c>
      <c r="AC907" s="24">
        <v>8.4500000000000006E-2</v>
      </c>
      <c r="AD907" s="24">
        <v>8.4500000000000006E-2</v>
      </c>
      <c r="AE907" s="24">
        <v>8.4500000000000006E-2</v>
      </c>
      <c r="AF907" s="24">
        <v>8.4500000000000006E-2</v>
      </c>
    </row>
    <row r="908" spans="1:32" x14ac:dyDescent="0.25">
      <c r="A908" s="7"/>
    </row>
    <row r="909" spans="1:32" x14ac:dyDescent="0.25">
      <c r="A909" s="7" t="s">
        <v>102</v>
      </c>
    </row>
    <row r="910" spans="1:32" x14ac:dyDescent="0.25">
      <c r="A910" s="9" t="s">
        <v>1084</v>
      </c>
      <c r="F910" s="125">
        <f t="shared" ref="F910:X910" si="672">F855</f>
        <v>1.9921089604760842E-2</v>
      </c>
      <c r="G910" s="125">
        <f t="shared" si="672"/>
        <v>1.2052577135381673E-2</v>
      </c>
      <c r="H910" s="21">
        <f t="shared" si="672"/>
        <v>2.9509127107135584</v>
      </c>
      <c r="I910" s="125">
        <f t="shared" si="672"/>
        <v>1.2188416306127719E-2</v>
      </c>
      <c r="J910" s="125">
        <f t="shared" si="672"/>
        <v>1.1640489251112777E-2</v>
      </c>
      <c r="K910" s="21">
        <f t="shared" si="672"/>
        <v>7.0102944398724958</v>
      </c>
      <c r="L910" s="21">
        <f t="shared" si="672"/>
        <v>7.445153227190688</v>
      </c>
      <c r="M910" s="21">
        <f t="shared" si="672"/>
        <v>7.283252869142907</v>
      </c>
      <c r="N910" s="21">
        <f t="shared" si="672"/>
        <v>0.44912123692484379</v>
      </c>
      <c r="O910" s="125" t="e">
        <f t="shared" si="672"/>
        <v>#DIV/0!</v>
      </c>
      <c r="P910" s="125">
        <f t="shared" si="672"/>
        <v>0</v>
      </c>
      <c r="Q910" s="125">
        <f t="shared" si="672"/>
        <v>0</v>
      </c>
      <c r="R910" s="125" t="e">
        <f t="shared" si="672"/>
        <v>#DIV/0!</v>
      </c>
      <c r="S910" s="125">
        <f t="shared" si="672"/>
        <v>0</v>
      </c>
      <c r="T910" s="125" t="e">
        <f t="shared" si="672"/>
        <v>#DIV/0!</v>
      </c>
      <c r="U910" s="125" t="e">
        <f t="shared" si="672"/>
        <v>#DIV/0!</v>
      </c>
      <c r="V910" s="125" t="e">
        <f t="shared" si="672"/>
        <v>#DIV/0!</v>
      </c>
      <c r="W910" s="125" t="e">
        <f t="shared" si="672"/>
        <v>#DIV/0!</v>
      </c>
      <c r="X910" s="125" t="e">
        <f t="shared" si="672"/>
        <v>#DIV/0!</v>
      </c>
      <c r="Y910" s="83" t="e">
        <f t="shared" ref="Y910:AF910" si="673">Y892</f>
        <v>#DIV/0!</v>
      </c>
      <c r="Z910" s="83" t="e">
        <f t="shared" si="673"/>
        <v>#DIV/0!</v>
      </c>
      <c r="AA910" s="83">
        <f t="shared" si="673"/>
        <v>0</v>
      </c>
      <c r="AB910" s="83">
        <f t="shared" si="673"/>
        <v>0</v>
      </c>
      <c r="AC910" s="83">
        <f t="shared" si="673"/>
        <v>0</v>
      </c>
      <c r="AD910" s="83">
        <f t="shared" si="673"/>
        <v>0</v>
      </c>
      <c r="AE910" s="83">
        <f t="shared" si="673"/>
        <v>0</v>
      </c>
      <c r="AF910" s="83">
        <f t="shared" si="673"/>
        <v>0</v>
      </c>
    </row>
    <row r="911" spans="1:32" x14ac:dyDescent="0.25">
      <c r="A911" s="9" t="s">
        <v>1085</v>
      </c>
      <c r="F911" s="125">
        <f t="shared" ref="F911:O911" si="674">F893</f>
        <v>1.5593393882927038E-3</v>
      </c>
      <c r="G911" s="125">
        <f t="shared" si="674"/>
        <v>1.14441278183935E-3</v>
      </c>
      <c r="H911" s="21">
        <f t="shared" si="674"/>
        <v>0.32149368287761593</v>
      </c>
      <c r="I911" s="125">
        <f t="shared" si="674"/>
        <v>1.5199289192128424E-3</v>
      </c>
      <c r="J911" s="125">
        <f t="shared" si="674"/>
        <v>1.8827191957074979E-3</v>
      </c>
      <c r="K911" s="21">
        <f t="shared" si="674"/>
        <v>0.38128965932795067</v>
      </c>
      <c r="L911" s="21">
        <f t="shared" si="674"/>
        <v>0.46175072795927291</v>
      </c>
      <c r="M911" s="21">
        <f t="shared" si="674"/>
        <v>0.43160641695455942</v>
      </c>
      <c r="N911" s="21">
        <f t="shared" si="674"/>
        <v>7.3216288263017709E-2</v>
      </c>
      <c r="O911" s="125" t="e">
        <f t="shared" si="674"/>
        <v>#DIV/0!</v>
      </c>
      <c r="P911" s="125"/>
      <c r="Q911" s="125"/>
      <c r="R911" s="125"/>
      <c r="S911" s="125"/>
      <c r="T911" s="125"/>
      <c r="U911" s="125"/>
      <c r="V911" s="125"/>
      <c r="W911" s="125"/>
      <c r="X911" s="125"/>
      <c r="Y911" s="83"/>
      <c r="Z911" s="83"/>
      <c r="AA911" s="83"/>
      <c r="AB911" s="83"/>
      <c r="AC911" s="83"/>
      <c r="AD911" s="83"/>
      <c r="AE911" s="83"/>
      <c r="AF911" s="83"/>
    </row>
    <row r="912" spans="1:32" x14ac:dyDescent="0.25">
      <c r="A912" s="9" t="s">
        <v>971</v>
      </c>
      <c r="F912" s="125">
        <f t="shared" ref="F912:X912" si="675">F857</f>
        <v>4.6120606376939606E-2</v>
      </c>
      <c r="G912" s="125">
        <f t="shared" si="675"/>
        <v>4.6074071083206769E-2</v>
      </c>
      <c r="H912" s="125">
        <f t="shared" si="675"/>
        <v>4.5927527559786609E-2</v>
      </c>
      <c r="I912" s="125">
        <f t="shared" si="675"/>
        <v>4.6142084666685422E-2</v>
      </c>
      <c r="J912" s="125">
        <f t="shared" si="675"/>
        <v>4.5992477242566006E-2</v>
      </c>
      <c r="K912" s="21">
        <f t="shared" si="675"/>
        <v>3.4666184281948412E-2</v>
      </c>
      <c r="L912" s="21">
        <f t="shared" si="675"/>
        <v>3.5833657387039641E-2</v>
      </c>
      <c r="M912" s="125">
        <f t="shared" si="675"/>
        <v>3.6125623134950352E-2</v>
      </c>
      <c r="N912" s="21">
        <f t="shared" si="675"/>
        <v>2.2783618229714504</v>
      </c>
      <c r="O912" s="125" t="e">
        <f t="shared" si="675"/>
        <v>#DIV/0!</v>
      </c>
      <c r="P912" s="125" t="e">
        <f t="shared" si="675"/>
        <v>#DIV/0!</v>
      </c>
      <c r="Q912" s="125" t="e">
        <f t="shared" si="675"/>
        <v>#DIV/0!</v>
      </c>
      <c r="R912" s="125" t="e">
        <f t="shared" si="675"/>
        <v>#DIV/0!</v>
      </c>
      <c r="S912" s="125" t="e">
        <f t="shared" si="675"/>
        <v>#DIV/0!</v>
      </c>
      <c r="T912" s="125" t="e">
        <f t="shared" si="675"/>
        <v>#DIV/0!</v>
      </c>
      <c r="U912" s="125" t="e">
        <f t="shared" si="675"/>
        <v>#DIV/0!</v>
      </c>
      <c r="V912" s="125" t="e">
        <f t="shared" si="675"/>
        <v>#DIV/0!</v>
      </c>
      <c r="W912" s="125" t="e">
        <f t="shared" si="675"/>
        <v>#DIV/0!</v>
      </c>
      <c r="X912" s="125" t="e">
        <f t="shared" si="675"/>
        <v>#DIV/0!</v>
      </c>
      <c r="Y912" s="83"/>
      <c r="Z912" s="83"/>
      <c r="AA912" s="83"/>
      <c r="AB912" s="83"/>
      <c r="AC912" s="83"/>
      <c r="AD912" s="83"/>
      <c r="AE912" s="83"/>
      <c r="AF912" s="83"/>
    </row>
    <row r="913" spans="1:32" x14ac:dyDescent="0.25">
      <c r="F913" s="128">
        <f>F911+F912</f>
        <v>4.7679945765232309E-2</v>
      </c>
      <c r="G913" s="128">
        <f>G911+G912</f>
        <v>4.7218483865046117E-2</v>
      </c>
      <c r="H913" s="41"/>
      <c r="I913" s="128">
        <f>SUM(I910:I911)</f>
        <v>1.3708345225340562E-2</v>
      </c>
      <c r="J913" s="230"/>
      <c r="K913" s="41"/>
      <c r="L913" s="21"/>
      <c r="N913" s="21"/>
      <c r="P913" s="128"/>
      <c r="Q913" s="128"/>
      <c r="R913" s="128"/>
      <c r="S913" s="128"/>
      <c r="T913" s="128"/>
      <c r="U913" s="128"/>
      <c r="V913" s="128"/>
    </row>
    <row r="914" spans="1:32" x14ac:dyDescent="0.25">
      <c r="A914" s="7" t="s">
        <v>639</v>
      </c>
      <c r="H914" s="21"/>
      <c r="J914" s="125"/>
      <c r="K914" s="21"/>
      <c r="L914" s="21"/>
      <c r="N914" s="21"/>
    </row>
    <row r="915" spans="1:32" x14ac:dyDescent="0.25">
      <c r="A915" s="2" t="s">
        <v>648</v>
      </c>
      <c r="F915" s="125">
        <f t="shared" ref="F915:AF915" si="676">F897</f>
        <v>9.8944906568893456E-3</v>
      </c>
      <c r="G915" s="125">
        <f t="shared" si="676"/>
        <v>1.1759343559849535E-2</v>
      </c>
      <c r="H915" s="21">
        <f t="shared" si="676"/>
        <v>4.2219690626745932</v>
      </c>
      <c r="I915" s="125">
        <f t="shared" si="676"/>
        <v>2.2408245013249263E-2</v>
      </c>
      <c r="J915" s="139">
        <f t="shared" si="676"/>
        <v>2.6609350228201451E-2</v>
      </c>
      <c r="K915" s="138">
        <f t="shared" si="676"/>
        <v>5.9800552263070066E-2</v>
      </c>
      <c r="L915" s="138">
        <f t="shared" si="676"/>
        <v>-0.16475134184859433</v>
      </c>
      <c r="M915" s="138">
        <f t="shared" si="676"/>
        <v>4.3692427803484755</v>
      </c>
      <c r="N915" s="138">
        <f t="shared" si="676"/>
        <v>0.19305524533962731</v>
      </c>
      <c r="O915" s="138" t="e">
        <f t="shared" si="676"/>
        <v>#DIV/0!</v>
      </c>
      <c r="P915" s="125" t="e">
        <f t="shared" si="676"/>
        <v>#DIV/0!</v>
      </c>
      <c r="Q915" s="125" t="e">
        <f t="shared" si="676"/>
        <v>#DIV/0!</v>
      </c>
      <c r="R915" s="125" t="e">
        <f t="shared" si="676"/>
        <v>#DIV/0!</v>
      </c>
      <c r="S915" s="125" t="e">
        <f t="shared" si="676"/>
        <v>#DIV/0!</v>
      </c>
      <c r="T915" s="21" t="e">
        <f t="shared" si="676"/>
        <v>#DIV/0!</v>
      </c>
      <c r="U915" s="137" t="e">
        <f t="shared" si="676"/>
        <v>#DIV/0!</v>
      </c>
      <c r="V915" s="137" t="e">
        <f t="shared" si="676"/>
        <v>#DIV/0!</v>
      </c>
      <c r="W915" s="83" t="e">
        <f t="shared" si="676"/>
        <v>#DIV/0!</v>
      </c>
      <c r="X915" s="83" t="e">
        <f t="shared" si="676"/>
        <v>#DIV/0!</v>
      </c>
      <c r="Y915" s="83" t="e">
        <f t="shared" si="676"/>
        <v>#DIV/0!</v>
      </c>
      <c r="Z915" s="83" t="e">
        <f t="shared" si="676"/>
        <v>#DIV/0!</v>
      </c>
      <c r="AA915" s="83">
        <f t="shared" si="676"/>
        <v>0</v>
      </c>
      <c r="AB915" s="83">
        <f t="shared" si="676"/>
        <v>0</v>
      </c>
      <c r="AC915" s="83">
        <f t="shared" si="676"/>
        <v>0</v>
      </c>
      <c r="AD915" s="83">
        <f t="shared" si="676"/>
        <v>0</v>
      </c>
      <c r="AE915" s="83">
        <f t="shared" si="676"/>
        <v>0</v>
      </c>
      <c r="AF915" s="83">
        <f t="shared" si="676"/>
        <v>0</v>
      </c>
    </row>
    <row r="916" spans="1:32" ht="17.25" x14ac:dyDescent="0.4">
      <c r="A916" s="2" t="s">
        <v>641</v>
      </c>
      <c r="F916" s="127">
        <f>(F838*F907)/F621</f>
        <v>4.5519893932848927E-3</v>
      </c>
      <c r="G916" s="127">
        <f>(G838*G907)/G621</f>
        <v>5.9033332452688983E-3</v>
      </c>
      <c r="H916" s="130">
        <f>(H838*H907)/626079.4</f>
        <v>1.5641264179221455</v>
      </c>
      <c r="I916" s="127">
        <f>(I838*I907)/I621</f>
        <v>1.0417061990204585E-2</v>
      </c>
      <c r="J916" s="127">
        <f>(J838*J907)/J621</f>
        <v>9.6093532172380237E-3</v>
      </c>
      <c r="K916" s="130">
        <f>(K838*K907)/29351</f>
        <v>2.2077934025725245E-2</v>
      </c>
      <c r="L916" s="130">
        <f>(L838*L907)/170620</f>
        <v>8.7033051820713553E-2</v>
      </c>
      <c r="M916" s="130">
        <f>(M838*M907)/137127.3</f>
        <v>1.7311685756654021</v>
      </c>
      <c r="N916" s="130">
        <f>(N838*N907)/N627</f>
        <v>0.18148788856684284</v>
      </c>
      <c r="O916" s="127" t="e">
        <f>(O838*O907)/O627</f>
        <v>#DIV/0!</v>
      </c>
      <c r="P916" s="127">
        <f>(P838*P907)/2025</f>
        <v>0</v>
      </c>
      <c r="Q916" s="127">
        <f>(Q838*Q907)/32228</f>
        <v>0</v>
      </c>
      <c r="R916" s="127" t="e">
        <f>(R838*R907)/R621</f>
        <v>#DIV/0!</v>
      </c>
      <c r="S916" s="127">
        <f>(S838*S907)/43343</f>
        <v>0</v>
      </c>
      <c r="T916" s="127" t="e">
        <f>(T838*T907)/T621</f>
        <v>#DIV/0!</v>
      </c>
      <c r="U916" s="127" t="e">
        <f>(U838*U907)/U621</f>
        <v>#DIV/0!</v>
      </c>
      <c r="V916" s="127" t="e">
        <f>(V838*V907)/V621</f>
        <v>#DIV/0!</v>
      </c>
      <c r="W916" s="127" t="e">
        <f>(W838*W907)/W621</f>
        <v>#DIV/0!</v>
      </c>
      <c r="X916" s="127" t="e">
        <f>(X838*X907)/X627</f>
        <v>#DIV/0!</v>
      </c>
      <c r="Y916" s="86" t="e">
        <f>(Y838*Y907)/Y650/12</f>
        <v>#DIV/0!</v>
      </c>
      <c r="Z916" s="87" t="e">
        <f>(Z838*Z907)/Z631/12</f>
        <v>#DIV/0!</v>
      </c>
      <c r="AA916" s="84" t="e">
        <f t="shared" ref="AA916:AF916" si="677">(AA866*$E$490)/AA645</f>
        <v>#DIV/0!</v>
      </c>
      <c r="AB916" s="84" t="e">
        <f t="shared" si="677"/>
        <v>#DIV/0!</v>
      </c>
      <c r="AC916" s="84" t="e">
        <f t="shared" si="677"/>
        <v>#DIV/0!</v>
      </c>
      <c r="AD916" s="84" t="e">
        <f t="shared" si="677"/>
        <v>#DIV/0!</v>
      </c>
      <c r="AE916" s="84" t="e">
        <f t="shared" si="677"/>
        <v>#DIV/0!</v>
      </c>
      <c r="AF916" s="84" t="e">
        <f t="shared" si="677"/>
        <v>#DIV/0!</v>
      </c>
    </row>
    <row r="917" spans="1:32" x14ac:dyDescent="0.25">
      <c r="B917" s="2" t="s">
        <v>642</v>
      </c>
      <c r="F917" s="125">
        <f t="shared" ref="F917:AF917" si="678">F915+F916</f>
        <v>1.4446480050174237E-2</v>
      </c>
      <c r="G917" s="125">
        <f t="shared" si="678"/>
        <v>1.7662676805118432E-2</v>
      </c>
      <c r="H917" s="21">
        <f t="shared" si="678"/>
        <v>5.7860954805967388</v>
      </c>
      <c r="I917" s="125">
        <f t="shared" si="678"/>
        <v>3.2825307003453846E-2</v>
      </c>
      <c r="J917" s="139">
        <f t="shared" si="678"/>
        <v>3.6218703445439475E-2</v>
      </c>
      <c r="K917" s="138">
        <f t="shared" si="678"/>
        <v>8.1878486288795307E-2</v>
      </c>
      <c r="L917" s="138">
        <f t="shared" si="678"/>
        <v>-7.7718290027880776E-2</v>
      </c>
      <c r="M917" s="138">
        <f>M915+M916</f>
        <v>6.1004113560138773</v>
      </c>
      <c r="N917" s="138">
        <f>N915+N916</f>
        <v>0.37454313390647015</v>
      </c>
      <c r="O917" s="138" t="e">
        <f t="shared" si="678"/>
        <v>#DIV/0!</v>
      </c>
      <c r="P917" s="125" t="e">
        <f t="shared" si="678"/>
        <v>#DIV/0!</v>
      </c>
      <c r="Q917" s="125" t="e">
        <f t="shared" si="678"/>
        <v>#DIV/0!</v>
      </c>
      <c r="R917" s="125" t="e">
        <f t="shared" si="678"/>
        <v>#DIV/0!</v>
      </c>
      <c r="S917" s="125" t="e">
        <f t="shared" si="678"/>
        <v>#DIV/0!</v>
      </c>
      <c r="T917" s="21" t="e">
        <f t="shared" si="678"/>
        <v>#DIV/0!</v>
      </c>
      <c r="U917" s="137" t="e">
        <f t="shared" si="678"/>
        <v>#DIV/0!</v>
      </c>
      <c r="V917" s="137" t="e">
        <f t="shared" si="678"/>
        <v>#DIV/0!</v>
      </c>
      <c r="W917" s="83" t="e">
        <f t="shared" si="678"/>
        <v>#DIV/0!</v>
      </c>
      <c r="X917" s="83" t="e">
        <f t="shared" si="678"/>
        <v>#DIV/0!</v>
      </c>
      <c r="Y917" s="83" t="e">
        <f t="shared" si="678"/>
        <v>#DIV/0!</v>
      </c>
      <c r="Z917" s="83" t="e">
        <f t="shared" si="678"/>
        <v>#DIV/0!</v>
      </c>
      <c r="AA917" s="83" t="e">
        <f t="shared" si="678"/>
        <v>#DIV/0!</v>
      </c>
      <c r="AB917" s="83" t="e">
        <f t="shared" si="678"/>
        <v>#DIV/0!</v>
      </c>
      <c r="AC917" s="83" t="e">
        <f t="shared" si="678"/>
        <v>#DIV/0!</v>
      </c>
      <c r="AD917" s="83" t="e">
        <f t="shared" si="678"/>
        <v>#DIV/0!</v>
      </c>
      <c r="AE917" s="83" t="e">
        <f t="shared" si="678"/>
        <v>#DIV/0!</v>
      </c>
      <c r="AF917" s="83" t="e">
        <f t="shared" si="678"/>
        <v>#DIV/0!</v>
      </c>
    </row>
    <row r="918" spans="1:32" x14ac:dyDescent="0.25">
      <c r="F918" s="83">
        <f>F913+F917</f>
        <v>6.2126425815406547E-2</v>
      </c>
      <c r="G918" s="83">
        <f>G913+G917</f>
        <v>6.4881160670164556E-2</v>
      </c>
    </row>
    <row r="919" spans="1:32" x14ac:dyDescent="0.25">
      <c r="A919" s="7" t="s">
        <v>643</v>
      </c>
    </row>
    <row r="920" spans="1:32" x14ac:dyDescent="0.25">
      <c r="A920" s="2" t="s">
        <v>644</v>
      </c>
      <c r="F920" s="21">
        <f t="shared" ref="F920:Z920" si="679">F902</f>
        <v>20.317761253430646</v>
      </c>
      <c r="G920" s="21">
        <f t="shared" si="679"/>
        <v>31.200018599180446</v>
      </c>
      <c r="H920" s="21">
        <f t="shared" si="679"/>
        <v>57.008229311310835</v>
      </c>
      <c r="I920" s="21">
        <f t="shared" si="679"/>
        <v>28.419360827417606</v>
      </c>
      <c r="J920" s="137">
        <f t="shared" si="679"/>
        <v>58.451006357511901</v>
      </c>
      <c r="K920" s="138">
        <f t="shared" si="679"/>
        <v>192.94345240934558</v>
      </c>
      <c r="L920" s="138">
        <f t="shared" si="679"/>
        <v>127.17141050290526</v>
      </c>
      <c r="M920" s="138">
        <f t="shared" si="679"/>
        <v>39.814103964664028</v>
      </c>
      <c r="N920" s="138">
        <f t="shared" si="679"/>
        <v>4.4761742935616216</v>
      </c>
      <c r="O920" s="138" t="e">
        <f t="shared" si="679"/>
        <v>#DIV/0!</v>
      </c>
      <c r="P920" s="125" t="e">
        <f t="shared" si="679"/>
        <v>#DIV/0!</v>
      </c>
      <c r="Q920" s="125" t="e">
        <f t="shared" si="679"/>
        <v>#DIV/0!</v>
      </c>
      <c r="R920" s="125" t="e">
        <f t="shared" si="679"/>
        <v>#DIV/0!</v>
      </c>
      <c r="S920" s="125" t="e">
        <f t="shared" si="679"/>
        <v>#DIV/0!</v>
      </c>
      <c r="T920" s="21" t="e">
        <f t="shared" si="679"/>
        <v>#DIV/0!</v>
      </c>
      <c r="U920" s="137" t="e">
        <f t="shared" si="679"/>
        <v>#DIV/0!</v>
      </c>
      <c r="V920" s="137" t="e">
        <f t="shared" si="679"/>
        <v>#DIV/0!</v>
      </c>
      <c r="W920" s="15" t="e">
        <f t="shared" si="679"/>
        <v>#DIV/0!</v>
      </c>
      <c r="X920" s="15" t="e">
        <f t="shared" si="679"/>
        <v>#DIV/0!</v>
      </c>
      <c r="Y920" s="15" t="e">
        <f t="shared" si="679"/>
        <v>#DIV/0!</v>
      </c>
      <c r="Z920" s="15" t="e">
        <f t="shared" si="679"/>
        <v>#DIV/0!</v>
      </c>
      <c r="AA920" s="15">
        <f t="shared" ref="AA920:AF920" si="680">AA877</f>
        <v>0</v>
      </c>
      <c r="AB920" s="15">
        <f t="shared" si="680"/>
        <v>0</v>
      </c>
      <c r="AC920" s="15">
        <f t="shared" si="680"/>
        <v>0</v>
      </c>
      <c r="AD920" s="15">
        <f t="shared" si="680"/>
        <v>0</v>
      </c>
      <c r="AE920" s="15">
        <f t="shared" si="680"/>
        <v>0</v>
      </c>
      <c r="AF920" s="15">
        <f t="shared" si="680"/>
        <v>0</v>
      </c>
    </row>
    <row r="921" spans="1:32" ht="17.25" x14ac:dyDescent="0.4">
      <c r="A921" s="2" t="s">
        <v>645</v>
      </c>
      <c r="F921" s="129">
        <f t="shared" ref="F921:X921" si="681">(F839*F907)/F627</f>
        <v>6.0960761765223594</v>
      </c>
      <c r="G921" s="129">
        <f t="shared" si="681"/>
        <v>9.1457843088373671</v>
      </c>
      <c r="H921" s="129">
        <f t="shared" si="681"/>
        <v>14.053552138648074</v>
      </c>
      <c r="I921" s="129">
        <f t="shared" si="681"/>
        <v>8.752458278075121</v>
      </c>
      <c r="J921" s="129">
        <f t="shared" si="681"/>
        <v>13.565648357641393</v>
      </c>
      <c r="K921" s="129">
        <f t="shared" si="681"/>
        <v>33.669656200193025</v>
      </c>
      <c r="L921" s="129">
        <f t="shared" si="681"/>
        <v>33.669656200193025</v>
      </c>
      <c r="M921" s="129">
        <f t="shared" si="681"/>
        <v>8.7672188138657461</v>
      </c>
      <c r="N921" s="129">
        <f t="shared" si="681"/>
        <v>2.5670475422672134</v>
      </c>
      <c r="O921" s="129" t="e">
        <f t="shared" si="681"/>
        <v>#DIV/0!</v>
      </c>
      <c r="P921" s="129" t="e">
        <f t="shared" si="681"/>
        <v>#DIV/0!</v>
      </c>
      <c r="Q921" s="129" t="e">
        <f t="shared" si="681"/>
        <v>#DIV/0!</v>
      </c>
      <c r="R921" s="129" t="e">
        <f t="shared" si="681"/>
        <v>#DIV/0!</v>
      </c>
      <c r="S921" s="129" t="e">
        <f t="shared" si="681"/>
        <v>#DIV/0!</v>
      </c>
      <c r="T921" s="129" t="e">
        <f t="shared" si="681"/>
        <v>#DIV/0!</v>
      </c>
      <c r="U921" s="129" t="e">
        <f t="shared" si="681"/>
        <v>#DIV/0!</v>
      </c>
      <c r="V921" s="129" t="e">
        <f t="shared" si="681"/>
        <v>#DIV/0!</v>
      </c>
      <c r="W921" s="129" t="e">
        <f t="shared" si="681"/>
        <v>#DIV/0!</v>
      </c>
      <c r="X921" s="85" t="e">
        <f t="shared" si="681"/>
        <v>#DIV/0!</v>
      </c>
      <c r="Y921" s="88" t="e">
        <f>(Y839*Y907)/Y631/12</f>
        <v>#DIV/0!</v>
      </c>
      <c r="Z921" s="88" t="e">
        <f>(Z839*Z907)/Z631/12</f>
        <v>#DIV/0!</v>
      </c>
      <c r="AA921" s="85" t="e">
        <f t="shared" ref="AA921:AF921" si="682">(AA867*$E$490)/AA646</f>
        <v>#DIV/0!</v>
      </c>
      <c r="AB921" s="85" t="e">
        <f t="shared" si="682"/>
        <v>#DIV/0!</v>
      </c>
      <c r="AC921" s="85" t="e">
        <f t="shared" si="682"/>
        <v>#DIV/0!</v>
      </c>
      <c r="AD921" s="85" t="e">
        <f t="shared" si="682"/>
        <v>#DIV/0!</v>
      </c>
      <c r="AE921" s="85" t="e">
        <f t="shared" si="682"/>
        <v>#DIV/0!</v>
      </c>
      <c r="AF921" s="85" t="e">
        <f t="shared" si="682"/>
        <v>#DIV/0!</v>
      </c>
    </row>
    <row r="922" spans="1:32" x14ac:dyDescent="0.25">
      <c r="B922" s="2" t="s">
        <v>646</v>
      </c>
      <c r="F922" s="21">
        <f t="shared" ref="F922:AF922" si="683">F920+F921</f>
        <v>26.413837429953006</v>
      </c>
      <c r="G922" s="21">
        <f t="shared" si="683"/>
        <v>40.345802908017816</v>
      </c>
      <c r="H922" s="21">
        <f t="shared" si="683"/>
        <v>71.061781449958914</v>
      </c>
      <c r="I922" s="21">
        <f t="shared" si="683"/>
        <v>37.17181910549273</v>
      </c>
      <c r="J922" s="137">
        <f t="shared" si="683"/>
        <v>72.016654715153294</v>
      </c>
      <c r="K922" s="138">
        <f t="shared" si="683"/>
        <v>226.61310860953861</v>
      </c>
      <c r="L922" s="138">
        <f t="shared" si="683"/>
        <v>160.84106670309828</v>
      </c>
      <c r="M922" s="138">
        <f>M920+M921</f>
        <v>48.581322778529774</v>
      </c>
      <c r="N922" s="138">
        <f>N920+N921</f>
        <v>7.0432218358288345</v>
      </c>
      <c r="O922" s="138" t="e">
        <f t="shared" si="683"/>
        <v>#DIV/0!</v>
      </c>
      <c r="P922" s="125" t="e">
        <f t="shared" si="683"/>
        <v>#DIV/0!</v>
      </c>
      <c r="Q922" s="125" t="e">
        <f t="shared" si="683"/>
        <v>#DIV/0!</v>
      </c>
      <c r="R922" s="125" t="e">
        <f t="shared" si="683"/>
        <v>#DIV/0!</v>
      </c>
      <c r="S922" s="125" t="e">
        <f t="shared" si="683"/>
        <v>#DIV/0!</v>
      </c>
      <c r="T922" s="21" t="e">
        <f t="shared" si="683"/>
        <v>#DIV/0!</v>
      </c>
      <c r="U922" s="137" t="e">
        <f t="shared" si="683"/>
        <v>#DIV/0!</v>
      </c>
      <c r="V922" s="137" t="e">
        <f t="shared" si="683"/>
        <v>#DIV/0!</v>
      </c>
      <c r="W922" s="15" t="e">
        <f t="shared" si="683"/>
        <v>#DIV/0!</v>
      </c>
      <c r="X922" s="15" t="e">
        <f t="shared" si="683"/>
        <v>#DIV/0!</v>
      </c>
      <c r="Y922" s="15" t="e">
        <f t="shared" si="683"/>
        <v>#DIV/0!</v>
      </c>
      <c r="Z922" s="15" t="e">
        <f t="shared" si="683"/>
        <v>#DIV/0!</v>
      </c>
      <c r="AA922" s="15" t="e">
        <f t="shared" si="683"/>
        <v>#DIV/0!</v>
      </c>
      <c r="AB922" s="15" t="e">
        <f t="shared" si="683"/>
        <v>#DIV/0!</v>
      </c>
      <c r="AC922" s="15" t="e">
        <f t="shared" si="683"/>
        <v>#DIV/0!</v>
      </c>
      <c r="AD922" s="15" t="e">
        <f t="shared" si="683"/>
        <v>#DIV/0!</v>
      </c>
      <c r="AE922" s="15" t="e">
        <f t="shared" si="683"/>
        <v>#DIV/0!</v>
      </c>
      <c r="AF922" s="15" t="e">
        <f t="shared" si="683"/>
        <v>#DIV/0!</v>
      </c>
    </row>
    <row r="923" spans="1:32" x14ac:dyDescent="0.25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32" x14ac:dyDescent="0.25">
      <c r="B924" s="38"/>
      <c r="C924" s="38"/>
      <c r="D924" s="38"/>
      <c r="E924" s="38"/>
      <c r="F924" s="38"/>
      <c r="G924" s="38"/>
      <c r="H924" s="183"/>
      <c r="I924" s="183"/>
      <c r="J924" s="128"/>
      <c r="K924" s="128"/>
      <c r="L924" s="128"/>
      <c r="M924" s="128"/>
      <c r="N924" s="38"/>
      <c r="O924" s="38"/>
      <c r="P924" s="89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32" x14ac:dyDescent="0.25">
      <c r="B925" s="38"/>
      <c r="C925" s="38"/>
      <c r="D925" s="38"/>
      <c r="E925" s="38"/>
      <c r="F925" s="182">
        <f>F917+F913</f>
        <v>6.2126425815406547E-2</v>
      </c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32" x14ac:dyDescent="0.25">
      <c r="B926" s="38"/>
      <c r="C926" s="38"/>
      <c r="D926" s="38"/>
      <c r="E926" s="38"/>
      <c r="F926" s="183"/>
      <c r="G926" s="183"/>
      <c r="H926" s="183"/>
      <c r="I926" s="183"/>
      <c r="J926" s="183"/>
      <c r="K926" s="183"/>
      <c r="L926" s="183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32" x14ac:dyDescent="0.25">
      <c r="F927" s="33"/>
      <c r="G927" s="73"/>
      <c r="H927" s="73"/>
      <c r="I927" s="73"/>
      <c r="J927" s="73"/>
      <c r="K927" s="73"/>
      <c r="L927" s="73"/>
      <c r="M927" s="73"/>
    </row>
    <row r="928" spans="1:32" x14ac:dyDescent="0.25">
      <c r="G928" s="16"/>
      <c r="H928" s="16"/>
      <c r="I928" s="16"/>
    </row>
    <row r="931" spans="6:12" x14ac:dyDescent="0.25">
      <c r="G931" s="17"/>
      <c r="H931" s="17"/>
      <c r="I931" s="17"/>
    </row>
    <row r="932" spans="6:12" x14ac:dyDescent="0.25">
      <c r="G932" s="17"/>
      <c r="H932" s="17"/>
      <c r="I932" s="17"/>
    </row>
    <row r="934" spans="6:12" x14ac:dyDescent="0.25">
      <c r="G934" s="43"/>
      <c r="H934" s="43"/>
      <c r="I934" s="43"/>
    </row>
    <row r="935" spans="6:12" x14ac:dyDescent="0.25">
      <c r="G935" s="43"/>
      <c r="H935" s="43"/>
      <c r="I935" s="43"/>
    </row>
    <row r="936" spans="6:12" x14ac:dyDescent="0.25">
      <c r="G936" s="43"/>
      <c r="H936" s="43"/>
      <c r="I936" s="43"/>
    </row>
    <row r="937" spans="6:12" x14ac:dyDescent="0.25">
      <c r="G937" s="126"/>
      <c r="H937" s="126"/>
      <c r="I937" s="126"/>
    </row>
    <row r="939" spans="6:12" x14ac:dyDescent="0.25">
      <c r="G939" s="43"/>
      <c r="H939" s="43"/>
      <c r="I939" s="43"/>
    </row>
    <row r="940" spans="6:12" x14ac:dyDescent="0.25">
      <c r="G940" s="83"/>
      <c r="H940" s="83"/>
      <c r="I940" s="83"/>
    </row>
    <row r="941" spans="6:12" x14ac:dyDescent="0.25">
      <c r="G941" s="83"/>
    </row>
    <row r="942" spans="6:12" x14ac:dyDescent="0.25">
      <c r="H942" s="83"/>
    </row>
    <row r="944" spans="6:12" x14ac:dyDescent="0.25">
      <c r="F944" s="73"/>
      <c r="G944" s="73"/>
      <c r="H944" s="73"/>
      <c r="I944" s="73"/>
      <c r="J944" s="73"/>
      <c r="K944" s="73"/>
      <c r="L944" s="73"/>
    </row>
    <row r="945" spans="6:12" x14ac:dyDescent="0.25">
      <c r="F945" s="73"/>
      <c r="G945" s="73"/>
      <c r="H945" s="73"/>
      <c r="I945" s="73"/>
      <c r="J945" s="73"/>
      <c r="K945" s="73"/>
      <c r="L945" s="73"/>
    </row>
    <row r="946" spans="6:12" x14ac:dyDescent="0.25">
      <c r="F946" s="73"/>
      <c r="G946" s="73"/>
      <c r="H946" s="73"/>
      <c r="I946" s="73"/>
      <c r="J946" s="73"/>
      <c r="K946" s="73"/>
      <c r="L946" s="73"/>
    </row>
    <row r="947" spans="6:12" x14ac:dyDescent="0.25">
      <c r="H947" s="15"/>
    </row>
    <row r="949" spans="6:12" x14ac:dyDescent="0.25">
      <c r="G949" s="33"/>
      <c r="H949" s="30"/>
    </row>
    <row r="951" spans="6:12" x14ac:dyDescent="0.25">
      <c r="G951" s="33"/>
    </row>
  </sheetData>
  <phoneticPr fontId="0" type="noConversion"/>
  <pageMargins left="0.25" right="0.25" top="1.25" bottom="0.5" header="0.5" footer="0.2"/>
  <pageSetup scale="49" pageOrder="overThenDown" orientation="landscape" r:id="rId1"/>
  <headerFooter alignWithMargins="0">
    <oddHeader>&amp;C&amp;"Times New Roman,Bold"SOUTH KENTUCKY RECC
Cost of Service Study
Class Allocation
12 Months Ended 
March 31, 2020&amp;R&amp;"Times New Roman,Bold"&amp;12Exhibit WSS-8
Page &amp;P of &amp;N</oddHeader>
  </headerFooter>
  <rowBreaks count="17" manualBreakCount="17">
    <brk id="61" max="13" man="1"/>
    <brk id="118" max="13" man="1"/>
    <brk id="175" max="13" man="1"/>
    <brk id="232" max="13" man="1"/>
    <brk id="289" max="13" man="1"/>
    <brk id="346" max="13" man="1"/>
    <brk id="403" max="13" man="1"/>
    <brk id="460" max="13" man="1"/>
    <brk id="504" max="13" man="1"/>
    <brk id="568" max="13" man="1"/>
    <brk id="593" max="13" man="1"/>
    <brk id="643" max="16383" man="1"/>
    <brk id="684" max="13" man="1"/>
    <brk id="723" max="13" man="1"/>
    <brk id="766" max="13" man="1"/>
    <brk id="810" max="13" man="1"/>
    <brk id="868" max="13" man="1"/>
  </rowBreaks>
  <colBreaks count="1" manualBreakCount="1">
    <brk id="12" max="92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37"/>
  <sheetViews>
    <sheetView zoomScale="160" zoomScaleNormal="160" workbookViewId="0">
      <selection activeCell="B8" sqref="B8"/>
    </sheetView>
  </sheetViews>
  <sheetFormatPr defaultRowHeight="15" x14ac:dyDescent="0.25"/>
  <cols>
    <col min="1" max="1" width="37.7109375" style="2" customWidth="1"/>
    <col min="2" max="4" width="13.42578125" style="30" customWidth="1"/>
    <col min="5" max="5" width="13.42578125" style="43" customWidth="1"/>
    <col min="6" max="6" width="13.28515625" style="2" customWidth="1"/>
    <col min="7" max="7" width="12.140625" style="17" customWidth="1"/>
    <col min="8" max="16384" width="9.140625" style="2"/>
  </cols>
  <sheetData>
    <row r="1" spans="1:8" ht="18.75" x14ac:dyDescent="0.3">
      <c r="A1" s="36" t="s">
        <v>977</v>
      </c>
    </row>
    <row r="2" spans="1:8" x14ac:dyDescent="0.25">
      <c r="A2" s="7" t="s">
        <v>674</v>
      </c>
      <c r="B2" s="44"/>
      <c r="C2" s="44"/>
      <c r="D2" s="44"/>
      <c r="E2" s="44"/>
      <c r="G2" s="45"/>
    </row>
    <row r="3" spans="1:8" x14ac:dyDescent="0.25">
      <c r="A3" s="38"/>
      <c r="B3" s="46"/>
      <c r="C3" s="47"/>
      <c r="D3" s="47"/>
      <c r="E3" s="48"/>
      <c r="F3" s="38"/>
      <c r="G3" s="49"/>
      <c r="H3" s="38"/>
    </row>
    <row r="5" spans="1:8" x14ac:dyDescent="0.25">
      <c r="A5" s="234" t="s">
        <v>705</v>
      </c>
      <c r="B5" s="234"/>
      <c r="C5" s="234"/>
      <c r="D5" s="234"/>
      <c r="E5" s="234"/>
      <c r="F5" s="234"/>
    </row>
    <row r="8" spans="1:8" x14ac:dyDescent="0.25">
      <c r="A8" s="8" t="s">
        <v>959</v>
      </c>
    </row>
    <row r="9" spans="1:8" ht="15.75" thickBot="1" x14ac:dyDescent="0.3">
      <c r="A9" s="189"/>
      <c r="B9" s="190"/>
      <c r="C9" s="190"/>
      <c r="D9" s="190"/>
      <c r="E9" s="194"/>
      <c r="F9" s="189"/>
      <c r="G9" s="203"/>
    </row>
    <row r="10" spans="1:8" x14ac:dyDescent="0.25">
      <c r="A10" s="51"/>
      <c r="B10" s="52"/>
      <c r="C10" s="53" t="s">
        <v>649</v>
      </c>
      <c r="D10" s="53" t="s">
        <v>651</v>
      </c>
      <c r="E10" s="54"/>
      <c r="F10" s="202" t="s">
        <v>313</v>
      </c>
      <c r="G10" s="202" t="s">
        <v>973</v>
      </c>
    </row>
    <row r="11" spans="1:8" ht="15.75" thickBot="1" x14ac:dyDescent="0.3">
      <c r="A11" s="50"/>
      <c r="B11" s="55" t="s">
        <v>326</v>
      </c>
      <c r="C11" s="55" t="s">
        <v>650</v>
      </c>
      <c r="D11" s="55" t="s">
        <v>325</v>
      </c>
      <c r="E11" s="56" t="s">
        <v>79</v>
      </c>
      <c r="F11" s="55" t="s">
        <v>1099</v>
      </c>
      <c r="G11" s="204" t="s">
        <v>326</v>
      </c>
    </row>
    <row r="12" spans="1:8" x14ac:dyDescent="0.25">
      <c r="A12" s="57"/>
    </row>
    <row r="13" spans="1:8" x14ac:dyDescent="0.25">
      <c r="A13" s="7" t="s">
        <v>1000</v>
      </c>
      <c r="B13" s="122">
        <f>'Allocation ProForma'!F578</f>
        <v>81650738.895782501</v>
      </c>
      <c r="C13" s="122">
        <f>'Allocation ProForma'!F582</f>
        <v>77154312.293430448</v>
      </c>
      <c r="D13" s="122">
        <f t="shared" ref="D13:D21" si="0">B13-C13</f>
        <v>4496426.6023520529</v>
      </c>
      <c r="E13" s="122">
        <f>'Allocation ProForma'!F586</f>
        <v>142443004.04082671</v>
      </c>
      <c r="F13" s="132">
        <f t="shared" ref="F13:F22" si="1">D13/E13</f>
        <v>3.1566496597216505E-2</v>
      </c>
      <c r="G13" s="24">
        <f>D13/B13</f>
        <v>5.5069025255132215E-2</v>
      </c>
    </row>
    <row r="14" spans="1:8" x14ac:dyDescent="0.25">
      <c r="A14" s="7" t="s">
        <v>1002</v>
      </c>
      <c r="B14" s="122">
        <f>'Allocation ProForma'!G578</f>
        <v>8152092.0065906709</v>
      </c>
      <c r="C14" s="122">
        <f>'Allocation ProForma'!G582</f>
        <v>6752588.7929715831</v>
      </c>
      <c r="D14" s="122">
        <f t="shared" si="0"/>
        <v>1399503.2136190878</v>
      </c>
      <c r="E14" s="122">
        <f>'Allocation ProForma'!G586</f>
        <v>15825972.671067962</v>
      </c>
      <c r="F14" s="132">
        <f t="shared" si="1"/>
        <v>8.8430786701506864E-2</v>
      </c>
      <c r="G14" s="24">
        <f t="shared" ref="G14:G22" si="2">D14/B14</f>
        <v>0.17167411904669871</v>
      </c>
    </row>
    <row r="15" spans="1:8" x14ac:dyDescent="0.25">
      <c r="A15" s="7" t="s">
        <v>1004</v>
      </c>
      <c r="B15" s="122">
        <f>'Allocation ProForma'!H578</f>
        <v>16448536.606291516</v>
      </c>
      <c r="C15" s="122">
        <f>'Allocation ProForma'!H582</f>
        <v>13945412.93510198</v>
      </c>
      <c r="D15" s="133">
        <f t="shared" si="0"/>
        <v>2503123.6711895354</v>
      </c>
      <c r="E15" s="122">
        <f>'Allocation ProForma'!H586</f>
        <v>18329388.327377338</v>
      </c>
      <c r="F15" s="132">
        <f t="shared" si="1"/>
        <v>0.13656340443454912</v>
      </c>
      <c r="G15" s="24">
        <f t="shared" si="2"/>
        <v>0.15217911058617203</v>
      </c>
    </row>
    <row r="16" spans="1:8" x14ac:dyDescent="0.25">
      <c r="A16" s="8" t="s">
        <v>1005</v>
      </c>
      <c r="B16" s="122">
        <f>'Allocation ProForma'!I578</f>
        <v>1562309.8575561815</v>
      </c>
      <c r="C16" s="122">
        <f>'Allocation ProForma'!I582</f>
        <v>1198094.4076146358</v>
      </c>
      <c r="D16" s="122">
        <f t="shared" si="0"/>
        <v>364215.44994154572</v>
      </c>
      <c r="E16" s="122">
        <f>'Allocation ProForma'!I586</f>
        <v>2773775.3723908262</v>
      </c>
      <c r="F16" s="132">
        <f t="shared" si="1"/>
        <v>0.13130675741331357</v>
      </c>
      <c r="G16" s="24">
        <f t="shared" si="2"/>
        <v>0.2331262573682176</v>
      </c>
    </row>
    <row r="17" spans="1:7" x14ac:dyDescent="0.25">
      <c r="A17" s="7" t="s">
        <v>1006</v>
      </c>
      <c r="B17" s="122">
        <f>'Allocation ProForma'!J578</f>
        <v>981340.74919714767</v>
      </c>
      <c r="C17" s="122">
        <f>'Allocation ProForma'!J582</f>
        <v>951257.428784427</v>
      </c>
      <c r="D17" s="122">
        <f t="shared" si="0"/>
        <v>30083.32041272067</v>
      </c>
      <c r="E17" s="122">
        <f>'Allocation ProForma'!J586</f>
        <v>1850944.8674697804</v>
      </c>
      <c r="F17" s="132">
        <f t="shared" si="1"/>
        <v>1.6252953257243265E-2</v>
      </c>
      <c r="G17" s="24">
        <f t="shared" si="2"/>
        <v>3.065532582574643E-2</v>
      </c>
    </row>
    <row r="18" spans="1:7" x14ac:dyDescent="0.25">
      <c r="A18" s="7" t="s">
        <v>1007</v>
      </c>
      <c r="B18" s="122">
        <f>'Allocation ProForma'!K578</f>
        <v>775889.89292835887</v>
      </c>
      <c r="C18" s="122">
        <f>'Allocation ProForma'!K582</f>
        <v>632172.33567042591</v>
      </c>
      <c r="D18" s="122">
        <f t="shared" si="0"/>
        <v>143717.55725793296</v>
      </c>
      <c r="E18" s="122">
        <f>'Allocation ProForma'!K586</f>
        <v>18328.315609605885</v>
      </c>
      <c r="F18" s="132">
        <f t="shared" si="1"/>
        <v>7.8412855997858566</v>
      </c>
      <c r="G18" s="24">
        <f t="shared" si="2"/>
        <v>0.18522931999476761</v>
      </c>
    </row>
    <row r="19" spans="1:7" x14ac:dyDescent="0.25">
      <c r="A19" s="7" t="s">
        <v>1008</v>
      </c>
      <c r="B19" s="122">
        <f>'Allocation ProForma'!L578</f>
        <v>5212192.1997410189</v>
      </c>
      <c r="C19" s="122">
        <f>'Allocation ProForma'!L582</f>
        <v>4472618.6347368713</v>
      </c>
      <c r="D19" s="122">
        <f t="shared" si="0"/>
        <v>739573.56500414759</v>
      </c>
      <c r="E19" s="122">
        <f>'Allocation ProForma'!L586</f>
        <v>272781.37718562334</v>
      </c>
      <c r="F19" s="132">
        <f t="shared" si="1"/>
        <v>2.7112318759974574</v>
      </c>
      <c r="G19" s="24">
        <f t="shared" si="2"/>
        <v>0.14189299562684876</v>
      </c>
    </row>
    <row r="20" spans="1:7" x14ac:dyDescent="0.25">
      <c r="A20" s="7" t="s">
        <v>1009</v>
      </c>
      <c r="B20" s="122">
        <f>'Allocation ProForma'!M578</f>
        <v>4305615.6020096457</v>
      </c>
      <c r="C20" s="122">
        <f>'Allocation ProForma'!M582</f>
        <v>4138356.3107163319</v>
      </c>
      <c r="D20" s="122">
        <f t="shared" si="0"/>
        <v>167259.29129331373</v>
      </c>
      <c r="E20" s="122">
        <f>'Allocation ProForma'!M586</f>
        <v>4150385.4639716614</v>
      </c>
      <c r="F20" s="132">
        <f t="shared" si="1"/>
        <v>4.0299700532696298E-2</v>
      </c>
      <c r="G20" s="24">
        <f t="shared" si="2"/>
        <v>3.884677750035221E-2</v>
      </c>
    </row>
    <row r="21" spans="1:7" x14ac:dyDescent="0.25">
      <c r="A21" s="8" t="s">
        <v>865</v>
      </c>
      <c r="B21" s="122">
        <f>'Allocation ProForma'!N578</f>
        <v>4008272.1780973086</v>
      </c>
      <c r="C21" s="122">
        <f>'Allocation ProForma'!N582</f>
        <v>2352970.4946014038</v>
      </c>
      <c r="D21" s="122">
        <f t="shared" si="0"/>
        <v>1655301.6834959048</v>
      </c>
      <c r="E21" s="122">
        <f>'Allocation ProForma'!N586</f>
        <v>14541428.36535047</v>
      </c>
      <c r="F21" s="132">
        <f t="shared" si="1"/>
        <v>0.1138334998396844</v>
      </c>
      <c r="G21" s="35">
        <f t="shared" si="2"/>
        <v>0.41297137767766606</v>
      </c>
    </row>
    <row r="22" spans="1:7" ht="15.75" thickBot="1" x14ac:dyDescent="0.3">
      <c r="A22" s="134" t="s">
        <v>1</v>
      </c>
      <c r="B22" s="135">
        <f>SUM(B13:B21)</f>
        <v>123096987.98819433</v>
      </c>
      <c r="C22" s="135">
        <f>SUM(C13:C21)</f>
        <v>111597783.6336281</v>
      </c>
      <c r="D22" s="135">
        <f>SUM(D13:D21)</f>
        <v>11499204.354566243</v>
      </c>
      <c r="E22" s="135">
        <f>SUM(E13:E21)</f>
        <v>200206008.80124998</v>
      </c>
      <c r="F22" s="136">
        <f t="shared" si="1"/>
        <v>5.7436859280191835E-2</v>
      </c>
      <c r="G22" s="205">
        <f t="shared" si="2"/>
        <v>9.3415806044491345E-2</v>
      </c>
    </row>
    <row r="30" spans="1:7" x14ac:dyDescent="0.25">
      <c r="A30" s="7"/>
    </row>
    <row r="31" spans="1:7" x14ac:dyDescent="0.25">
      <c r="A31" s="7"/>
    </row>
    <row r="32" spans="1:7" x14ac:dyDescent="0.25">
      <c r="A32" s="7"/>
    </row>
    <row r="33" spans="1:1" x14ac:dyDescent="0.25">
      <c r="A33" s="8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</sheetData>
  <mergeCells count="1">
    <mergeCell ref="A5:F5"/>
  </mergeCells>
  <phoneticPr fontId="0" type="noConversion"/>
  <pageMargins left="0.75" right="0.75" top="1" bottom="1" header="0.5" footer="0.5"/>
  <pageSetup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23"/>
  <sheetViews>
    <sheetView topLeftCell="A82" zoomScale="140" zoomScaleNormal="140" workbookViewId="0">
      <pane xSplit="1" topLeftCell="B1" activePane="topRight" state="frozen"/>
      <selection activeCell="A5" sqref="A5"/>
      <selection pane="topRight" activeCell="B32" sqref="B32"/>
    </sheetView>
  </sheetViews>
  <sheetFormatPr defaultRowHeight="15" x14ac:dyDescent="0.25"/>
  <cols>
    <col min="1" max="1" width="52.5703125" style="2" customWidth="1"/>
    <col min="2" max="2" width="14.5703125" style="2" customWidth="1"/>
    <col min="3" max="3" width="15.5703125" style="2" customWidth="1"/>
    <col min="4" max="4" width="17" style="2" customWidth="1"/>
    <col min="5" max="7" width="14.5703125" style="2" customWidth="1"/>
    <col min="8" max="8" width="15.140625" style="2" customWidth="1"/>
    <col min="9" max="9" width="16.140625" style="2" customWidth="1"/>
    <col min="10" max="10" width="15.140625" style="2" customWidth="1"/>
    <col min="11" max="13" width="14.42578125" style="2" customWidth="1"/>
    <col min="14" max="14" width="20.28515625" style="2" bestFit="1" customWidth="1"/>
    <col min="15" max="15" width="15.5703125" style="2" customWidth="1"/>
    <col min="16" max="16" width="16.28515625" style="2" customWidth="1"/>
    <col min="17" max="17" width="15.140625" style="2" customWidth="1"/>
    <col min="18" max="18" width="17.85546875" style="2" customWidth="1"/>
    <col min="19" max="20" width="9.140625" style="2"/>
    <col min="21" max="21" width="19.5703125" style="2" customWidth="1"/>
    <col min="22" max="22" width="19.85546875" style="2" customWidth="1"/>
    <col min="23" max="23" width="18.7109375" style="2" customWidth="1"/>
    <col min="24" max="24" width="9.140625" style="2"/>
    <col min="25" max="25" width="13" style="2" customWidth="1"/>
    <col min="26" max="29" width="9.140625" style="2"/>
    <col min="30" max="30" width="15" style="2" customWidth="1"/>
    <col min="31" max="31" width="21.5703125" style="2" customWidth="1"/>
    <col min="32" max="16384" width="9.140625" style="2"/>
  </cols>
  <sheetData>
    <row r="1" spans="1:31" ht="18.75" x14ac:dyDescent="0.3">
      <c r="A1" s="36" t="s">
        <v>977</v>
      </c>
    </row>
    <row r="2" spans="1:31" ht="18.75" x14ac:dyDescent="0.3">
      <c r="A2" s="37" t="s">
        <v>652</v>
      </c>
    </row>
    <row r="3" spans="1:31" x14ac:dyDescent="0.25">
      <c r="J3" s="14" t="s">
        <v>668</v>
      </c>
    </row>
    <row r="4" spans="1:31" x14ac:dyDescent="0.25">
      <c r="A4" s="14"/>
      <c r="B4" s="14"/>
      <c r="D4" s="14"/>
      <c r="E4" s="14"/>
      <c r="F4" s="14" t="s">
        <v>1</v>
      </c>
      <c r="G4" s="14" t="s">
        <v>715</v>
      </c>
      <c r="H4" s="14" t="s">
        <v>716</v>
      </c>
      <c r="I4" s="14" t="s">
        <v>578</v>
      </c>
      <c r="J4" s="14" t="s">
        <v>969</v>
      </c>
      <c r="K4" s="14" t="s">
        <v>668</v>
      </c>
      <c r="L4" s="38"/>
      <c r="M4" s="38"/>
      <c r="N4" s="39"/>
      <c r="O4" s="39"/>
      <c r="P4" s="39"/>
    </row>
    <row r="5" spans="1:31" x14ac:dyDescent="0.25">
      <c r="A5" s="14"/>
      <c r="B5" s="14" t="s">
        <v>578</v>
      </c>
      <c r="C5" s="112" t="s">
        <v>1065</v>
      </c>
      <c r="D5" s="14"/>
      <c r="E5" s="14"/>
      <c r="F5" s="14" t="s">
        <v>714</v>
      </c>
      <c r="G5" s="14" t="s">
        <v>714</v>
      </c>
      <c r="H5" s="14" t="s">
        <v>714</v>
      </c>
      <c r="I5" s="14" t="s">
        <v>631</v>
      </c>
      <c r="J5" s="14" t="s">
        <v>631</v>
      </c>
      <c r="K5" s="14" t="s">
        <v>688</v>
      </c>
      <c r="L5" s="39" t="s">
        <v>1023</v>
      </c>
      <c r="M5" s="39" t="s">
        <v>1025</v>
      </c>
      <c r="N5" s="39"/>
      <c r="O5" s="39"/>
      <c r="P5" s="39"/>
      <c r="Q5" s="14"/>
      <c r="R5" s="14"/>
      <c r="S5" s="14"/>
      <c r="AB5" s="2">
        <v>7.823963413711655E-3</v>
      </c>
    </row>
    <row r="6" spans="1:31" x14ac:dyDescent="0.25">
      <c r="A6" s="14"/>
      <c r="B6" s="14" t="s">
        <v>580</v>
      </c>
      <c r="C6" s="112" t="s">
        <v>580</v>
      </c>
      <c r="D6" s="14" t="s">
        <v>572</v>
      </c>
      <c r="E6" s="14" t="s">
        <v>326</v>
      </c>
      <c r="F6" s="14" t="s">
        <v>12</v>
      </c>
      <c r="G6" s="14" t="s">
        <v>12</v>
      </c>
      <c r="H6" s="14" t="s">
        <v>12</v>
      </c>
      <c r="I6" s="14" t="s">
        <v>12</v>
      </c>
      <c r="J6" s="14" t="s">
        <v>12</v>
      </c>
      <c r="K6" s="14" t="s">
        <v>689</v>
      </c>
      <c r="L6" s="39" t="s">
        <v>1024</v>
      </c>
      <c r="M6" s="39" t="s">
        <v>1024</v>
      </c>
      <c r="N6" s="38"/>
      <c r="O6" s="38"/>
      <c r="P6" s="18"/>
    </row>
    <row r="7" spans="1:31" x14ac:dyDescent="0.25">
      <c r="A7" s="14"/>
      <c r="B7" s="17"/>
      <c r="D7" s="17"/>
      <c r="E7" s="17"/>
      <c r="F7" s="17"/>
      <c r="G7" s="17"/>
      <c r="H7" s="17"/>
      <c r="I7" s="17"/>
      <c r="J7" s="17"/>
      <c r="K7" s="17"/>
      <c r="L7" s="171"/>
      <c r="M7" s="199"/>
      <c r="N7" s="18"/>
      <c r="O7" s="18"/>
      <c r="P7" s="26"/>
    </row>
    <row r="8" spans="1:31" ht="15.75" x14ac:dyDescent="0.25">
      <c r="A8" s="7" t="str">
        <f>A32</f>
        <v>Residential, Farm and Non-Farm Service</v>
      </c>
      <c r="B8" s="115">
        <f>761192/12</f>
        <v>63432.666666666664</v>
      </c>
      <c r="C8" s="17">
        <v>63209</v>
      </c>
      <c r="D8" s="17">
        <f>N32</f>
        <v>776790917</v>
      </c>
      <c r="E8" s="40">
        <f>73830215.96+318422.85</f>
        <v>74148638.809999987</v>
      </c>
      <c r="F8" s="17">
        <f>N37</f>
        <v>2775348</v>
      </c>
      <c r="G8" s="17">
        <f>Q37</f>
        <v>693837</v>
      </c>
      <c r="H8" s="17">
        <f>R37</f>
        <v>693837</v>
      </c>
      <c r="I8" s="17">
        <f>O35</f>
        <v>235034</v>
      </c>
      <c r="J8" s="17">
        <f>P35</f>
        <v>235034</v>
      </c>
      <c r="K8" s="17">
        <f>P39</f>
        <v>609075</v>
      </c>
      <c r="L8" s="18">
        <f>D8*(P8/R8)</f>
        <v>405686937.45452952</v>
      </c>
      <c r="M8" s="26">
        <f>D8-L8</f>
        <v>371103979.54547048</v>
      </c>
      <c r="N8" s="175">
        <f>L8+M8</f>
        <v>776790917</v>
      </c>
      <c r="O8" s="18"/>
      <c r="P8" s="18">
        <v>397152792</v>
      </c>
      <c r="Q8" s="17">
        <v>363297331</v>
      </c>
      <c r="R8" s="17">
        <f>SUM(P8:Q8)</f>
        <v>760450123</v>
      </c>
      <c r="U8" s="15">
        <f>L27-SUM(U10:U24)</f>
        <v>404148108.82942843</v>
      </c>
      <c r="V8" s="15">
        <f>M27-SUM(V10:V24)</f>
        <v>385441478.57057154</v>
      </c>
      <c r="W8" s="15">
        <f>U8+V8</f>
        <v>789589587.39999998</v>
      </c>
      <c r="Y8" s="24">
        <f>P8/R8</f>
        <v>0.52226014565323442</v>
      </c>
      <c r="Z8" s="24">
        <f>Q8/R8</f>
        <v>0.47773985434676564</v>
      </c>
      <c r="AB8" s="228">
        <f>Y8-$Y$25+$AB$5</f>
        <v>1.696594450267901E-2</v>
      </c>
      <c r="AC8" s="228"/>
      <c r="AD8" s="24">
        <f>$L$28+AB8</f>
        <v>0.52871174093044582</v>
      </c>
      <c r="AE8" s="15">
        <f>AD8*N8</f>
        <v>410698478.06602746</v>
      </c>
    </row>
    <row r="9" spans="1:31" x14ac:dyDescent="0.25">
      <c r="B9" s="115"/>
      <c r="C9" s="17"/>
      <c r="D9" s="17"/>
      <c r="E9" s="13"/>
      <c r="F9" s="17"/>
      <c r="G9" s="17"/>
      <c r="H9" s="17"/>
      <c r="I9" s="17"/>
      <c r="J9" s="17"/>
      <c r="K9" s="17"/>
      <c r="L9" s="18"/>
      <c r="M9" s="38"/>
      <c r="N9" s="175"/>
      <c r="O9" s="18"/>
      <c r="P9" s="18"/>
      <c r="Q9" s="17"/>
      <c r="R9" s="17"/>
      <c r="S9" s="22"/>
      <c r="Y9" s="24"/>
      <c r="Z9" s="24"/>
    </row>
    <row r="10" spans="1:31" ht="15.75" x14ac:dyDescent="0.25">
      <c r="A10" s="7" t="str">
        <f>A41</f>
        <v>Small Commercial</v>
      </c>
      <c r="B10" s="115">
        <f>54614/12</f>
        <v>4551.166666666667</v>
      </c>
      <c r="C10" s="17">
        <v>4534</v>
      </c>
      <c r="D10" s="17">
        <f>N41</f>
        <v>69269843</v>
      </c>
      <c r="E10" s="40">
        <f>7809453.35+1379.64</f>
        <v>7810832.9899999993</v>
      </c>
      <c r="F10" s="17">
        <f>N46</f>
        <v>148834</v>
      </c>
      <c r="G10" s="17">
        <f>Q46</f>
        <v>39791</v>
      </c>
      <c r="H10" s="17">
        <f>R46</f>
        <v>38604</v>
      </c>
      <c r="I10" s="17">
        <f>O44</f>
        <v>15382</v>
      </c>
      <c r="J10" s="17">
        <f>P44</f>
        <v>15382</v>
      </c>
      <c r="K10" s="17">
        <f>P48</f>
        <v>95152</v>
      </c>
      <c r="L10" s="18">
        <f>D10*(P10/R10)</f>
        <v>35815261.660127677</v>
      </c>
      <c r="M10" s="26">
        <f>D10-L10</f>
        <v>33454581.339872323</v>
      </c>
      <c r="N10" s="175">
        <f t="shared" ref="N10:N24" si="0">L10+M10</f>
        <v>69269843</v>
      </c>
      <c r="O10" s="18"/>
      <c r="P10" s="18">
        <v>35776281</v>
      </c>
      <c r="Q10" s="17">
        <v>33418170</v>
      </c>
      <c r="R10" s="17">
        <f>SUM(P10:Q10)</f>
        <v>69194451</v>
      </c>
      <c r="U10" s="15">
        <f>N10*P10/R10</f>
        <v>35815261.660127677</v>
      </c>
      <c r="V10" s="15">
        <f>N10-U10</f>
        <v>33454581.339872323</v>
      </c>
      <c r="W10" s="15">
        <f>U10+V10</f>
        <v>69269843</v>
      </c>
      <c r="Y10" s="24">
        <f t="shared" ref="Y10" si="1">P10/R10</f>
        <v>0.51703974065781666</v>
      </c>
      <c r="Z10" s="24">
        <f t="shared" ref="Z10" si="2">Q10/R10</f>
        <v>0.4829602593421834</v>
      </c>
      <c r="AB10" s="228">
        <f t="shared" ref="AB10" si="3">Y10-$Y$25+$AB$5</f>
        <v>1.174553950726125E-2</v>
      </c>
      <c r="AC10" s="228"/>
      <c r="AD10" s="24">
        <f t="shared" ref="AD10" si="4">$L$28+AB10</f>
        <v>0.52349133593502806</v>
      </c>
      <c r="AE10" s="15">
        <f t="shared" ref="AE10" si="5">AD10*N10</f>
        <v>36262162.652079649</v>
      </c>
    </row>
    <row r="11" spans="1:31" x14ac:dyDescent="0.25">
      <c r="A11" s="7"/>
      <c r="B11" s="115"/>
      <c r="C11" s="17"/>
      <c r="D11" s="17"/>
      <c r="E11" s="13"/>
      <c r="F11" s="17"/>
      <c r="G11" s="17"/>
      <c r="H11" s="17"/>
      <c r="I11" s="17"/>
      <c r="J11" s="17"/>
      <c r="K11" s="17"/>
      <c r="L11" s="18"/>
      <c r="M11" s="38"/>
      <c r="N11" s="175"/>
      <c r="O11" s="38"/>
      <c r="P11" s="18"/>
      <c r="Q11" s="17"/>
      <c r="R11" s="17"/>
      <c r="Y11" s="24"/>
      <c r="Z11" s="24"/>
    </row>
    <row r="12" spans="1:31" ht="15.75" x14ac:dyDescent="0.25">
      <c r="A12" s="7" t="str">
        <f>A50</f>
        <v xml:space="preserve">Large Power </v>
      </c>
      <c r="B12" s="115">
        <f>5183/12</f>
        <v>431.91666666666669</v>
      </c>
      <c r="C12" s="17">
        <v>443</v>
      </c>
      <c r="D12" s="17">
        <f>N50</f>
        <v>192207412</v>
      </c>
      <c r="E12" s="40">
        <v>15717590.100000001</v>
      </c>
      <c r="F12" s="17">
        <f>N55</f>
        <v>329833</v>
      </c>
      <c r="G12" s="17">
        <f>Q55</f>
        <v>82856</v>
      </c>
      <c r="H12" s="17">
        <f>R55</f>
        <v>83945</v>
      </c>
      <c r="I12" s="17">
        <f>O53</f>
        <v>39056</v>
      </c>
      <c r="J12" s="17">
        <f>P53</f>
        <v>39056</v>
      </c>
      <c r="K12" s="17">
        <f>P57</f>
        <v>72232</v>
      </c>
      <c r="L12" s="18">
        <f>D12*(P12/R12)</f>
        <v>96219078.436564922</v>
      </c>
      <c r="M12" s="26">
        <f>D12-L12</f>
        <v>95988333.563435078</v>
      </c>
      <c r="N12" s="175">
        <f t="shared" si="0"/>
        <v>192207412</v>
      </c>
      <c r="O12" s="18"/>
      <c r="P12" s="18">
        <v>93166323</v>
      </c>
      <c r="Q12" s="17">
        <v>92942899</v>
      </c>
      <c r="R12" s="17">
        <f>SUM(P12:Q12)</f>
        <v>186109222</v>
      </c>
      <c r="U12" s="15">
        <f>N12*P12/R12</f>
        <v>96219078.436564937</v>
      </c>
      <c r="V12" s="15">
        <f>N12-U12</f>
        <v>95988333.563435063</v>
      </c>
      <c r="W12" s="15">
        <f>U12+V12</f>
        <v>192207412</v>
      </c>
      <c r="Y12" s="24">
        <f t="shared" ref="Y12" si="6">P12/R12</f>
        <v>0.50060024967489247</v>
      </c>
      <c r="Z12" s="24">
        <f t="shared" ref="Z12" si="7">Q12/R12</f>
        <v>0.49939975032510747</v>
      </c>
      <c r="AB12" s="228">
        <f t="shared" ref="AB12" si="8">Y12-$Y$25+$AB$5</f>
        <v>-4.6939514756629379E-3</v>
      </c>
      <c r="AC12" s="228"/>
      <c r="AD12" s="24">
        <f t="shared" ref="AD12" si="9">$L$28+AB12</f>
        <v>0.50705184495210387</v>
      </c>
      <c r="AE12" s="15">
        <f t="shared" ref="AE12" si="10">AD12*N12</f>
        <v>97459122.868069142</v>
      </c>
    </row>
    <row r="13" spans="1:31" ht="15.75" x14ac:dyDescent="0.25">
      <c r="A13" s="7"/>
      <c r="B13" s="115"/>
      <c r="C13" s="17"/>
      <c r="D13" s="17"/>
      <c r="E13" s="40"/>
      <c r="F13" s="17"/>
      <c r="G13" s="17"/>
      <c r="H13" s="17"/>
      <c r="I13" s="17"/>
      <c r="J13" s="17"/>
      <c r="K13" s="17"/>
      <c r="L13" s="18"/>
      <c r="M13" s="26"/>
      <c r="N13" s="175"/>
      <c r="O13" s="18"/>
      <c r="P13" s="18"/>
      <c r="Q13" s="17"/>
      <c r="R13" s="17"/>
      <c r="Y13" s="24"/>
      <c r="Z13" s="24"/>
    </row>
    <row r="14" spans="1:31" ht="15.75" x14ac:dyDescent="0.25">
      <c r="A14" s="7" t="str">
        <f>A59</f>
        <v>Optional Power Service</v>
      </c>
      <c r="B14" s="115">
        <f>1988/12</f>
        <v>165.66666666666666</v>
      </c>
      <c r="C14" s="17">
        <v>167</v>
      </c>
      <c r="D14" s="17">
        <f>N59</f>
        <v>13613706</v>
      </c>
      <c r="E14" s="40">
        <v>1487654.2600000002</v>
      </c>
      <c r="F14" s="17">
        <f>N64</f>
        <v>29580</v>
      </c>
      <c r="G14" s="17">
        <f>Q64</f>
        <v>7471</v>
      </c>
      <c r="H14" s="17">
        <f>R64</f>
        <v>7516</v>
      </c>
      <c r="I14" s="17">
        <f>O62</f>
        <v>4015</v>
      </c>
      <c r="J14" s="17">
        <f>P62</f>
        <v>4015</v>
      </c>
      <c r="K14" s="17">
        <f>P66</f>
        <v>26014</v>
      </c>
      <c r="L14" s="18">
        <f>D14*(P14/R14)</f>
        <v>7142697.8878758829</v>
      </c>
      <c r="M14" s="26">
        <f>D14-L14</f>
        <v>6471008.1121241171</v>
      </c>
      <c r="N14" s="175">
        <f t="shared" si="0"/>
        <v>13613706</v>
      </c>
      <c r="O14" s="18"/>
      <c r="P14" s="18">
        <v>7669675</v>
      </c>
      <c r="Q14" s="17">
        <v>6948429</v>
      </c>
      <c r="R14" s="17">
        <f>SUM(P14:Q14)</f>
        <v>14618104</v>
      </c>
      <c r="U14" s="15">
        <f>N14*P14/R14</f>
        <v>7142697.8878758829</v>
      </c>
      <c r="V14" s="15">
        <f>N14-U14</f>
        <v>6471008.1121241171</v>
      </c>
      <c r="W14" s="15">
        <f>U14+V14</f>
        <v>13613706</v>
      </c>
      <c r="Y14" s="24">
        <f t="shared" ref="Y14" si="11">P14/R14</f>
        <v>0.52466961515665778</v>
      </c>
      <c r="Z14" s="24">
        <f t="shared" ref="Z14" si="12">Q14/R14</f>
        <v>0.47533038484334222</v>
      </c>
      <c r="AB14" s="228">
        <f t="shared" ref="AB14" si="13">Y14-$Y$25+$AB$5</f>
        <v>1.9375414006102366E-2</v>
      </c>
      <c r="AC14" s="228"/>
      <c r="AD14" s="24">
        <f t="shared" ref="AD14" si="14">$L$28+AB14</f>
        <v>0.53112121043386917</v>
      </c>
      <c r="AE14" s="15">
        <f t="shared" ref="AE14" si="15">AD14*N14</f>
        <v>7230528.0092108278</v>
      </c>
    </row>
    <row r="15" spans="1:31" x14ac:dyDescent="0.25">
      <c r="A15" s="7"/>
      <c r="B15" s="115"/>
      <c r="C15" s="17"/>
      <c r="D15" s="17"/>
      <c r="E15" s="13"/>
      <c r="F15" s="17"/>
      <c r="G15" s="17"/>
      <c r="H15" s="17"/>
      <c r="I15" s="17"/>
      <c r="J15" s="17"/>
      <c r="K15" s="17"/>
      <c r="L15" s="18"/>
      <c r="M15" s="38"/>
      <c r="N15" s="175"/>
      <c r="O15" s="38"/>
      <c r="P15" s="18"/>
      <c r="Q15" s="17"/>
      <c r="R15" s="17"/>
      <c r="S15" s="22"/>
      <c r="Y15" s="24"/>
      <c r="Z15" s="24"/>
    </row>
    <row r="16" spans="1:31" ht="15.75" x14ac:dyDescent="0.25">
      <c r="A16" s="7" t="str">
        <f>A68</f>
        <v>All Electric Schools</v>
      </c>
      <c r="B16" s="115">
        <f>196/12</f>
        <v>16.333333333333332</v>
      </c>
      <c r="C16" s="17">
        <v>17</v>
      </c>
      <c r="D16" s="17">
        <f>N68</f>
        <v>10779640</v>
      </c>
      <c r="E16" s="40">
        <v>846051.2</v>
      </c>
      <c r="F16" s="17">
        <f>N73</f>
        <v>22376</v>
      </c>
      <c r="G16" s="17">
        <f>Q73</f>
        <v>3740</v>
      </c>
      <c r="H16" s="17">
        <f>R73</f>
        <v>7988</v>
      </c>
      <c r="I16" s="17">
        <f>O71</f>
        <v>3938</v>
      </c>
      <c r="J16" s="17">
        <f>P71</f>
        <v>3938</v>
      </c>
      <c r="K16" s="17">
        <f>P75</f>
        <v>9171</v>
      </c>
      <c r="L16" s="18">
        <f>D16*(P16/R16)</f>
        <v>5474832.6693834495</v>
      </c>
      <c r="M16" s="26">
        <f>D16-L16</f>
        <v>5304807.3306165505</v>
      </c>
      <c r="N16" s="175">
        <f t="shared" si="0"/>
        <v>10779640</v>
      </c>
      <c r="O16" s="18"/>
      <c r="P16" s="18">
        <v>5160903</v>
      </c>
      <c r="Q16" s="17">
        <v>5000627</v>
      </c>
      <c r="R16" s="17">
        <f>SUM(P16:Q16)</f>
        <v>10161530</v>
      </c>
      <c r="U16" s="15">
        <f>N16*P16/R16</f>
        <v>5474832.6693834495</v>
      </c>
      <c r="V16" s="15">
        <f>N16-U16</f>
        <v>5304807.3306165505</v>
      </c>
      <c r="W16" s="15">
        <f>U16+V16</f>
        <v>10779640</v>
      </c>
      <c r="Y16" s="24">
        <f t="shared" ref="Y16" si="16">P16/R16</f>
        <v>0.50788641080624675</v>
      </c>
      <c r="Z16" s="24">
        <f t="shared" ref="Z16" si="17">Q16/R16</f>
        <v>0.49211358919375331</v>
      </c>
      <c r="AB16" s="228">
        <f t="shared" ref="AB16" si="18">Y16-$Y$25+$AB$5</f>
        <v>2.5922096556913361E-3</v>
      </c>
      <c r="AC16" s="228"/>
      <c r="AD16" s="24">
        <f t="shared" ref="AD16" si="19">$L$28+AB16</f>
        <v>0.51433800608345814</v>
      </c>
      <c r="AE16" s="15">
        <f t="shared" ref="AE16" si="20">AD16*N16</f>
        <v>5544378.5438974891</v>
      </c>
    </row>
    <row r="17" spans="1:31" x14ac:dyDescent="0.25">
      <c r="A17" s="7"/>
      <c r="C17" s="17"/>
      <c r="F17" s="17"/>
      <c r="G17" s="17"/>
      <c r="H17" s="17"/>
      <c r="I17" s="17"/>
      <c r="J17" s="17"/>
      <c r="K17" s="17"/>
      <c r="L17" s="18"/>
      <c r="M17" s="38"/>
      <c r="N17" s="175"/>
      <c r="O17" s="38"/>
      <c r="P17" s="18"/>
      <c r="Q17" s="17"/>
      <c r="R17" s="17"/>
      <c r="Y17" s="24"/>
      <c r="Z17" s="24"/>
    </row>
    <row r="18" spans="1:31" ht="15.75" x14ac:dyDescent="0.25">
      <c r="A18" s="7" t="str">
        <f>A77</f>
        <v>Large Power Rate 1</v>
      </c>
      <c r="B18" s="115">
        <f>12/12</f>
        <v>1</v>
      </c>
      <c r="C18" s="17">
        <v>1</v>
      </c>
      <c r="D18" s="17">
        <f>N77</f>
        <v>11857233</v>
      </c>
      <c r="E18" s="40">
        <v>1745586.0999999999</v>
      </c>
      <c r="F18" s="17">
        <f>N82</f>
        <v>15037.2</v>
      </c>
      <c r="G18" s="17">
        <f>Q82</f>
        <v>4734.3600000000006</v>
      </c>
      <c r="H18" s="17">
        <f>R82</f>
        <v>2340</v>
      </c>
      <c r="I18" s="17">
        <f>O80</f>
        <v>2171.52</v>
      </c>
      <c r="J18" s="17">
        <f>P80</f>
        <v>2171.52</v>
      </c>
      <c r="K18" s="17">
        <f>P84</f>
        <v>2171.52</v>
      </c>
      <c r="L18" s="18"/>
      <c r="M18" s="26"/>
      <c r="N18" s="175"/>
      <c r="O18" s="18"/>
      <c r="P18" s="18"/>
      <c r="Q18" s="17"/>
      <c r="R18" s="17"/>
      <c r="Y18" s="228"/>
      <c r="Z18" s="228"/>
    </row>
    <row r="19" spans="1:31" ht="15.75" x14ac:dyDescent="0.25">
      <c r="A19" s="7"/>
      <c r="B19" s="115"/>
      <c r="C19" s="17"/>
      <c r="D19" s="17"/>
      <c r="E19" s="40"/>
      <c r="F19" s="17"/>
      <c r="G19" s="17"/>
      <c r="H19" s="17"/>
      <c r="I19" s="17"/>
      <c r="J19" s="17"/>
      <c r="K19" s="17"/>
      <c r="L19" s="18"/>
      <c r="M19" s="26"/>
      <c r="N19" s="175"/>
      <c r="O19" s="18"/>
      <c r="P19" s="18"/>
      <c r="Q19" s="17"/>
      <c r="R19" s="17"/>
      <c r="Y19" s="228"/>
      <c r="Z19" s="228"/>
    </row>
    <row r="20" spans="1:31" ht="15.75" x14ac:dyDescent="0.25">
      <c r="A20" s="8" t="str">
        <f>A86</f>
        <v>Large Power Rate 2</v>
      </c>
      <c r="B20" s="115">
        <f>24/12</f>
        <v>2</v>
      </c>
      <c r="C20" s="17">
        <v>2</v>
      </c>
      <c r="D20" s="17">
        <f>N86</f>
        <v>86101880</v>
      </c>
      <c r="E20" s="40">
        <v>4403647.6100000003</v>
      </c>
      <c r="F20" s="17">
        <f>N91</f>
        <v>123288.12025000001</v>
      </c>
      <c r="G20" s="17">
        <f>Q91</f>
        <v>34330.680250000005</v>
      </c>
      <c r="H20" s="17">
        <f>R91</f>
        <v>26674.559999999998</v>
      </c>
      <c r="I20" s="17">
        <f>O89</f>
        <v>15287.040999999999</v>
      </c>
      <c r="J20" s="17">
        <f>P89</f>
        <v>15287.041000000001</v>
      </c>
      <c r="K20" s="17">
        <f>P93</f>
        <v>16099.2</v>
      </c>
      <c r="L20" s="18"/>
      <c r="M20" s="26"/>
      <c r="N20" s="175"/>
      <c r="O20" s="18"/>
      <c r="P20" s="18"/>
      <c r="Q20" s="17"/>
      <c r="R20" s="17"/>
      <c r="Y20" s="228"/>
      <c r="Z20" s="228"/>
    </row>
    <row r="21" spans="1:31" ht="15.75" x14ac:dyDescent="0.25">
      <c r="A21" s="8"/>
      <c r="B21" s="115"/>
      <c r="C21" s="17"/>
      <c r="D21" s="17"/>
      <c r="E21" s="40"/>
      <c r="F21" s="17"/>
      <c r="G21" s="17"/>
      <c r="H21" s="17"/>
      <c r="I21" s="17"/>
      <c r="J21" s="17"/>
      <c r="K21" s="17"/>
      <c r="L21" s="18"/>
      <c r="M21" s="26"/>
      <c r="N21" s="175"/>
      <c r="O21" s="18"/>
      <c r="P21" s="18"/>
      <c r="Q21" s="17"/>
      <c r="R21" s="17"/>
      <c r="Y21" s="228"/>
      <c r="Z21" s="228"/>
    </row>
    <row r="22" spans="1:31" ht="15.75" x14ac:dyDescent="0.25">
      <c r="A22" s="8" t="str">
        <f>A95</f>
        <v>Large Power Rate 3</v>
      </c>
      <c r="B22" s="115">
        <f>96/12</f>
        <v>8</v>
      </c>
      <c r="C22" s="17">
        <v>8</v>
      </c>
      <c r="D22" s="17">
        <f>N95</f>
        <v>67327363</v>
      </c>
      <c r="E22" s="40">
        <v>4253208.41</v>
      </c>
      <c r="F22" s="17">
        <f>N100</f>
        <v>108120.35500000001</v>
      </c>
      <c r="G22" s="17">
        <f>Q100</f>
        <v>27565.919999999998</v>
      </c>
      <c r="H22" s="17">
        <f>R100</f>
        <v>26736.114999999998</v>
      </c>
      <c r="I22" s="17">
        <f>O98</f>
        <v>11484.119999999997</v>
      </c>
      <c r="J22" s="17">
        <f>P98</f>
        <v>11484.12</v>
      </c>
      <c r="K22" s="17">
        <f>P102</f>
        <v>12970.199999999999</v>
      </c>
      <c r="L22" s="18"/>
      <c r="M22" s="26"/>
      <c r="N22" s="175"/>
      <c r="O22" s="18"/>
      <c r="P22" s="18"/>
      <c r="Q22" s="17"/>
      <c r="R22" s="17"/>
      <c r="Y22" s="228"/>
      <c r="Z22" s="228"/>
    </row>
    <row r="23" spans="1:31" x14ac:dyDescent="0.25">
      <c r="A23" s="7"/>
      <c r="B23" s="115"/>
      <c r="C23" s="17"/>
      <c r="D23" s="17"/>
      <c r="E23" s="13"/>
      <c r="F23" s="17"/>
      <c r="G23" s="17"/>
      <c r="H23" s="17"/>
      <c r="I23" s="17"/>
      <c r="J23" s="17"/>
      <c r="K23" s="17"/>
      <c r="L23" s="18"/>
      <c r="M23" s="38"/>
      <c r="N23" s="175"/>
      <c r="O23" s="38"/>
      <c r="P23" s="18"/>
      <c r="Q23" s="17"/>
      <c r="R23" s="17"/>
      <c r="Y23" s="228"/>
      <c r="Z23" s="228"/>
    </row>
    <row r="24" spans="1:31" x14ac:dyDescent="0.25">
      <c r="A24" s="7" t="str">
        <f>A104</f>
        <v>Lighting</v>
      </c>
      <c r="B24" s="19">
        <f>303681/12</f>
        <v>25306.75</v>
      </c>
      <c r="C24" s="221">
        <v>25332</v>
      </c>
      <c r="D24" s="19">
        <f>N104</f>
        <v>15998338</v>
      </c>
      <c r="E24" s="169">
        <v>3717207.18</v>
      </c>
      <c r="F24" s="19">
        <f>N109</f>
        <v>24361.575290151904</v>
      </c>
      <c r="G24" s="19">
        <f>Q109</f>
        <v>0</v>
      </c>
      <c r="H24" s="19">
        <f>R109</f>
        <v>12171.979113329919</v>
      </c>
      <c r="I24" s="19">
        <f>O107</f>
        <v>4061.5709396512489</v>
      </c>
      <c r="J24" s="19">
        <f>P107</f>
        <v>4314.3088624338625</v>
      </c>
      <c r="K24" s="19">
        <f>P111</f>
        <v>4314.3088624338625</v>
      </c>
      <c r="L24" s="19">
        <v>3199667.6</v>
      </c>
      <c r="M24" s="222">
        <f>D24-L24</f>
        <v>12798670.4</v>
      </c>
      <c r="N24" s="223">
        <f t="shared" si="0"/>
        <v>15998338</v>
      </c>
      <c r="O24" s="224">
        <v>0.2</v>
      </c>
      <c r="P24" s="19">
        <v>3199667.6</v>
      </c>
      <c r="Q24" s="19">
        <f>D24-P24</f>
        <v>12798670.4</v>
      </c>
      <c r="R24" s="19">
        <f>SUM(P24:Q24)</f>
        <v>15998338</v>
      </c>
      <c r="U24" s="20">
        <f>P24</f>
        <v>3199667.6</v>
      </c>
      <c r="W24" s="15">
        <f>U24+V24</f>
        <v>3199667.6</v>
      </c>
      <c r="Y24" s="228"/>
      <c r="Z24" s="228"/>
      <c r="AE24" s="15">
        <f>W24</f>
        <v>3199667.6</v>
      </c>
    </row>
    <row r="25" spans="1:31" x14ac:dyDescent="0.25">
      <c r="A25" s="7" t="s">
        <v>1</v>
      </c>
      <c r="B25" s="17">
        <f t="shared" ref="B25" si="21">SUM(B8:B24)</f>
        <v>93915.5</v>
      </c>
      <c r="C25" s="17">
        <f t="shared" ref="C25:L25" si="22">SUM(C8:C24)</f>
        <v>93713</v>
      </c>
      <c r="D25" s="17">
        <f t="shared" si="22"/>
        <v>1243946332</v>
      </c>
      <c r="E25" s="17">
        <f t="shared" si="22"/>
        <v>114130416.65999998</v>
      </c>
      <c r="F25" s="17">
        <f t="shared" si="22"/>
        <v>3576778.2505401522</v>
      </c>
      <c r="G25" s="17">
        <f t="shared" si="22"/>
        <v>894325.96025</v>
      </c>
      <c r="H25" s="17">
        <f t="shared" si="22"/>
        <v>899812.65411332995</v>
      </c>
      <c r="I25" s="17">
        <f t="shared" si="22"/>
        <v>330429.25193965127</v>
      </c>
      <c r="J25" s="17">
        <f t="shared" si="22"/>
        <v>330681.98986243393</v>
      </c>
      <c r="K25" s="17">
        <f t="shared" si="22"/>
        <v>847199.22886243381</v>
      </c>
      <c r="L25" s="18">
        <f t="shared" si="22"/>
        <v>553538475.70848143</v>
      </c>
      <c r="M25" s="18">
        <f t="shared" ref="M25:N25" si="23">SUM(M8:M24)</f>
        <v>525121380.29151851</v>
      </c>
      <c r="N25" s="18">
        <f t="shared" si="23"/>
        <v>1078659856</v>
      </c>
      <c r="O25" s="41"/>
      <c r="P25" s="18">
        <f>SUM(P8:P24)</f>
        <v>542125641.60000002</v>
      </c>
      <c r="Q25" s="18">
        <f t="shared" ref="Q25:R25" si="24">SUM(Q8:Q24)</f>
        <v>514406126.39999998</v>
      </c>
      <c r="R25" s="18">
        <f t="shared" si="24"/>
        <v>1056531768</v>
      </c>
      <c r="U25" s="15">
        <f>SUM(U8:U24)</f>
        <v>551999647.08338034</v>
      </c>
      <c r="V25" s="15">
        <f t="shared" ref="V25:W25" si="25">SUM(V8:V24)</f>
        <v>526660208.9166196</v>
      </c>
      <c r="W25" s="15">
        <f t="shared" si="25"/>
        <v>1078659856</v>
      </c>
      <c r="Y25" s="24">
        <f t="shared" ref="Y25" si="26">P25/R25</f>
        <v>0.51311816456426707</v>
      </c>
      <c r="Z25" s="24">
        <f t="shared" ref="Z25" si="27">Q25/R25</f>
        <v>0.48688183543573293</v>
      </c>
      <c r="AE25" s="15">
        <f>SUM(AE8:AE24)</f>
        <v>560394337.73928463</v>
      </c>
    </row>
    <row r="26" spans="1:31" x14ac:dyDescent="0.25">
      <c r="A26" s="1"/>
      <c r="B26" s="17"/>
      <c r="C26" s="17"/>
      <c r="D26" s="13"/>
      <c r="E26" s="17"/>
      <c r="F26" s="131"/>
      <c r="G26" s="17"/>
      <c r="H26" s="25"/>
      <c r="I26" s="17"/>
      <c r="J26" s="21"/>
      <c r="K26" s="200"/>
      <c r="L26" s="18">
        <v>582416849</v>
      </c>
      <c r="M26" s="18">
        <v>555681115</v>
      </c>
      <c r="N26" s="18">
        <f>SUM(L26:M26)</f>
        <v>1138097964</v>
      </c>
      <c r="O26" s="41"/>
      <c r="P26" s="192">
        <f>P25/R25</f>
        <v>0.51311816456426707</v>
      </c>
      <c r="AE26" s="2">
        <f>AE25/N27</f>
        <v>0.51952831527206167</v>
      </c>
    </row>
    <row r="27" spans="1:31" x14ac:dyDescent="0.25">
      <c r="A27" s="1"/>
      <c r="B27" s="17"/>
      <c r="C27" s="17"/>
      <c r="D27" s="13"/>
      <c r="E27" s="17"/>
      <c r="F27" s="131"/>
      <c r="G27" s="17"/>
      <c r="H27" s="25"/>
      <c r="I27" s="17"/>
      <c r="J27" s="21"/>
      <c r="K27" s="200"/>
      <c r="L27" s="18">
        <f>L26*N28</f>
        <v>551999647.08338034</v>
      </c>
      <c r="M27" s="18">
        <f>M26*N28</f>
        <v>526660208.9166196</v>
      </c>
      <c r="N27" s="20">
        <f>SUM(L27:M27)</f>
        <v>1078659856</v>
      </c>
      <c r="O27" s="41"/>
      <c r="P27" s="41"/>
      <c r="Y27" s="30">
        <f>L28/Y25</f>
        <v>0.99732543450753564</v>
      </c>
    </row>
    <row r="28" spans="1:31" x14ac:dyDescent="0.25">
      <c r="A28" s="1"/>
      <c r="B28" s="17"/>
      <c r="C28" s="17"/>
      <c r="D28" s="13"/>
      <c r="E28" s="17"/>
      <c r="F28" s="131"/>
      <c r="G28" s="17"/>
      <c r="H28" s="25"/>
      <c r="I28" s="17"/>
      <c r="J28" s="21"/>
      <c r="K28" s="200"/>
      <c r="L28" s="192">
        <f>L27/N27</f>
        <v>0.51174579642776685</v>
      </c>
      <c r="M28" s="18"/>
      <c r="N28" s="192">
        <v>0.94777417245252182</v>
      </c>
      <c r="O28" s="41"/>
      <c r="P28" s="41"/>
    </row>
    <row r="29" spans="1:31" x14ac:dyDescent="0.25">
      <c r="A29" s="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87">
        <f>L25/N25</f>
        <v>0.51317240799260955</v>
      </c>
      <c r="M29" s="20"/>
      <c r="N29" s="170"/>
      <c r="O29" s="21"/>
      <c r="P29" s="21"/>
    </row>
    <row r="30" spans="1:31" x14ac:dyDescent="0.25">
      <c r="A30" s="14"/>
      <c r="B30" s="42">
        <v>43831</v>
      </c>
      <c r="C30" s="42">
        <v>43862</v>
      </c>
      <c r="D30" s="42">
        <v>43891</v>
      </c>
      <c r="E30" s="42">
        <v>43556</v>
      </c>
      <c r="F30" s="42">
        <v>43586</v>
      </c>
      <c r="G30" s="42">
        <v>43617</v>
      </c>
      <c r="H30" s="42">
        <v>43647</v>
      </c>
      <c r="I30" s="42">
        <v>43678</v>
      </c>
      <c r="J30" s="42">
        <v>43709</v>
      </c>
      <c r="K30" s="42">
        <v>43739</v>
      </c>
      <c r="L30" s="42">
        <v>43770</v>
      </c>
      <c r="M30" s="42">
        <v>43800</v>
      </c>
      <c r="N30" s="23" t="s">
        <v>1</v>
      </c>
      <c r="O30" s="23" t="s">
        <v>578</v>
      </c>
      <c r="P30" s="23" t="s">
        <v>669</v>
      </c>
      <c r="Q30" s="23" t="s">
        <v>715</v>
      </c>
      <c r="R30" s="23" t="s">
        <v>716</v>
      </c>
    </row>
    <row r="31" spans="1:31" x14ac:dyDescent="0.25">
      <c r="A31" s="1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31" x14ac:dyDescent="0.25">
      <c r="A32" s="1" t="s">
        <v>1000</v>
      </c>
      <c r="B32" s="141">
        <v>77550001</v>
      </c>
      <c r="C32" s="141">
        <v>87279869</v>
      </c>
      <c r="D32" s="141">
        <v>73071894</v>
      </c>
      <c r="E32" s="141">
        <v>58104525</v>
      </c>
      <c r="F32" s="141">
        <v>43241678</v>
      </c>
      <c r="G32" s="141">
        <v>53381031</v>
      </c>
      <c r="H32" s="141">
        <v>62603400</v>
      </c>
      <c r="I32" s="141">
        <v>67347583</v>
      </c>
      <c r="J32" s="141">
        <v>63275786</v>
      </c>
      <c r="K32" s="141">
        <v>52568890</v>
      </c>
      <c r="L32" s="141">
        <v>60817098</v>
      </c>
      <c r="M32" s="141">
        <v>77549162</v>
      </c>
      <c r="N32" s="141">
        <f>SUM(B32:M32)</f>
        <v>776790917</v>
      </c>
      <c r="O32" s="20">
        <f>N32/12</f>
        <v>64732576.416666664</v>
      </c>
    </row>
    <row r="33" spans="1:35" x14ac:dyDescent="0.25">
      <c r="A33" s="111" t="s">
        <v>663</v>
      </c>
      <c r="B33" s="141">
        <f>B32/744</f>
        <v>104233.87231182796</v>
      </c>
      <c r="C33" s="141">
        <f>C32/672</f>
        <v>129880.75744047618</v>
      </c>
      <c r="D33" s="141">
        <f>D32/744</f>
        <v>98214.911290322576</v>
      </c>
      <c r="E33" s="141">
        <f>E32/720</f>
        <v>80700.729166666672</v>
      </c>
      <c r="F33" s="141">
        <f>F32/744</f>
        <v>58120.534946236556</v>
      </c>
      <c r="G33" s="141">
        <f>G32/720</f>
        <v>74140.320833333331</v>
      </c>
      <c r="H33" s="141">
        <f>H32/744</f>
        <v>84144.354838709682</v>
      </c>
      <c r="I33" s="141">
        <f>I32/744</f>
        <v>90520.944892473111</v>
      </c>
      <c r="J33" s="141">
        <f>J32/720</f>
        <v>87883.036111111112</v>
      </c>
      <c r="K33" s="141">
        <f>K32/744</f>
        <v>70657.110215053763</v>
      </c>
      <c r="L33" s="141">
        <f>L32/720</f>
        <v>84468.191666666666</v>
      </c>
      <c r="M33" s="141">
        <f>M32/744</f>
        <v>104232.74462365592</v>
      </c>
      <c r="N33" s="141">
        <f>SUM(B33:M33)</f>
        <v>1067197.5083365333</v>
      </c>
    </row>
    <row r="34" spans="1:35" x14ac:dyDescent="0.25">
      <c r="A34" s="111" t="s">
        <v>671</v>
      </c>
      <c r="B34" s="142">
        <f>B33/B35</f>
        <v>0.44348422914058372</v>
      </c>
      <c r="C34" s="142">
        <f t="shared" ref="C34:M34" si="28">C33/C35</f>
        <v>0.55260412297997819</v>
      </c>
      <c r="D34" s="142">
        <f t="shared" si="28"/>
        <v>0.41787533416579126</v>
      </c>
      <c r="E34" s="142">
        <f t="shared" si="28"/>
        <v>0.34335768087454016</v>
      </c>
      <c r="F34" s="142">
        <f t="shared" si="28"/>
        <v>0.24728564780515397</v>
      </c>
      <c r="G34" s="142">
        <f t="shared" si="28"/>
        <v>0.31544508808654631</v>
      </c>
      <c r="H34" s="142">
        <f t="shared" si="28"/>
        <v>0.35800928733166132</v>
      </c>
      <c r="I34" s="142">
        <f t="shared" si="28"/>
        <v>0.38513978782845509</v>
      </c>
      <c r="J34" s="142">
        <f t="shared" si="28"/>
        <v>0.37391626790639276</v>
      </c>
      <c r="K34" s="142">
        <f t="shared" si="28"/>
        <v>0.30062505941716416</v>
      </c>
      <c r="L34" s="142">
        <f t="shared" si="28"/>
        <v>0.35938711704122239</v>
      </c>
      <c r="M34" s="142">
        <f t="shared" si="28"/>
        <v>0.44347943116168692</v>
      </c>
      <c r="N34" s="142">
        <f>N33/N35</f>
        <v>0.37838408781159794</v>
      </c>
    </row>
    <row r="35" spans="1:35" x14ac:dyDescent="0.25">
      <c r="A35" s="111" t="s">
        <v>1001</v>
      </c>
      <c r="B35" s="141">
        <v>235034</v>
      </c>
      <c r="C35" s="141">
        <v>235034</v>
      </c>
      <c r="D35" s="141">
        <v>235034</v>
      </c>
      <c r="E35" s="141">
        <v>235034</v>
      </c>
      <c r="F35" s="141">
        <v>235034</v>
      </c>
      <c r="G35" s="141">
        <v>235034</v>
      </c>
      <c r="H35" s="141">
        <v>235034</v>
      </c>
      <c r="I35" s="141">
        <v>235034</v>
      </c>
      <c r="J35" s="141">
        <v>235034</v>
      </c>
      <c r="K35" s="141">
        <v>235034</v>
      </c>
      <c r="L35" s="141">
        <v>235034</v>
      </c>
      <c r="M35" s="141">
        <v>235034</v>
      </c>
      <c r="N35" s="141">
        <f>SUM(B35:M35)</f>
        <v>2820408</v>
      </c>
      <c r="O35" s="20">
        <f>N35/12</f>
        <v>235034</v>
      </c>
      <c r="P35" s="20">
        <f>MAX(B35:M35)</f>
        <v>235034</v>
      </c>
    </row>
    <row r="36" spans="1:35" x14ac:dyDescent="0.25">
      <c r="A36" s="111" t="s">
        <v>665</v>
      </c>
      <c r="B36" s="142">
        <f>B37/B35</f>
        <v>0.98402358807661872</v>
      </c>
      <c r="C36" s="142">
        <v>0.93</v>
      </c>
      <c r="D36" s="142">
        <v>0.9</v>
      </c>
      <c r="E36" s="142">
        <v>0.9</v>
      </c>
      <c r="F36" s="142">
        <v>0.97</v>
      </c>
      <c r="G36" s="142">
        <v>0.95</v>
      </c>
      <c r="H36" s="142">
        <v>0.99</v>
      </c>
      <c r="I36" s="142">
        <v>0.98</v>
      </c>
      <c r="J36" s="142">
        <v>0.95</v>
      </c>
      <c r="K36" s="142">
        <v>0.95</v>
      </c>
      <c r="L36" s="142">
        <v>0.95</v>
      </c>
      <c r="M36" s="142">
        <v>0.96249693228632205</v>
      </c>
      <c r="N36" s="142">
        <f>N37/N35</f>
        <v>0.98402358807661872</v>
      </c>
    </row>
    <row r="37" spans="1:35" x14ac:dyDescent="0.25">
      <c r="A37" s="111" t="s">
        <v>666</v>
      </c>
      <c r="B37" s="141">
        <v>231279</v>
      </c>
      <c r="C37" s="141">
        <v>231279</v>
      </c>
      <c r="D37" s="141">
        <v>231279</v>
      </c>
      <c r="E37" s="141">
        <v>231279</v>
      </c>
      <c r="F37" s="141">
        <v>231279</v>
      </c>
      <c r="G37" s="141">
        <v>231279</v>
      </c>
      <c r="H37" s="141">
        <v>231279</v>
      </c>
      <c r="I37" s="141">
        <v>231279</v>
      </c>
      <c r="J37" s="141">
        <v>231279</v>
      </c>
      <c r="K37" s="141">
        <v>231279</v>
      </c>
      <c r="L37" s="141">
        <v>231279</v>
      </c>
      <c r="M37" s="141">
        <v>231279</v>
      </c>
      <c r="N37" s="141">
        <f>SUM(B37:M37)</f>
        <v>2775348</v>
      </c>
      <c r="O37" s="20">
        <f>N37/12</f>
        <v>231279</v>
      </c>
      <c r="Q37" s="20">
        <f>SUM(G37:I37)</f>
        <v>693837</v>
      </c>
      <c r="R37" s="20">
        <f>SUM(B37:C37)+M37</f>
        <v>693837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x14ac:dyDescent="0.25">
      <c r="A38" s="111" t="s">
        <v>672</v>
      </c>
      <c r="B38" s="142">
        <f>B33/B39</f>
        <v>0.1711347080603012</v>
      </c>
      <c r="C38" s="142">
        <f t="shared" ref="C38:M38" si="29">C33/C39</f>
        <v>0.21324263422481005</v>
      </c>
      <c r="D38" s="142">
        <f t="shared" si="29"/>
        <v>0.16125257364088588</v>
      </c>
      <c r="E38" s="142">
        <f t="shared" si="29"/>
        <v>0.13249719520037215</v>
      </c>
      <c r="F38" s="142">
        <f t="shared" si="29"/>
        <v>9.5424266217192549E-2</v>
      </c>
      <c r="G38" s="142">
        <f t="shared" si="29"/>
        <v>0.1217260942139036</v>
      </c>
      <c r="H38" s="142">
        <f t="shared" si="29"/>
        <v>0.13815105666577956</v>
      </c>
      <c r="I38" s="142">
        <f t="shared" si="29"/>
        <v>0.14862035856417208</v>
      </c>
      <c r="J38" s="142">
        <f t="shared" si="29"/>
        <v>0.14428935042664878</v>
      </c>
      <c r="K38" s="142">
        <f t="shared" si="29"/>
        <v>0.11600724084070724</v>
      </c>
      <c r="L38" s="142">
        <f t="shared" si="29"/>
        <v>0.13868274295721655</v>
      </c>
      <c r="M38" s="142">
        <f t="shared" si="29"/>
        <v>0.17113285658359959</v>
      </c>
      <c r="N38" s="142">
        <f t="shared" ref="N38" si="30">N33/N39</f>
        <v>0.14601342313296575</v>
      </c>
      <c r="O38" s="20"/>
    </row>
    <row r="39" spans="1:35" x14ac:dyDescent="0.25">
      <c r="A39" s="111" t="s">
        <v>1003</v>
      </c>
      <c r="B39" s="141">
        <v>609075</v>
      </c>
      <c r="C39" s="141">
        <v>609075</v>
      </c>
      <c r="D39" s="141">
        <v>609075</v>
      </c>
      <c r="E39" s="141">
        <v>609075</v>
      </c>
      <c r="F39" s="141">
        <v>609075</v>
      </c>
      <c r="G39" s="141">
        <v>609075</v>
      </c>
      <c r="H39" s="141">
        <v>609075</v>
      </c>
      <c r="I39" s="141">
        <v>609075</v>
      </c>
      <c r="J39" s="141">
        <v>609075</v>
      </c>
      <c r="K39" s="141">
        <v>609075</v>
      </c>
      <c r="L39" s="141">
        <v>609075</v>
      </c>
      <c r="M39" s="141">
        <v>609075</v>
      </c>
      <c r="N39" s="141">
        <f>SUM(B39:M39)</f>
        <v>7308900</v>
      </c>
      <c r="O39" s="20">
        <f>N39/12</f>
        <v>609075</v>
      </c>
      <c r="P39" s="20">
        <f>MAX(B39:M39)</f>
        <v>609075</v>
      </c>
      <c r="Q39" s="15"/>
    </row>
    <row r="40" spans="1:35" x14ac:dyDescent="0.25">
      <c r="A40" s="11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35" x14ac:dyDescent="0.25">
      <c r="A41" s="1" t="s">
        <v>1002</v>
      </c>
      <c r="B41" s="141">
        <v>5517693</v>
      </c>
      <c r="C41" s="141">
        <v>6026472</v>
      </c>
      <c r="D41" s="141">
        <v>5335252</v>
      </c>
      <c r="E41" s="141">
        <v>5126006</v>
      </c>
      <c r="F41" s="141">
        <v>4826911</v>
      </c>
      <c r="G41" s="141">
        <v>5850506</v>
      </c>
      <c r="H41" s="141">
        <v>6531388</v>
      </c>
      <c r="I41" s="141">
        <v>6944177</v>
      </c>
      <c r="J41" s="141">
        <v>6706288</v>
      </c>
      <c r="K41" s="141">
        <v>5755985</v>
      </c>
      <c r="L41" s="141">
        <v>5164604</v>
      </c>
      <c r="M41" s="141">
        <v>5484561</v>
      </c>
      <c r="N41" s="141">
        <f>SUM(B41:M41)</f>
        <v>69269843</v>
      </c>
      <c r="O41" s="20">
        <f>N41/12</f>
        <v>5772486.916666667</v>
      </c>
    </row>
    <row r="42" spans="1:35" x14ac:dyDescent="0.25">
      <c r="A42" s="111" t="s">
        <v>663</v>
      </c>
      <c r="B42" s="141">
        <f>B41/744</f>
        <v>7416.2540322580644</v>
      </c>
      <c r="C42" s="141">
        <f>C41/672</f>
        <v>8967.9642857142862</v>
      </c>
      <c r="D42" s="141">
        <f>D41/744</f>
        <v>7171.0376344086026</v>
      </c>
      <c r="E42" s="141">
        <f>E41/720</f>
        <v>7119.4527777777776</v>
      </c>
      <c r="F42" s="141">
        <f>F41/744</f>
        <v>6487.7836021505373</v>
      </c>
      <c r="G42" s="141">
        <f>G41/720</f>
        <v>8125.7027777777776</v>
      </c>
      <c r="H42" s="141">
        <f>H41/744</f>
        <v>8778.7473118279577</v>
      </c>
      <c r="I42" s="141">
        <f>I41/744</f>
        <v>9333.5712365591389</v>
      </c>
      <c r="J42" s="141">
        <f>J41/720</f>
        <v>9314.2888888888883</v>
      </c>
      <c r="K42" s="141">
        <f>K41/744</f>
        <v>7736.5389784946237</v>
      </c>
      <c r="L42" s="141">
        <f>L41/720</f>
        <v>7173.0611111111111</v>
      </c>
      <c r="M42" s="141">
        <f>M41/744</f>
        <v>7371.7217741935483</v>
      </c>
      <c r="N42" s="141"/>
    </row>
    <row r="43" spans="1:35" x14ac:dyDescent="0.25">
      <c r="A43" s="111" t="s">
        <v>671</v>
      </c>
      <c r="B43" s="142">
        <f>B42/B44</f>
        <v>0.48213847563763257</v>
      </c>
      <c r="C43" s="142">
        <f t="shared" ref="C43:M43" si="31">C42/C44</f>
        <v>0.58301679142597107</v>
      </c>
      <c r="D43" s="142">
        <f t="shared" si="31"/>
        <v>0.46619669967550398</v>
      </c>
      <c r="E43" s="142">
        <f t="shared" si="31"/>
        <v>0.462843113884916</v>
      </c>
      <c r="F43" s="142">
        <f t="shared" si="31"/>
        <v>0.42177763633796239</v>
      </c>
      <c r="G43" s="142">
        <f t="shared" si="31"/>
        <v>0.52826048483797805</v>
      </c>
      <c r="H43" s="142">
        <f t="shared" si="31"/>
        <v>0.57071559692029372</v>
      </c>
      <c r="I43" s="142">
        <f t="shared" si="31"/>
        <v>0.60678528387460273</v>
      </c>
      <c r="J43" s="142">
        <f t="shared" si="31"/>
        <v>0.60553171816986662</v>
      </c>
      <c r="K43" s="142">
        <f t="shared" si="31"/>
        <v>0.50296053689342246</v>
      </c>
      <c r="L43" s="142">
        <f t="shared" si="31"/>
        <v>0.46632824802438638</v>
      </c>
      <c r="M43" s="142">
        <f t="shared" si="31"/>
        <v>0.47924338669831934</v>
      </c>
      <c r="N43" s="143">
        <f>N41/(N44*730)</f>
        <v>0.51407595398523687</v>
      </c>
    </row>
    <row r="44" spans="1:35" x14ac:dyDescent="0.25">
      <c r="A44" s="111" t="s">
        <v>1001</v>
      </c>
      <c r="B44" s="141">
        <v>15382</v>
      </c>
      <c r="C44" s="141">
        <v>15382</v>
      </c>
      <c r="D44" s="141">
        <v>15382</v>
      </c>
      <c r="E44" s="141">
        <v>15382</v>
      </c>
      <c r="F44" s="141">
        <v>15382</v>
      </c>
      <c r="G44" s="141">
        <v>15382</v>
      </c>
      <c r="H44" s="141">
        <v>15382</v>
      </c>
      <c r="I44" s="141">
        <v>15382</v>
      </c>
      <c r="J44" s="141">
        <v>15382</v>
      </c>
      <c r="K44" s="141">
        <v>15382</v>
      </c>
      <c r="L44" s="141">
        <v>15382</v>
      </c>
      <c r="M44" s="141">
        <v>15382</v>
      </c>
      <c r="N44" s="141">
        <f>SUM(B44:M44)</f>
        <v>184584</v>
      </c>
      <c r="O44" s="20">
        <f>N44/12</f>
        <v>15382</v>
      </c>
      <c r="P44" s="20">
        <f>MAX(B44:M44)</f>
        <v>15382</v>
      </c>
    </row>
    <row r="45" spans="1:35" x14ac:dyDescent="0.25">
      <c r="A45" s="111" t="s">
        <v>665</v>
      </c>
      <c r="B45" s="142">
        <f>B46/B44</f>
        <v>0.88356520608503442</v>
      </c>
      <c r="C45" s="142">
        <f t="shared" ref="C45:M45" si="32">C46/C44</f>
        <v>0.78643869457807825</v>
      </c>
      <c r="D45" s="142">
        <f t="shared" si="32"/>
        <v>0.63060720322454822</v>
      </c>
      <c r="E45" s="142">
        <f t="shared" si="32"/>
        <v>0.65277597191522563</v>
      </c>
      <c r="F45" s="142">
        <f t="shared" si="32"/>
        <v>0.74086594721102583</v>
      </c>
      <c r="G45" s="142">
        <f t="shared" si="32"/>
        <v>0.84358340917956054</v>
      </c>
      <c r="H45" s="142">
        <f t="shared" si="32"/>
        <v>0.91386035626056428</v>
      </c>
      <c r="I45" s="142">
        <f t="shared" si="32"/>
        <v>0.82941099986997791</v>
      </c>
      <c r="J45" s="142">
        <f t="shared" si="32"/>
        <v>0.87725913405278899</v>
      </c>
      <c r="K45" s="142">
        <f t="shared" si="32"/>
        <v>0.81530360161227411</v>
      </c>
      <c r="L45" s="142">
        <f t="shared" si="32"/>
        <v>0.86250162527629692</v>
      </c>
      <c r="M45" s="142">
        <f t="shared" si="32"/>
        <v>0.83968274606683135</v>
      </c>
      <c r="N45" s="142">
        <f>N46/N44</f>
        <v>0.8063212412776839</v>
      </c>
    </row>
    <row r="46" spans="1:35" x14ac:dyDescent="0.25">
      <c r="A46" s="111" t="s">
        <v>666</v>
      </c>
      <c r="B46" s="141">
        <v>13591</v>
      </c>
      <c r="C46" s="141">
        <v>12097</v>
      </c>
      <c r="D46" s="141">
        <v>9700</v>
      </c>
      <c r="E46" s="141">
        <v>10041</v>
      </c>
      <c r="F46" s="141">
        <v>11396</v>
      </c>
      <c r="G46" s="141">
        <v>12976</v>
      </c>
      <c r="H46" s="141">
        <v>14057</v>
      </c>
      <c r="I46" s="141">
        <v>12758</v>
      </c>
      <c r="J46" s="141">
        <v>13494</v>
      </c>
      <c r="K46" s="141">
        <v>12541</v>
      </c>
      <c r="L46" s="141">
        <v>13267</v>
      </c>
      <c r="M46" s="141">
        <v>12916</v>
      </c>
      <c r="N46" s="141">
        <f>SUM(B46:M46)</f>
        <v>148834</v>
      </c>
      <c r="O46" s="20">
        <f>N46/12</f>
        <v>12402.833333333334</v>
      </c>
      <c r="Q46" s="20">
        <f>SUM(G46:I46)</f>
        <v>39791</v>
      </c>
      <c r="R46" s="20">
        <f>SUM(B46:C46)+M46</f>
        <v>38604</v>
      </c>
    </row>
    <row r="47" spans="1:35" x14ac:dyDescent="0.25">
      <c r="A47" s="111" t="s">
        <v>672</v>
      </c>
      <c r="B47" s="142">
        <f>B42/B48</f>
        <v>7.7941126116719189E-2</v>
      </c>
      <c r="C47" s="142">
        <f t="shared" ref="C47:M47" si="33">C42/C48</f>
        <v>9.4248825938648542E-2</v>
      </c>
      <c r="D47" s="142">
        <f t="shared" si="33"/>
        <v>7.5364024239202562E-2</v>
      </c>
      <c r="E47" s="142">
        <f t="shared" si="33"/>
        <v>7.4821893158081576E-2</v>
      </c>
      <c r="F47" s="142">
        <f t="shared" si="33"/>
        <v>6.8183365585069544E-2</v>
      </c>
      <c r="G47" s="142">
        <f t="shared" si="33"/>
        <v>8.5397078125291931E-2</v>
      </c>
      <c r="H47" s="142">
        <f t="shared" si="33"/>
        <v>9.2260250040229919E-2</v>
      </c>
      <c r="I47" s="142">
        <f t="shared" si="33"/>
        <v>9.809117240372392E-2</v>
      </c>
      <c r="J47" s="142">
        <f t="shared" si="33"/>
        <v>9.7888524559535145E-2</v>
      </c>
      <c r="K47" s="142">
        <f t="shared" si="33"/>
        <v>8.1307160947690263E-2</v>
      </c>
      <c r="L47" s="142">
        <f t="shared" si="33"/>
        <v>7.5385289968798466E-2</v>
      </c>
      <c r="M47" s="142">
        <f t="shared" si="33"/>
        <v>7.7473114324381503E-2</v>
      </c>
      <c r="N47" s="141"/>
      <c r="O47" s="20"/>
    </row>
    <row r="48" spans="1:35" x14ac:dyDescent="0.25">
      <c r="A48" s="111" t="s">
        <v>1003</v>
      </c>
      <c r="B48" s="141">
        <v>95152</v>
      </c>
      <c r="C48" s="141">
        <v>95152</v>
      </c>
      <c r="D48" s="141">
        <v>95152</v>
      </c>
      <c r="E48" s="141">
        <v>95152</v>
      </c>
      <c r="F48" s="141">
        <v>95152</v>
      </c>
      <c r="G48" s="141">
        <v>95152</v>
      </c>
      <c r="H48" s="141">
        <v>95152</v>
      </c>
      <c r="I48" s="141">
        <v>95152</v>
      </c>
      <c r="J48" s="141">
        <v>95152</v>
      </c>
      <c r="K48" s="141">
        <v>95152</v>
      </c>
      <c r="L48" s="141">
        <v>95152</v>
      </c>
      <c r="M48" s="141">
        <v>95152</v>
      </c>
      <c r="N48" s="141">
        <f>SUM(B48:M48)</f>
        <v>1141824</v>
      </c>
      <c r="O48" s="20">
        <f>N48/12</f>
        <v>95152</v>
      </c>
      <c r="P48" s="20">
        <f>MAX(B48:M48)</f>
        <v>95152</v>
      </c>
    </row>
    <row r="49" spans="1:18" x14ac:dyDescent="0.25">
      <c r="A49" s="112"/>
      <c r="B49" s="17"/>
      <c r="C49" s="17"/>
      <c r="D49" s="13"/>
      <c r="E49" s="17"/>
      <c r="F49" s="24"/>
      <c r="G49" s="17"/>
      <c r="H49" s="25"/>
      <c r="I49" s="17"/>
      <c r="J49" s="20"/>
      <c r="P49" s="20"/>
    </row>
    <row r="50" spans="1:18" x14ac:dyDescent="0.25">
      <c r="A50" s="185" t="s">
        <v>1004</v>
      </c>
      <c r="B50" s="17">
        <v>14967234</v>
      </c>
      <c r="C50" s="17">
        <v>16040521</v>
      </c>
      <c r="D50" s="17">
        <v>14766204</v>
      </c>
      <c r="E50" s="17">
        <v>15556229</v>
      </c>
      <c r="F50" s="17">
        <v>14415585</v>
      </c>
      <c r="G50" s="17">
        <v>16479041</v>
      </c>
      <c r="H50" s="17">
        <v>16035777</v>
      </c>
      <c r="I50" s="17">
        <v>18090399</v>
      </c>
      <c r="J50" s="17">
        <v>18243177</v>
      </c>
      <c r="K50" s="17">
        <v>17239697</v>
      </c>
      <c r="L50" s="17">
        <v>15682267</v>
      </c>
      <c r="M50" s="17">
        <v>14691281</v>
      </c>
      <c r="N50" s="141">
        <f>SUM(B50:M50)</f>
        <v>192207412</v>
      </c>
      <c r="O50" s="20">
        <f>N50/12</f>
        <v>16017284.333333334</v>
      </c>
      <c r="P50" s="20"/>
    </row>
    <row r="51" spans="1:18" x14ac:dyDescent="0.25">
      <c r="A51" s="111" t="s">
        <v>663</v>
      </c>
      <c r="B51" s="141">
        <f>B50/744</f>
        <v>20117.25</v>
      </c>
      <c r="C51" s="141">
        <f>C50/672</f>
        <v>23869.822916666668</v>
      </c>
      <c r="D51" s="141">
        <f>D50/744</f>
        <v>19847.048387096773</v>
      </c>
      <c r="E51" s="141">
        <f>E50/720</f>
        <v>21605.87361111111</v>
      </c>
      <c r="F51" s="141">
        <f>F50/744</f>
        <v>19375.78629032258</v>
      </c>
      <c r="G51" s="141">
        <f>G50/720</f>
        <v>22887.556944444445</v>
      </c>
      <c r="H51" s="141">
        <f>H50/744</f>
        <v>21553.46370967742</v>
      </c>
      <c r="I51" s="141">
        <f>I50/744</f>
        <v>24315.052419354837</v>
      </c>
      <c r="J51" s="141">
        <f>J50/720</f>
        <v>25337.745833333334</v>
      </c>
      <c r="K51" s="141">
        <f>K50/744</f>
        <v>23171.635752688173</v>
      </c>
      <c r="L51" s="141">
        <f>L50/720</f>
        <v>21780.926388888889</v>
      </c>
      <c r="M51" s="141">
        <f>M50/744</f>
        <v>19746.345430107525</v>
      </c>
      <c r="N51" s="141"/>
      <c r="O51" s="17"/>
      <c r="P51" s="20"/>
    </row>
    <row r="52" spans="1:18" x14ac:dyDescent="0.25">
      <c r="A52" s="111" t="s">
        <v>671</v>
      </c>
      <c r="B52" s="142">
        <f>B51/B53</f>
        <v>0.5150873105284719</v>
      </c>
      <c r="C52" s="142">
        <f t="shared" ref="C52:M52" si="34">C51/C53</f>
        <v>0.61116916521575859</v>
      </c>
      <c r="D52" s="142">
        <f t="shared" si="34"/>
        <v>0.50816899803094973</v>
      </c>
      <c r="E52" s="142">
        <f t="shared" si="34"/>
        <v>0.55320241732668762</v>
      </c>
      <c r="F52" s="142">
        <f t="shared" si="34"/>
        <v>0.49610268051829626</v>
      </c>
      <c r="G52" s="142">
        <f t="shared" si="34"/>
        <v>0.5860189713346079</v>
      </c>
      <c r="H52" s="142">
        <f t="shared" si="34"/>
        <v>0.55186050055503433</v>
      </c>
      <c r="I52" s="142">
        <f t="shared" si="34"/>
        <v>0.6225689374066683</v>
      </c>
      <c r="J52" s="142">
        <f t="shared" si="34"/>
        <v>0.64875424603987442</v>
      </c>
      <c r="K52" s="142">
        <f t="shared" si="34"/>
        <v>0.59329259915731702</v>
      </c>
      <c r="L52" s="142">
        <f t="shared" si="34"/>
        <v>0.55768451425872823</v>
      </c>
      <c r="M52" s="142">
        <f t="shared" si="34"/>
        <v>0.50559057328214685</v>
      </c>
      <c r="N52" s="141"/>
      <c r="O52" s="66"/>
      <c r="P52" s="20"/>
    </row>
    <row r="53" spans="1:18" x14ac:dyDescent="0.25">
      <c r="A53" s="111" t="s">
        <v>1001</v>
      </c>
      <c r="B53" s="141">
        <v>39056</v>
      </c>
      <c r="C53" s="141">
        <v>39056</v>
      </c>
      <c r="D53" s="141">
        <v>39056</v>
      </c>
      <c r="E53" s="141">
        <v>39056</v>
      </c>
      <c r="F53" s="141">
        <v>39056</v>
      </c>
      <c r="G53" s="141">
        <v>39056</v>
      </c>
      <c r="H53" s="141">
        <v>39056</v>
      </c>
      <c r="I53" s="141">
        <v>39056</v>
      </c>
      <c r="J53" s="141">
        <v>39056</v>
      </c>
      <c r="K53" s="141">
        <v>39056</v>
      </c>
      <c r="L53" s="141">
        <v>39056</v>
      </c>
      <c r="M53" s="141">
        <v>39056</v>
      </c>
      <c r="N53" s="141">
        <f>SUM(B53:M53)</f>
        <v>468672</v>
      </c>
      <c r="O53" s="20">
        <f>N53/12</f>
        <v>39056</v>
      </c>
      <c r="P53" s="20">
        <f>MAX(B53:M53)</f>
        <v>39056</v>
      </c>
    </row>
    <row r="54" spans="1:18" x14ac:dyDescent="0.25">
      <c r="A54" s="111" t="s">
        <v>665</v>
      </c>
      <c r="B54" s="142">
        <f>B55/B53</f>
        <v>0.87054485866448172</v>
      </c>
      <c r="C54" s="142">
        <f t="shared" ref="C54:M54" si="35">C55/C53</f>
        <v>0.48340843916427695</v>
      </c>
      <c r="D54" s="142">
        <f t="shared" si="35"/>
        <v>0.43942031954117167</v>
      </c>
      <c r="E54" s="142">
        <f t="shared" si="35"/>
        <v>0.67833367472347395</v>
      </c>
      <c r="F54" s="142">
        <f t="shared" si="35"/>
        <v>0.67592687423187214</v>
      </c>
      <c r="G54" s="142">
        <f t="shared" si="35"/>
        <v>0.68084289225727157</v>
      </c>
      <c r="H54" s="142">
        <f t="shared" si="35"/>
        <v>0.7106462515362556</v>
      </c>
      <c r="I54" s="142">
        <f t="shared" si="35"/>
        <v>0.72997746825071697</v>
      </c>
      <c r="J54" s="142">
        <f t="shared" si="35"/>
        <v>0.79424416222859484</v>
      </c>
      <c r="K54" s="142">
        <f t="shared" si="35"/>
        <v>0.7552232691519869</v>
      </c>
      <c r="L54" s="142">
        <f t="shared" si="35"/>
        <v>0.83116550594018845</v>
      </c>
      <c r="M54" s="142">
        <f t="shared" si="35"/>
        <v>0.79539635395329777</v>
      </c>
      <c r="N54" s="142">
        <v>0</v>
      </c>
      <c r="O54" s="66"/>
      <c r="P54" s="20"/>
    </row>
    <row r="55" spans="1:18" x14ac:dyDescent="0.25">
      <c r="A55" s="111" t="s">
        <v>666</v>
      </c>
      <c r="B55" s="141">
        <v>34000</v>
      </c>
      <c r="C55" s="141">
        <v>18880</v>
      </c>
      <c r="D55" s="141">
        <v>17162</v>
      </c>
      <c r="E55" s="141">
        <v>26493</v>
      </c>
      <c r="F55" s="141">
        <v>26399</v>
      </c>
      <c r="G55" s="141">
        <v>26591</v>
      </c>
      <c r="H55" s="141">
        <v>27755</v>
      </c>
      <c r="I55" s="141">
        <v>28510</v>
      </c>
      <c r="J55" s="141">
        <v>31020</v>
      </c>
      <c r="K55" s="141">
        <v>29496</v>
      </c>
      <c r="L55" s="141">
        <v>32462</v>
      </c>
      <c r="M55" s="141">
        <v>31065</v>
      </c>
      <c r="N55" s="141">
        <f>SUM(B55:M55)</f>
        <v>329833</v>
      </c>
      <c r="O55" s="20">
        <f>N55/12</f>
        <v>27486.083333333332</v>
      </c>
      <c r="P55" s="20"/>
      <c r="Q55" s="20">
        <f>SUM(G55:I55)</f>
        <v>82856</v>
      </c>
      <c r="R55" s="20">
        <f>SUM(B55:C55)+M55</f>
        <v>83945</v>
      </c>
    </row>
    <row r="56" spans="1:18" x14ac:dyDescent="0.25">
      <c r="A56" s="111" t="s">
        <v>672</v>
      </c>
      <c r="B56" s="142">
        <f>B51/B57</f>
        <v>0.27850883265034887</v>
      </c>
      <c r="C56" s="142">
        <f t="shared" ref="C56:M56" si="36">C51/C57</f>
        <v>0.33046050111677189</v>
      </c>
      <c r="D56" s="142">
        <f t="shared" si="36"/>
        <v>0.27476808598815999</v>
      </c>
      <c r="E56" s="142">
        <f t="shared" si="36"/>
        <v>0.29911775405791213</v>
      </c>
      <c r="F56" s="142">
        <f t="shared" si="36"/>
        <v>0.26824380178207136</v>
      </c>
      <c r="G56" s="142">
        <f t="shared" si="36"/>
        <v>0.31686173641107052</v>
      </c>
      <c r="H56" s="142">
        <f t="shared" si="36"/>
        <v>0.29839217673160678</v>
      </c>
      <c r="I56" s="142">
        <f t="shared" si="36"/>
        <v>0.33662438281308615</v>
      </c>
      <c r="J56" s="142">
        <f t="shared" si="36"/>
        <v>0.35078283632369772</v>
      </c>
      <c r="K56" s="142">
        <f t="shared" si="36"/>
        <v>0.32079460284483569</v>
      </c>
      <c r="L56" s="142">
        <f t="shared" si="36"/>
        <v>0.3015412336483676</v>
      </c>
      <c r="M56" s="142">
        <f t="shared" si="36"/>
        <v>0.27337392610072442</v>
      </c>
      <c r="N56" s="141"/>
      <c r="O56" s="20"/>
    </row>
    <row r="57" spans="1:18" x14ac:dyDescent="0.25">
      <c r="A57" s="111" t="s">
        <v>1003</v>
      </c>
      <c r="B57" s="141">
        <v>72232</v>
      </c>
      <c r="C57" s="141">
        <v>72232</v>
      </c>
      <c r="D57" s="141">
        <v>72232</v>
      </c>
      <c r="E57" s="141">
        <v>72232</v>
      </c>
      <c r="F57" s="141">
        <v>72232</v>
      </c>
      <c r="G57" s="141">
        <v>72232</v>
      </c>
      <c r="H57" s="141">
        <v>72232</v>
      </c>
      <c r="I57" s="141">
        <v>72232</v>
      </c>
      <c r="J57" s="141">
        <v>72232</v>
      </c>
      <c r="K57" s="141">
        <v>72232</v>
      </c>
      <c r="L57" s="141">
        <v>72232</v>
      </c>
      <c r="M57" s="141">
        <v>72232</v>
      </c>
      <c r="N57" s="141">
        <f>SUM(B57:M57)</f>
        <v>866784</v>
      </c>
      <c r="O57" s="20">
        <f>N57/12</f>
        <v>72232</v>
      </c>
      <c r="P57" s="20">
        <f>MAX(B57:M57)</f>
        <v>72232</v>
      </c>
    </row>
    <row r="58" spans="1:18" x14ac:dyDescent="0.25">
      <c r="A58" s="11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20"/>
      <c r="P58" s="20"/>
    </row>
    <row r="59" spans="1:18" x14ac:dyDescent="0.25">
      <c r="A59" s="185" t="s">
        <v>1005</v>
      </c>
      <c r="B59" s="17">
        <v>1067383</v>
      </c>
      <c r="C59" s="17">
        <v>1116903</v>
      </c>
      <c r="D59" s="17">
        <v>1075931</v>
      </c>
      <c r="E59" s="17">
        <v>1105620</v>
      </c>
      <c r="F59" s="17">
        <v>971192</v>
      </c>
      <c r="G59" s="17">
        <v>1158065</v>
      </c>
      <c r="H59" s="17">
        <v>1166307</v>
      </c>
      <c r="I59" s="17">
        <v>1347519</v>
      </c>
      <c r="J59" s="17">
        <v>1320409</v>
      </c>
      <c r="K59" s="17">
        <v>1237685</v>
      </c>
      <c r="L59" s="17">
        <v>1026181</v>
      </c>
      <c r="M59" s="17">
        <v>1020511</v>
      </c>
      <c r="N59" s="141">
        <f>SUM(B59:M59)</f>
        <v>13613706</v>
      </c>
      <c r="O59" s="20">
        <f>N59/12</f>
        <v>1134475.5</v>
      </c>
      <c r="P59" s="20"/>
    </row>
    <row r="60" spans="1:18" x14ac:dyDescent="0.25">
      <c r="A60" s="111" t="s">
        <v>663</v>
      </c>
      <c r="B60" s="141">
        <f>B59/744</f>
        <v>1434.6545698924731</v>
      </c>
      <c r="C60" s="141">
        <f>C59/672</f>
        <v>1662.0580357142858</v>
      </c>
      <c r="D60" s="141">
        <f>D59/744</f>
        <v>1446.1438172043011</v>
      </c>
      <c r="E60" s="141">
        <f>E59/720</f>
        <v>1535.5833333333333</v>
      </c>
      <c r="F60" s="141">
        <f>F59/744</f>
        <v>1305.3655913978494</v>
      </c>
      <c r="G60" s="141">
        <f>G59/720</f>
        <v>1608.4236111111111</v>
      </c>
      <c r="H60" s="141">
        <f>H59/744</f>
        <v>1567.616935483871</v>
      </c>
      <c r="I60" s="141">
        <f>I59/744</f>
        <v>1811.1814516129032</v>
      </c>
      <c r="J60" s="141">
        <f>J59/720</f>
        <v>1833.901388888889</v>
      </c>
      <c r="K60" s="141">
        <f>K59/744</f>
        <v>1663.5551075268818</v>
      </c>
      <c r="L60" s="141">
        <f>L59/720</f>
        <v>1425.2513888888889</v>
      </c>
      <c r="M60" s="141">
        <f>M59/744</f>
        <v>1371.6545698924731</v>
      </c>
      <c r="N60" s="141"/>
      <c r="P60" s="20"/>
    </row>
    <row r="61" spans="1:18" x14ac:dyDescent="0.25">
      <c r="A61" s="111" t="s">
        <v>671</v>
      </c>
      <c r="B61" s="142">
        <f>B60/B62</f>
        <v>0.35732367867807546</v>
      </c>
      <c r="C61" s="142">
        <f t="shared" ref="C61:M61" si="37">C60/C62</f>
        <v>0.41396215086283583</v>
      </c>
      <c r="D61" s="142">
        <f t="shared" si="37"/>
        <v>0.36018525957765907</v>
      </c>
      <c r="E61" s="142">
        <f t="shared" si="37"/>
        <v>0.38246160232461601</v>
      </c>
      <c r="F61" s="142">
        <f t="shared" si="37"/>
        <v>0.32512218963831863</v>
      </c>
      <c r="G61" s="142">
        <f t="shared" si="37"/>
        <v>0.40060363913103636</v>
      </c>
      <c r="H61" s="142">
        <f t="shared" si="37"/>
        <v>0.39044008355762666</v>
      </c>
      <c r="I61" s="142">
        <f t="shared" si="37"/>
        <v>0.4511037239384566</v>
      </c>
      <c r="J61" s="142">
        <f t="shared" si="37"/>
        <v>0.45676248789262491</v>
      </c>
      <c r="K61" s="142">
        <f t="shared" si="37"/>
        <v>0.41433502055464055</v>
      </c>
      <c r="L61" s="142">
        <f t="shared" si="37"/>
        <v>0.35498166597481667</v>
      </c>
      <c r="M61" s="142">
        <f t="shared" si="37"/>
        <v>0.34163252052116388</v>
      </c>
      <c r="N61" s="141"/>
      <c r="P61" s="20"/>
    </row>
    <row r="62" spans="1:18" x14ac:dyDescent="0.25">
      <c r="A62" s="111" t="s">
        <v>1001</v>
      </c>
      <c r="B62" s="141">
        <v>4015</v>
      </c>
      <c r="C62" s="141">
        <v>4015</v>
      </c>
      <c r="D62" s="141">
        <v>4015</v>
      </c>
      <c r="E62" s="141">
        <v>4015</v>
      </c>
      <c r="F62" s="141">
        <v>4015</v>
      </c>
      <c r="G62" s="141">
        <v>4015</v>
      </c>
      <c r="H62" s="141">
        <v>4015</v>
      </c>
      <c r="I62" s="141">
        <v>4015</v>
      </c>
      <c r="J62" s="141">
        <v>4015</v>
      </c>
      <c r="K62" s="141">
        <v>4015</v>
      </c>
      <c r="L62" s="141">
        <v>4015</v>
      </c>
      <c r="M62" s="141">
        <v>4015</v>
      </c>
      <c r="N62" s="141">
        <f>SUM(B62:M62)</f>
        <v>48180</v>
      </c>
      <c r="O62" s="20">
        <f>N62/12</f>
        <v>4015</v>
      </c>
      <c r="P62" s="20">
        <f>MAX(B62:M62)</f>
        <v>4015</v>
      </c>
    </row>
    <row r="63" spans="1:18" x14ac:dyDescent="0.25">
      <c r="A63" s="111" t="s">
        <v>665</v>
      </c>
      <c r="B63" s="142">
        <f>B64/B62</f>
        <v>0.71432129514321296</v>
      </c>
      <c r="C63" s="142">
        <f t="shared" ref="C63:M63" si="38">C64/C62</f>
        <v>0.47173100871731011</v>
      </c>
      <c r="D63" s="142">
        <f t="shared" si="38"/>
        <v>0.45404732254047325</v>
      </c>
      <c r="E63" s="142">
        <f t="shared" si="38"/>
        <v>0.5927770859277709</v>
      </c>
      <c r="F63" s="142">
        <f t="shared" si="38"/>
        <v>0.53723536737235367</v>
      </c>
      <c r="G63" s="142">
        <f t="shared" si="38"/>
        <v>0.65404732254047326</v>
      </c>
      <c r="H63" s="142">
        <f t="shared" si="38"/>
        <v>0.64931506849315068</v>
      </c>
      <c r="I63" s="142">
        <f t="shared" si="38"/>
        <v>0.55740971357409719</v>
      </c>
      <c r="J63" s="142">
        <f t="shared" si="38"/>
        <v>0.61295143212951431</v>
      </c>
      <c r="K63" s="142">
        <f t="shared" si="38"/>
        <v>0.70361145703611461</v>
      </c>
      <c r="L63" s="142">
        <f t="shared" si="38"/>
        <v>0.7339975093399751</v>
      </c>
      <c r="M63" s="142">
        <f t="shared" si="38"/>
        <v>0.6859277708592777</v>
      </c>
      <c r="N63" s="142">
        <f>N64/N62</f>
        <v>0.61394769613947697</v>
      </c>
      <c r="P63" s="20"/>
    </row>
    <row r="64" spans="1:18" x14ac:dyDescent="0.25">
      <c r="A64" s="111" t="s">
        <v>666</v>
      </c>
      <c r="B64" s="141">
        <v>2868</v>
      </c>
      <c r="C64" s="141">
        <v>1894</v>
      </c>
      <c r="D64" s="141">
        <v>1823</v>
      </c>
      <c r="E64" s="141">
        <v>2380</v>
      </c>
      <c r="F64" s="141">
        <v>2157</v>
      </c>
      <c r="G64" s="141">
        <v>2626</v>
      </c>
      <c r="H64" s="141">
        <v>2607</v>
      </c>
      <c r="I64" s="141">
        <v>2238</v>
      </c>
      <c r="J64" s="141">
        <v>2461</v>
      </c>
      <c r="K64" s="141">
        <v>2825</v>
      </c>
      <c r="L64" s="141">
        <v>2947</v>
      </c>
      <c r="M64" s="141">
        <v>2754</v>
      </c>
      <c r="N64" s="141">
        <f>SUM(B64:M64)</f>
        <v>29580</v>
      </c>
      <c r="O64" s="20">
        <f>N64/12</f>
        <v>2465</v>
      </c>
      <c r="P64" s="20"/>
      <c r="Q64" s="20">
        <f>SUM(G64:I64)</f>
        <v>7471</v>
      </c>
      <c r="R64" s="20">
        <f>SUM(B64:C64)+M64</f>
        <v>7516</v>
      </c>
    </row>
    <row r="65" spans="1:19" x14ac:dyDescent="0.25">
      <c r="A65" s="111" t="s">
        <v>672</v>
      </c>
      <c r="B65" s="142">
        <f>B60/B66</f>
        <v>5.5149326127949302E-2</v>
      </c>
      <c r="C65" s="142">
        <f t="shared" ref="C65:M65" si="39">C60/C66</f>
        <v>6.3890906270250084E-2</v>
      </c>
      <c r="D65" s="142">
        <f t="shared" si="39"/>
        <v>5.5590982440389833E-2</v>
      </c>
      <c r="E65" s="142">
        <f t="shared" si="39"/>
        <v>5.9029112529150968E-2</v>
      </c>
      <c r="F65" s="142">
        <f t="shared" si="39"/>
        <v>5.0179349250320956E-2</v>
      </c>
      <c r="G65" s="142">
        <f t="shared" si="39"/>
        <v>6.1829153959833592E-2</v>
      </c>
      <c r="H65" s="142">
        <f t="shared" si="39"/>
        <v>6.0260511089562194E-2</v>
      </c>
      <c r="I65" s="142">
        <f t="shared" si="39"/>
        <v>6.9623335573648928E-2</v>
      </c>
      <c r="J65" s="142">
        <f t="shared" si="39"/>
        <v>7.0496709037014257E-2</v>
      </c>
      <c r="K65" s="142">
        <f t="shared" si="39"/>
        <v>6.394845496758983E-2</v>
      </c>
      <c r="L65" s="142">
        <f t="shared" si="39"/>
        <v>5.478785995575032E-2</v>
      </c>
      <c r="M65" s="142">
        <f t="shared" si="39"/>
        <v>5.2727553236429352E-2</v>
      </c>
      <c r="N65" s="141"/>
      <c r="O65" s="20"/>
    </row>
    <row r="66" spans="1:19" x14ac:dyDescent="0.25">
      <c r="A66" s="111" t="s">
        <v>1003</v>
      </c>
      <c r="B66" s="141">
        <v>26014</v>
      </c>
      <c r="C66" s="141">
        <v>26014</v>
      </c>
      <c r="D66" s="141">
        <v>26014</v>
      </c>
      <c r="E66" s="141">
        <v>26014</v>
      </c>
      <c r="F66" s="141">
        <v>26014</v>
      </c>
      <c r="G66" s="141">
        <v>26014</v>
      </c>
      <c r="H66" s="141">
        <v>26014</v>
      </c>
      <c r="I66" s="141">
        <v>26014</v>
      </c>
      <c r="J66" s="141">
        <v>26014</v>
      </c>
      <c r="K66" s="141">
        <v>26014</v>
      </c>
      <c r="L66" s="141">
        <v>26014</v>
      </c>
      <c r="M66" s="141">
        <v>26014</v>
      </c>
      <c r="N66" s="141">
        <f>SUM(B66:M66)</f>
        <v>312168</v>
      </c>
      <c r="O66" s="20">
        <f>N66/12</f>
        <v>26014</v>
      </c>
      <c r="P66" s="20">
        <f>MAX(B66:M66)</f>
        <v>26014</v>
      </c>
    </row>
    <row r="67" spans="1:19" x14ac:dyDescent="0.25">
      <c r="A67" s="112"/>
      <c r="B67" s="18"/>
      <c r="C67" s="26"/>
      <c r="D67" s="27"/>
      <c r="E67" s="18"/>
      <c r="F67" s="28"/>
      <c r="G67" s="18"/>
      <c r="H67" s="29"/>
      <c r="I67" s="18"/>
      <c r="J67" s="21"/>
      <c r="K67" s="21"/>
      <c r="L67" s="21"/>
      <c r="M67" s="21"/>
      <c r="N67" s="21"/>
      <c r="O67" s="21"/>
      <c r="P67" s="21"/>
    </row>
    <row r="68" spans="1:19" x14ac:dyDescent="0.25">
      <c r="A68" s="185" t="s">
        <v>1006</v>
      </c>
      <c r="B68" s="17">
        <v>934600</v>
      </c>
      <c r="C68" s="17">
        <v>1131560</v>
      </c>
      <c r="D68" s="17">
        <v>1040580</v>
      </c>
      <c r="E68" s="17">
        <v>935820</v>
      </c>
      <c r="F68" s="17">
        <v>739640</v>
      </c>
      <c r="G68" s="17">
        <v>779480</v>
      </c>
      <c r="H68" s="17">
        <v>635760</v>
      </c>
      <c r="I68" s="17">
        <v>768020</v>
      </c>
      <c r="J68" s="17">
        <v>1061660</v>
      </c>
      <c r="K68" s="17">
        <v>1045280</v>
      </c>
      <c r="L68" s="17">
        <v>828300</v>
      </c>
      <c r="M68" s="17">
        <v>878940</v>
      </c>
      <c r="N68" s="141">
        <f>SUM(B68:M68)</f>
        <v>10779640</v>
      </c>
      <c r="O68" s="20">
        <f>N68/12</f>
        <v>898303.33333333337</v>
      </c>
      <c r="P68" s="20"/>
    </row>
    <row r="69" spans="1:19" x14ac:dyDescent="0.25">
      <c r="A69" s="111" t="s">
        <v>663</v>
      </c>
      <c r="B69" s="141">
        <f>B68/744</f>
        <v>1256.1827956989248</v>
      </c>
      <c r="C69" s="141">
        <f>C68/672</f>
        <v>1683.8690476190477</v>
      </c>
      <c r="D69" s="141">
        <f>D68/744</f>
        <v>1398.6290322580646</v>
      </c>
      <c r="E69" s="141">
        <f>E68/720</f>
        <v>1299.75</v>
      </c>
      <c r="F69" s="141">
        <f>F68/744</f>
        <v>994.13978494623655</v>
      </c>
      <c r="G69" s="141">
        <f>G68/720</f>
        <v>1082.6111111111111</v>
      </c>
      <c r="H69" s="141">
        <f>H68/744</f>
        <v>854.51612903225805</v>
      </c>
      <c r="I69" s="141">
        <f>I68/744</f>
        <v>1032.2849462365591</v>
      </c>
      <c r="J69" s="141">
        <f>J68/720</f>
        <v>1474.5277777777778</v>
      </c>
      <c r="K69" s="141">
        <f>K68/744</f>
        <v>1404.9462365591398</v>
      </c>
      <c r="L69" s="141">
        <f>L68/720</f>
        <v>1150.4166666666667</v>
      </c>
      <c r="M69" s="141">
        <f>M68/744</f>
        <v>1181.3709677419354</v>
      </c>
      <c r="N69" s="141"/>
      <c r="P69" s="20"/>
    </row>
    <row r="70" spans="1:19" x14ac:dyDescent="0.25">
      <c r="A70" s="111" t="s">
        <v>671</v>
      </c>
      <c r="B70" s="142">
        <f>B69/B71</f>
        <v>0.31899004461628361</v>
      </c>
      <c r="C70" s="142">
        <f t="shared" ref="C70:M70" si="40">C69/C71</f>
        <v>0.42759498415922997</v>
      </c>
      <c r="D70" s="142">
        <f t="shared" si="40"/>
        <v>0.35516227330067662</v>
      </c>
      <c r="E70" s="142">
        <f t="shared" si="40"/>
        <v>0.33005332656170644</v>
      </c>
      <c r="F70" s="142">
        <f t="shared" si="40"/>
        <v>0.25244788850843997</v>
      </c>
      <c r="G70" s="142">
        <f t="shared" si="40"/>
        <v>0.27491394390835733</v>
      </c>
      <c r="H70" s="142">
        <f t="shared" si="40"/>
        <v>0.21699241468569275</v>
      </c>
      <c r="I70" s="142">
        <f t="shared" si="40"/>
        <v>0.26213431849582508</v>
      </c>
      <c r="J70" s="142">
        <f t="shared" si="40"/>
        <v>0.37443569775972013</v>
      </c>
      <c r="K70" s="142">
        <f t="shared" si="40"/>
        <v>0.35676643894340776</v>
      </c>
      <c r="L70" s="142">
        <f t="shared" si="40"/>
        <v>0.29213221601489758</v>
      </c>
      <c r="M70" s="142">
        <f t="shared" si="40"/>
        <v>0.2999926276642802</v>
      </c>
      <c r="N70" s="141"/>
      <c r="O70" s="17"/>
      <c r="P70" s="20"/>
    </row>
    <row r="71" spans="1:19" x14ac:dyDescent="0.25">
      <c r="A71" s="111" t="s">
        <v>1001</v>
      </c>
      <c r="B71" s="141">
        <v>3938</v>
      </c>
      <c r="C71" s="141">
        <v>3938</v>
      </c>
      <c r="D71" s="141">
        <v>3938</v>
      </c>
      <c r="E71" s="141">
        <v>3938</v>
      </c>
      <c r="F71" s="141">
        <v>3938</v>
      </c>
      <c r="G71" s="141">
        <v>3938</v>
      </c>
      <c r="H71" s="141">
        <v>3938</v>
      </c>
      <c r="I71" s="141">
        <v>3938</v>
      </c>
      <c r="J71" s="141">
        <v>3938</v>
      </c>
      <c r="K71" s="141">
        <v>3938</v>
      </c>
      <c r="L71" s="141">
        <v>3938</v>
      </c>
      <c r="M71" s="141">
        <v>3938</v>
      </c>
      <c r="N71" s="141">
        <f>SUM(B71:M71)</f>
        <v>47256</v>
      </c>
      <c r="O71" s="20">
        <f>N71/12</f>
        <v>3938</v>
      </c>
      <c r="P71" s="20">
        <f>MAX(B71:M71)</f>
        <v>3938</v>
      </c>
    </row>
    <row r="72" spans="1:19" x14ac:dyDescent="0.25">
      <c r="A72" s="111" t="s">
        <v>665</v>
      </c>
      <c r="B72" s="142">
        <f>B73/B71</f>
        <v>0.99644489588623664</v>
      </c>
      <c r="C72" s="142">
        <f t="shared" ref="C72:M72" si="41">C73/C71</f>
        <v>0.36287455561198578</v>
      </c>
      <c r="D72" s="142">
        <f t="shared" si="41"/>
        <v>0.31868969019807009</v>
      </c>
      <c r="E72" s="142">
        <f t="shared" si="41"/>
        <v>0.56932453021838492</v>
      </c>
      <c r="F72" s="142">
        <f t="shared" si="41"/>
        <v>0.19578466226510918</v>
      </c>
      <c r="G72" s="142">
        <f t="shared" si="41"/>
        <v>0.22803453529710513</v>
      </c>
      <c r="H72" s="142">
        <f t="shared" si="41"/>
        <v>0.26587100050787199</v>
      </c>
      <c r="I72" s="142">
        <f t="shared" si="41"/>
        <v>0.4558151345860843</v>
      </c>
      <c r="J72" s="142">
        <f t="shared" si="41"/>
        <v>0.42407313357034027</v>
      </c>
      <c r="K72" s="142">
        <f t="shared" si="41"/>
        <v>0.30294565769426107</v>
      </c>
      <c r="L72" s="142">
        <f t="shared" si="41"/>
        <v>0.89309294057897415</v>
      </c>
      <c r="M72" s="142">
        <f t="shared" si="41"/>
        <v>0.66912138141188415</v>
      </c>
      <c r="N72" s="142">
        <v>0.85</v>
      </c>
      <c r="O72" s="17"/>
      <c r="P72" s="20"/>
    </row>
    <row r="73" spans="1:19" x14ac:dyDescent="0.25">
      <c r="A73" s="111" t="s">
        <v>666</v>
      </c>
      <c r="B73" s="141">
        <v>3924</v>
      </c>
      <c r="C73" s="141">
        <v>1429</v>
      </c>
      <c r="D73" s="141">
        <v>1255</v>
      </c>
      <c r="E73" s="141">
        <v>2242</v>
      </c>
      <c r="F73" s="141">
        <v>771</v>
      </c>
      <c r="G73" s="141">
        <v>898</v>
      </c>
      <c r="H73" s="141">
        <v>1047</v>
      </c>
      <c r="I73" s="141">
        <v>1795</v>
      </c>
      <c r="J73" s="141">
        <v>1670</v>
      </c>
      <c r="K73" s="141">
        <v>1193</v>
      </c>
      <c r="L73" s="141">
        <v>3517</v>
      </c>
      <c r="M73" s="141">
        <v>2635</v>
      </c>
      <c r="N73" s="141">
        <f>SUM(B73:M73)</f>
        <v>22376</v>
      </c>
      <c r="O73" s="20">
        <f>N73/12</f>
        <v>1864.6666666666667</v>
      </c>
      <c r="P73" s="20"/>
      <c r="Q73" s="20">
        <f>SUM(G73:I73)</f>
        <v>3740</v>
      </c>
      <c r="R73" s="20">
        <f>SUM(B73:C73)+M73</f>
        <v>7988</v>
      </c>
    </row>
    <row r="74" spans="1:19" x14ac:dyDescent="0.25">
      <c r="A74" s="111" t="s">
        <v>672</v>
      </c>
      <c r="B74" s="142">
        <f>B69/B75</f>
        <v>0.13697337211851759</v>
      </c>
      <c r="C74" s="142">
        <f t="shared" ref="C74:M74" si="42">C69/C75</f>
        <v>0.18360800868161026</v>
      </c>
      <c r="D74" s="142">
        <f t="shared" si="42"/>
        <v>0.15250561904460413</v>
      </c>
      <c r="E74" s="142">
        <f t="shared" si="42"/>
        <v>0.14172391233235199</v>
      </c>
      <c r="F74" s="142">
        <f t="shared" si="42"/>
        <v>0.10840036909238214</v>
      </c>
      <c r="G74" s="142">
        <f t="shared" si="42"/>
        <v>0.11804722615975478</v>
      </c>
      <c r="H74" s="142">
        <f t="shared" si="42"/>
        <v>9.3175894562453176E-2</v>
      </c>
      <c r="I74" s="142">
        <f t="shared" si="42"/>
        <v>0.11255969318902619</v>
      </c>
      <c r="J74" s="142">
        <f t="shared" si="42"/>
        <v>0.16078156992452053</v>
      </c>
      <c r="K74" s="142">
        <f t="shared" si="42"/>
        <v>0.15319444297886162</v>
      </c>
      <c r="L74" s="142">
        <f t="shared" si="42"/>
        <v>0.12544070075964089</v>
      </c>
      <c r="M74" s="142">
        <f t="shared" si="42"/>
        <v>0.12881593803750249</v>
      </c>
      <c r="N74" s="141"/>
      <c r="O74" s="20"/>
    </row>
    <row r="75" spans="1:19" x14ac:dyDescent="0.25">
      <c r="A75" s="111" t="s">
        <v>1003</v>
      </c>
      <c r="B75" s="141">
        <v>9171</v>
      </c>
      <c r="C75" s="141">
        <v>9171</v>
      </c>
      <c r="D75" s="141">
        <v>9171</v>
      </c>
      <c r="E75" s="141">
        <v>9171</v>
      </c>
      <c r="F75" s="141">
        <v>9171</v>
      </c>
      <c r="G75" s="141">
        <v>9171</v>
      </c>
      <c r="H75" s="141">
        <v>9171</v>
      </c>
      <c r="I75" s="141">
        <v>9171</v>
      </c>
      <c r="J75" s="141">
        <v>9171</v>
      </c>
      <c r="K75" s="141">
        <v>9171</v>
      </c>
      <c r="L75" s="141">
        <v>9171</v>
      </c>
      <c r="M75" s="141">
        <v>9171</v>
      </c>
      <c r="N75" s="141">
        <f>SUM(B75:M75)</f>
        <v>110052</v>
      </c>
      <c r="O75" s="20">
        <f>N75/12</f>
        <v>9171</v>
      </c>
      <c r="P75" s="20">
        <f>MAX(B75:M75)</f>
        <v>9171</v>
      </c>
    </row>
    <row r="76" spans="1:19" x14ac:dyDescent="0.25">
      <c r="A76" s="11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20"/>
      <c r="P76" s="20"/>
    </row>
    <row r="77" spans="1:19" x14ac:dyDescent="0.25">
      <c r="A77" s="185" t="s">
        <v>1007</v>
      </c>
      <c r="B77" s="17">
        <v>920000</v>
      </c>
      <c r="C77" s="17">
        <v>920000</v>
      </c>
      <c r="D77" s="17">
        <v>1006488</v>
      </c>
      <c r="E77" s="17">
        <v>1034805</v>
      </c>
      <c r="F77" s="17">
        <v>1161992</v>
      </c>
      <c r="G77" s="17">
        <v>1135617</v>
      </c>
      <c r="H77" s="17">
        <v>1078331</v>
      </c>
      <c r="I77" s="17">
        <v>920000</v>
      </c>
      <c r="J77" s="17">
        <v>920000</v>
      </c>
      <c r="K77" s="17">
        <v>920000</v>
      </c>
      <c r="L77" s="17">
        <v>920000</v>
      </c>
      <c r="M77" s="17">
        <v>920000</v>
      </c>
      <c r="N77" s="20">
        <f>SUM(B77:M77)</f>
        <v>11857233</v>
      </c>
      <c r="O77" s="20">
        <f>N77/12</f>
        <v>988102.75</v>
      </c>
      <c r="P77" s="21"/>
      <c r="Q77" s="22"/>
      <c r="S77" s="22"/>
    </row>
    <row r="78" spans="1:19" x14ac:dyDescent="0.25">
      <c r="A78" s="111" t="s">
        <v>663</v>
      </c>
      <c r="B78" s="141">
        <f>B77/744</f>
        <v>1236.5591397849462</v>
      </c>
      <c r="C78" s="141">
        <f>C77/672</f>
        <v>1369.047619047619</v>
      </c>
      <c r="D78" s="141">
        <f>D77/744</f>
        <v>1352.8064516129032</v>
      </c>
      <c r="E78" s="141">
        <f>E77/720</f>
        <v>1437.2291666666667</v>
      </c>
      <c r="F78" s="141">
        <f>F77/744</f>
        <v>1561.8172043010752</v>
      </c>
      <c r="G78" s="141">
        <f>G77/720</f>
        <v>1577.2458333333334</v>
      </c>
      <c r="H78" s="141">
        <f>H77/744</f>
        <v>1449.369623655914</v>
      </c>
      <c r="I78" s="141">
        <f>I77/744</f>
        <v>1236.5591397849462</v>
      </c>
      <c r="J78" s="141">
        <f>J77/720</f>
        <v>1277.7777777777778</v>
      </c>
      <c r="K78" s="141">
        <f>K77/744</f>
        <v>1236.5591397849462</v>
      </c>
      <c r="L78" s="141">
        <f>L77/720</f>
        <v>1277.7777777777778</v>
      </c>
      <c r="M78" s="141">
        <f>M77/744</f>
        <v>1236.5591397849462</v>
      </c>
      <c r="N78" s="141"/>
      <c r="O78" s="17"/>
      <c r="P78" s="20"/>
    </row>
    <row r="79" spans="1:19" x14ac:dyDescent="0.25">
      <c r="A79" s="111" t="s">
        <v>671</v>
      </c>
      <c r="B79" s="142">
        <f>B78/B80</f>
        <v>0.56944404830945428</v>
      </c>
      <c r="C79" s="142">
        <f t="shared" ref="C79:M79" si="43">C78/C80</f>
        <v>0.6304559106283244</v>
      </c>
      <c r="D79" s="142">
        <f t="shared" si="43"/>
        <v>0.62297674053791963</v>
      </c>
      <c r="E79" s="142">
        <f t="shared" si="43"/>
        <v>0.66185398553394248</v>
      </c>
      <c r="F79" s="142">
        <f t="shared" si="43"/>
        <v>0.71922763976434723</v>
      </c>
      <c r="G79" s="142">
        <f t="shared" si="43"/>
        <v>0.72633263029275963</v>
      </c>
      <c r="H79" s="142">
        <f t="shared" si="43"/>
        <v>0.6674447500625893</v>
      </c>
      <c r="I79" s="142">
        <f t="shared" si="43"/>
        <v>0.56944404830945428</v>
      </c>
      <c r="J79" s="142">
        <f t="shared" si="43"/>
        <v>0.58842551658643616</v>
      </c>
      <c r="K79" s="142">
        <f t="shared" si="43"/>
        <v>0.56944404830945428</v>
      </c>
      <c r="L79" s="142">
        <f t="shared" si="43"/>
        <v>0.58842551658643616</v>
      </c>
      <c r="M79" s="142">
        <f t="shared" si="43"/>
        <v>0.56944404830945428</v>
      </c>
      <c r="N79" s="141"/>
      <c r="O79" s="17"/>
      <c r="P79" s="20"/>
    </row>
    <row r="80" spans="1:19" x14ac:dyDescent="0.25">
      <c r="A80" s="111" t="s">
        <v>664</v>
      </c>
      <c r="B80" s="141">
        <v>2171.52</v>
      </c>
      <c r="C80" s="141">
        <v>2171.52</v>
      </c>
      <c r="D80" s="141">
        <v>2171.52</v>
      </c>
      <c r="E80" s="141">
        <v>2171.52</v>
      </c>
      <c r="F80" s="141">
        <v>2171.52</v>
      </c>
      <c r="G80" s="141">
        <v>2171.52</v>
      </c>
      <c r="H80" s="141">
        <v>2171.52</v>
      </c>
      <c r="I80" s="141">
        <v>2171.52</v>
      </c>
      <c r="J80" s="141">
        <v>2171.52</v>
      </c>
      <c r="K80" s="141">
        <v>2171.52</v>
      </c>
      <c r="L80" s="141">
        <v>2171.52</v>
      </c>
      <c r="M80" s="141">
        <v>2171.52</v>
      </c>
      <c r="N80" s="141">
        <f>SUM(B80:M80)</f>
        <v>26058.240000000002</v>
      </c>
      <c r="O80" s="20">
        <f>N80/12</f>
        <v>2171.52</v>
      </c>
      <c r="P80" s="20">
        <f>MAX(B80:M80)</f>
        <v>2171.52</v>
      </c>
    </row>
    <row r="81" spans="1:21" x14ac:dyDescent="0.25">
      <c r="A81" s="111" t="s">
        <v>665</v>
      </c>
      <c r="B81" s="142">
        <f>B82/B80</f>
        <v>0.5436007957559682</v>
      </c>
      <c r="C81" s="142">
        <f t="shared" ref="C81:M81" si="44">C82/C80</f>
        <v>0.52453580901856767</v>
      </c>
      <c r="D81" s="142">
        <f t="shared" si="44"/>
        <v>0.45457559681697612</v>
      </c>
      <c r="E81" s="142">
        <f t="shared" si="44"/>
        <v>0.51724137931034486</v>
      </c>
      <c r="F81" s="142">
        <f t="shared" si="44"/>
        <v>0.7625994694960212</v>
      </c>
      <c r="G81" s="142">
        <f t="shared" si="44"/>
        <v>0.707393899204244</v>
      </c>
      <c r="H81" s="142">
        <f t="shared" si="44"/>
        <v>0.75215517241379315</v>
      </c>
      <c r="I81" s="142">
        <f t="shared" si="44"/>
        <v>0.72065649867374004</v>
      </c>
      <c r="J81" s="142">
        <f t="shared" si="44"/>
        <v>0.71767241379310343</v>
      </c>
      <c r="K81" s="142">
        <f t="shared" si="44"/>
        <v>0.67307692307692302</v>
      </c>
      <c r="L81" s="142">
        <f t="shared" si="44"/>
        <v>0.54177718832891253</v>
      </c>
      <c r="M81" s="142">
        <f t="shared" si="44"/>
        <v>9.4496021220159161E-3</v>
      </c>
      <c r="N81" s="142">
        <v>0.85</v>
      </c>
      <c r="O81" s="17"/>
      <c r="P81" s="20"/>
    </row>
    <row r="82" spans="1:21" x14ac:dyDescent="0.25">
      <c r="A82" s="111" t="s">
        <v>666</v>
      </c>
      <c r="B82" s="141">
        <v>1180.44</v>
      </c>
      <c r="C82" s="141">
        <v>1139.04</v>
      </c>
      <c r="D82" s="141">
        <v>987.12</v>
      </c>
      <c r="E82" s="141">
        <v>1123.2</v>
      </c>
      <c r="F82" s="141">
        <v>1656</v>
      </c>
      <c r="G82" s="141">
        <v>1536.12</v>
      </c>
      <c r="H82" s="141">
        <v>1633.3200000000002</v>
      </c>
      <c r="I82" s="141">
        <v>1564.92</v>
      </c>
      <c r="J82" s="141">
        <v>1558.44</v>
      </c>
      <c r="K82" s="141">
        <v>1461.6</v>
      </c>
      <c r="L82" s="141">
        <v>1176.48</v>
      </c>
      <c r="M82" s="141">
        <v>20.520000000000003</v>
      </c>
      <c r="N82" s="141">
        <f>SUM(B82:M82)</f>
        <v>15037.2</v>
      </c>
      <c r="O82" s="20">
        <f>N82/12</f>
        <v>1253.1000000000001</v>
      </c>
      <c r="P82" s="20"/>
      <c r="Q82" s="20">
        <f>SUM(G82:I82)</f>
        <v>4734.3600000000006</v>
      </c>
      <c r="R82" s="20">
        <f>SUM(B82:C82)+M82</f>
        <v>2340</v>
      </c>
    </row>
    <row r="83" spans="1:21" x14ac:dyDescent="0.25">
      <c r="A83" s="111" t="s">
        <v>672</v>
      </c>
      <c r="B83" s="142">
        <f>B78/B84</f>
        <v>0.56944404830945428</v>
      </c>
      <c r="C83" s="142">
        <f t="shared" ref="C83:M83" si="45">C78/C84</f>
        <v>0.6304559106283244</v>
      </c>
      <c r="D83" s="142">
        <f t="shared" si="45"/>
        <v>0.62297674053791963</v>
      </c>
      <c r="E83" s="142">
        <f t="shared" si="45"/>
        <v>0.66185398553394248</v>
      </c>
      <c r="F83" s="142">
        <f t="shared" si="45"/>
        <v>0.71922763976434723</v>
      </c>
      <c r="G83" s="142">
        <f t="shared" si="45"/>
        <v>0.72633263029275963</v>
      </c>
      <c r="H83" s="142">
        <f t="shared" si="45"/>
        <v>0.6674447500625893</v>
      </c>
      <c r="I83" s="142">
        <f t="shared" si="45"/>
        <v>0.56944404830945428</v>
      </c>
      <c r="J83" s="142">
        <f t="shared" si="45"/>
        <v>0.58842551658643616</v>
      </c>
      <c r="K83" s="142">
        <f t="shared" si="45"/>
        <v>0.56944404830945428</v>
      </c>
      <c r="L83" s="142">
        <f t="shared" si="45"/>
        <v>0.58842551658643616</v>
      </c>
      <c r="M83" s="142">
        <f t="shared" si="45"/>
        <v>0.56944404830945428</v>
      </c>
      <c r="N83" s="141"/>
      <c r="O83" s="20"/>
    </row>
    <row r="84" spans="1:21" x14ac:dyDescent="0.25">
      <c r="A84" s="111" t="s">
        <v>670</v>
      </c>
      <c r="B84" s="141">
        <v>2171.52</v>
      </c>
      <c r="C84" s="141">
        <v>2171.52</v>
      </c>
      <c r="D84" s="141">
        <v>2171.52</v>
      </c>
      <c r="E84" s="141">
        <v>2171.52</v>
      </c>
      <c r="F84" s="141">
        <v>2171.52</v>
      </c>
      <c r="G84" s="141">
        <v>2171.52</v>
      </c>
      <c r="H84" s="141">
        <v>2171.52</v>
      </c>
      <c r="I84" s="141">
        <v>2171.52</v>
      </c>
      <c r="J84" s="141">
        <v>2171.52</v>
      </c>
      <c r="K84" s="141">
        <v>2171.52</v>
      </c>
      <c r="L84" s="141">
        <v>2171.52</v>
      </c>
      <c r="M84" s="141">
        <v>2171.52</v>
      </c>
      <c r="N84" s="141">
        <f>SUM(B84:M84)</f>
        <v>26058.240000000002</v>
      </c>
      <c r="O84" s="20">
        <f>N84/12</f>
        <v>2171.52</v>
      </c>
      <c r="P84" s="20">
        <f>MAX(B84:M84)</f>
        <v>2171.52</v>
      </c>
    </row>
    <row r="85" spans="1:21" x14ac:dyDescent="0.25">
      <c r="A85" s="11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20"/>
      <c r="P85" s="20"/>
    </row>
    <row r="86" spans="1:21" x14ac:dyDescent="0.25">
      <c r="A86" s="1" t="s">
        <v>1008</v>
      </c>
      <c r="B86" s="141">
        <v>6726754</v>
      </c>
      <c r="C86" s="141">
        <v>6628502</v>
      </c>
      <c r="D86" s="141">
        <v>6494340</v>
      </c>
      <c r="E86" s="141">
        <v>6517836</v>
      </c>
      <c r="F86" s="141">
        <v>6867071</v>
      </c>
      <c r="G86" s="141">
        <v>7703783</v>
      </c>
      <c r="H86" s="141">
        <v>7736686</v>
      </c>
      <c r="I86" s="141">
        <v>7765132</v>
      </c>
      <c r="J86" s="141">
        <v>8145272</v>
      </c>
      <c r="K86" s="141">
        <v>7505528</v>
      </c>
      <c r="L86" s="141">
        <v>7394330</v>
      </c>
      <c r="M86" s="141">
        <v>6616646</v>
      </c>
      <c r="N86" s="141">
        <f>SUM(B86:M86)</f>
        <v>86101880</v>
      </c>
      <c r="O86" s="20">
        <f>N86/12</f>
        <v>7175156.666666667</v>
      </c>
      <c r="U86" s="20"/>
    </row>
    <row r="87" spans="1:21" x14ac:dyDescent="0.25">
      <c r="A87" s="111" t="s">
        <v>663</v>
      </c>
      <c r="B87" s="141">
        <f>B86/744</f>
        <v>9041.3360215053763</v>
      </c>
      <c r="C87" s="141">
        <f>C86/672</f>
        <v>9863.8422619047615</v>
      </c>
      <c r="D87" s="141">
        <f>D86/744</f>
        <v>8728.9516129032254</v>
      </c>
      <c r="E87" s="141">
        <f>E86/720</f>
        <v>9052.5499999999993</v>
      </c>
      <c r="F87" s="141">
        <f>F86/744</f>
        <v>9229.9341397849457</v>
      </c>
      <c r="G87" s="141">
        <f>G86/720</f>
        <v>10699.698611111111</v>
      </c>
      <c r="H87" s="141">
        <f>H86/744</f>
        <v>10398.771505376344</v>
      </c>
      <c r="I87" s="141">
        <f>I86/744</f>
        <v>10437.005376344086</v>
      </c>
      <c r="J87" s="141">
        <f>J86/720</f>
        <v>11312.877777777778</v>
      </c>
      <c r="K87" s="141">
        <f>K86/744</f>
        <v>10088.075268817205</v>
      </c>
      <c r="L87" s="141">
        <f>L86/720</f>
        <v>10269.902777777777</v>
      </c>
      <c r="M87" s="141">
        <f>M86/744</f>
        <v>8893.3413978494627</v>
      </c>
      <c r="N87" s="141"/>
    </row>
    <row r="88" spans="1:21" x14ac:dyDescent="0.25">
      <c r="A88" s="111" t="s">
        <v>671</v>
      </c>
      <c r="B88" s="142">
        <f>B87/B89</f>
        <v>0.59143793893830565</v>
      </c>
      <c r="C88" s="142">
        <f t="shared" ref="C88:M88" si="46">C87/C89</f>
        <v>0.64524208850520914</v>
      </c>
      <c r="D88" s="142">
        <f t="shared" si="46"/>
        <v>0.57100334936651409</v>
      </c>
      <c r="E88" s="142">
        <f t="shared" si="46"/>
        <v>0.59217150003064678</v>
      </c>
      <c r="F88" s="142">
        <f t="shared" si="46"/>
        <v>0.60377506279893833</v>
      </c>
      <c r="G88" s="142">
        <f t="shared" si="46"/>
        <v>0.69991953387912742</v>
      </c>
      <c r="H88" s="142">
        <f t="shared" si="46"/>
        <v>0.68023442243507715</v>
      </c>
      <c r="I88" s="142">
        <f t="shared" si="46"/>
        <v>0.68273548663499273</v>
      </c>
      <c r="J88" s="142">
        <f t="shared" si="46"/>
        <v>0.74003057738759104</v>
      </c>
      <c r="K88" s="142">
        <f t="shared" si="46"/>
        <v>0.65991026444013623</v>
      </c>
      <c r="L88" s="142">
        <f t="shared" si="46"/>
        <v>0.67180448968363315</v>
      </c>
      <c r="M88" s="142">
        <f t="shared" si="46"/>
        <v>0.5817568879320375</v>
      </c>
      <c r="N88" s="143">
        <f>N86/(N89*730)</f>
        <v>0.64296169122329283</v>
      </c>
    </row>
    <row r="89" spans="1:21" x14ac:dyDescent="0.25">
      <c r="A89" s="111" t="s">
        <v>664</v>
      </c>
      <c r="B89" s="141">
        <v>15287.041000000001</v>
      </c>
      <c r="C89" s="141">
        <v>15287.041000000001</v>
      </c>
      <c r="D89" s="141">
        <v>15287.041000000001</v>
      </c>
      <c r="E89" s="141">
        <v>15287.041000000001</v>
      </c>
      <c r="F89" s="141">
        <v>15287.041000000001</v>
      </c>
      <c r="G89" s="141">
        <v>15287.041000000001</v>
      </c>
      <c r="H89" s="141">
        <v>15287.041000000001</v>
      </c>
      <c r="I89" s="141">
        <v>15287.041000000001</v>
      </c>
      <c r="J89" s="141">
        <v>15287.041000000001</v>
      </c>
      <c r="K89" s="141">
        <v>15287.041000000001</v>
      </c>
      <c r="L89" s="141">
        <v>15287.041000000001</v>
      </c>
      <c r="M89" s="141">
        <v>15287.041000000001</v>
      </c>
      <c r="N89" s="141">
        <f>SUM(B89:M89)</f>
        <v>183444.492</v>
      </c>
      <c r="O89" s="20">
        <f>N89/12</f>
        <v>15287.040999999999</v>
      </c>
      <c r="P89" s="20">
        <f>MAX(B89:M89)</f>
        <v>15287.041000000001</v>
      </c>
    </row>
    <row r="90" spans="1:21" x14ac:dyDescent="0.25">
      <c r="A90" s="111" t="s">
        <v>665</v>
      </c>
      <c r="B90" s="142">
        <f>B91/B89</f>
        <v>0.72831099229733198</v>
      </c>
      <c r="C90" s="142">
        <f t="shared" ref="C90:M90" si="47">C91/C89</f>
        <v>0.26281083435309677</v>
      </c>
      <c r="D90" s="142">
        <f t="shared" si="47"/>
        <v>0.31106346872491542</v>
      </c>
      <c r="E90" s="142">
        <f t="shared" si="47"/>
        <v>0.68196585591678593</v>
      </c>
      <c r="F90" s="142">
        <f t="shared" si="47"/>
        <v>0.73697715601076752</v>
      </c>
      <c r="G90" s="142">
        <f t="shared" si="47"/>
        <v>0.81895247091965018</v>
      </c>
      <c r="H90" s="142">
        <f t="shared" si="47"/>
        <v>0.64567629536677495</v>
      </c>
      <c r="I90" s="142">
        <f t="shared" si="47"/>
        <v>0.78110866910084176</v>
      </c>
      <c r="J90" s="142">
        <f t="shared" si="47"/>
        <v>0.82839576344434485</v>
      </c>
      <c r="K90" s="142">
        <f t="shared" si="47"/>
        <v>0.75063578360259497</v>
      </c>
      <c r="L90" s="142">
        <f t="shared" si="47"/>
        <v>0.76518928679526654</v>
      </c>
      <c r="M90" s="142">
        <f t="shared" si="47"/>
        <v>0.75379139756346558</v>
      </c>
      <c r="N90" s="142">
        <f>N91/N89</f>
        <v>0.67207316450798649</v>
      </c>
    </row>
    <row r="91" spans="1:21" x14ac:dyDescent="0.25">
      <c r="A91" s="111" t="s">
        <v>666</v>
      </c>
      <c r="B91" s="141">
        <v>11133.72</v>
      </c>
      <c r="C91" s="141">
        <v>4017.5999999999995</v>
      </c>
      <c r="D91" s="141">
        <v>4755.24</v>
      </c>
      <c r="E91" s="141">
        <v>10425.24</v>
      </c>
      <c r="F91" s="141">
        <v>11266.2</v>
      </c>
      <c r="G91" s="141">
        <v>12519.36</v>
      </c>
      <c r="H91" s="141">
        <v>9870.48</v>
      </c>
      <c r="I91" s="141">
        <v>11940.840250000001</v>
      </c>
      <c r="J91" s="141">
        <v>12663.720000000001</v>
      </c>
      <c r="K91" s="141">
        <v>11474.999999999998</v>
      </c>
      <c r="L91" s="141">
        <v>11697.48</v>
      </c>
      <c r="M91" s="141">
        <v>11523.24</v>
      </c>
      <c r="N91" s="141">
        <f>SUM(B91:M91)</f>
        <v>123288.12025000001</v>
      </c>
      <c r="O91" s="20">
        <f>N91/12</f>
        <v>10274.010020833333</v>
      </c>
      <c r="Q91" s="20">
        <f>SUM(G91:I91)</f>
        <v>34330.680250000005</v>
      </c>
      <c r="R91" s="20">
        <f>SUM(B91:C91)+M91</f>
        <v>26674.559999999998</v>
      </c>
    </row>
    <row r="92" spans="1:21" x14ac:dyDescent="0.25">
      <c r="A92" s="111" t="s">
        <v>672</v>
      </c>
      <c r="B92" s="142">
        <f>B87/B93</f>
        <v>0.56160157160016499</v>
      </c>
      <c r="C92" s="142">
        <f t="shared" ref="C92:M92" si="48">C87/C93</f>
        <v>0.61269145435206473</v>
      </c>
      <c r="D92" s="142">
        <f t="shared" si="48"/>
        <v>0.5421978491417726</v>
      </c>
      <c r="E92" s="142">
        <f t="shared" si="48"/>
        <v>0.56229812661498701</v>
      </c>
      <c r="F92" s="142">
        <f t="shared" si="48"/>
        <v>0.57331632253683074</v>
      </c>
      <c r="G92" s="142">
        <f t="shared" si="48"/>
        <v>0.66461057761324227</v>
      </c>
      <c r="H92" s="142">
        <f t="shared" si="48"/>
        <v>0.64591852423575979</v>
      </c>
      <c r="I92" s="142">
        <f t="shared" si="48"/>
        <v>0.64829341683711528</v>
      </c>
      <c r="J92" s="142">
        <f t="shared" si="48"/>
        <v>0.70269813268844272</v>
      </c>
      <c r="K92" s="142">
        <f t="shared" si="48"/>
        <v>0.62661966239423106</v>
      </c>
      <c r="L92" s="142">
        <f t="shared" si="48"/>
        <v>0.63791385769341191</v>
      </c>
      <c r="M92" s="142">
        <f t="shared" si="48"/>
        <v>0.55240890217212424</v>
      </c>
      <c r="N92" s="141"/>
      <c r="O92" s="20"/>
    </row>
    <row r="93" spans="1:21" x14ac:dyDescent="0.25">
      <c r="A93" s="111" t="s">
        <v>670</v>
      </c>
      <c r="B93" s="141">
        <v>16099.2</v>
      </c>
      <c r="C93" s="141">
        <v>16099.2</v>
      </c>
      <c r="D93" s="141">
        <v>16099.2</v>
      </c>
      <c r="E93" s="141">
        <v>16099.2</v>
      </c>
      <c r="F93" s="141">
        <v>16099.2</v>
      </c>
      <c r="G93" s="141">
        <v>16099.2</v>
      </c>
      <c r="H93" s="141">
        <v>16099.2</v>
      </c>
      <c r="I93" s="141">
        <v>16099.2</v>
      </c>
      <c r="J93" s="141">
        <v>16099.2</v>
      </c>
      <c r="K93" s="141">
        <v>16099.2</v>
      </c>
      <c r="L93" s="141">
        <v>16099.2</v>
      </c>
      <c r="M93" s="141">
        <v>16099.2</v>
      </c>
      <c r="N93" s="141">
        <f>SUM(B93:M93)</f>
        <v>193190.40000000002</v>
      </c>
      <c r="O93" s="20">
        <f>N93/12</f>
        <v>16099.200000000003</v>
      </c>
      <c r="P93" s="20">
        <f>MAX(B93:M93)</f>
        <v>16099.2</v>
      </c>
    </row>
    <row r="94" spans="1:21" x14ac:dyDescent="0.25">
      <c r="A94" s="11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20"/>
      <c r="P94" s="20"/>
    </row>
    <row r="95" spans="1:21" x14ac:dyDescent="0.25">
      <c r="A95" s="1" t="s">
        <v>1009</v>
      </c>
      <c r="B95" s="141">
        <v>5173262</v>
      </c>
      <c r="C95" s="141">
        <v>5541129</v>
      </c>
      <c r="D95" s="141">
        <v>5330954</v>
      </c>
      <c r="E95" s="141">
        <v>5808824</v>
      </c>
      <c r="F95" s="141">
        <v>5580950</v>
      </c>
      <c r="G95" s="141">
        <v>5834910</v>
      </c>
      <c r="H95" s="141">
        <v>5704411</v>
      </c>
      <c r="I95" s="141">
        <v>5717861</v>
      </c>
      <c r="J95" s="141">
        <v>5943839</v>
      </c>
      <c r="K95" s="141">
        <v>5540758</v>
      </c>
      <c r="L95" s="141">
        <v>5911398</v>
      </c>
      <c r="M95" s="141">
        <v>5239067</v>
      </c>
      <c r="N95" s="141">
        <f>SUM(B95:M95)</f>
        <v>67327363</v>
      </c>
      <c r="O95" s="20">
        <f>N95/12</f>
        <v>5610613.583333333</v>
      </c>
      <c r="U95" s="20"/>
    </row>
    <row r="96" spans="1:21" x14ac:dyDescent="0.25">
      <c r="A96" s="111" t="s">
        <v>663</v>
      </c>
      <c r="B96" s="141">
        <f>B95/744</f>
        <v>6953.3091397849466</v>
      </c>
      <c r="C96" s="141">
        <f>C95/672</f>
        <v>8245.7276785714294</v>
      </c>
      <c r="D96" s="141">
        <f>D95/744</f>
        <v>7165.260752688172</v>
      </c>
      <c r="E96" s="141">
        <f>E95/720</f>
        <v>8067.8111111111111</v>
      </c>
      <c r="F96" s="141">
        <f>F95/744</f>
        <v>7501.2768817204305</v>
      </c>
      <c r="G96" s="141">
        <f>G95/720</f>
        <v>8104.041666666667</v>
      </c>
      <c r="H96" s="141">
        <f>H95/744</f>
        <v>7667.2190860215051</v>
      </c>
      <c r="I96" s="141">
        <f>I95/744</f>
        <v>7685.2970430107525</v>
      </c>
      <c r="J96" s="141">
        <f>J95/720</f>
        <v>8255.3319444444442</v>
      </c>
      <c r="K96" s="141">
        <f>K95/744</f>
        <v>7447.2553763440865</v>
      </c>
      <c r="L96" s="141">
        <f>L95/720</f>
        <v>8210.2749999999996</v>
      </c>
      <c r="M96" s="141">
        <f>M95/744</f>
        <v>7041.7567204301076</v>
      </c>
      <c r="N96" s="141"/>
    </row>
    <row r="97" spans="1:19" x14ac:dyDescent="0.25">
      <c r="A97" s="111" t="s">
        <v>671</v>
      </c>
      <c r="B97" s="142">
        <f>B96/B98</f>
        <v>0.6054716547532546</v>
      </c>
      <c r="C97" s="142">
        <f t="shared" ref="C97:M97" si="49">C96/C98</f>
        <v>0.71801127805799914</v>
      </c>
      <c r="D97" s="142">
        <f t="shared" si="49"/>
        <v>0.62392771520048307</v>
      </c>
      <c r="E97" s="142">
        <f t="shared" si="49"/>
        <v>0.70251887920982281</v>
      </c>
      <c r="F97" s="142">
        <f t="shared" si="49"/>
        <v>0.65318691216396463</v>
      </c>
      <c r="G97" s="142">
        <f t="shared" si="49"/>
        <v>0.70567371872347784</v>
      </c>
      <c r="H97" s="142">
        <f t="shared" si="49"/>
        <v>0.66763662222455922</v>
      </c>
      <c r="I97" s="142">
        <f t="shared" si="49"/>
        <v>0.66921079220791424</v>
      </c>
      <c r="J97" s="142">
        <f t="shared" si="49"/>
        <v>0.71884758644497304</v>
      </c>
      <c r="K97" s="142">
        <f t="shared" si="49"/>
        <v>0.64848289432225426</v>
      </c>
      <c r="L97" s="142">
        <f t="shared" si="49"/>
        <v>0.7149241735544386</v>
      </c>
      <c r="M97" s="142">
        <f t="shared" si="49"/>
        <v>0.61317338380564701</v>
      </c>
      <c r="N97" s="143">
        <f>N95/(N98*730)</f>
        <v>0.66925215270856386</v>
      </c>
    </row>
    <row r="98" spans="1:19" x14ac:dyDescent="0.25">
      <c r="A98" s="111" t="s">
        <v>664</v>
      </c>
      <c r="B98" s="141">
        <v>11484.12</v>
      </c>
      <c r="C98" s="141">
        <v>11484.12</v>
      </c>
      <c r="D98" s="141">
        <v>11484.12</v>
      </c>
      <c r="E98" s="141">
        <v>11484.12</v>
      </c>
      <c r="F98" s="141">
        <v>11484.12</v>
      </c>
      <c r="G98" s="141">
        <v>11484.12</v>
      </c>
      <c r="H98" s="141">
        <v>11484.12</v>
      </c>
      <c r="I98" s="141">
        <v>11484.12</v>
      </c>
      <c r="J98" s="141">
        <v>11484.12</v>
      </c>
      <c r="K98" s="141">
        <v>11484.12</v>
      </c>
      <c r="L98" s="141">
        <v>11484.12</v>
      </c>
      <c r="M98" s="141">
        <v>11484.12</v>
      </c>
      <c r="N98" s="141">
        <f>SUM(B98:M98)</f>
        <v>137809.43999999997</v>
      </c>
      <c r="O98" s="20">
        <f>N98/12</f>
        <v>11484.119999999997</v>
      </c>
      <c r="P98" s="20">
        <f>MAX(B98:M98)</f>
        <v>11484.12</v>
      </c>
    </row>
    <row r="99" spans="1:19" x14ac:dyDescent="0.25">
      <c r="A99" s="111" t="s">
        <v>665</v>
      </c>
      <c r="B99" s="142">
        <f>B100/B98</f>
        <v>0.9702650268370584</v>
      </c>
      <c r="C99" s="142">
        <f t="shared" ref="C99:M99" si="50">C100/C98</f>
        <v>0.48442806240269171</v>
      </c>
      <c r="D99" s="142">
        <f t="shared" si="50"/>
        <v>0.32390945061528437</v>
      </c>
      <c r="E99" s="142">
        <f t="shared" si="50"/>
        <v>0.81519045429688985</v>
      </c>
      <c r="F99" s="142">
        <f t="shared" si="50"/>
        <v>0.82400784735791688</v>
      </c>
      <c r="G99" s="142">
        <f t="shared" si="50"/>
        <v>0.73012864721023463</v>
      </c>
      <c r="H99" s="142">
        <f t="shared" si="50"/>
        <v>0.78791365816449133</v>
      </c>
      <c r="I99" s="142">
        <f t="shared" si="50"/>
        <v>0.88230878813526858</v>
      </c>
      <c r="J99" s="142">
        <f t="shared" si="50"/>
        <v>0.90519865692800139</v>
      </c>
      <c r="K99" s="142">
        <f t="shared" si="50"/>
        <v>0.92829272073088742</v>
      </c>
      <c r="L99" s="142">
        <f t="shared" si="50"/>
        <v>0.8897259868409596</v>
      </c>
      <c r="M99" s="142">
        <f t="shared" si="50"/>
        <v>0.87340127062413131</v>
      </c>
      <c r="N99" s="142">
        <f>N100/N98</f>
        <v>0.78456421417865152</v>
      </c>
    </row>
    <row r="100" spans="1:19" x14ac:dyDescent="0.25">
      <c r="A100" s="111" t="s">
        <v>666</v>
      </c>
      <c r="B100" s="141">
        <v>11142.64</v>
      </c>
      <c r="C100" s="141">
        <v>5563.2300000000005</v>
      </c>
      <c r="D100" s="141">
        <v>3719.8150000000001</v>
      </c>
      <c r="E100" s="141">
        <v>9361.744999999999</v>
      </c>
      <c r="F100" s="141">
        <v>9463.005000000001</v>
      </c>
      <c r="G100" s="141">
        <v>8384.8850000000002</v>
      </c>
      <c r="H100" s="141">
        <v>9048.494999999999</v>
      </c>
      <c r="I100" s="141">
        <v>10132.540000000001</v>
      </c>
      <c r="J100" s="141">
        <v>10395.41</v>
      </c>
      <c r="K100" s="141">
        <v>10660.625</v>
      </c>
      <c r="L100" s="141">
        <v>10217.720000000001</v>
      </c>
      <c r="M100" s="141">
        <v>10030.244999999999</v>
      </c>
      <c r="N100" s="141">
        <f>SUM(B100:M100)</f>
        <v>108120.35500000001</v>
      </c>
      <c r="O100" s="20">
        <f>N100/12</f>
        <v>9010.0295833333348</v>
      </c>
      <c r="Q100" s="20">
        <f>SUM(G100:I100)</f>
        <v>27565.919999999998</v>
      </c>
      <c r="R100" s="20">
        <f>SUM(B100:C100)+M100</f>
        <v>26736.114999999998</v>
      </c>
    </row>
    <row r="101" spans="1:19" x14ac:dyDescent="0.25">
      <c r="A101" s="111" t="s">
        <v>672</v>
      </c>
      <c r="B101" s="142">
        <f>B96/B102</f>
        <v>0.53609883731823316</v>
      </c>
      <c r="C101" s="142">
        <f t="shared" ref="C101:M101" si="51">C96/C102</f>
        <v>0.63574406551721874</v>
      </c>
      <c r="D101" s="142">
        <f t="shared" si="51"/>
        <v>0.55244026712681171</v>
      </c>
      <c r="E101" s="142">
        <f t="shared" si="51"/>
        <v>0.62202673136197684</v>
      </c>
      <c r="F101" s="142">
        <f t="shared" si="51"/>
        <v>0.57834704798078918</v>
      </c>
      <c r="G101" s="142">
        <f t="shared" si="51"/>
        <v>0.62482010043535707</v>
      </c>
      <c r="H101" s="142">
        <f t="shared" si="51"/>
        <v>0.5911411609706485</v>
      </c>
      <c r="I101" s="142">
        <f t="shared" si="51"/>
        <v>0.5925349680815063</v>
      </c>
      <c r="J101" s="142">
        <f t="shared" si="51"/>
        <v>0.63648455262404935</v>
      </c>
      <c r="K101" s="142">
        <f t="shared" si="51"/>
        <v>0.57418199999568909</v>
      </c>
      <c r="L101" s="142">
        <f t="shared" si="51"/>
        <v>0.63301067061417715</v>
      </c>
      <c r="M101" s="142">
        <f t="shared" si="51"/>
        <v>0.54291812928328853</v>
      </c>
      <c r="N101" s="141"/>
      <c r="O101" s="20"/>
    </row>
    <row r="102" spans="1:19" x14ac:dyDescent="0.25">
      <c r="A102" s="111" t="s">
        <v>670</v>
      </c>
      <c r="B102" s="141">
        <v>12970.199999999999</v>
      </c>
      <c r="C102" s="141">
        <v>12970.199999999999</v>
      </c>
      <c r="D102" s="141">
        <v>12970.199999999999</v>
      </c>
      <c r="E102" s="141">
        <v>12970.199999999999</v>
      </c>
      <c r="F102" s="141">
        <v>12970.199999999999</v>
      </c>
      <c r="G102" s="141">
        <v>12970.199999999999</v>
      </c>
      <c r="H102" s="141">
        <v>12970.199999999999</v>
      </c>
      <c r="I102" s="141">
        <v>12970.199999999999</v>
      </c>
      <c r="J102" s="141">
        <v>12970.199999999999</v>
      </c>
      <c r="K102" s="141">
        <v>12970.199999999999</v>
      </c>
      <c r="L102" s="141">
        <v>12970.199999999999</v>
      </c>
      <c r="M102" s="141">
        <v>12970.199999999999</v>
      </c>
      <c r="N102" s="141">
        <f>SUM(B102:M102)</f>
        <v>155642.4</v>
      </c>
      <c r="O102" s="20">
        <f>N102/12</f>
        <v>12970.199999999999</v>
      </c>
      <c r="P102" s="20">
        <f>MAX(B102:M102)</f>
        <v>12970.199999999999</v>
      </c>
    </row>
    <row r="103" spans="1:19" x14ac:dyDescent="0.25">
      <c r="A103" s="11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20"/>
    </row>
    <row r="104" spans="1:19" x14ac:dyDescent="0.25">
      <c r="A104" s="185" t="s">
        <v>865</v>
      </c>
      <c r="B104" s="17">
        <v>1311837</v>
      </c>
      <c r="C104" s="17">
        <v>1304647</v>
      </c>
      <c r="D104" s="18">
        <v>1295919</v>
      </c>
      <c r="E104" s="17">
        <v>1366932</v>
      </c>
      <c r="F104" s="17">
        <v>1354392</v>
      </c>
      <c r="G104" s="17">
        <v>1354629</v>
      </c>
      <c r="H104" s="17">
        <v>1345045</v>
      </c>
      <c r="I104" s="17">
        <v>1344809</v>
      </c>
      <c r="J104" s="17">
        <v>1339431</v>
      </c>
      <c r="K104" s="17">
        <v>1333404</v>
      </c>
      <c r="L104" s="17">
        <v>1328382</v>
      </c>
      <c r="M104" s="17">
        <v>1318911</v>
      </c>
      <c r="N104" s="20">
        <f>SUM(B104:M104)</f>
        <v>15998338</v>
      </c>
      <c r="O104" s="20">
        <f>N104/12</f>
        <v>1333194.8333333333</v>
      </c>
      <c r="P104" s="21"/>
      <c r="Q104" s="22"/>
      <c r="S104" s="22"/>
    </row>
    <row r="105" spans="1:19" x14ac:dyDescent="0.25">
      <c r="A105" s="111" t="s">
        <v>663</v>
      </c>
      <c r="B105" s="141">
        <f>B104/744</f>
        <v>1763.2217741935483</v>
      </c>
      <c r="C105" s="141">
        <f>C104/672</f>
        <v>1941.4389880952381</v>
      </c>
      <c r="D105" s="141">
        <f>D104/744</f>
        <v>1741.8266129032259</v>
      </c>
      <c r="E105" s="141">
        <f>E104/720</f>
        <v>1898.5166666666667</v>
      </c>
      <c r="F105" s="141">
        <f>F104/744</f>
        <v>1820.4193548387098</v>
      </c>
      <c r="G105" s="141">
        <f>G104/720</f>
        <v>1881.4291666666666</v>
      </c>
      <c r="H105" s="141">
        <f>H104/744</f>
        <v>1807.8561827956989</v>
      </c>
      <c r="I105" s="141">
        <f>I104/744</f>
        <v>1807.5389784946237</v>
      </c>
      <c r="J105" s="141">
        <f>J104/720</f>
        <v>1860.3208333333334</v>
      </c>
      <c r="K105" s="141">
        <f>K104/744</f>
        <v>1792.2096774193549</v>
      </c>
      <c r="L105" s="141">
        <f>L104/720</f>
        <v>1844.9749999999999</v>
      </c>
      <c r="M105" s="141">
        <f>M104/744</f>
        <v>1772.7298387096773</v>
      </c>
      <c r="N105" s="141"/>
      <c r="O105" s="17"/>
      <c r="P105" s="20"/>
    </row>
    <row r="106" spans="1:19" x14ac:dyDescent="0.25">
      <c r="A106" s="111" t="s">
        <v>671</v>
      </c>
      <c r="B106" s="142">
        <v>0.45</v>
      </c>
      <c r="C106" s="142">
        <v>0.45</v>
      </c>
      <c r="D106" s="142">
        <v>0.45</v>
      </c>
      <c r="E106" s="142">
        <v>0.45</v>
      </c>
      <c r="F106" s="142">
        <v>0.45</v>
      </c>
      <c r="G106" s="142">
        <v>0.45</v>
      </c>
      <c r="H106" s="142">
        <v>0.45</v>
      </c>
      <c r="I106" s="142">
        <v>0.45</v>
      </c>
      <c r="J106" s="142">
        <v>0.45</v>
      </c>
      <c r="K106" s="142">
        <v>0.45</v>
      </c>
      <c r="L106" s="142">
        <v>0.45</v>
      </c>
      <c r="M106" s="142">
        <v>0.45</v>
      </c>
      <c r="N106" s="141"/>
      <c r="O106" s="17"/>
      <c r="P106" s="20"/>
    </row>
    <row r="107" spans="1:19" x14ac:dyDescent="0.25">
      <c r="A107" s="111" t="s">
        <v>664</v>
      </c>
      <c r="B107" s="141">
        <f t="shared" ref="B107:M107" si="52">B105/B106</f>
        <v>3918.2706093189963</v>
      </c>
      <c r="C107" s="141">
        <f t="shared" si="52"/>
        <v>4314.3088624338625</v>
      </c>
      <c r="D107" s="141">
        <f t="shared" si="52"/>
        <v>3870.7258064516127</v>
      </c>
      <c r="E107" s="141">
        <f t="shared" si="52"/>
        <v>4218.9259259259261</v>
      </c>
      <c r="F107" s="141">
        <f t="shared" si="52"/>
        <v>4045.3763440860216</v>
      </c>
      <c r="G107" s="141">
        <f t="shared" si="52"/>
        <v>4180.9537037037035</v>
      </c>
      <c r="H107" s="141">
        <f t="shared" si="52"/>
        <v>4017.4581839904422</v>
      </c>
      <c r="I107" s="141">
        <f t="shared" si="52"/>
        <v>4016.7532855436084</v>
      </c>
      <c r="J107" s="141">
        <f t="shared" si="52"/>
        <v>4134.0462962962965</v>
      </c>
      <c r="K107" s="141">
        <f t="shared" si="52"/>
        <v>3982.6881720430106</v>
      </c>
      <c r="L107" s="141">
        <f t="shared" si="52"/>
        <v>4099.9444444444443</v>
      </c>
      <c r="M107" s="141">
        <f t="shared" si="52"/>
        <v>3939.3996415770607</v>
      </c>
      <c r="N107" s="141">
        <f>SUM(B107:M107)</f>
        <v>48738.851275814988</v>
      </c>
      <c r="O107" s="20">
        <f>N107/12</f>
        <v>4061.5709396512489</v>
      </c>
      <c r="P107" s="20">
        <f>MAX(B107:M107)</f>
        <v>4314.3088624338625</v>
      </c>
    </row>
    <row r="108" spans="1:19" x14ac:dyDescent="0.25">
      <c r="A108" s="111" t="s">
        <v>665</v>
      </c>
      <c r="B108" s="142">
        <v>1</v>
      </c>
      <c r="C108" s="142">
        <v>1</v>
      </c>
      <c r="D108" s="142">
        <v>1</v>
      </c>
      <c r="E108" s="142">
        <v>1</v>
      </c>
      <c r="F108" s="142">
        <v>0</v>
      </c>
      <c r="G108" s="142">
        <v>0</v>
      </c>
      <c r="H108" s="142">
        <v>0</v>
      </c>
      <c r="I108" s="142">
        <v>0</v>
      </c>
      <c r="J108" s="142">
        <v>0</v>
      </c>
      <c r="K108" s="142">
        <v>0</v>
      </c>
      <c r="L108" s="142">
        <v>1</v>
      </c>
      <c r="M108" s="142">
        <v>1</v>
      </c>
      <c r="N108" s="142">
        <v>0.85</v>
      </c>
      <c r="O108" s="17"/>
      <c r="P108" s="20"/>
    </row>
    <row r="109" spans="1:19" x14ac:dyDescent="0.25">
      <c r="A109" s="111" t="s">
        <v>666</v>
      </c>
      <c r="B109" s="141">
        <f>B107*B108</f>
        <v>3918.2706093189963</v>
      </c>
      <c r="C109" s="141">
        <f t="shared" ref="C109:M109" si="53">C107*C108</f>
        <v>4314.3088624338625</v>
      </c>
      <c r="D109" s="141">
        <f t="shared" si="53"/>
        <v>3870.7258064516127</v>
      </c>
      <c r="E109" s="141">
        <f t="shared" si="53"/>
        <v>4218.9259259259261</v>
      </c>
      <c r="F109" s="141">
        <f t="shared" si="53"/>
        <v>0</v>
      </c>
      <c r="G109" s="141">
        <f t="shared" si="53"/>
        <v>0</v>
      </c>
      <c r="H109" s="141">
        <f t="shared" si="53"/>
        <v>0</v>
      </c>
      <c r="I109" s="141">
        <f t="shared" si="53"/>
        <v>0</v>
      </c>
      <c r="J109" s="141">
        <f t="shared" si="53"/>
        <v>0</v>
      </c>
      <c r="K109" s="141">
        <f t="shared" si="53"/>
        <v>0</v>
      </c>
      <c r="L109" s="141">
        <f t="shared" si="53"/>
        <v>4099.9444444444443</v>
      </c>
      <c r="M109" s="141">
        <f t="shared" si="53"/>
        <v>3939.3996415770607</v>
      </c>
      <c r="N109" s="141">
        <f>SUM(B109:M109)</f>
        <v>24361.575290151904</v>
      </c>
      <c r="O109" s="20">
        <f>N109/12</f>
        <v>2030.1312741793254</v>
      </c>
      <c r="P109" s="20"/>
      <c r="Q109" s="20">
        <f>SUM(G109:I109)</f>
        <v>0</v>
      </c>
      <c r="R109" s="20">
        <f>SUM(B109:C109)+M109</f>
        <v>12171.979113329919</v>
      </c>
    </row>
    <row r="110" spans="1:19" x14ac:dyDescent="0.25">
      <c r="A110" s="111" t="s">
        <v>672</v>
      </c>
      <c r="B110" s="142">
        <v>0.45</v>
      </c>
      <c r="C110" s="142">
        <v>0.45</v>
      </c>
      <c r="D110" s="142">
        <v>0.45</v>
      </c>
      <c r="E110" s="142">
        <v>0.45</v>
      </c>
      <c r="F110" s="142">
        <v>0.45</v>
      </c>
      <c r="G110" s="142">
        <v>0.45</v>
      </c>
      <c r="H110" s="142">
        <v>0.45</v>
      </c>
      <c r="I110" s="142">
        <v>0.45</v>
      </c>
      <c r="J110" s="142">
        <v>0.45</v>
      </c>
      <c r="K110" s="142">
        <v>0.45</v>
      </c>
      <c r="L110" s="142">
        <v>0.45</v>
      </c>
      <c r="M110" s="142">
        <v>0.45</v>
      </c>
      <c r="N110" s="141"/>
      <c r="O110" s="20"/>
    </row>
    <row r="111" spans="1:19" x14ac:dyDescent="0.25">
      <c r="A111" s="111" t="s">
        <v>670</v>
      </c>
      <c r="B111" s="141">
        <f>B105/B110</f>
        <v>3918.2706093189963</v>
      </c>
      <c r="C111" s="141">
        <f t="shared" ref="C111:M111" si="54">C105/C110</f>
        <v>4314.3088624338625</v>
      </c>
      <c r="D111" s="141">
        <f t="shared" si="54"/>
        <v>3870.7258064516127</v>
      </c>
      <c r="E111" s="141">
        <f t="shared" si="54"/>
        <v>4218.9259259259261</v>
      </c>
      <c r="F111" s="141">
        <f t="shared" si="54"/>
        <v>4045.3763440860216</v>
      </c>
      <c r="G111" s="141">
        <f t="shared" si="54"/>
        <v>4180.9537037037035</v>
      </c>
      <c r="H111" s="141">
        <f t="shared" si="54"/>
        <v>4017.4581839904422</v>
      </c>
      <c r="I111" s="141">
        <f t="shared" si="54"/>
        <v>4016.7532855436084</v>
      </c>
      <c r="J111" s="141">
        <f t="shared" si="54"/>
        <v>4134.0462962962965</v>
      </c>
      <c r="K111" s="141">
        <f t="shared" si="54"/>
        <v>3982.6881720430106</v>
      </c>
      <c r="L111" s="141">
        <f t="shared" si="54"/>
        <v>4099.9444444444443</v>
      </c>
      <c r="M111" s="141">
        <f t="shared" si="54"/>
        <v>3939.3996415770607</v>
      </c>
      <c r="N111" s="141">
        <f>SUM(B111:M111)</f>
        <v>48738.851275814988</v>
      </c>
      <c r="O111" s="20">
        <f>N111/12</f>
        <v>4061.5709396512489</v>
      </c>
      <c r="P111" s="20">
        <f>MAX(B111:M111)</f>
        <v>4314.3088624338625</v>
      </c>
    </row>
    <row r="112" spans="1:19" x14ac:dyDescent="0.2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4" x14ac:dyDescent="0.25">
      <c r="A113" s="111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5">
      <c r="A114" s="111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6" spans="1:14" x14ac:dyDescent="0.25">
      <c r="A116" s="11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x14ac:dyDescent="0.25">
      <c r="A117" s="11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9" spans="1:14" x14ac:dyDescent="0.25">
      <c r="A119" s="11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4" x14ac:dyDescent="0.25">
      <c r="N120" s="20"/>
    </row>
    <row r="121" spans="1:14" x14ac:dyDescent="0.25">
      <c r="B121" s="184"/>
    </row>
    <row r="122" spans="1:14" x14ac:dyDescent="0.25">
      <c r="N122" s="15"/>
    </row>
    <row r="123" spans="1:14" x14ac:dyDescent="0.25"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</row>
  </sheetData>
  <pageMargins left="0.75" right="0.75" top="1" bottom="1" header="0.5" footer="0.5"/>
  <pageSetup scale="62" orientation="landscape" horizontalDpi="4294967293" verticalDpi="200" r:id="rId1"/>
  <headerFooter alignWithMargins="0"/>
  <rowBreaks count="1" manualBreakCount="1">
    <brk id="7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O190"/>
  <sheetViews>
    <sheetView topLeftCell="AZ103" workbookViewId="0">
      <selection activeCell="N96" sqref="N96"/>
    </sheetView>
  </sheetViews>
  <sheetFormatPr defaultRowHeight="15" x14ac:dyDescent="0.25"/>
  <cols>
    <col min="1" max="1" width="13" style="2" customWidth="1"/>
    <col min="2" max="2" width="12.42578125" style="2" customWidth="1"/>
    <col min="3" max="3" width="16.28515625" style="2" customWidth="1"/>
    <col min="4" max="5" width="17.5703125" style="2" customWidth="1"/>
    <col min="6" max="6" width="6.85546875" style="2" customWidth="1"/>
    <col min="7" max="9" width="17.5703125" style="2" customWidth="1"/>
    <col min="10" max="10" width="17.140625" style="2" customWidth="1"/>
    <col min="11" max="11" width="6.85546875" style="2" customWidth="1"/>
    <col min="12" max="15" width="17.140625" style="2" customWidth="1"/>
    <col min="16" max="16" width="7.85546875" style="2" customWidth="1"/>
    <col min="17" max="17" width="16.28515625" style="2" customWidth="1"/>
    <col min="18" max="18" width="18.7109375" style="2" customWidth="1"/>
    <col min="19" max="20" width="16.42578125" style="2" customWidth="1"/>
    <col min="21" max="21" width="9.28515625" style="2" customWidth="1"/>
    <col min="22" max="22" width="14.140625" style="2" customWidth="1"/>
    <col min="23" max="23" width="15.85546875" style="2" customWidth="1"/>
    <col min="24" max="25" width="16.42578125" style="2" customWidth="1"/>
    <col min="26" max="26" width="12.7109375" style="2" customWidth="1"/>
    <col min="27" max="27" width="11.28515625" style="2" customWidth="1"/>
    <col min="28" max="28" width="14.28515625" style="2" customWidth="1"/>
    <col min="29" max="30" width="16.42578125" style="2" customWidth="1"/>
    <col min="31" max="31" width="11.85546875" style="2" customWidth="1"/>
    <col min="32" max="32" width="12.5703125" style="2" customWidth="1"/>
    <col min="33" max="33" width="15.7109375" style="2" customWidth="1"/>
    <col min="34" max="35" width="16.42578125" style="2" customWidth="1"/>
    <col min="36" max="36" width="12" style="2" customWidth="1"/>
    <col min="37" max="37" width="12.7109375" style="2" customWidth="1"/>
    <col min="38" max="38" width="16.28515625" style="2" customWidth="1"/>
    <col min="39" max="40" width="16.42578125" style="2" customWidth="1"/>
    <col min="41" max="41" width="11.5703125" style="2" customWidth="1"/>
    <col min="42" max="42" width="11.7109375" style="2" customWidth="1"/>
    <col min="43" max="43" width="15.5703125" style="2" customWidth="1"/>
    <col min="44" max="45" width="16.42578125" style="2" customWidth="1"/>
    <col min="46" max="46" width="11.140625" style="2" customWidth="1"/>
    <col min="47" max="47" width="11.42578125" style="2" customWidth="1"/>
    <col min="48" max="48" width="15.85546875" style="2" customWidth="1"/>
    <col min="49" max="50" width="16.42578125" style="2" customWidth="1"/>
    <col min="51" max="51" width="13.7109375" style="2" customWidth="1"/>
    <col min="52" max="52" width="12.85546875" style="2" customWidth="1"/>
    <col min="53" max="53" width="15.140625" style="2" customWidth="1"/>
    <col min="54" max="55" width="16.42578125" style="2" customWidth="1"/>
    <col min="56" max="56" width="13" style="2" customWidth="1"/>
    <col min="57" max="57" width="14" style="2" customWidth="1"/>
    <col min="58" max="58" width="15.7109375" style="2" customWidth="1"/>
    <col min="59" max="60" width="16.42578125" style="2" customWidth="1"/>
    <col min="61" max="61" width="14.42578125" style="2" customWidth="1"/>
    <col min="62" max="62" width="13.140625" style="2" customWidth="1"/>
    <col min="63" max="63" width="17.28515625" style="2" customWidth="1"/>
    <col min="64" max="64" width="18.7109375" style="2" bestFit="1" customWidth="1"/>
    <col min="65" max="65" width="18.7109375" style="2" customWidth="1"/>
    <col min="66" max="66" width="21.140625" style="2" customWidth="1"/>
    <col min="67" max="67" width="20.140625" style="2" customWidth="1"/>
    <col min="68" max="69" width="9.140625" style="2"/>
    <col min="70" max="70" width="11.28515625" style="2" customWidth="1"/>
    <col min="71" max="73" width="16.28515625" style="2" customWidth="1"/>
    <col min="74" max="16384" width="9.140625" style="2"/>
  </cols>
  <sheetData>
    <row r="1" spans="1:67" ht="18.75" x14ac:dyDescent="0.3">
      <c r="A1" s="36" t="s">
        <v>977</v>
      </c>
    </row>
    <row r="2" spans="1:67" x14ac:dyDescent="0.25">
      <c r="A2" s="2" t="s">
        <v>667</v>
      </c>
      <c r="AC2" s="73"/>
    </row>
    <row r="3" spans="1:67" x14ac:dyDescent="0.25">
      <c r="A3" s="172"/>
      <c r="AC3" s="73"/>
      <c r="BL3" s="33"/>
    </row>
    <row r="4" spans="1:67" x14ac:dyDescent="0.25">
      <c r="BN4" s="147"/>
      <c r="BO4" s="38"/>
    </row>
    <row r="5" spans="1:67" x14ac:dyDescent="0.25">
      <c r="A5" s="8"/>
      <c r="BN5" s="147"/>
      <c r="BO5" s="38"/>
    </row>
    <row r="6" spans="1:67" x14ac:dyDescent="0.25">
      <c r="E6" s="33"/>
      <c r="BN6" s="38"/>
      <c r="BO6" s="38"/>
    </row>
    <row r="7" spans="1:67" customFormat="1" x14ac:dyDescent="0.25">
      <c r="A7" s="181" t="s">
        <v>952</v>
      </c>
      <c r="E7" s="104"/>
    </row>
    <row r="8" spans="1:67" customFormat="1" x14ac:dyDescent="0.25"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4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</row>
    <row r="9" spans="1:67" customFormat="1" x14ac:dyDescent="0.25">
      <c r="B9" s="155">
        <v>43831</v>
      </c>
      <c r="C9" s="2"/>
      <c r="D9" s="2"/>
      <c r="E9" s="2"/>
      <c r="F9" s="2"/>
      <c r="G9" s="155">
        <v>43862</v>
      </c>
      <c r="H9" s="155"/>
      <c r="I9" s="155"/>
      <c r="J9" s="2"/>
      <c r="K9" s="2"/>
      <c r="L9" s="155">
        <v>43891</v>
      </c>
      <c r="M9" s="155"/>
      <c r="N9" s="155"/>
      <c r="O9" s="2"/>
      <c r="P9" s="2"/>
      <c r="Q9" s="155">
        <v>43556</v>
      </c>
      <c r="R9" s="155"/>
      <c r="S9" s="155"/>
      <c r="T9" s="2"/>
      <c r="U9" s="2"/>
      <c r="V9" s="155">
        <v>43586</v>
      </c>
      <c r="W9" s="155"/>
      <c r="X9" s="155"/>
      <c r="Y9" s="2"/>
      <c r="Z9" s="2"/>
      <c r="AA9" s="155">
        <v>43617</v>
      </c>
      <c r="AB9" s="155"/>
      <c r="AC9" s="155"/>
      <c r="AD9" s="2"/>
      <c r="AE9" s="2"/>
      <c r="AF9" s="155">
        <v>43647</v>
      </c>
      <c r="AG9" s="155"/>
      <c r="AH9" s="155"/>
      <c r="AI9" s="2"/>
      <c r="AJ9" s="2"/>
      <c r="AK9" s="155">
        <v>43678</v>
      </c>
      <c r="AL9" s="155"/>
      <c r="AM9" s="155"/>
      <c r="AN9" s="2"/>
      <c r="AO9" s="2"/>
      <c r="AP9" s="155">
        <v>43709</v>
      </c>
      <c r="AQ9" s="155"/>
      <c r="AR9" s="155"/>
      <c r="AS9" s="2"/>
      <c r="AT9" s="2"/>
      <c r="AU9" s="155">
        <v>43739</v>
      </c>
      <c r="AV9" s="155"/>
      <c r="AW9" s="155"/>
      <c r="AX9" s="2"/>
      <c r="AY9" s="2"/>
      <c r="AZ9" s="155">
        <v>43770</v>
      </c>
      <c r="BA9" s="155"/>
      <c r="BB9" s="155"/>
      <c r="BC9" s="2"/>
      <c r="BD9" s="2"/>
      <c r="BE9" s="155">
        <v>43800</v>
      </c>
      <c r="BF9" s="155"/>
      <c r="BG9" s="155"/>
      <c r="BH9" s="2"/>
      <c r="BI9" s="2"/>
      <c r="BJ9" s="105" t="s">
        <v>1</v>
      </c>
    </row>
    <row r="10" spans="1:67" customFormat="1" x14ac:dyDescent="0.25">
      <c r="A10" s="2"/>
      <c r="B10" s="206" t="s">
        <v>992</v>
      </c>
      <c r="C10" s="198" t="s">
        <v>863</v>
      </c>
      <c r="D10" s="198" t="s">
        <v>864</v>
      </c>
      <c r="E10" s="198" t="s">
        <v>582</v>
      </c>
      <c r="F10" s="156"/>
      <c r="G10" s="206" t="s">
        <v>992</v>
      </c>
      <c r="H10" s="198" t="s">
        <v>863</v>
      </c>
      <c r="I10" s="198" t="s">
        <v>864</v>
      </c>
      <c r="J10" s="198" t="s">
        <v>582</v>
      </c>
      <c r="K10" s="156"/>
      <c r="L10" s="206" t="s">
        <v>992</v>
      </c>
      <c r="M10" s="198" t="s">
        <v>863</v>
      </c>
      <c r="N10" s="198" t="s">
        <v>864</v>
      </c>
      <c r="O10" s="198" t="s">
        <v>582</v>
      </c>
      <c r="P10" s="156"/>
      <c r="Q10" s="206" t="s">
        <v>992</v>
      </c>
      <c r="R10" s="198" t="s">
        <v>863</v>
      </c>
      <c r="S10" s="198" t="s">
        <v>864</v>
      </c>
      <c r="T10" s="198" t="s">
        <v>582</v>
      </c>
      <c r="U10" s="156"/>
      <c r="V10" s="206" t="s">
        <v>992</v>
      </c>
      <c r="W10" s="198" t="s">
        <v>863</v>
      </c>
      <c r="X10" s="198" t="s">
        <v>864</v>
      </c>
      <c r="Y10" s="198" t="s">
        <v>582</v>
      </c>
      <c r="Z10" s="156"/>
      <c r="AB10" s="198" t="s">
        <v>863</v>
      </c>
      <c r="AC10" s="198" t="s">
        <v>864</v>
      </c>
      <c r="AD10" s="198" t="s">
        <v>582</v>
      </c>
      <c r="AE10" s="156"/>
      <c r="AG10" s="198" t="s">
        <v>863</v>
      </c>
      <c r="AH10" s="198" t="s">
        <v>864</v>
      </c>
      <c r="AI10" s="198" t="s">
        <v>582</v>
      </c>
      <c r="AJ10" s="156"/>
      <c r="AL10" s="198" t="s">
        <v>863</v>
      </c>
      <c r="AM10" s="198" t="s">
        <v>864</v>
      </c>
      <c r="AN10" s="198" t="s">
        <v>582</v>
      </c>
      <c r="AO10" s="156"/>
      <c r="AQ10" s="198" t="s">
        <v>863</v>
      </c>
      <c r="AR10" s="198" t="s">
        <v>864</v>
      </c>
      <c r="AS10" s="198" t="s">
        <v>582</v>
      </c>
      <c r="AT10" s="156"/>
      <c r="AV10" s="198" t="s">
        <v>863</v>
      </c>
      <c r="AW10" s="198" t="s">
        <v>864</v>
      </c>
      <c r="AX10" s="198" t="s">
        <v>582</v>
      </c>
      <c r="AY10" s="156"/>
      <c r="BA10" s="198" t="s">
        <v>863</v>
      </c>
      <c r="BB10" s="198" t="s">
        <v>864</v>
      </c>
      <c r="BC10" s="198" t="s">
        <v>582</v>
      </c>
      <c r="BD10" s="156"/>
      <c r="BF10" s="198" t="s">
        <v>863</v>
      </c>
      <c r="BG10" s="198" t="s">
        <v>864</v>
      </c>
      <c r="BH10" s="198" t="s">
        <v>582</v>
      </c>
      <c r="BK10" s="198" t="s">
        <v>863</v>
      </c>
      <c r="BL10" s="198" t="s">
        <v>582</v>
      </c>
    </row>
    <row r="11" spans="1:67" customFormat="1" x14ac:dyDescent="0.25">
      <c r="A11" s="156"/>
      <c r="B11" s="157" t="s">
        <v>12</v>
      </c>
      <c r="C11" s="148">
        <v>312017</v>
      </c>
      <c r="D11" s="150">
        <v>6.02</v>
      </c>
      <c r="E11" s="150">
        <f t="shared" ref="E11:E13" si="0">C11*D11</f>
        <v>1878342.3399999999</v>
      </c>
      <c r="F11" s="156"/>
      <c r="G11" s="157" t="s">
        <v>12</v>
      </c>
      <c r="H11" s="148">
        <v>288291</v>
      </c>
      <c r="I11" s="150">
        <v>6.02</v>
      </c>
      <c r="J11" s="150">
        <f t="shared" ref="J11:J13" si="1">H11*I11</f>
        <v>1735511.8199999998</v>
      </c>
      <c r="K11" s="156"/>
      <c r="L11" s="157" t="s">
        <v>12</v>
      </c>
      <c r="M11" s="148">
        <v>226927</v>
      </c>
      <c r="N11" s="150">
        <v>6.02</v>
      </c>
      <c r="O11" s="150">
        <f t="shared" ref="O11:O13" si="2">M11*N11</f>
        <v>1366100.5399999998</v>
      </c>
      <c r="P11" s="156"/>
      <c r="Q11" s="157" t="s">
        <v>12</v>
      </c>
      <c r="R11" s="148">
        <v>215297</v>
      </c>
      <c r="S11" s="150">
        <v>6.02</v>
      </c>
      <c r="T11" s="150">
        <f t="shared" ref="T11:T13" si="3">R11*S11</f>
        <v>1296087.94</v>
      </c>
      <c r="U11" s="156"/>
      <c r="V11" s="157" t="s">
        <v>12</v>
      </c>
      <c r="W11" s="148">
        <v>187325</v>
      </c>
      <c r="X11" s="150">
        <v>6.02</v>
      </c>
      <c r="Y11" s="150">
        <f t="shared" ref="Y11:Y13" si="4">W11*X11</f>
        <v>1127696.5</v>
      </c>
      <c r="Z11" s="156"/>
      <c r="AA11" s="157" t="s">
        <v>12</v>
      </c>
      <c r="AB11" s="148">
        <v>195881</v>
      </c>
      <c r="AC11" s="150">
        <v>6.02</v>
      </c>
      <c r="AD11" s="150">
        <f t="shared" ref="AD11:AD13" si="5">AB11*AC11</f>
        <v>1179203.6199999999</v>
      </c>
      <c r="AE11" s="156"/>
      <c r="AF11" s="157" t="s">
        <v>12</v>
      </c>
      <c r="AG11" s="148">
        <v>215058</v>
      </c>
      <c r="AH11" s="150">
        <v>6.02</v>
      </c>
      <c r="AI11" s="150">
        <f t="shared" ref="AI11:AI13" si="6">AG11*AH11</f>
        <v>1294649.1599999999</v>
      </c>
      <c r="AJ11" s="156"/>
      <c r="AK11" s="157" t="s">
        <v>12</v>
      </c>
      <c r="AL11" s="148">
        <v>217731</v>
      </c>
      <c r="AM11" s="150">
        <v>6.02</v>
      </c>
      <c r="AN11" s="150">
        <f t="shared" ref="AN11:AN13" si="7">AL11*AM11</f>
        <v>1310740.6199999999</v>
      </c>
      <c r="AO11" s="156"/>
      <c r="AP11" s="157" t="s">
        <v>12</v>
      </c>
      <c r="AQ11" s="148">
        <v>209295</v>
      </c>
      <c r="AR11" s="150">
        <v>6.02</v>
      </c>
      <c r="AS11" s="150">
        <f t="shared" ref="AS11:AS13" si="8">AQ11*AR11</f>
        <v>1259955.8999999999</v>
      </c>
      <c r="AT11" s="156"/>
      <c r="AU11" s="157" t="s">
        <v>12</v>
      </c>
      <c r="AV11" s="148">
        <v>200885</v>
      </c>
      <c r="AW11" s="150">
        <v>6.02</v>
      </c>
      <c r="AX11" s="150">
        <f t="shared" ref="AX11:AX13" si="9">AV11*AW11</f>
        <v>1209327.7</v>
      </c>
      <c r="AY11" s="156"/>
      <c r="AZ11" s="157" t="s">
        <v>12</v>
      </c>
      <c r="BA11" s="148">
        <v>309013</v>
      </c>
      <c r="BB11" s="150">
        <v>6.02</v>
      </c>
      <c r="BC11" s="150">
        <f t="shared" ref="BC11:BC13" si="10">BA11*BB11</f>
        <v>1860258.2599999998</v>
      </c>
      <c r="BD11" s="156"/>
      <c r="BE11" s="157" t="s">
        <v>12</v>
      </c>
      <c r="BF11" s="148">
        <v>295455</v>
      </c>
      <c r="BG11" s="150">
        <v>6.02</v>
      </c>
      <c r="BH11" s="150">
        <f t="shared" ref="BH11:BH13" si="11">BF11*BG11</f>
        <v>1778639.0999999999</v>
      </c>
      <c r="BJ11" s="157" t="s">
        <v>12</v>
      </c>
      <c r="BK11" s="148">
        <f>C11+H11+M11+R11+W11+AB11+AG11+AL11+AQ11+AV11+BA11+BF11</f>
        <v>2873175</v>
      </c>
      <c r="BL11" s="216">
        <f>E11+J11+O11+T11+Y11+AD11+AI11+AN11+AS11+AX11+BC11+BH11</f>
        <v>17296513.499999996</v>
      </c>
    </row>
    <row r="12" spans="1:67" customFormat="1" x14ac:dyDescent="0.25">
      <c r="A12" s="156"/>
      <c r="B12" s="157" t="s">
        <v>859</v>
      </c>
      <c r="C12" s="148">
        <v>51705725</v>
      </c>
      <c r="D12" s="151">
        <v>5.0899E-2</v>
      </c>
      <c r="E12" s="150">
        <f t="shared" si="0"/>
        <v>2631769.6967750001</v>
      </c>
      <c r="F12" s="156"/>
      <c r="G12" s="157" t="s">
        <v>859</v>
      </c>
      <c r="H12" s="148">
        <v>49228281</v>
      </c>
      <c r="I12" s="151">
        <v>4.9378999999999999E-2</v>
      </c>
      <c r="J12" s="150">
        <f t="shared" si="1"/>
        <v>2430843.2874989999</v>
      </c>
      <c r="K12" s="156"/>
      <c r="L12" s="157" t="s">
        <v>859</v>
      </c>
      <c r="M12" s="148">
        <v>39349206</v>
      </c>
      <c r="N12" s="151">
        <v>4.9378999999999999E-2</v>
      </c>
      <c r="O12" s="150">
        <f t="shared" si="2"/>
        <v>1943024.4430740001</v>
      </c>
      <c r="P12" s="156"/>
      <c r="Q12" s="157" t="s">
        <v>859</v>
      </c>
      <c r="R12" s="148">
        <v>32217214</v>
      </c>
      <c r="S12" s="151">
        <v>5.0899E-2</v>
      </c>
      <c r="T12" s="150">
        <f t="shared" si="3"/>
        <v>1639823.975386</v>
      </c>
      <c r="U12" s="156"/>
      <c r="V12" s="157" t="s">
        <v>859</v>
      </c>
      <c r="W12" s="148">
        <v>47672325</v>
      </c>
      <c r="X12" s="151">
        <v>5.0899E-2</v>
      </c>
      <c r="Y12" s="150">
        <f t="shared" si="4"/>
        <v>2426473.6701750001</v>
      </c>
      <c r="Z12" s="156"/>
      <c r="AA12" s="157" t="s">
        <v>859</v>
      </c>
      <c r="AB12" s="148">
        <v>50877370</v>
      </c>
      <c r="AC12" s="151">
        <v>5.0899E-2</v>
      </c>
      <c r="AD12" s="150">
        <f t="shared" si="5"/>
        <v>2589607.25563</v>
      </c>
      <c r="AE12" s="156"/>
      <c r="AF12" s="157" t="s">
        <v>859</v>
      </c>
      <c r="AG12" s="148">
        <v>63350630</v>
      </c>
      <c r="AH12" s="151">
        <v>5.0899E-2</v>
      </c>
      <c r="AI12" s="150">
        <f t="shared" si="6"/>
        <v>3224483.71637</v>
      </c>
      <c r="AJ12" s="156"/>
      <c r="AK12" s="157" t="s">
        <v>859</v>
      </c>
      <c r="AL12" s="148">
        <v>61046161</v>
      </c>
      <c r="AM12" s="151">
        <v>5.0899E-2</v>
      </c>
      <c r="AN12" s="150">
        <f t="shared" si="7"/>
        <v>3107188.5487389998</v>
      </c>
      <c r="AO12" s="156"/>
      <c r="AP12" s="157" t="s">
        <v>859</v>
      </c>
      <c r="AQ12" s="148">
        <v>57520468</v>
      </c>
      <c r="AR12" s="151">
        <v>5.0899E-2</v>
      </c>
      <c r="AS12" s="150">
        <f t="shared" si="8"/>
        <v>2927734.3007319998</v>
      </c>
      <c r="AT12" s="156"/>
      <c r="AU12" s="157" t="s">
        <v>859</v>
      </c>
      <c r="AV12" s="148">
        <v>34386854</v>
      </c>
      <c r="AW12" s="151">
        <v>5.0899E-2</v>
      </c>
      <c r="AX12" s="150">
        <f t="shared" si="9"/>
        <v>1750256.481746</v>
      </c>
      <c r="AY12" s="156"/>
      <c r="AZ12" s="157" t="s">
        <v>859</v>
      </c>
      <c r="BA12" s="148">
        <v>45828875</v>
      </c>
      <c r="BB12" s="151">
        <v>5.0899E-2</v>
      </c>
      <c r="BC12" s="150">
        <f t="shared" si="10"/>
        <v>2332643.9086250002</v>
      </c>
      <c r="BD12" s="156"/>
      <c r="BE12" s="157" t="s">
        <v>859</v>
      </c>
      <c r="BF12" s="148">
        <v>49233740</v>
      </c>
      <c r="BG12" s="151">
        <v>5.0899E-2</v>
      </c>
      <c r="BH12" s="150">
        <f t="shared" si="11"/>
        <v>2505948.1322599999</v>
      </c>
      <c r="BJ12" s="157" t="s">
        <v>859</v>
      </c>
      <c r="BK12" s="148">
        <f t="shared" ref="BK12:BK117" si="12">C12+H12+M12+R12+W12+AB12+AG12+AL12+AQ12+AV12+BA12+BF12</f>
        <v>582416849</v>
      </c>
      <c r="BL12" s="216">
        <f t="shared" ref="BL12:BL123" si="13">E12+J12+O12+T12+Y12+AD12+AI12+AN12+AS12+AX12+BC12+BH12</f>
        <v>29509797.417011</v>
      </c>
      <c r="BM12" s="176">
        <f>BK12/BN13</f>
        <v>0.51174579642776696</v>
      </c>
    </row>
    <row r="13" spans="1:67" customFormat="1" x14ac:dyDescent="0.25">
      <c r="B13" s="157" t="s">
        <v>860</v>
      </c>
      <c r="C13" s="159">
        <v>65260430</v>
      </c>
      <c r="D13" s="160">
        <v>4.2174000000000003E-2</v>
      </c>
      <c r="E13" s="150">
        <f t="shared" si="0"/>
        <v>2752293.37482</v>
      </c>
      <c r="G13" s="157" t="s">
        <v>860</v>
      </c>
      <c r="H13" s="159">
        <v>62954551</v>
      </c>
      <c r="I13" s="160">
        <v>4.0654000000000003E-2</v>
      </c>
      <c r="J13" s="150">
        <f t="shared" si="1"/>
        <v>2559354.316354</v>
      </c>
      <c r="L13" s="157" t="s">
        <v>860</v>
      </c>
      <c r="M13" s="159">
        <v>48846019</v>
      </c>
      <c r="N13" s="160">
        <v>4.0654000000000003E-2</v>
      </c>
      <c r="O13" s="150">
        <f t="shared" si="2"/>
        <v>1985786.0564260001</v>
      </c>
      <c r="Q13" s="157" t="s">
        <v>860</v>
      </c>
      <c r="R13" s="159">
        <v>38933772</v>
      </c>
      <c r="S13" s="160">
        <v>4.2174000000000003E-2</v>
      </c>
      <c r="T13" s="150">
        <f t="shared" si="3"/>
        <v>1641992.9003280001</v>
      </c>
      <c r="V13" s="157" t="s">
        <v>860</v>
      </c>
      <c r="W13" s="159">
        <v>32710547</v>
      </c>
      <c r="X13" s="160">
        <v>4.2174000000000003E-2</v>
      </c>
      <c r="Y13" s="150">
        <f t="shared" si="4"/>
        <v>1379534.6091780001</v>
      </c>
      <c r="AA13" s="157" t="s">
        <v>860</v>
      </c>
      <c r="AB13" s="159">
        <v>33118002</v>
      </c>
      <c r="AC13" s="160">
        <v>4.2174000000000003E-2</v>
      </c>
      <c r="AD13" s="150">
        <f t="shared" si="5"/>
        <v>1396718.616348</v>
      </c>
      <c r="AF13" s="157" t="s">
        <v>860</v>
      </c>
      <c r="AG13" s="159">
        <v>39786319</v>
      </c>
      <c r="AH13" s="160">
        <v>4.2174000000000003E-2</v>
      </c>
      <c r="AI13" s="150">
        <f t="shared" si="6"/>
        <v>1677948.2175060001</v>
      </c>
      <c r="AK13" s="157" t="s">
        <v>860</v>
      </c>
      <c r="AL13" s="159">
        <v>37970877</v>
      </c>
      <c r="AM13" s="160">
        <v>4.2174000000000003E-2</v>
      </c>
      <c r="AN13" s="150">
        <f t="shared" si="7"/>
        <v>1601383.7665980002</v>
      </c>
      <c r="AP13" s="157" t="s">
        <v>860</v>
      </c>
      <c r="AQ13" s="159">
        <v>34666304</v>
      </c>
      <c r="AR13" s="160">
        <v>4.2174000000000003E-2</v>
      </c>
      <c r="AS13" s="150">
        <f t="shared" si="8"/>
        <v>1462016.7048960002</v>
      </c>
      <c r="AU13" s="157" t="s">
        <v>860</v>
      </c>
      <c r="AV13" s="159">
        <v>41011387</v>
      </c>
      <c r="AW13" s="160">
        <v>4.2174000000000003E-2</v>
      </c>
      <c r="AX13" s="150">
        <f t="shared" si="9"/>
        <v>1729614.2353380001</v>
      </c>
      <c r="AZ13" s="157" t="s">
        <v>860</v>
      </c>
      <c r="BA13" s="159">
        <v>58944489</v>
      </c>
      <c r="BB13" s="160">
        <v>4.2174000000000003E-2</v>
      </c>
      <c r="BC13" s="150">
        <f t="shared" si="10"/>
        <v>2485924.8790860004</v>
      </c>
      <c r="BE13" s="157" t="s">
        <v>860</v>
      </c>
      <c r="BF13" s="159">
        <v>61478418</v>
      </c>
      <c r="BG13" s="160">
        <v>4.2174000000000003E-2</v>
      </c>
      <c r="BH13" s="150">
        <f t="shared" si="11"/>
        <v>2592790.8007320003</v>
      </c>
      <c r="BJ13" s="157" t="s">
        <v>860</v>
      </c>
      <c r="BK13" s="148">
        <f t="shared" si="12"/>
        <v>555681115</v>
      </c>
      <c r="BL13" s="217">
        <f t="shared" si="13"/>
        <v>23265358.477609999</v>
      </c>
      <c r="BM13" s="227">
        <f>1-BM12</f>
        <v>0.48825420357223304</v>
      </c>
      <c r="BN13" s="167">
        <f>BK12+BK13</f>
        <v>1138097964</v>
      </c>
    </row>
    <row r="14" spans="1:67" customFormat="1" x14ac:dyDescent="0.25">
      <c r="B14" s="157"/>
      <c r="C14" s="159"/>
      <c r="D14" s="160"/>
      <c r="E14" s="150"/>
      <c r="G14" s="157"/>
      <c r="H14" s="159"/>
      <c r="I14" s="160"/>
      <c r="J14" s="150"/>
      <c r="L14" s="157"/>
      <c r="M14" s="159"/>
      <c r="N14" s="160"/>
      <c r="O14" s="150"/>
      <c r="Q14" s="157"/>
      <c r="R14" s="159"/>
      <c r="S14" s="160"/>
      <c r="T14" s="150"/>
      <c r="V14" s="157"/>
      <c r="W14" s="159"/>
      <c r="X14" s="160"/>
      <c r="Y14" s="150"/>
      <c r="AA14" s="157"/>
      <c r="AB14" s="159"/>
      <c r="AC14" s="160"/>
      <c r="AD14" s="150"/>
      <c r="AF14" s="157"/>
      <c r="AG14" s="159"/>
      <c r="AH14" s="160"/>
      <c r="AI14" s="150"/>
      <c r="AK14" s="157"/>
      <c r="AL14" s="159"/>
      <c r="AM14" s="160"/>
      <c r="AN14" s="150"/>
      <c r="AP14" s="157"/>
      <c r="AQ14" s="159"/>
      <c r="AR14" s="160"/>
      <c r="AS14" s="150"/>
      <c r="AU14" s="157"/>
      <c r="AV14" s="159"/>
      <c r="AW14" s="160"/>
      <c r="AX14" s="150"/>
      <c r="AZ14" s="157"/>
      <c r="BA14" s="159"/>
      <c r="BB14" s="160"/>
      <c r="BC14" s="150"/>
      <c r="BE14" s="157"/>
      <c r="BF14" s="159"/>
      <c r="BG14" s="160"/>
      <c r="BH14" s="150"/>
      <c r="BJ14" s="157"/>
      <c r="BK14" s="148"/>
      <c r="BL14" s="216">
        <f>SUM(BL11:BL13)</f>
        <v>70071669.394620985</v>
      </c>
    </row>
    <row r="15" spans="1:67" customFormat="1" x14ac:dyDescent="0.25">
      <c r="A15" s="2"/>
      <c r="B15" s="206" t="s">
        <v>993</v>
      </c>
      <c r="C15" s="159"/>
      <c r="D15" s="160"/>
      <c r="E15" s="150"/>
      <c r="G15" s="206" t="s">
        <v>993</v>
      </c>
      <c r="H15" s="159"/>
      <c r="I15" s="160"/>
      <c r="J15" s="150"/>
      <c r="L15" s="206" t="s">
        <v>993</v>
      </c>
      <c r="M15" s="159"/>
      <c r="N15" s="160"/>
      <c r="O15" s="150"/>
      <c r="Q15" s="206" t="s">
        <v>993</v>
      </c>
      <c r="R15" s="159"/>
      <c r="S15" s="160"/>
      <c r="T15" s="150"/>
      <c r="V15" s="206" t="s">
        <v>993</v>
      </c>
      <c r="W15" s="159"/>
      <c r="X15" s="160"/>
      <c r="Y15" s="150"/>
      <c r="AA15" s="206" t="s">
        <v>993</v>
      </c>
      <c r="AB15" s="159"/>
      <c r="AC15" s="160"/>
      <c r="AD15" s="150"/>
      <c r="AF15" s="206" t="s">
        <v>993</v>
      </c>
      <c r="AG15" s="159"/>
      <c r="AH15" s="160"/>
      <c r="AI15" s="150"/>
      <c r="AK15" s="206" t="s">
        <v>993</v>
      </c>
      <c r="AL15" s="159"/>
      <c r="AM15" s="160"/>
      <c r="AN15" s="150"/>
      <c r="AP15" s="206" t="s">
        <v>993</v>
      </c>
      <c r="AQ15" s="159"/>
      <c r="AR15" s="160"/>
      <c r="AS15" s="150"/>
      <c r="AU15" s="206" t="s">
        <v>993</v>
      </c>
      <c r="AV15" s="159"/>
      <c r="AW15" s="160"/>
      <c r="AX15" s="150"/>
      <c r="AZ15" s="206" t="s">
        <v>993</v>
      </c>
      <c r="BA15" s="159"/>
      <c r="BB15" s="160"/>
      <c r="BC15" s="150"/>
      <c r="BE15" s="206" t="s">
        <v>993</v>
      </c>
      <c r="BF15" s="159"/>
      <c r="BG15" s="160"/>
      <c r="BH15" s="150"/>
      <c r="BJ15" s="206" t="s">
        <v>993</v>
      </c>
      <c r="BK15" s="148"/>
      <c r="BL15" s="216"/>
    </row>
    <row r="16" spans="1:67" customFormat="1" x14ac:dyDescent="0.25">
      <c r="A16" s="8" t="s">
        <v>1031</v>
      </c>
      <c r="B16" s="206"/>
      <c r="C16" s="159"/>
      <c r="D16" s="160"/>
      <c r="E16" s="150"/>
      <c r="F16" s="8" t="s">
        <v>1031</v>
      </c>
      <c r="G16" s="206"/>
      <c r="H16" s="159"/>
      <c r="I16" s="160"/>
      <c r="J16" s="150"/>
      <c r="K16" s="8" t="s">
        <v>1031</v>
      </c>
      <c r="L16" s="206"/>
      <c r="M16" s="159"/>
      <c r="N16" s="160"/>
      <c r="O16" s="150"/>
      <c r="P16" s="8" t="s">
        <v>1031</v>
      </c>
      <c r="Q16" s="206"/>
      <c r="R16" s="159"/>
      <c r="S16" s="160"/>
      <c r="T16" s="150"/>
      <c r="U16" s="8" t="s">
        <v>1031</v>
      </c>
      <c r="V16" s="206"/>
      <c r="W16" s="159"/>
      <c r="X16" s="160"/>
      <c r="Y16" s="150"/>
      <c r="Z16" s="8" t="s">
        <v>1031</v>
      </c>
      <c r="AA16" s="206"/>
      <c r="AB16" s="159"/>
      <c r="AC16" s="160"/>
      <c r="AD16" s="150"/>
      <c r="AE16" s="8" t="s">
        <v>1031</v>
      </c>
      <c r="AF16" s="206"/>
      <c r="AG16" s="159"/>
      <c r="AH16" s="160"/>
      <c r="AI16" s="150"/>
      <c r="AJ16" s="8" t="s">
        <v>1031</v>
      </c>
      <c r="AK16" s="206"/>
      <c r="AL16" s="159"/>
      <c r="AM16" s="160"/>
      <c r="AN16" s="150"/>
      <c r="AO16" s="8" t="s">
        <v>1031</v>
      </c>
      <c r="AP16" s="206"/>
      <c r="AQ16" s="159"/>
      <c r="AR16" s="160"/>
      <c r="AS16" s="150"/>
      <c r="AT16" s="8" t="s">
        <v>1031</v>
      </c>
      <c r="AU16" s="206"/>
      <c r="AV16" s="159"/>
      <c r="AW16" s="160"/>
      <c r="AX16" s="150"/>
      <c r="AY16" s="8" t="s">
        <v>1031</v>
      </c>
      <c r="AZ16" s="206"/>
      <c r="BA16" s="159"/>
      <c r="BB16" s="160"/>
      <c r="BC16" s="150"/>
      <c r="BD16" s="8" t="s">
        <v>1031</v>
      </c>
      <c r="BE16" s="206"/>
      <c r="BF16" s="159"/>
      <c r="BG16" s="160"/>
      <c r="BH16" s="150"/>
      <c r="BI16" s="8" t="s">
        <v>1031</v>
      </c>
      <c r="BJ16" s="206"/>
      <c r="BK16" s="159"/>
      <c r="BL16" s="160"/>
      <c r="BM16" s="150"/>
    </row>
    <row r="17" spans="1:65" customFormat="1" x14ac:dyDescent="0.25">
      <c r="A17" s="2"/>
      <c r="B17" s="157" t="s">
        <v>978</v>
      </c>
      <c r="C17" s="159">
        <v>2700</v>
      </c>
      <c r="D17" s="158">
        <v>7.17</v>
      </c>
      <c r="E17" s="150">
        <f>C17*D17</f>
        <v>19359</v>
      </c>
      <c r="F17" s="2"/>
      <c r="G17" s="157" t="s">
        <v>978</v>
      </c>
      <c r="H17" s="159">
        <v>2700</v>
      </c>
      <c r="I17" s="158">
        <v>7.17</v>
      </c>
      <c r="J17" s="150">
        <f>H17*I17</f>
        <v>19359</v>
      </c>
      <c r="K17" s="2"/>
      <c r="L17" s="157" t="s">
        <v>978</v>
      </c>
      <c r="M17" s="159">
        <v>2700</v>
      </c>
      <c r="N17" s="158">
        <v>7.17</v>
      </c>
      <c r="O17" s="150">
        <f>M17*N17</f>
        <v>19359</v>
      </c>
      <c r="P17" s="2"/>
      <c r="Q17" s="157" t="s">
        <v>978</v>
      </c>
      <c r="R17" s="159">
        <v>2700</v>
      </c>
      <c r="S17" s="158">
        <v>7.17</v>
      </c>
      <c r="T17" s="150">
        <f>R17*S17</f>
        <v>19359</v>
      </c>
      <c r="U17" s="2"/>
      <c r="V17" s="157" t="s">
        <v>978</v>
      </c>
      <c r="W17" s="159">
        <v>2700</v>
      </c>
      <c r="X17" s="158">
        <v>7.17</v>
      </c>
      <c r="Y17" s="150">
        <f>W17*X17</f>
        <v>19359</v>
      </c>
      <c r="Z17" s="2"/>
      <c r="AA17" s="157" t="s">
        <v>978</v>
      </c>
      <c r="AB17" s="159">
        <v>2700</v>
      </c>
      <c r="AC17" s="158">
        <v>7.17</v>
      </c>
      <c r="AD17" s="150">
        <f>AB17*AC17</f>
        <v>19359</v>
      </c>
      <c r="AE17" s="2"/>
      <c r="AF17" s="157" t="s">
        <v>978</v>
      </c>
      <c r="AG17" s="159">
        <v>2700</v>
      </c>
      <c r="AH17" s="158">
        <v>7.17</v>
      </c>
      <c r="AI17" s="150">
        <f>AG17*AH17</f>
        <v>19359</v>
      </c>
      <c r="AJ17" s="2"/>
      <c r="AK17" s="157" t="s">
        <v>978</v>
      </c>
      <c r="AL17" s="159">
        <v>2700</v>
      </c>
      <c r="AM17" s="158">
        <v>7.17</v>
      </c>
      <c r="AN17" s="150">
        <f>AL17*AM17</f>
        <v>19359</v>
      </c>
      <c r="AO17" s="2"/>
      <c r="AP17" s="157" t="s">
        <v>978</v>
      </c>
      <c r="AQ17" s="159">
        <v>2700</v>
      </c>
      <c r="AR17" s="158">
        <v>7.17</v>
      </c>
      <c r="AS17" s="150">
        <f>AQ17*AR17</f>
        <v>19359</v>
      </c>
      <c r="AT17" s="2"/>
      <c r="AU17" s="157" t="s">
        <v>978</v>
      </c>
      <c r="AV17" s="159">
        <v>2700</v>
      </c>
      <c r="AW17" s="158">
        <v>7.17</v>
      </c>
      <c r="AX17" s="150">
        <f>AV17*AW17</f>
        <v>19359</v>
      </c>
      <c r="AY17" s="2"/>
      <c r="AZ17" s="157" t="s">
        <v>978</v>
      </c>
      <c r="BA17" s="159">
        <v>2700</v>
      </c>
      <c r="BB17" s="158">
        <v>7.17</v>
      </c>
      <c r="BC17" s="150">
        <f>BA17*BB17</f>
        <v>19359</v>
      </c>
      <c r="BD17" s="2"/>
      <c r="BE17" s="157" t="s">
        <v>978</v>
      </c>
      <c r="BF17" s="159">
        <v>2700</v>
      </c>
      <c r="BG17" s="158">
        <v>7.17</v>
      </c>
      <c r="BH17" s="150">
        <f>BF17*BG17</f>
        <v>19359</v>
      </c>
      <c r="BI17" s="2"/>
      <c r="BJ17" s="157" t="s">
        <v>978</v>
      </c>
      <c r="BK17" s="148">
        <f>C17+H17+M17+R17+W17+AB17+AG17+AL17+AQ17+AV17+BA17+BF17</f>
        <v>32400</v>
      </c>
      <c r="BL17" s="216">
        <f>E17+J17+O17+T17+Y17+AD17+AI17+AN17+AS17+AX17+BC17+BH17</f>
        <v>232308</v>
      </c>
      <c r="BM17" s="150"/>
    </row>
    <row r="18" spans="1:65" customFormat="1" x14ac:dyDescent="0.25">
      <c r="A18" s="2"/>
      <c r="B18" s="157" t="s">
        <v>979</v>
      </c>
      <c r="C18" s="159">
        <f>2936-C17</f>
        <v>236</v>
      </c>
      <c r="D18" s="158">
        <v>9.98</v>
      </c>
      <c r="E18" s="150">
        <f t="shared" ref="E18:E20" si="14">C18*D18</f>
        <v>2355.2800000000002</v>
      </c>
      <c r="F18" s="2"/>
      <c r="G18" s="157" t="s">
        <v>979</v>
      </c>
      <c r="H18" s="159">
        <f>2700-H17</f>
        <v>0</v>
      </c>
      <c r="I18" s="158">
        <v>9.98</v>
      </c>
      <c r="J18" s="150">
        <f t="shared" ref="J18:J20" si="15">H18*I18</f>
        <v>0</v>
      </c>
      <c r="K18" s="2"/>
      <c r="L18" s="157" t="s">
        <v>979</v>
      </c>
      <c r="M18" s="159">
        <f>2700-M17</f>
        <v>0</v>
      </c>
      <c r="N18" s="158">
        <v>9.98</v>
      </c>
      <c r="O18" s="150">
        <f t="shared" ref="O18:O20" si="16">M18*N18</f>
        <v>0</v>
      </c>
      <c r="P18" s="2"/>
      <c r="Q18" s="157" t="s">
        <v>979</v>
      </c>
      <c r="R18" s="159">
        <f>2700-R17</f>
        <v>0</v>
      </c>
      <c r="S18" s="158">
        <v>9.98</v>
      </c>
      <c r="T18" s="150">
        <f t="shared" ref="T18:T20" si="17">R18*S18</f>
        <v>0</v>
      </c>
      <c r="U18" s="2"/>
      <c r="V18" s="157" t="s">
        <v>979</v>
      </c>
      <c r="W18" s="159">
        <f>2700-W17</f>
        <v>0</v>
      </c>
      <c r="X18" s="158">
        <v>9.98</v>
      </c>
      <c r="Y18" s="150">
        <f t="shared" ref="Y18:Y20" si="18">W18*X18</f>
        <v>0</v>
      </c>
      <c r="Z18" s="2"/>
      <c r="AA18" s="157" t="s">
        <v>979</v>
      </c>
      <c r="AB18" s="159">
        <f>2700-AB17</f>
        <v>0</v>
      </c>
      <c r="AC18" s="158">
        <v>9.98</v>
      </c>
      <c r="AD18" s="150">
        <f t="shared" ref="AD18:AD20" si="19">AB18*AC18</f>
        <v>0</v>
      </c>
      <c r="AE18" s="2"/>
      <c r="AF18" s="157" t="s">
        <v>979</v>
      </c>
      <c r="AG18" s="159">
        <f>2868-AG17</f>
        <v>168</v>
      </c>
      <c r="AH18" s="158">
        <v>9.98</v>
      </c>
      <c r="AI18" s="150">
        <f t="shared" ref="AI18:AI20" si="20">AG18*AH18</f>
        <v>1676.64</v>
      </c>
      <c r="AJ18" s="2"/>
      <c r="AK18" s="157" t="s">
        <v>979</v>
      </c>
      <c r="AL18" s="159">
        <f>2700-AL17</f>
        <v>0</v>
      </c>
      <c r="AM18" s="158">
        <v>9.98</v>
      </c>
      <c r="AN18" s="150">
        <f t="shared" ref="AN18:AN20" si="21">AL18*AM18</f>
        <v>0</v>
      </c>
      <c r="AO18" s="2"/>
      <c r="AP18" s="157" t="s">
        <v>979</v>
      </c>
      <c r="AQ18" s="159">
        <f>2700-AQ17</f>
        <v>0</v>
      </c>
      <c r="AR18" s="158">
        <v>9.98</v>
      </c>
      <c r="AS18" s="150">
        <f t="shared" ref="AS18:AS20" si="22">AQ18*AR18</f>
        <v>0</v>
      </c>
      <c r="AT18" s="2"/>
      <c r="AU18" s="157" t="s">
        <v>979</v>
      </c>
      <c r="AV18" s="159">
        <f>2701-AV17</f>
        <v>1</v>
      </c>
      <c r="AW18" s="158">
        <v>9.98</v>
      </c>
      <c r="AX18" s="150">
        <f t="shared" ref="AX18:AX20" si="23">AV18*AW18</f>
        <v>9.98</v>
      </c>
      <c r="AY18" s="2"/>
      <c r="AZ18" s="157" t="s">
        <v>979</v>
      </c>
      <c r="BA18" s="159">
        <f>2904-BA17</f>
        <v>204</v>
      </c>
      <c r="BB18" s="158">
        <v>9.98</v>
      </c>
      <c r="BC18" s="150">
        <f t="shared" ref="BC18:BC20" si="24">BA18*BB18</f>
        <v>2035.92</v>
      </c>
      <c r="BD18" s="2"/>
      <c r="BE18" s="157" t="s">
        <v>979</v>
      </c>
      <c r="BF18" s="159">
        <f>2700-BF17</f>
        <v>0</v>
      </c>
      <c r="BG18" s="158">
        <v>9.98</v>
      </c>
      <c r="BH18" s="150">
        <f t="shared" ref="BH18:BH20" si="25">BF18*BG18</f>
        <v>0</v>
      </c>
      <c r="BI18" s="2"/>
      <c r="BJ18" s="157" t="s">
        <v>979</v>
      </c>
      <c r="BK18" s="148">
        <f t="shared" ref="BK18:BK20" si="26">C18+H18+M18+R18+W18+AB18+AG18+AL18+AQ18+AV18+BA18+BF18</f>
        <v>609</v>
      </c>
      <c r="BL18" s="216">
        <f t="shared" ref="BL18:BL21" si="27">E18+J18+O18+T18+Y18+AD18+AI18+AN18+AS18+AX18+BC18+BH18</f>
        <v>6077.82</v>
      </c>
      <c r="BM18" s="150"/>
    </row>
    <row r="19" spans="1:65" customFormat="1" x14ac:dyDescent="0.25">
      <c r="A19" s="2"/>
      <c r="B19" s="157" t="s">
        <v>995</v>
      </c>
      <c r="C19" s="159">
        <v>1228987</v>
      </c>
      <c r="D19" s="160">
        <v>4.0502000000000003E-2</v>
      </c>
      <c r="E19" s="150">
        <f t="shared" si="14"/>
        <v>49776.431474000005</v>
      </c>
      <c r="F19" s="2"/>
      <c r="G19" s="157" t="s">
        <v>995</v>
      </c>
      <c r="H19" s="159">
        <v>1064229</v>
      </c>
      <c r="I19" s="160">
        <v>3.8982000000000003E-2</v>
      </c>
      <c r="J19" s="150">
        <f t="shared" si="15"/>
        <v>41485.774878000004</v>
      </c>
      <c r="K19" s="2"/>
      <c r="L19" s="157" t="s">
        <v>995</v>
      </c>
      <c r="M19" s="159">
        <v>1063154</v>
      </c>
      <c r="N19" s="160">
        <v>3.8982000000000003E-2</v>
      </c>
      <c r="O19" s="150">
        <f t="shared" si="16"/>
        <v>41443.869228000003</v>
      </c>
      <c r="P19" s="2"/>
      <c r="Q19" s="157" t="s">
        <v>995</v>
      </c>
      <c r="R19" s="159">
        <v>1220194</v>
      </c>
      <c r="S19" s="160">
        <v>4.0502000000000003E-2</v>
      </c>
      <c r="T19" s="150">
        <f t="shared" si="17"/>
        <v>49420.297388000006</v>
      </c>
      <c r="U19" s="2"/>
      <c r="V19" s="157" t="s">
        <v>995</v>
      </c>
      <c r="W19" s="159">
        <v>1346079</v>
      </c>
      <c r="X19" s="160">
        <v>4.0502000000000003E-2</v>
      </c>
      <c r="Y19" s="150">
        <f t="shared" si="18"/>
        <v>54518.891658000008</v>
      </c>
      <c r="Z19" s="2"/>
      <c r="AA19" s="157" t="s">
        <v>995</v>
      </c>
      <c r="AB19" s="159">
        <v>1308760</v>
      </c>
      <c r="AC19" s="160">
        <v>4.0502000000000003E-2</v>
      </c>
      <c r="AD19" s="150">
        <f t="shared" si="19"/>
        <v>53007.397520000006</v>
      </c>
      <c r="AE19" s="2"/>
      <c r="AF19" s="157" t="s">
        <v>995</v>
      </c>
      <c r="AG19" s="159">
        <v>1198972</v>
      </c>
      <c r="AH19" s="160">
        <v>4.0502000000000003E-2</v>
      </c>
      <c r="AI19" s="150">
        <f t="shared" si="20"/>
        <v>48560.763944000006</v>
      </c>
      <c r="AJ19" s="2"/>
      <c r="AK19" s="157" t="s">
        <v>995</v>
      </c>
      <c r="AL19" s="159">
        <v>1360457</v>
      </c>
      <c r="AM19" s="160">
        <v>4.0502000000000003E-2</v>
      </c>
      <c r="AN19" s="150">
        <f t="shared" si="21"/>
        <v>55101.229414000001</v>
      </c>
      <c r="AO19" s="2"/>
      <c r="AP19" s="157" t="s">
        <v>995</v>
      </c>
      <c r="AQ19" s="159">
        <v>1279445</v>
      </c>
      <c r="AR19" s="160">
        <v>4.0502000000000003E-2</v>
      </c>
      <c r="AS19" s="150">
        <f t="shared" si="22"/>
        <v>51820.081390000007</v>
      </c>
      <c r="AT19" s="2"/>
      <c r="AU19" s="157" t="s">
        <v>995</v>
      </c>
      <c r="AV19" s="159">
        <v>1387252</v>
      </c>
      <c r="AW19" s="160">
        <v>4.0502000000000003E-2</v>
      </c>
      <c r="AX19" s="150">
        <f t="shared" si="23"/>
        <v>56186.480504000006</v>
      </c>
      <c r="AY19" s="2"/>
      <c r="AZ19" s="157" t="s">
        <v>995</v>
      </c>
      <c r="BA19" s="159">
        <v>1196549</v>
      </c>
      <c r="BB19" s="160">
        <v>4.0502000000000003E-2</v>
      </c>
      <c r="BC19" s="150">
        <f t="shared" si="24"/>
        <v>48462.627598000006</v>
      </c>
      <c r="BD19" s="2"/>
      <c r="BE19" s="157" t="s">
        <v>995</v>
      </c>
      <c r="BF19" s="159">
        <v>1036595</v>
      </c>
      <c r="BG19" s="160">
        <v>4.0502000000000003E-2</v>
      </c>
      <c r="BH19" s="150">
        <f t="shared" si="25"/>
        <v>41984.170690000006</v>
      </c>
      <c r="BI19" s="2"/>
      <c r="BJ19" s="157" t="s">
        <v>995</v>
      </c>
      <c r="BK19" s="148">
        <f t="shared" si="26"/>
        <v>14690673</v>
      </c>
      <c r="BL19" s="216">
        <f t="shared" si="27"/>
        <v>591768.01568600012</v>
      </c>
      <c r="BM19" s="150"/>
    </row>
    <row r="20" spans="1:65" customFormat="1" x14ac:dyDescent="0.25">
      <c r="A20" s="2"/>
      <c r="B20" s="157" t="s">
        <v>996</v>
      </c>
      <c r="C20" s="159"/>
      <c r="D20" s="160">
        <f>0.040502-0.02776</f>
        <v>1.2742000000000003E-2</v>
      </c>
      <c r="E20" s="150">
        <f t="shared" si="14"/>
        <v>0</v>
      </c>
      <c r="F20" s="2"/>
      <c r="G20" s="157" t="s">
        <v>996</v>
      </c>
      <c r="H20" s="159">
        <f>1080000-H19</f>
        <v>15771</v>
      </c>
      <c r="I20" s="160">
        <f>I19-0.02624</f>
        <v>1.2742000000000003E-2</v>
      </c>
      <c r="J20" s="150">
        <f t="shared" si="15"/>
        <v>200.95408200000006</v>
      </c>
      <c r="K20" s="2"/>
      <c r="L20" s="157" t="s">
        <v>996</v>
      </c>
      <c r="M20" s="159">
        <f>1080000-M19</f>
        <v>16846</v>
      </c>
      <c r="N20" s="160">
        <f>N19-0.02624</f>
        <v>1.2742000000000003E-2</v>
      </c>
      <c r="O20" s="150">
        <f t="shared" si="16"/>
        <v>214.65173200000007</v>
      </c>
      <c r="P20" s="2"/>
      <c r="Q20" s="157" t="s">
        <v>996</v>
      </c>
      <c r="R20" s="159">
        <f>1220194-R19</f>
        <v>0</v>
      </c>
      <c r="S20" s="160">
        <f>0.040502-0.02776</f>
        <v>1.2742000000000003E-2</v>
      </c>
      <c r="T20" s="150">
        <f t="shared" si="17"/>
        <v>0</v>
      </c>
      <c r="U20" s="2"/>
      <c r="V20" s="157" t="s">
        <v>996</v>
      </c>
      <c r="W20" s="159">
        <f>1346079-W19</f>
        <v>0</v>
      </c>
      <c r="X20" s="160">
        <f>0.040502-0.02776</f>
        <v>1.2742000000000003E-2</v>
      </c>
      <c r="Y20" s="150">
        <f t="shared" si="18"/>
        <v>0</v>
      </c>
      <c r="Z20" s="2"/>
      <c r="AA20" s="157" t="s">
        <v>996</v>
      </c>
      <c r="AB20" s="159">
        <f>1308760-AB19</f>
        <v>0</v>
      </c>
      <c r="AC20" s="160">
        <f>0.040502-0.02776</f>
        <v>1.2742000000000003E-2</v>
      </c>
      <c r="AD20" s="150">
        <f t="shared" si="19"/>
        <v>0</v>
      </c>
      <c r="AE20" s="2"/>
      <c r="AF20" s="157" t="s">
        <v>996</v>
      </c>
      <c r="AG20" s="159">
        <f>1198972-AG19</f>
        <v>0</v>
      </c>
      <c r="AH20" s="160">
        <f>0.040502-0.02776</f>
        <v>1.2742000000000003E-2</v>
      </c>
      <c r="AI20" s="150">
        <f t="shared" si="20"/>
        <v>0</v>
      </c>
      <c r="AJ20" s="2"/>
      <c r="AK20" s="157" t="s">
        <v>996</v>
      </c>
      <c r="AL20" s="159">
        <f>1360457-AL19</f>
        <v>0</v>
      </c>
      <c r="AM20" s="160">
        <f>0.040502-0.02776</f>
        <v>1.2742000000000003E-2</v>
      </c>
      <c r="AN20" s="150">
        <f t="shared" si="21"/>
        <v>0</v>
      </c>
      <c r="AO20" s="2"/>
      <c r="AP20" s="157" t="s">
        <v>996</v>
      </c>
      <c r="AQ20" s="159">
        <f>1279445-AQ19</f>
        <v>0</v>
      </c>
      <c r="AR20" s="160">
        <f>0.040502-0.02776</f>
        <v>1.2742000000000003E-2</v>
      </c>
      <c r="AS20" s="150">
        <f t="shared" si="22"/>
        <v>0</v>
      </c>
      <c r="AT20" s="2"/>
      <c r="AU20" s="157" t="s">
        <v>996</v>
      </c>
      <c r="AV20" s="159">
        <f>1387252-AV19</f>
        <v>0</v>
      </c>
      <c r="AW20" s="160">
        <f>0.040502-0.02776</f>
        <v>1.2742000000000003E-2</v>
      </c>
      <c r="AX20" s="150">
        <f t="shared" si="23"/>
        <v>0</v>
      </c>
      <c r="AY20" s="2"/>
      <c r="AZ20" s="157" t="s">
        <v>996</v>
      </c>
      <c r="BA20" s="159">
        <f>1196549-BA19</f>
        <v>0</v>
      </c>
      <c r="BB20" s="160">
        <f>0.040502-0.02776</f>
        <v>1.2742000000000003E-2</v>
      </c>
      <c r="BC20" s="150">
        <f t="shared" si="24"/>
        <v>0</v>
      </c>
      <c r="BD20" s="2"/>
      <c r="BE20" s="157" t="s">
        <v>996</v>
      </c>
      <c r="BF20" s="159">
        <f>1080000-BF19</f>
        <v>43405</v>
      </c>
      <c r="BG20" s="160">
        <f>0.040502-0.02776</f>
        <v>1.2742000000000003E-2</v>
      </c>
      <c r="BH20" s="150">
        <f t="shared" si="25"/>
        <v>553.06651000000011</v>
      </c>
      <c r="BI20" s="2"/>
      <c r="BJ20" s="157" t="s">
        <v>996</v>
      </c>
      <c r="BK20" s="148">
        <f t="shared" si="26"/>
        <v>76022</v>
      </c>
      <c r="BL20" s="216">
        <f t="shared" si="27"/>
        <v>968.67232400000023</v>
      </c>
      <c r="BM20" s="150"/>
    </row>
    <row r="21" spans="1:65" customFormat="1" x14ac:dyDescent="0.25">
      <c r="A21" s="2"/>
      <c r="B21" s="157" t="s">
        <v>984</v>
      </c>
      <c r="C21" s="159"/>
      <c r="D21" s="160"/>
      <c r="E21" s="150">
        <v>-6280</v>
      </c>
      <c r="F21" s="2"/>
      <c r="G21" s="157" t="s">
        <v>984</v>
      </c>
      <c r="H21" s="159"/>
      <c r="I21" s="160"/>
      <c r="J21" s="150">
        <v>-6960</v>
      </c>
      <c r="K21" s="2"/>
      <c r="L21" s="157" t="s">
        <v>984</v>
      </c>
      <c r="M21" s="159"/>
      <c r="N21" s="160"/>
      <c r="O21" s="150">
        <v>-8303</v>
      </c>
      <c r="P21" s="2"/>
      <c r="Q21" s="157" t="s">
        <v>984</v>
      </c>
      <c r="R21" s="159"/>
      <c r="S21" s="160"/>
      <c r="T21" s="150">
        <v>-2038</v>
      </c>
      <c r="U21" s="2"/>
      <c r="V21" s="157" t="s">
        <v>984</v>
      </c>
      <c r="W21" s="159"/>
      <c r="X21" s="160"/>
      <c r="Y21" s="150">
        <v>-5061</v>
      </c>
      <c r="Z21" s="2"/>
      <c r="AA21" s="157" t="s">
        <v>984</v>
      </c>
      <c r="AB21" s="159"/>
      <c r="AC21" s="160"/>
      <c r="AD21" s="150">
        <v>-4568</v>
      </c>
      <c r="AE21" s="2"/>
      <c r="AF21" s="157" t="s">
        <v>984</v>
      </c>
      <c r="AG21" s="159"/>
      <c r="AH21" s="160"/>
      <c r="AI21" s="150">
        <v>-5791</v>
      </c>
      <c r="AJ21" s="2"/>
      <c r="AK21" s="157" t="s">
        <v>984</v>
      </c>
      <c r="AL21" s="159"/>
      <c r="AM21" s="160"/>
      <c r="AN21" s="150">
        <v>-7115</v>
      </c>
      <c r="AO21" s="2"/>
      <c r="AP21" s="157" t="s">
        <v>984</v>
      </c>
      <c r="AQ21" s="159"/>
      <c r="AR21" s="160"/>
      <c r="AS21" s="150">
        <v>-7830</v>
      </c>
      <c r="AT21" s="2"/>
      <c r="AU21" s="157" t="s">
        <v>984</v>
      </c>
      <c r="AV21" s="159"/>
      <c r="AW21" s="160"/>
      <c r="AX21" s="150">
        <v>-7824</v>
      </c>
      <c r="AY21" s="2"/>
      <c r="AZ21" s="157" t="s">
        <v>984</v>
      </c>
      <c r="BA21" s="159"/>
      <c r="BB21" s="160"/>
      <c r="BC21" s="150">
        <v>-7885</v>
      </c>
      <c r="BD21" s="2"/>
      <c r="BE21" s="157" t="s">
        <v>984</v>
      </c>
      <c r="BF21" s="159"/>
      <c r="BG21" s="160"/>
      <c r="BH21" s="150">
        <v>-1234</v>
      </c>
      <c r="BI21" s="2"/>
      <c r="BJ21" s="157" t="s">
        <v>984</v>
      </c>
      <c r="BK21" s="148"/>
      <c r="BL21" s="216">
        <f t="shared" si="27"/>
        <v>-70889</v>
      </c>
      <c r="BM21" s="150"/>
    </row>
    <row r="22" spans="1:65" customFormat="1" x14ac:dyDescent="0.25">
      <c r="A22" s="2"/>
      <c r="B22" s="206"/>
      <c r="C22" s="159"/>
      <c r="D22" s="160"/>
      <c r="E22" s="150"/>
      <c r="F22" s="2"/>
      <c r="G22" s="206"/>
      <c r="H22" s="159"/>
      <c r="I22" s="160"/>
      <c r="J22" s="150"/>
      <c r="K22" s="2"/>
      <c r="L22" s="206"/>
      <c r="M22" s="159"/>
      <c r="N22" s="160"/>
      <c r="O22" s="150"/>
      <c r="P22" s="2"/>
      <c r="Q22" s="206"/>
      <c r="R22" s="159"/>
      <c r="S22" s="160"/>
      <c r="T22" s="150"/>
      <c r="U22" s="2"/>
      <c r="V22" s="206"/>
      <c r="W22" s="159"/>
      <c r="X22" s="160"/>
      <c r="Y22" s="150"/>
      <c r="Z22" s="2"/>
      <c r="AA22" s="206"/>
      <c r="AB22" s="159"/>
      <c r="AC22" s="160"/>
      <c r="AD22" s="150"/>
      <c r="AE22" s="2"/>
      <c r="AF22" s="206"/>
      <c r="AG22" s="159"/>
      <c r="AH22" s="160"/>
      <c r="AI22" s="150"/>
      <c r="AJ22" s="2"/>
      <c r="AK22" s="206"/>
      <c r="AL22" s="159"/>
      <c r="AM22" s="160"/>
      <c r="AN22" s="150"/>
      <c r="AO22" s="2"/>
      <c r="AP22" s="206"/>
      <c r="AQ22" s="159"/>
      <c r="AR22" s="160"/>
      <c r="AS22" s="150"/>
      <c r="AT22" s="2"/>
      <c r="AU22" s="206"/>
      <c r="AV22" s="159"/>
      <c r="AW22" s="160"/>
      <c r="AX22" s="150"/>
      <c r="AY22" s="2"/>
      <c r="AZ22" s="206"/>
      <c r="BA22" s="159"/>
      <c r="BB22" s="160"/>
      <c r="BC22" s="150"/>
      <c r="BD22" s="2"/>
      <c r="BE22" s="206"/>
      <c r="BF22" s="159"/>
      <c r="BG22" s="160"/>
      <c r="BH22" s="150"/>
      <c r="BI22" s="2"/>
      <c r="BJ22" s="206"/>
      <c r="BK22" s="159"/>
      <c r="BL22" s="160"/>
      <c r="BM22" s="150"/>
    </row>
    <row r="23" spans="1:65" customFormat="1" x14ac:dyDescent="0.25">
      <c r="A23" s="8" t="s">
        <v>1032</v>
      </c>
      <c r="B23" s="206"/>
      <c r="C23" s="159"/>
      <c r="D23" s="160"/>
      <c r="E23" s="150"/>
      <c r="F23" s="8" t="s">
        <v>1032</v>
      </c>
      <c r="G23" s="206"/>
      <c r="H23" s="159"/>
      <c r="I23" s="160"/>
      <c r="J23" s="150"/>
      <c r="K23" s="8" t="s">
        <v>1032</v>
      </c>
      <c r="L23" s="206"/>
      <c r="M23" s="159"/>
      <c r="N23" s="160"/>
      <c r="O23" s="150"/>
      <c r="P23" s="8" t="s">
        <v>1032</v>
      </c>
      <c r="Q23" s="206"/>
      <c r="R23" s="159"/>
      <c r="S23" s="160"/>
      <c r="T23" s="150"/>
      <c r="U23" s="8" t="s">
        <v>1032</v>
      </c>
      <c r="V23" s="206"/>
      <c r="W23" s="159"/>
      <c r="X23" s="160"/>
      <c r="Y23" s="150"/>
      <c r="Z23" s="8" t="s">
        <v>1032</v>
      </c>
      <c r="AA23" s="206"/>
      <c r="AB23" s="159"/>
      <c r="AC23" s="160"/>
      <c r="AD23" s="150"/>
      <c r="AE23" s="8" t="s">
        <v>1032</v>
      </c>
      <c r="AF23" s="206"/>
      <c r="AG23" s="159"/>
      <c r="AH23" s="160"/>
      <c r="AI23" s="150"/>
      <c r="AJ23" s="8" t="s">
        <v>1032</v>
      </c>
      <c r="AK23" s="206"/>
      <c r="AL23" s="159"/>
      <c r="AM23" s="160"/>
      <c r="AN23" s="150"/>
      <c r="AO23" s="8" t="s">
        <v>1032</v>
      </c>
      <c r="AP23" s="206"/>
      <c r="AQ23" s="159"/>
      <c r="AR23" s="160"/>
      <c r="AS23" s="150"/>
      <c r="AT23" s="8" t="s">
        <v>1032</v>
      </c>
      <c r="AU23" s="206"/>
      <c r="AV23" s="159"/>
      <c r="AW23" s="160"/>
      <c r="AX23" s="150"/>
      <c r="AY23" s="8" t="s">
        <v>1032</v>
      </c>
      <c r="AZ23" s="206"/>
      <c r="BA23" s="159"/>
      <c r="BB23" s="160"/>
      <c r="BC23" s="150"/>
      <c r="BD23" s="8" t="s">
        <v>1032</v>
      </c>
      <c r="BE23" s="206"/>
      <c r="BF23" s="159"/>
      <c r="BG23" s="160"/>
      <c r="BH23" s="150"/>
      <c r="BI23" s="8" t="s">
        <v>1032</v>
      </c>
      <c r="BJ23" s="206"/>
      <c r="BK23" s="159"/>
      <c r="BL23" s="160"/>
      <c r="BM23" s="150"/>
    </row>
    <row r="24" spans="1:65" customFormat="1" x14ac:dyDescent="0.25">
      <c r="A24" s="2"/>
      <c r="B24" s="157" t="s">
        <v>978</v>
      </c>
      <c r="C24" s="159">
        <v>800</v>
      </c>
      <c r="D24" s="158">
        <v>7.17</v>
      </c>
      <c r="E24" s="150">
        <f>C24*D24</f>
        <v>5736</v>
      </c>
      <c r="F24" s="2"/>
      <c r="G24" s="157" t="s">
        <v>978</v>
      </c>
      <c r="H24" s="159">
        <v>800</v>
      </c>
      <c r="I24" s="158">
        <v>7.17</v>
      </c>
      <c r="J24" s="150">
        <f>H24*I24</f>
        <v>5736</v>
      </c>
      <c r="K24" s="2"/>
      <c r="L24" s="157" t="s">
        <v>978</v>
      </c>
      <c r="M24" s="159">
        <v>800</v>
      </c>
      <c r="N24" s="158">
        <v>7.17</v>
      </c>
      <c r="O24" s="150">
        <f>M24*N24</f>
        <v>5736</v>
      </c>
      <c r="P24" s="2"/>
      <c r="Q24" s="157" t="s">
        <v>978</v>
      </c>
      <c r="R24" s="159">
        <v>800</v>
      </c>
      <c r="S24" s="158">
        <v>7.17</v>
      </c>
      <c r="T24" s="150">
        <f>R24*S24</f>
        <v>5736</v>
      </c>
      <c r="U24" s="2"/>
      <c r="V24" s="157" t="s">
        <v>978</v>
      </c>
      <c r="W24" s="159">
        <v>800</v>
      </c>
      <c r="X24" s="158">
        <v>7.17</v>
      </c>
      <c r="Y24" s="150">
        <f>W24*X24</f>
        <v>5736</v>
      </c>
      <c r="Z24" s="2"/>
      <c r="AA24" s="157" t="s">
        <v>978</v>
      </c>
      <c r="AB24" s="159">
        <v>800</v>
      </c>
      <c r="AC24" s="158">
        <v>7.17</v>
      </c>
      <c r="AD24" s="150">
        <f>AB24*AC24</f>
        <v>5736</v>
      </c>
      <c r="AE24" s="2"/>
      <c r="AF24" s="157" t="s">
        <v>978</v>
      </c>
      <c r="AG24" s="159">
        <v>800</v>
      </c>
      <c r="AH24" s="158">
        <v>7.17</v>
      </c>
      <c r="AI24" s="150">
        <f>AG24*AH24</f>
        <v>5736</v>
      </c>
      <c r="AJ24" s="2"/>
      <c r="AK24" s="157" t="s">
        <v>978</v>
      </c>
      <c r="AL24" s="159">
        <v>800</v>
      </c>
      <c r="AM24" s="158">
        <v>7.17</v>
      </c>
      <c r="AN24" s="150">
        <f>AL24*AM24</f>
        <v>5736</v>
      </c>
      <c r="AO24" s="2"/>
      <c r="AP24" s="157" t="s">
        <v>978</v>
      </c>
      <c r="AQ24" s="159">
        <v>800</v>
      </c>
      <c r="AR24" s="158">
        <v>7.17</v>
      </c>
      <c r="AS24" s="150">
        <f>AQ24*AR24</f>
        <v>5736</v>
      </c>
      <c r="AT24" s="2"/>
      <c r="AU24" s="157" t="s">
        <v>978</v>
      </c>
      <c r="AV24" s="159">
        <v>800</v>
      </c>
      <c r="AW24" s="158">
        <v>7.17</v>
      </c>
      <c r="AX24" s="150">
        <f>AV24*AW24</f>
        <v>5736</v>
      </c>
      <c r="AY24" s="2"/>
      <c r="AZ24" s="157" t="s">
        <v>978</v>
      </c>
      <c r="BA24" s="159">
        <v>800</v>
      </c>
      <c r="BB24" s="158">
        <v>7.17</v>
      </c>
      <c r="BC24" s="150">
        <f>BA24*BB24</f>
        <v>5736</v>
      </c>
      <c r="BD24" s="2"/>
      <c r="BE24" s="157" t="s">
        <v>978</v>
      </c>
      <c r="BF24" s="159">
        <v>800</v>
      </c>
      <c r="BG24" s="158">
        <v>7.17</v>
      </c>
      <c r="BH24" s="150">
        <f>BF24*BG24</f>
        <v>5736</v>
      </c>
      <c r="BI24" s="2"/>
      <c r="BJ24" s="157" t="s">
        <v>978</v>
      </c>
      <c r="BK24" s="148">
        <f t="shared" ref="BK24" si="28">C24+H24+M24+R24+W24+AB24+AG24+AL24+AQ24+AV24+BA24+BF24</f>
        <v>9600</v>
      </c>
      <c r="BL24" s="216">
        <f t="shared" ref="BL24" si="29">E24+J24+O24+T24+Y24+AD24+AI24+AN24+AS24+AX24+BC24+BH24</f>
        <v>68832</v>
      </c>
      <c r="BM24" s="150"/>
    </row>
    <row r="25" spans="1:65" customFormat="1" x14ac:dyDescent="0.25">
      <c r="A25" s="2"/>
      <c r="B25" s="157" t="s">
        <v>979</v>
      </c>
      <c r="C25" s="159">
        <f>893-C24</f>
        <v>93</v>
      </c>
      <c r="D25" s="158">
        <v>9.98</v>
      </c>
      <c r="E25" s="150">
        <f t="shared" ref="E25:E27" si="30">C25*D25</f>
        <v>928.14</v>
      </c>
      <c r="F25" s="2"/>
      <c r="G25" s="157" t="s">
        <v>979</v>
      </c>
      <c r="H25" s="159">
        <f>800-H24</f>
        <v>0</v>
      </c>
      <c r="I25" s="158">
        <v>9.98</v>
      </c>
      <c r="J25" s="150">
        <f t="shared" ref="J25:J27" si="31">H25*I25</f>
        <v>0</v>
      </c>
      <c r="K25" s="2"/>
      <c r="L25" s="157" t="s">
        <v>979</v>
      </c>
      <c r="M25" s="159">
        <f>800-M24</f>
        <v>0</v>
      </c>
      <c r="N25" s="158">
        <v>9.98</v>
      </c>
      <c r="O25" s="150">
        <f t="shared" ref="O25:O27" si="32">M25*N25</f>
        <v>0</v>
      </c>
      <c r="P25" s="2"/>
      <c r="Q25" s="157" t="s">
        <v>979</v>
      </c>
      <c r="R25" s="159">
        <f>800-R24</f>
        <v>0</v>
      </c>
      <c r="S25" s="158">
        <v>9.98</v>
      </c>
      <c r="T25" s="150">
        <f t="shared" ref="T25:T27" si="33">R25*S25</f>
        <v>0</v>
      </c>
      <c r="U25" s="2"/>
      <c r="V25" s="157" t="s">
        <v>979</v>
      </c>
      <c r="W25" s="159">
        <f>800-W24</f>
        <v>0</v>
      </c>
      <c r="X25" s="158">
        <v>9.98</v>
      </c>
      <c r="Y25" s="150">
        <f t="shared" ref="Y25:Y27" si="34">W25*X25</f>
        <v>0</v>
      </c>
      <c r="Z25" s="2"/>
      <c r="AA25" s="157" t="s">
        <v>979</v>
      </c>
      <c r="AB25" s="159">
        <f>800-AB24</f>
        <v>0</v>
      </c>
      <c r="AC25" s="158">
        <v>9.98</v>
      </c>
      <c r="AD25" s="150">
        <f t="shared" ref="AD25:AD27" si="35">AB25*AC25</f>
        <v>0</v>
      </c>
      <c r="AE25" s="2"/>
      <c r="AF25" s="157" t="s">
        <v>979</v>
      </c>
      <c r="AG25" s="159">
        <f>800-AG24</f>
        <v>0</v>
      </c>
      <c r="AH25" s="158">
        <v>9.98</v>
      </c>
      <c r="AI25" s="150">
        <f t="shared" ref="AI25:AI27" si="36">AG25*AH25</f>
        <v>0</v>
      </c>
      <c r="AJ25" s="2"/>
      <c r="AK25" s="157" t="s">
        <v>979</v>
      </c>
      <c r="AL25" s="159">
        <f>800-AL24</f>
        <v>0</v>
      </c>
      <c r="AM25" s="158">
        <v>9.98</v>
      </c>
      <c r="AN25" s="150">
        <f t="shared" ref="AN25:AN27" si="37">AL25*AM25</f>
        <v>0</v>
      </c>
      <c r="AO25" s="2"/>
      <c r="AP25" s="157" t="s">
        <v>979</v>
      </c>
      <c r="AQ25" s="159">
        <f>800-AQ24</f>
        <v>0</v>
      </c>
      <c r="AR25" s="158">
        <v>9.98</v>
      </c>
      <c r="AS25" s="150">
        <f t="shared" ref="AS25:AS27" si="38">AQ25*AR25</f>
        <v>0</v>
      </c>
      <c r="AT25" s="2"/>
      <c r="AU25" s="157" t="s">
        <v>979</v>
      </c>
      <c r="AV25" s="159">
        <f>800-AV24</f>
        <v>0</v>
      </c>
      <c r="AW25" s="158">
        <v>9.98</v>
      </c>
      <c r="AX25" s="150">
        <f t="shared" ref="AX25:AX27" si="39">AV25*AW25</f>
        <v>0</v>
      </c>
      <c r="AY25" s="2"/>
      <c r="AZ25" s="157" t="s">
        <v>979</v>
      </c>
      <c r="BA25" s="159">
        <f>800-BA24</f>
        <v>0</v>
      </c>
      <c r="BB25" s="158">
        <v>9.98</v>
      </c>
      <c r="BC25" s="150">
        <f t="shared" ref="BC25:BC27" si="40">BA25*BB25</f>
        <v>0</v>
      </c>
      <c r="BD25" s="2"/>
      <c r="BE25" s="157" t="s">
        <v>979</v>
      </c>
      <c r="BF25" s="159">
        <f>818-BF24</f>
        <v>18</v>
      </c>
      <c r="BG25" s="158">
        <v>9.98</v>
      </c>
      <c r="BH25" s="150">
        <f t="shared" ref="BH25:BH27" si="41">BF25*BG25</f>
        <v>179.64000000000001</v>
      </c>
      <c r="BI25" s="2"/>
      <c r="BJ25" s="157" t="s">
        <v>979</v>
      </c>
      <c r="BK25" s="148">
        <f t="shared" ref="BK25:BK27" si="42">C25+H25+M25+R25+W25+AB25+AG25+AL25+AQ25+AV25+BA25+BF25</f>
        <v>111</v>
      </c>
      <c r="BL25" s="216">
        <f t="shared" ref="BL25:BL28" si="43">E25+J25+O25+T25+Y25+AD25+AI25+AN25+AS25+AX25+BC25+BH25</f>
        <v>1107.78</v>
      </c>
      <c r="BM25" s="150"/>
    </row>
    <row r="26" spans="1:65" customFormat="1" x14ac:dyDescent="0.25">
      <c r="A26" s="2"/>
      <c r="B26" s="157" t="s">
        <v>995</v>
      </c>
      <c r="C26" s="159">
        <v>373269</v>
      </c>
      <c r="D26" s="160">
        <v>4.0502000000000003E-2</v>
      </c>
      <c r="E26" s="150">
        <f t="shared" si="30"/>
        <v>15118.141038000002</v>
      </c>
      <c r="F26" s="2"/>
      <c r="G26" s="157" t="s">
        <v>995</v>
      </c>
      <c r="H26" s="159">
        <v>352165</v>
      </c>
      <c r="I26" s="160">
        <v>3.8982000000000003E-2</v>
      </c>
      <c r="J26" s="150">
        <f t="shared" si="31"/>
        <v>13728.096030000001</v>
      </c>
      <c r="K26" s="2"/>
      <c r="L26" s="157" t="s">
        <v>995</v>
      </c>
      <c r="M26" s="159">
        <v>325830</v>
      </c>
      <c r="N26" s="160">
        <v>3.8982000000000003E-2</v>
      </c>
      <c r="O26" s="150">
        <f t="shared" si="32"/>
        <v>12701.505060000001</v>
      </c>
      <c r="P26" s="2"/>
      <c r="Q26" s="157" t="s">
        <v>995</v>
      </c>
      <c r="R26" s="159">
        <v>303633</v>
      </c>
      <c r="S26" s="160">
        <v>4.0502000000000003E-2</v>
      </c>
      <c r="T26" s="150">
        <f t="shared" si="33"/>
        <v>12297.743766000001</v>
      </c>
      <c r="U26" s="2"/>
      <c r="V26" s="157" t="s">
        <v>995</v>
      </c>
      <c r="W26" s="159">
        <v>330142</v>
      </c>
      <c r="X26" s="160">
        <v>4.0502000000000003E-2</v>
      </c>
      <c r="Y26" s="150">
        <f t="shared" si="34"/>
        <v>13371.411284000002</v>
      </c>
      <c r="Z26" s="2"/>
      <c r="AA26" s="157" t="s">
        <v>995</v>
      </c>
      <c r="AB26" s="159">
        <v>326424</v>
      </c>
      <c r="AC26" s="160">
        <v>4.0502000000000003E-2</v>
      </c>
      <c r="AD26" s="150">
        <f t="shared" si="35"/>
        <v>13220.824848</v>
      </c>
      <c r="AE26" s="2"/>
      <c r="AF26" s="157" t="s">
        <v>995</v>
      </c>
      <c r="AG26" s="159">
        <v>363550</v>
      </c>
      <c r="AH26" s="160">
        <v>4.0502000000000003E-2</v>
      </c>
      <c r="AI26" s="150">
        <f t="shared" si="36"/>
        <v>14724.502100000002</v>
      </c>
      <c r="AJ26" s="2"/>
      <c r="AK26" s="157" t="s">
        <v>995</v>
      </c>
      <c r="AL26" s="159">
        <v>349749</v>
      </c>
      <c r="AM26" s="160">
        <v>4.0502000000000003E-2</v>
      </c>
      <c r="AN26" s="150">
        <f t="shared" si="37"/>
        <v>14165.533998000001</v>
      </c>
      <c r="AO26" s="2"/>
      <c r="AP26" s="157" t="s">
        <v>995</v>
      </c>
      <c r="AQ26" s="159">
        <v>329014</v>
      </c>
      <c r="AR26" s="160">
        <v>4.0502000000000003E-2</v>
      </c>
      <c r="AS26" s="150">
        <f t="shared" si="38"/>
        <v>13325.725028000001</v>
      </c>
      <c r="AT26" s="2"/>
      <c r="AU26" s="157" t="s">
        <v>995</v>
      </c>
      <c r="AV26" s="159">
        <v>317517</v>
      </c>
      <c r="AW26" s="160">
        <v>4.0502000000000003E-2</v>
      </c>
      <c r="AX26" s="150">
        <f t="shared" si="39"/>
        <v>12860.073534000001</v>
      </c>
      <c r="AY26" s="2"/>
      <c r="AZ26" s="157" t="s">
        <v>995</v>
      </c>
      <c r="BA26" s="159">
        <v>362774</v>
      </c>
      <c r="BB26" s="160">
        <v>4.0502000000000003E-2</v>
      </c>
      <c r="BC26" s="150">
        <f t="shared" si="40"/>
        <v>14693.072548000002</v>
      </c>
      <c r="BD26" s="2"/>
      <c r="BE26" s="157" t="s">
        <v>995</v>
      </c>
      <c r="BF26" s="159">
        <v>366878</v>
      </c>
      <c r="BG26" s="160">
        <v>4.0502000000000003E-2</v>
      </c>
      <c r="BH26" s="150">
        <f t="shared" si="41"/>
        <v>14859.292756000001</v>
      </c>
      <c r="BI26" s="2"/>
      <c r="BJ26" s="157" t="s">
        <v>995</v>
      </c>
      <c r="BK26" s="148">
        <f t="shared" si="42"/>
        <v>4100945</v>
      </c>
      <c r="BL26" s="216">
        <f t="shared" si="43"/>
        <v>165065.92199000003</v>
      </c>
      <c r="BM26" s="150"/>
    </row>
    <row r="27" spans="1:65" customFormat="1" x14ac:dyDescent="0.25">
      <c r="A27" s="2"/>
      <c r="B27" s="157" t="s">
        <v>996</v>
      </c>
      <c r="C27" s="159"/>
      <c r="D27" s="160">
        <f>0.040502-0.02776</f>
        <v>1.2742000000000003E-2</v>
      </c>
      <c r="E27" s="150">
        <f t="shared" si="30"/>
        <v>0</v>
      </c>
      <c r="F27" s="2"/>
      <c r="G27" s="157" t="s">
        <v>996</v>
      </c>
      <c r="H27" s="159"/>
      <c r="I27" s="160">
        <f>I26-0.02624</f>
        <v>1.2742000000000003E-2</v>
      </c>
      <c r="J27" s="150">
        <f t="shared" si="31"/>
        <v>0</v>
      </c>
      <c r="K27" s="2"/>
      <c r="L27" s="157" t="s">
        <v>996</v>
      </c>
      <c r="M27" s="159"/>
      <c r="N27" s="160">
        <f>N26-0.02624</f>
        <v>1.2742000000000003E-2</v>
      </c>
      <c r="O27" s="150">
        <f t="shared" si="32"/>
        <v>0</v>
      </c>
      <c r="P27" s="2"/>
      <c r="Q27" s="157" t="s">
        <v>996</v>
      </c>
      <c r="R27" s="159">
        <f>320000-R26</f>
        <v>16367</v>
      </c>
      <c r="S27" s="160">
        <f>0.040502-0.02776</f>
        <v>1.2742000000000003E-2</v>
      </c>
      <c r="T27" s="150">
        <f t="shared" si="33"/>
        <v>208.54831400000006</v>
      </c>
      <c r="U27" s="2"/>
      <c r="V27" s="157" t="s">
        <v>996</v>
      </c>
      <c r="W27" s="159">
        <f>330142-W26</f>
        <v>0</v>
      </c>
      <c r="X27" s="160">
        <f>0.040502-0.02776</f>
        <v>1.2742000000000003E-2</v>
      </c>
      <c r="Y27" s="150">
        <f t="shared" si="34"/>
        <v>0</v>
      </c>
      <c r="Z27" s="2"/>
      <c r="AA27" s="157" t="s">
        <v>996</v>
      </c>
      <c r="AB27" s="159">
        <f>326424-AB26</f>
        <v>0</v>
      </c>
      <c r="AC27" s="160">
        <f>0.040502-0.02776</f>
        <v>1.2742000000000003E-2</v>
      </c>
      <c r="AD27" s="150">
        <f t="shared" si="35"/>
        <v>0</v>
      </c>
      <c r="AE27" s="2"/>
      <c r="AF27" s="157" t="s">
        <v>996</v>
      </c>
      <c r="AG27" s="159">
        <f>363550-AG26</f>
        <v>0</v>
      </c>
      <c r="AH27" s="160">
        <f>0.040502-0.02776</f>
        <v>1.2742000000000003E-2</v>
      </c>
      <c r="AI27" s="150">
        <f t="shared" si="36"/>
        <v>0</v>
      </c>
      <c r="AJ27" s="2"/>
      <c r="AK27" s="157" t="s">
        <v>996</v>
      </c>
      <c r="AL27" s="159">
        <f>349749-AL26</f>
        <v>0</v>
      </c>
      <c r="AM27" s="160">
        <f>0.040502-0.02776</f>
        <v>1.2742000000000003E-2</v>
      </c>
      <c r="AN27" s="150">
        <f t="shared" si="37"/>
        <v>0</v>
      </c>
      <c r="AO27" s="2"/>
      <c r="AP27" s="157" t="s">
        <v>996</v>
      </c>
      <c r="AQ27" s="159">
        <f>329014-AQ26</f>
        <v>0</v>
      </c>
      <c r="AR27" s="160">
        <f>0.040502-0.02776</f>
        <v>1.2742000000000003E-2</v>
      </c>
      <c r="AS27" s="150">
        <f t="shared" si="38"/>
        <v>0</v>
      </c>
      <c r="AT27" s="2"/>
      <c r="AU27" s="157" t="s">
        <v>996</v>
      </c>
      <c r="AV27" s="159">
        <f>320000-AV26</f>
        <v>2483</v>
      </c>
      <c r="AW27" s="160">
        <f>0.040502-0.02776</f>
        <v>1.2742000000000003E-2</v>
      </c>
      <c r="AX27" s="150">
        <f t="shared" si="39"/>
        <v>31.638386000000008</v>
      </c>
      <c r="AY27" s="2"/>
      <c r="AZ27" s="157" t="s">
        <v>996</v>
      </c>
      <c r="BA27" s="159">
        <f>362774-BA26</f>
        <v>0</v>
      </c>
      <c r="BB27" s="160">
        <f>0.040502-0.02776</f>
        <v>1.2742000000000003E-2</v>
      </c>
      <c r="BC27" s="150">
        <f t="shared" si="40"/>
        <v>0</v>
      </c>
      <c r="BD27" s="2"/>
      <c r="BE27" s="157" t="s">
        <v>996</v>
      </c>
      <c r="BF27" s="159">
        <f>366878-BF26</f>
        <v>0</v>
      </c>
      <c r="BG27" s="160">
        <f>0.040502-0.02776</f>
        <v>1.2742000000000003E-2</v>
      </c>
      <c r="BH27" s="150">
        <f t="shared" si="41"/>
        <v>0</v>
      </c>
      <c r="BI27" s="2"/>
      <c r="BJ27" s="157" t="s">
        <v>996</v>
      </c>
      <c r="BK27" s="148">
        <f t="shared" si="42"/>
        <v>18850</v>
      </c>
      <c r="BL27" s="216">
        <f t="shared" si="43"/>
        <v>240.18670000000006</v>
      </c>
      <c r="BM27" s="150"/>
    </row>
    <row r="28" spans="1:65" customFormat="1" x14ac:dyDescent="0.25">
      <c r="A28" s="2"/>
      <c r="B28" s="157" t="s">
        <v>984</v>
      </c>
      <c r="C28" s="159"/>
      <c r="D28" s="160"/>
      <c r="E28" s="150">
        <v>-1907</v>
      </c>
      <c r="F28" s="2"/>
      <c r="G28" s="157" t="s">
        <v>984</v>
      </c>
      <c r="H28" s="159"/>
      <c r="I28" s="160"/>
      <c r="J28" s="150">
        <v>-2303</v>
      </c>
      <c r="K28" s="2"/>
      <c r="L28" s="157" t="s">
        <v>984</v>
      </c>
      <c r="M28" s="159"/>
      <c r="N28" s="160"/>
      <c r="O28" s="150">
        <v>-2545</v>
      </c>
      <c r="P28" s="2"/>
      <c r="Q28" s="157" t="s">
        <v>984</v>
      </c>
      <c r="R28" s="159"/>
      <c r="S28" s="160"/>
      <c r="T28" s="150">
        <v>-507</v>
      </c>
      <c r="U28" s="2"/>
      <c r="V28" s="157" t="s">
        <v>984</v>
      </c>
      <c r="W28" s="159"/>
      <c r="X28" s="160"/>
      <c r="Y28" s="150">
        <v>-1241</v>
      </c>
      <c r="Z28" s="2"/>
      <c r="AA28" s="157" t="s">
        <v>984</v>
      </c>
      <c r="AB28" s="159"/>
      <c r="AC28" s="160"/>
      <c r="AD28" s="150">
        <v>-1139</v>
      </c>
      <c r="AE28" s="2"/>
      <c r="AF28" s="157" t="s">
        <v>984</v>
      </c>
      <c r="AG28" s="159"/>
      <c r="AH28" s="160"/>
      <c r="AI28" s="150">
        <v>-1756</v>
      </c>
      <c r="AJ28" s="2"/>
      <c r="AK28" s="157" t="s">
        <v>984</v>
      </c>
      <c r="AL28" s="159"/>
      <c r="AM28" s="160"/>
      <c r="AN28" s="150">
        <v>-1829</v>
      </c>
      <c r="AO28" s="2"/>
      <c r="AP28" s="157" t="s">
        <v>984</v>
      </c>
      <c r="AQ28" s="159"/>
      <c r="AR28" s="160"/>
      <c r="AS28" s="150">
        <v>-2014</v>
      </c>
      <c r="AT28" s="2"/>
      <c r="AU28" s="157" t="s">
        <v>984</v>
      </c>
      <c r="AV28" s="159"/>
      <c r="AW28" s="160"/>
      <c r="AX28" s="150">
        <v>-1791</v>
      </c>
      <c r="AY28" s="2"/>
      <c r="AZ28" s="157" t="s">
        <v>984</v>
      </c>
      <c r="BA28" s="159"/>
      <c r="BB28" s="160"/>
      <c r="BC28" s="150">
        <v>-2391</v>
      </c>
      <c r="BD28" s="2"/>
      <c r="BE28" s="157" t="s">
        <v>984</v>
      </c>
      <c r="BF28" s="159"/>
      <c r="BG28" s="160"/>
      <c r="BH28" s="150">
        <v>-437</v>
      </c>
      <c r="BI28" s="2"/>
      <c r="BJ28" s="157" t="s">
        <v>984</v>
      </c>
      <c r="BK28" s="148"/>
      <c r="BL28" s="216">
        <f t="shared" si="43"/>
        <v>-19860</v>
      </c>
      <c r="BM28" s="150"/>
    </row>
    <row r="29" spans="1:65" customFormat="1" x14ac:dyDescent="0.25">
      <c r="A29" s="2"/>
      <c r="B29" s="157"/>
      <c r="C29" s="159"/>
      <c r="D29" s="160"/>
      <c r="E29" s="150"/>
      <c r="F29" s="2"/>
      <c r="G29" s="157"/>
      <c r="H29" s="159"/>
      <c r="I29" s="160"/>
      <c r="J29" s="150"/>
      <c r="K29" s="2"/>
      <c r="L29" s="157"/>
      <c r="M29" s="159"/>
      <c r="N29" s="160"/>
      <c r="O29" s="150"/>
      <c r="P29" s="2"/>
      <c r="Q29" s="157"/>
      <c r="R29" s="159"/>
      <c r="S29" s="160"/>
      <c r="T29" s="150"/>
      <c r="U29" s="2"/>
      <c r="V29" s="157"/>
      <c r="W29" s="159"/>
      <c r="X29" s="160"/>
      <c r="Y29" s="150"/>
      <c r="Z29" s="2"/>
      <c r="AA29" s="157"/>
      <c r="AB29" s="159"/>
      <c r="AC29" s="160"/>
      <c r="AD29" s="150"/>
      <c r="AE29" s="2"/>
      <c r="AF29" s="157"/>
      <c r="AG29" s="159"/>
      <c r="AH29" s="160"/>
      <c r="AI29" s="150"/>
      <c r="AJ29" s="2"/>
      <c r="AK29" s="157"/>
      <c r="AL29" s="159"/>
      <c r="AM29" s="160"/>
      <c r="AN29" s="150"/>
      <c r="AO29" s="2"/>
      <c r="AP29" s="157"/>
      <c r="AQ29" s="159"/>
      <c r="AR29" s="160"/>
      <c r="AS29" s="150"/>
      <c r="AT29" s="2"/>
      <c r="AU29" s="157"/>
      <c r="AV29" s="159"/>
      <c r="AW29" s="160"/>
      <c r="AX29" s="150"/>
      <c r="AY29" s="2"/>
      <c r="AZ29" s="157"/>
      <c r="BA29" s="159"/>
      <c r="BB29" s="160"/>
      <c r="BC29" s="150"/>
      <c r="BD29" s="2"/>
      <c r="BE29" s="157"/>
      <c r="BF29" s="159"/>
      <c r="BG29" s="160"/>
      <c r="BH29" s="150"/>
      <c r="BI29" s="2"/>
      <c r="BJ29" s="157"/>
      <c r="BK29" s="159"/>
      <c r="BL29" s="160"/>
      <c r="BM29" s="150"/>
    </row>
    <row r="30" spans="1:65" customFormat="1" x14ac:dyDescent="0.25">
      <c r="A30" s="8" t="s">
        <v>1033</v>
      </c>
      <c r="B30" s="206"/>
      <c r="C30" s="159"/>
      <c r="D30" s="160"/>
      <c r="E30" s="150"/>
      <c r="F30" s="8" t="s">
        <v>1033</v>
      </c>
      <c r="G30" s="206"/>
      <c r="H30" s="159"/>
      <c r="I30" s="160"/>
      <c r="J30" s="150"/>
      <c r="K30" s="8" t="s">
        <v>1033</v>
      </c>
      <c r="L30" s="206"/>
      <c r="M30" s="159"/>
      <c r="N30" s="160"/>
      <c r="O30" s="150"/>
      <c r="P30" s="8" t="s">
        <v>1033</v>
      </c>
      <c r="Q30" s="206"/>
      <c r="R30" s="159"/>
      <c r="S30" s="160"/>
      <c r="T30" s="150"/>
      <c r="U30" s="8" t="s">
        <v>1033</v>
      </c>
      <c r="V30" s="206"/>
      <c r="W30" s="159"/>
      <c r="X30" s="160"/>
      <c r="Y30" s="150"/>
      <c r="Z30" s="8" t="s">
        <v>1033</v>
      </c>
      <c r="AA30" s="206"/>
      <c r="AB30" s="159"/>
      <c r="AC30" s="160"/>
      <c r="AD30" s="150"/>
      <c r="AE30" s="8" t="s">
        <v>1033</v>
      </c>
      <c r="AF30" s="206"/>
      <c r="AG30" s="159"/>
      <c r="AH30" s="160"/>
      <c r="AI30" s="150"/>
      <c r="AJ30" s="8" t="s">
        <v>1033</v>
      </c>
      <c r="AK30" s="206"/>
      <c r="AL30" s="159"/>
      <c r="AM30" s="160"/>
      <c r="AN30" s="150"/>
      <c r="AO30" s="8" t="s">
        <v>1033</v>
      </c>
      <c r="AP30" s="206"/>
      <c r="AQ30" s="159"/>
      <c r="AR30" s="160"/>
      <c r="AS30" s="150"/>
      <c r="AT30" s="8" t="s">
        <v>1033</v>
      </c>
      <c r="AU30" s="206"/>
      <c r="AV30" s="159"/>
      <c r="AW30" s="160"/>
      <c r="AX30" s="150"/>
      <c r="AY30" s="8" t="s">
        <v>1033</v>
      </c>
      <c r="AZ30" s="206"/>
      <c r="BA30" s="159"/>
      <c r="BB30" s="160"/>
      <c r="BC30" s="150"/>
      <c r="BD30" s="8" t="s">
        <v>1033</v>
      </c>
      <c r="BE30" s="206"/>
      <c r="BF30" s="159"/>
      <c r="BG30" s="160"/>
      <c r="BH30" s="150"/>
      <c r="BI30" s="8" t="s">
        <v>1033</v>
      </c>
      <c r="BJ30" s="206"/>
      <c r="BK30" s="159"/>
      <c r="BL30" s="160"/>
      <c r="BM30" s="150"/>
    </row>
    <row r="31" spans="1:65" customFormat="1" x14ac:dyDescent="0.25">
      <c r="A31" s="2"/>
      <c r="B31" s="157" t="s">
        <v>978</v>
      </c>
      <c r="C31" s="159">
        <v>2270</v>
      </c>
      <c r="D31" s="158">
        <v>7.17</v>
      </c>
      <c r="E31" s="150">
        <f>C31*D31</f>
        <v>16275.9</v>
      </c>
      <c r="F31" s="2"/>
      <c r="G31" s="157" t="s">
        <v>978</v>
      </c>
      <c r="H31" s="159">
        <v>2270</v>
      </c>
      <c r="I31" s="158">
        <v>7.17</v>
      </c>
      <c r="J31" s="150">
        <f>H31*I31</f>
        <v>16275.9</v>
      </c>
      <c r="K31" s="2"/>
      <c r="L31" s="157" t="s">
        <v>978</v>
      </c>
      <c r="M31" s="159">
        <v>2270</v>
      </c>
      <c r="N31" s="158">
        <v>7.17</v>
      </c>
      <c r="O31" s="150">
        <f>M31*N31</f>
        <v>16275.9</v>
      </c>
      <c r="P31" s="2"/>
      <c r="Q31" s="157" t="s">
        <v>978</v>
      </c>
      <c r="R31" s="159">
        <v>2270</v>
      </c>
      <c r="S31" s="158">
        <v>7.17</v>
      </c>
      <c r="T31" s="150">
        <f>R31*S31</f>
        <v>16275.9</v>
      </c>
      <c r="U31" s="2"/>
      <c r="V31" s="157" t="s">
        <v>978</v>
      </c>
      <c r="W31" s="159">
        <v>2270</v>
      </c>
      <c r="X31" s="158">
        <v>7.17</v>
      </c>
      <c r="Y31" s="150">
        <f>W31*X31</f>
        <v>16275.9</v>
      </c>
      <c r="Z31" s="2"/>
      <c r="AA31" s="157" t="s">
        <v>978</v>
      </c>
      <c r="AB31" s="159">
        <v>2270</v>
      </c>
      <c r="AC31" s="158">
        <v>7.17</v>
      </c>
      <c r="AD31" s="150">
        <f>AB31*AC31</f>
        <v>16275.9</v>
      </c>
      <c r="AE31" s="2"/>
      <c r="AF31" s="157" t="s">
        <v>978</v>
      </c>
      <c r="AG31" s="159">
        <v>2270</v>
      </c>
      <c r="AH31" s="158">
        <v>7.17</v>
      </c>
      <c r="AI31" s="150">
        <f>AG31*AH31</f>
        <v>16275.9</v>
      </c>
      <c r="AJ31" s="2"/>
      <c r="AK31" s="157" t="s">
        <v>978</v>
      </c>
      <c r="AL31" s="159">
        <v>2270</v>
      </c>
      <c r="AM31" s="158">
        <v>7.17</v>
      </c>
      <c r="AN31" s="150">
        <f>AL31*AM31</f>
        <v>16275.9</v>
      </c>
      <c r="AO31" s="2"/>
      <c r="AP31" s="157" t="s">
        <v>978</v>
      </c>
      <c r="AQ31" s="159">
        <v>2270</v>
      </c>
      <c r="AR31" s="158">
        <v>7.17</v>
      </c>
      <c r="AS31" s="150">
        <f>AQ31*AR31</f>
        <v>16275.9</v>
      </c>
      <c r="AT31" s="2"/>
      <c r="AU31" s="157" t="s">
        <v>978</v>
      </c>
      <c r="AV31" s="159">
        <v>2270</v>
      </c>
      <c r="AW31" s="158">
        <v>7.17</v>
      </c>
      <c r="AX31" s="150">
        <f>AV31*AW31</f>
        <v>16275.9</v>
      </c>
      <c r="AY31" s="2"/>
      <c r="AZ31" s="157" t="s">
        <v>978</v>
      </c>
      <c r="BA31" s="159">
        <v>2270</v>
      </c>
      <c r="BB31" s="158">
        <v>7.17</v>
      </c>
      <c r="BC31" s="150">
        <f>BA31*BB31</f>
        <v>16275.9</v>
      </c>
      <c r="BD31" s="2"/>
      <c r="BE31" s="157" t="s">
        <v>978</v>
      </c>
      <c r="BF31" s="159">
        <v>2270</v>
      </c>
      <c r="BG31" s="158">
        <v>7.17</v>
      </c>
      <c r="BH31" s="150">
        <f>BF31*BG31</f>
        <v>16275.9</v>
      </c>
      <c r="BI31" s="2"/>
      <c r="BJ31" s="157" t="s">
        <v>978</v>
      </c>
      <c r="BK31" s="148">
        <f t="shared" ref="BK31" si="44">C31+H31+M31+R31+W31+AB31+AG31+AL31+AQ31+AV31+BA31+BF31</f>
        <v>27240</v>
      </c>
      <c r="BL31" s="216">
        <f t="shared" ref="BL31" si="45">E31+J31+O31+T31+Y31+AD31+AI31+AN31+AS31+AX31+BC31+BH31</f>
        <v>195310.79999999996</v>
      </c>
      <c r="BM31" s="150"/>
    </row>
    <row r="32" spans="1:65" customFormat="1" x14ac:dyDescent="0.25">
      <c r="A32" s="2"/>
      <c r="B32" s="157" t="s">
        <v>979</v>
      </c>
      <c r="C32" s="159">
        <v>0</v>
      </c>
      <c r="D32" s="158">
        <v>9.98</v>
      </c>
      <c r="E32" s="150">
        <f t="shared" ref="E32:E34" si="46">C32*D32</f>
        <v>0</v>
      </c>
      <c r="F32" s="2"/>
      <c r="G32" s="157" t="s">
        <v>979</v>
      </c>
      <c r="H32" s="159">
        <v>0</v>
      </c>
      <c r="I32" s="158">
        <v>9.98</v>
      </c>
      <c r="J32" s="150">
        <f t="shared" ref="J32:J34" si="47">H32*I32</f>
        <v>0</v>
      </c>
      <c r="K32" s="2"/>
      <c r="L32" s="157" t="s">
        <v>979</v>
      </c>
      <c r="M32" s="159">
        <v>0</v>
      </c>
      <c r="N32" s="158">
        <v>9.98</v>
      </c>
      <c r="O32" s="150">
        <f t="shared" ref="O32:O34" si="48">M32*N32</f>
        <v>0</v>
      </c>
      <c r="P32" s="2"/>
      <c r="Q32" s="157" t="s">
        <v>979</v>
      </c>
      <c r="R32" s="159">
        <v>0</v>
      </c>
      <c r="S32" s="158">
        <v>9.98</v>
      </c>
      <c r="T32" s="150">
        <f t="shared" ref="T32:T34" si="49">R32*S32</f>
        <v>0</v>
      </c>
      <c r="U32" s="2"/>
      <c r="V32" s="157" t="s">
        <v>979</v>
      </c>
      <c r="W32" s="159">
        <v>0</v>
      </c>
      <c r="X32" s="158">
        <v>9.98</v>
      </c>
      <c r="Y32" s="150">
        <f t="shared" ref="Y32:Y34" si="50">W32*X32</f>
        <v>0</v>
      </c>
      <c r="Z32" s="2"/>
      <c r="AA32" s="157" t="s">
        <v>979</v>
      </c>
      <c r="AB32" s="159">
        <v>0</v>
      </c>
      <c r="AC32" s="158">
        <v>9.98</v>
      </c>
      <c r="AD32" s="150">
        <f t="shared" ref="AD32:AD34" si="51">AB32*AC32</f>
        <v>0</v>
      </c>
      <c r="AE32" s="2"/>
      <c r="AF32" s="157" t="s">
        <v>979</v>
      </c>
      <c r="AG32" s="159">
        <v>0</v>
      </c>
      <c r="AH32" s="158">
        <v>9.98</v>
      </c>
      <c r="AI32" s="150">
        <f t="shared" ref="AI32:AI34" si="52">AG32*AH32</f>
        <v>0</v>
      </c>
      <c r="AJ32" s="2"/>
      <c r="AK32" s="157" t="s">
        <v>979</v>
      </c>
      <c r="AL32" s="159">
        <v>0</v>
      </c>
      <c r="AM32" s="158">
        <v>9.98</v>
      </c>
      <c r="AN32" s="150">
        <f t="shared" ref="AN32:AN34" si="53">AL32*AM32</f>
        <v>0</v>
      </c>
      <c r="AO32" s="2"/>
      <c r="AP32" s="157" t="s">
        <v>979</v>
      </c>
      <c r="AQ32" s="159">
        <v>0</v>
      </c>
      <c r="AR32" s="158">
        <v>9.98</v>
      </c>
      <c r="AS32" s="150">
        <f t="shared" ref="AS32:AS34" si="54">AQ32*AR32</f>
        <v>0</v>
      </c>
      <c r="AT32" s="2"/>
      <c r="AU32" s="157" t="s">
        <v>979</v>
      </c>
      <c r="AV32" s="159">
        <v>0</v>
      </c>
      <c r="AW32" s="158">
        <v>9.98</v>
      </c>
      <c r="AX32" s="150">
        <f t="shared" ref="AX32:AX34" si="55">AV32*AW32</f>
        <v>0</v>
      </c>
      <c r="AY32" s="2"/>
      <c r="AZ32" s="157" t="s">
        <v>979</v>
      </c>
      <c r="BA32" s="159">
        <v>0</v>
      </c>
      <c r="BB32" s="158">
        <v>9.98</v>
      </c>
      <c r="BC32" s="150">
        <f t="shared" ref="BC32:BC34" si="56">BA32*BB32</f>
        <v>0</v>
      </c>
      <c r="BD32" s="2"/>
      <c r="BE32" s="157" t="s">
        <v>979</v>
      </c>
      <c r="BF32" s="159">
        <v>0</v>
      </c>
      <c r="BG32" s="158">
        <v>9.98</v>
      </c>
      <c r="BH32" s="150">
        <f t="shared" ref="BH32:BH34" si="57">BF32*BG32</f>
        <v>0</v>
      </c>
      <c r="BI32" s="2"/>
      <c r="BJ32" s="157" t="s">
        <v>979</v>
      </c>
      <c r="BK32" s="148">
        <f t="shared" ref="BK32:BK34" si="58">C32+H32+M32+R32+W32+AB32+AG32+AL32+AQ32+AV32+BA32+BF32</f>
        <v>0</v>
      </c>
      <c r="BL32" s="216">
        <f t="shared" ref="BL32:BL35" si="59">E32+J32+O32+T32+Y32+AD32+AI32+AN32+AS32+AX32+BC32+BH32</f>
        <v>0</v>
      </c>
      <c r="BM32" s="150"/>
    </row>
    <row r="33" spans="1:65" customFormat="1" x14ac:dyDescent="0.25">
      <c r="A33" s="2"/>
      <c r="B33" s="157" t="s">
        <v>995</v>
      </c>
      <c r="C33" s="159">
        <v>1042569</v>
      </c>
      <c r="D33" s="160">
        <v>4.0502000000000003E-2</v>
      </c>
      <c r="E33" s="150">
        <f t="shared" si="46"/>
        <v>42226.129638000006</v>
      </c>
      <c r="F33" s="2"/>
      <c r="G33" s="157" t="s">
        <v>995</v>
      </c>
      <c r="H33" s="159">
        <v>977690</v>
      </c>
      <c r="I33" s="160">
        <v>3.8982000000000003E-2</v>
      </c>
      <c r="J33" s="150">
        <f t="shared" si="47"/>
        <v>38112.311580000001</v>
      </c>
      <c r="K33" s="2"/>
      <c r="L33" s="157" t="s">
        <v>995</v>
      </c>
      <c r="M33" s="159">
        <v>1040177</v>
      </c>
      <c r="N33" s="160">
        <v>3.8982000000000003E-2</v>
      </c>
      <c r="O33" s="150">
        <f t="shared" si="48"/>
        <v>40548.179814000003</v>
      </c>
      <c r="P33" s="2"/>
      <c r="Q33" s="157" t="s">
        <v>995</v>
      </c>
      <c r="R33" s="159">
        <v>1071541</v>
      </c>
      <c r="S33" s="160">
        <v>4.0502000000000003E-2</v>
      </c>
      <c r="T33" s="150">
        <f t="shared" si="49"/>
        <v>43399.553582</v>
      </c>
      <c r="U33" s="2"/>
      <c r="V33" s="157" t="s">
        <v>995</v>
      </c>
      <c r="W33" s="159">
        <v>1073846</v>
      </c>
      <c r="X33" s="160">
        <v>4.0502000000000003E-2</v>
      </c>
      <c r="Y33" s="150">
        <f t="shared" si="50"/>
        <v>43492.910692000005</v>
      </c>
      <c r="Z33" s="2"/>
      <c r="AA33" s="157" t="s">
        <v>995</v>
      </c>
      <c r="AB33" s="159">
        <v>1008970</v>
      </c>
      <c r="AC33" s="160">
        <v>4.0502000000000003E-2</v>
      </c>
      <c r="AD33" s="150">
        <f t="shared" si="51"/>
        <v>40865.302940000001</v>
      </c>
      <c r="AE33" s="2"/>
      <c r="AF33" s="157" t="s">
        <v>995</v>
      </c>
      <c r="AG33" s="159">
        <v>1055054</v>
      </c>
      <c r="AH33" s="160">
        <v>4.0502000000000003E-2</v>
      </c>
      <c r="AI33" s="150">
        <f t="shared" si="52"/>
        <v>42731.797108000006</v>
      </c>
      <c r="AJ33" s="2"/>
      <c r="AK33" s="157" t="s">
        <v>995</v>
      </c>
      <c r="AL33" s="159">
        <v>1058106</v>
      </c>
      <c r="AM33" s="160">
        <v>4.0502000000000003E-2</v>
      </c>
      <c r="AN33" s="150">
        <f t="shared" si="53"/>
        <v>42855.409212000006</v>
      </c>
      <c r="AO33" s="2"/>
      <c r="AP33" s="157" t="s">
        <v>995</v>
      </c>
      <c r="AQ33" s="159">
        <v>966682</v>
      </c>
      <c r="AR33" s="160">
        <v>4.0502000000000003E-2</v>
      </c>
      <c r="AS33" s="150">
        <f t="shared" si="54"/>
        <v>39152.554364000003</v>
      </c>
      <c r="AT33" s="2"/>
      <c r="AU33" s="157" t="s">
        <v>995</v>
      </c>
      <c r="AV33" s="159">
        <v>1094204</v>
      </c>
      <c r="AW33" s="160">
        <v>4.0502000000000003E-2</v>
      </c>
      <c r="AX33" s="150">
        <f t="shared" si="55"/>
        <v>44317.450408000004</v>
      </c>
      <c r="AY33" s="2"/>
      <c r="AZ33" s="157" t="s">
        <v>995</v>
      </c>
      <c r="BA33" s="159">
        <v>883805</v>
      </c>
      <c r="BB33" s="160">
        <v>4.0502000000000003E-2</v>
      </c>
      <c r="BC33" s="150">
        <f t="shared" si="56"/>
        <v>35795.870110000003</v>
      </c>
      <c r="BD33" s="2"/>
      <c r="BE33" s="157" t="s">
        <v>995</v>
      </c>
      <c r="BF33" s="159">
        <v>924954</v>
      </c>
      <c r="BG33" s="160">
        <v>4.0502000000000003E-2</v>
      </c>
      <c r="BH33" s="150">
        <f t="shared" si="57"/>
        <v>37462.486908000006</v>
      </c>
      <c r="BI33" s="2"/>
      <c r="BJ33" s="157" t="s">
        <v>995</v>
      </c>
      <c r="BK33" s="148">
        <f t="shared" si="58"/>
        <v>12197598</v>
      </c>
      <c r="BL33" s="216">
        <f t="shared" si="59"/>
        <v>490959.9563560001</v>
      </c>
      <c r="BM33" s="150"/>
    </row>
    <row r="34" spans="1:65" customFormat="1" x14ac:dyDescent="0.25">
      <c r="A34" s="2"/>
      <c r="B34" s="157" t="s">
        <v>996</v>
      </c>
      <c r="C34" s="159"/>
      <c r="D34" s="160">
        <f>0.040502-0.02776</f>
        <v>1.2742000000000003E-2</v>
      </c>
      <c r="E34" s="150">
        <f t="shared" si="46"/>
        <v>0</v>
      </c>
      <c r="F34" s="2"/>
      <c r="G34" s="157" t="s">
        <v>996</v>
      </c>
      <c r="H34" s="159"/>
      <c r="I34" s="160">
        <f>I33-0.02624</f>
        <v>1.2742000000000003E-2</v>
      </c>
      <c r="J34" s="150">
        <f t="shared" si="47"/>
        <v>0</v>
      </c>
      <c r="K34" s="2"/>
      <c r="L34" s="157" t="s">
        <v>996</v>
      </c>
      <c r="M34" s="159"/>
      <c r="N34" s="160">
        <f>N33-0.02624</f>
        <v>1.2742000000000003E-2</v>
      </c>
      <c r="O34" s="150">
        <f t="shared" si="48"/>
        <v>0</v>
      </c>
      <c r="P34" s="2"/>
      <c r="Q34" s="157" t="s">
        <v>996</v>
      </c>
      <c r="R34" s="159"/>
      <c r="S34" s="160">
        <f>0.040502-0.02776</f>
        <v>1.2742000000000003E-2</v>
      </c>
      <c r="T34" s="150">
        <f t="shared" si="49"/>
        <v>0</v>
      </c>
      <c r="U34" s="2"/>
      <c r="V34" s="157" t="s">
        <v>996</v>
      </c>
      <c r="W34" s="159"/>
      <c r="X34" s="160">
        <f>0.040502-0.02776</f>
        <v>1.2742000000000003E-2</v>
      </c>
      <c r="Y34" s="150">
        <f t="shared" si="50"/>
        <v>0</v>
      </c>
      <c r="Z34" s="2"/>
      <c r="AA34" s="157" t="s">
        <v>996</v>
      </c>
      <c r="AB34" s="159"/>
      <c r="AC34" s="160">
        <f>0.040502-0.02776</f>
        <v>1.2742000000000003E-2</v>
      </c>
      <c r="AD34" s="150">
        <f t="shared" si="51"/>
        <v>0</v>
      </c>
      <c r="AE34" s="2"/>
      <c r="AF34" s="157" t="s">
        <v>996</v>
      </c>
      <c r="AG34" s="159"/>
      <c r="AH34" s="160">
        <f>0.040502-0.02776</f>
        <v>1.2742000000000003E-2</v>
      </c>
      <c r="AI34" s="150">
        <f t="shared" si="52"/>
        <v>0</v>
      </c>
      <c r="AJ34" s="2"/>
      <c r="AK34" s="157" t="s">
        <v>996</v>
      </c>
      <c r="AL34" s="159"/>
      <c r="AM34" s="160">
        <f>0.040502-0.02776</f>
        <v>1.2742000000000003E-2</v>
      </c>
      <c r="AN34" s="150">
        <f t="shared" si="53"/>
        <v>0</v>
      </c>
      <c r="AO34" s="2"/>
      <c r="AP34" s="157" t="s">
        <v>996</v>
      </c>
      <c r="AQ34" s="159"/>
      <c r="AR34" s="160">
        <f>0.040502-0.02776</f>
        <v>1.2742000000000003E-2</v>
      </c>
      <c r="AS34" s="150">
        <f t="shared" si="54"/>
        <v>0</v>
      </c>
      <c r="AT34" s="2"/>
      <c r="AU34" s="157" t="s">
        <v>996</v>
      </c>
      <c r="AV34" s="159"/>
      <c r="AW34" s="160">
        <f>0.040502-0.02776</f>
        <v>1.2742000000000003E-2</v>
      </c>
      <c r="AX34" s="150">
        <f t="shared" si="55"/>
        <v>0</v>
      </c>
      <c r="AY34" s="2"/>
      <c r="AZ34" s="157" t="s">
        <v>996</v>
      </c>
      <c r="BA34" s="159">
        <f>908000-BA33</f>
        <v>24195</v>
      </c>
      <c r="BB34" s="160">
        <f>0.040502-0.02776</f>
        <v>1.2742000000000003E-2</v>
      </c>
      <c r="BC34" s="150">
        <f t="shared" si="56"/>
        <v>308.29269000000011</v>
      </c>
      <c r="BD34" s="2"/>
      <c r="BE34" s="157" t="s">
        <v>996</v>
      </c>
      <c r="BF34" s="159">
        <f>924954-BF33</f>
        <v>0</v>
      </c>
      <c r="BG34" s="160">
        <f>0.040502-0.02776</f>
        <v>1.2742000000000003E-2</v>
      </c>
      <c r="BH34" s="150">
        <f t="shared" si="57"/>
        <v>0</v>
      </c>
      <c r="BI34" s="2"/>
      <c r="BJ34" s="157" t="s">
        <v>996</v>
      </c>
      <c r="BK34" s="148">
        <f t="shared" si="58"/>
        <v>24195</v>
      </c>
      <c r="BL34" s="216">
        <f t="shared" si="59"/>
        <v>308.29269000000011</v>
      </c>
      <c r="BM34" s="150"/>
    </row>
    <row r="35" spans="1:65" customFormat="1" x14ac:dyDescent="0.25">
      <c r="A35" s="2"/>
      <c r="B35" s="157" t="s">
        <v>984</v>
      </c>
      <c r="C35" s="159"/>
      <c r="D35" s="160"/>
      <c r="E35" s="150">
        <v>-5328</v>
      </c>
      <c r="F35" s="2"/>
      <c r="G35" s="157" t="s">
        <v>984</v>
      </c>
      <c r="H35" s="159"/>
      <c r="I35" s="160"/>
      <c r="J35" s="150">
        <v>-6394</v>
      </c>
      <c r="K35" s="2"/>
      <c r="L35" s="157" t="s">
        <v>984</v>
      </c>
      <c r="M35" s="159"/>
      <c r="N35" s="160"/>
      <c r="O35" s="150">
        <v>-8124</v>
      </c>
      <c r="P35" s="2"/>
      <c r="Q35" s="157" t="s">
        <v>984</v>
      </c>
      <c r="R35" s="159"/>
      <c r="S35" s="160"/>
      <c r="T35" s="150">
        <v>-1789</v>
      </c>
      <c r="U35" s="2"/>
      <c r="V35" s="157" t="s">
        <v>984</v>
      </c>
      <c r="W35" s="159"/>
      <c r="X35" s="160"/>
      <c r="Y35" s="150">
        <v>-4038</v>
      </c>
      <c r="Z35" s="2"/>
      <c r="AA35" s="157" t="s">
        <v>984</v>
      </c>
      <c r="AB35" s="159"/>
      <c r="AC35" s="160"/>
      <c r="AD35" s="150">
        <v>-3521</v>
      </c>
      <c r="AE35" s="2"/>
      <c r="AF35" s="157" t="s">
        <v>984</v>
      </c>
      <c r="AG35" s="159"/>
      <c r="AH35" s="160"/>
      <c r="AI35" s="150">
        <v>-5096</v>
      </c>
      <c r="AJ35" s="2"/>
      <c r="AK35" s="157" t="s">
        <v>984</v>
      </c>
      <c r="AL35" s="159"/>
      <c r="AM35" s="160"/>
      <c r="AN35" s="150">
        <v>-5534</v>
      </c>
      <c r="AO35" s="2"/>
      <c r="AP35" s="157" t="s">
        <v>984</v>
      </c>
      <c r="AQ35" s="159"/>
      <c r="AR35" s="160"/>
      <c r="AS35" s="150">
        <v>-5916</v>
      </c>
      <c r="AT35" s="2"/>
      <c r="AU35" s="157" t="s">
        <v>984</v>
      </c>
      <c r="AV35" s="159"/>
      <c r="AW35" s="160"/>
      <c r="AX35" s="150">
        <v>-5171</v>
      </c>
      <c r="AY35" s="2"/>
      <c r="AZ35" s="157" t="s">
        <v>984</v>
      </c>
      <c r="BA35" s="159"/>
      <c r="BB35" s="160"/>
      <c r="BC35" s="150">
        <v>-5824</v>
      </c>
      <c r="BD35" s="2"/>
      <c r="BE35" s="157" t="s">
        <v>984</v>
      </c>
      <c r="BF35" s="159"/>
      <c r="BG35" s="160"/>
      <c r="BH35" s="150">
        <v>-1101</v>
      </c>
      <c r="BI35" s="2"/>
      <c r="BJ35" s="157" t="s">
        <v>984</v>
      </c>
      <c r="BK35" s="148"/>
      <c r="BL35" s="216">
        <f t="shared" si="59"/>
        <v>-57836</v>
      </c>
      <c r="BM35" s="150"/>
    </row>
    <row r="36" spans="1:65" customFormat="1" x14ac:dyDescent="0.25">
      <c r="A36" s="2"/>
      <c r="B36" s="157"/>
      <c r="C36" s="159"/>
      <c r="D36" s="160"/>
      <c r="E36" s="150"/>
      <c r="F36" s="2"/>
      <c r="G36" s="157"/>
      <c r="H36" s="159"/>
      <c r="I36" s="160"/>
      <c r="J36" s="150"/>
      <c r="K36" s="2"/>
      <c r="L36" s="157"/>
      <c r="M36" s="159"/>
      <c r="N36" s="160"/>
      <c r="O36" s="150"/>
      <c r="P36" s="2"/>
      <c r="Q36" s="157"/>
      <c r="R36" s="159"/>
      <c r="S36" s="160"/>
      <c r="T36" s="150"/>
      <c r="U36" s="2"/>
      <c r="V36" s="157"/>
      <c r="W36" s="159"/>
      <c r="X36" s="160"/>
      <c r="Y36" s="150"/>
      <c r="Z36" s="2"/>
      <c r="AA36" s="157"/>
      <c r="AB36" s="159"/>
      <c r="AC36" s="160"/>
      <c r="AD36" s="150"/>
      <c r="AE36" s="2"/>
      <c r="AF36" s="157"/>
      <c r="AG36" s="159"/>
      <c r="AH36" s="160"/>
      <c r="AI36" s="150"/>
      <c r="AJ36" s="2"/>
      <c r="AK36" s="157"/>
      <c r="AL36" s="159"/>
      <c r="AM36" s="160"/>
      <c r="AN36" s="150"/>
      <c r="AO36" s="2"/>
      <c r="AP36" s="157"/>
      <c r="AQ36" s="159"/>
      <c r="AR36" s="160"/>
      <c r="AS36" s="150"/>
      <c r="AT36" s="2"/>
      <c r="AU36" s="157"/>
      <c r="AV36" s="159"/>
      <c r="AW36" s="160"/>
      <c r="AX36" s="150"/>
      <c r="AY36" s="2"/>
      <c r="AZ36" s="157"/>
      <c r="BA36" s="159"/>
      <c r="BB36" s="160"/>
      <c r="BC36" s="150"/>
      <c r="BD36" s="2"/>
      <c r="BE36" s="157"/>
      <c r="BF36" s="159"/>
      <c r="BG36" s="160"/>
      <c r="BH36" s="150"/>
      <c r="BI36" s="2"/>
      <c r="BJ36" s="157"/>
      <c r="BK36" s="159"/>
      <c r="BL36" s="160"/>
      <c r="BM36" s="150"/>
    </row>
    <row r="37" spans="1:65" customFormat="1" x14ac:dyDescent="0.25">
      <c r="A37" s="8" t="s">
        <v>1034</v>
      </c>
      <c r="B37" s="206"/>
      <c r="C37" s="159"/>
      <c r="D37" s="160"/>
      <c r="E37" s="150"/>
      <c r="F37" s="8" t="s">
        <v>1034</v>
      </c>
      <c r="G37" s="206"/>
      <c r="H37" s="159"/>
      <c r="I37" s="160"/>
      <c r="J37" s="150"/>
      <c r="K37" s="8" t="s">
        <v>1034</v>
      </c>
      <c r="L37" s="206"/>
      <c r="M37" s="159"/>
      <c r="N37" s="160"/>
      <c r="O37" s="150"/>
      <c r="P37" s="8" t="s">
        <v>1034</v>
      </c>
      <c r="Q37" s="206"/>
      <c r="R37" s="159"/>
      <c r="S37" s="160"/>
      <c r="T37" s="150"/>
      <c r="U37" s="8" t="s">
        <v>1034</v>
      </c>
      <c r="V37" s="206"/>
      <c r="W37" s="159"/>
      <c r="X37" s="160"/>
      <c r="Y37" s="150"/>
      <c r="Z37" s="8" t="s">
        <v>1034</v>
      </c>
      <c r="AA37" s="206"/>
      <c r="AB37" s="159"/>
      <c r="AC37" s="160"/>
      <c r="AD37" s="150"/>
      <c r="AE37" s="8" t="s">
        <v>1034</v>
      </c>
      <c r="AF37" s="206"/>
      <c r="AG37" s="159"/>
      <c r="AH37" s="160"/>
      <c r="AI37" s="150"/>
      <c r="AJ37" s="8" t="s">
        <v>1034</v>
      </c>
      <c r="AK37" s="206"/>
      <c r="AL37" s="159"/>
      <c r="AM37" s="160"/>
      <c r="AN37" s="150"/>
      <c r="AO37" s="8" t="s">
        <v>1034</v>
      </c>
      <c r="AP37" s="206"/>
      <c r="AQ37" s="159"/>
      <c r="AR37" s="160"/>
      <c r="AS37" s="150"/>
      <c r="AT37" s="8" t="s">
        <v>1034</v>
      </c>
      <c r="AU37" s="206"/>
      <c r="AV37" s="159"/>
      <c r="AW37" s="160"/>
      <c r="AX37" s="150"/>
      <c r="AY37" s="8" t="s">
        <v>1034</v>
      </c>
      <c r="AZ37" s="206"/>
      <c r="BA37" s="159"/>
      <c r="BB37" s="160"/>
      <c r="BC37" s="150"/>
      <c r="BD37" s="8" t="s">
        <v>1034</v>
      </c>
      <c r="BE37" s="206"/>
      <c r="BF37" s="159"/>
      <c r="BG37" s="160"/>
      <c r="BH37" s="150"/>
      <c r="BI37" s="8" t="s">
        <v>1034</v>
      </c>
      <c r="BJ37" s="206"/>
      <c r="BK37" s="159"/>
      <c r="BL37" s="160"/>
      <c r="BM37" s="150"/>
    </row>
    <row r="38" spans="1:65" customFormat="1" x14ac:dyDescent="0.25">
      <c r="A38" s="2"/>
      <c r="B38" s="157" t="s">
        <v>978</v>
      </c>
      <c r="C38" s="159">
        <v>1450</v>
      </c>
      <c r="D38" s="158">
        <v>7.17</v>
      </c>
      <c r="E38" s="150">
        <f>C38*D38</f>
        <v>10396.5</v>
      </c>
      <c r="F38" s="2"/>
      <c r="G38" s="157" t="s">
        <v>978</v>
      </c>
      <c r="H38" s="159">
        <v>1450</v>
      </c>
      <c r="I38" s="158">
        <v>7.17</v>
      </c>
      <c r="J38" s="150">
        <f>H38*I38</f>
        <v>10396.5</v>
      </c>
      <c r="K38" s="2"/>
      <c r="L38" s="157" t="s">
        <v>978</v>
      </c>
      <c r="M38" s="159">
        <v>1450</v>
      </c>
      <c r="N38" s="158">
        <v>7.17</v>
      </c>
      <c r="O38" s="150">
        <f>M38*N38</f>
        <v>10396.5</v>
      </c>
      <c r="P38" s="2"/>
      <c r="Q38" s="157" t="s">
        <v>978</v>
      </c>
      <c r="R38" s="159">
        <v>1450</v>
      </c>
      <c r="S38" s="158">
        <v>7.17</v>
      </c>
      <c r="T38" s="150">
        <f>R38*S38</f>
        <v>10396.5</v>
      </c>
      <c r="U38" s="2"/>
      <c r="V38" s="157" t="s">
        <v>978</v>
      </c>
      <c r="W38" s="159">
        <v>1450</v>
      </c>
      <c r="X38" s="158">
        <v>7.17</v>
      </c>
      <c r="Y38" s="150">
        <f>W38*X38</f>
        <v>10396.5</v>
      </c>
      <c r="Z38" s="2"/>
      <c r="AA38" s="157" t="s">
        <v>978</v>
      </c>
      <c r="AB38" s="159">
        <v>1450</v>
      </c>
      <c r="AC38" s="158">
        <v>7.17</v>
      </c>
      <c r="AD38" s="150">
        <f>AB38*AC38</f>
        <v>10396.5</v>
      </c>
      <c r="AE38" s="2"/>
      <c r="AF38" s="157" t="s">
        <v>978</v>
      </c>
      <c r="AG38" s="159">
        <v>1450</v>
      </c>
      <c r="AH38" s="158">
        <v>7.17</v>
      </c>
      <c r="AI38" s="150">
        <f>AG38*AH38</f>
        <v>10396.5</v>
      </c>
      <c r="AJ38" s="2"/>
      <c r="AK38" s="157" t="s">
        <v>978</v>
      </c>
      <c r="AL38" s="159">
        <v>1450</v>
      </c>
      <c r="AM38" s="158">
        <v>7.17</v>
      </c>
      <c r="AN38" s="150">
        <f>AL38*AM38</f>
        <v>10396.5</v>
      </c>
      <c r="AO38" s="2"/>
      <c r="AP38" s="157" t="s">
        <v>978</v>
      </c>
      <c r="AQ38" s="159">
        <v>1450</v>
      </c>
      <c r="AR38" s="158">
        <v>7.17</v>
      </c>
      <c r="AS38" s="150">
        <f>AQ38*AR38</f>
        <v>10396.5</v>
      </c>
      <c r="AT38" s="2"/>
      <c r="AU38" s="157" t="s">
        <v>978</v>
      </c>
      <c r="AV38" s="159">
        <v>1450</v>
      </c>
      <c r="AW38" s="158">
        <v>7.17</v>
      </c>
      <c r="AX38" s="150">
        <f>AV38*AW38</f>
        <v>10396.5</v>
      </c>
      <c r="AY38" s="2"/>
      <c r="AZ38" s="157" t="s">
        <v>978</v>
      </c>
      <c r="BA38" s="159">
        <v>1450</v>
      </c>
      <c r="BB38" s="158">
        <v>7.17</v>
      </c>
      <c r="BC38" s="150">
        <f>BA38*BB38</f>
        <v>10396.5</v>
      </c>
      <c r="BD38" s="2"/>
      <c r="BE38" s="157" t="s">
        <v>978</v>
      </c>
      <c r="BF38" s="159">
        <v>1450</v>
      </c>
      <c r="BG38" s="158">
        <v>7.17</v>
      </c>
      <c r="BH38" s="150">
        <f>BF38*BG38</f>
        <v>10396.5</v>
      </c>
      <c r="BI38" s="2"/>
      <c r="BJ38" s="157" t="s">
        <v>978</v>
      </c>
      <c r="BK38" s="148">
        <f t="shared" ref="BK38" si="60">C38+H38+M38+R38+W38+AB38+AG38+AL38+AQ38+AV38+BA38+BF38</f>
        <v>17400</v>
      </c>
      <c r="BL38" s="216">
        <f t="shared" ref="BL38" si="61">E38+J38+O38+T38+Y38+AD38+AI38+AN38+AS38+AX38+BC38+BH38</f>
        <v>124758</v>
      </c>
      <c r="BM38" s="150"/>
    </row>
    <row r="39" spans="1:65" customFormat="1" x14ac:dyDescent="0.25">
      <c r="A39" s="2"/>
      <c r="B39" s="157" t="s">
        <v>979</v>
      </c>
      <c r="C39" s="159">
        <f>1836-C38</f>
        <v>386</v>
      </c>
      <c r="D39" s="158">
        <v>9.98</v>
      </c>
      <c r="E39" s="150">
        <f t="shared" ref="E39:E41" si="62">C39*D39</f>
        <v>3852.28</v>
      </c>
      <c r="F39" s="2"/>
      <c r="G39" s="157" t="s">
        <v>979</v>
      </c>
      <c r="H39" s="159">
        <f>1450-H38</f>
        <v>0</v>
      </c>
      <c r="I39" s="158">
        <v>9.98</v>
      </c>
      <c r="J39" s="150">
        <f t="shared" ref="J39:J41" si="63">H39*I39</f>
        <v>0</v>
      </c>
      <c r="K39" s="2"/>
      <c r="L39" s="157" t="s">
        <v>979</v>
      </c>
      <c r="M39" s="159">
        <f>1450-M38</f>
        <v>0</v>
      </c>
      <c r="N39" s="158">
        <v>9.98</v>
      </c>
      <c r="O39" s="150">
        <f t="shared" ref="O39:O41" si="64">M39*N39</f>
        <v>0</v>
      </c>
      <c r="P39" s="2"/>
      <c r="Q39" s="157" t="s">
        <v>979</v>
      </c>
      <c r="R39" s="159">
        <f>1631-R38</f>
        <v>181</v>
      </c>
      <c r="S39" s="158">
        <v>9.98</v>
      </c>
      <c r="T39" s="150">
        <f t="shared" ref="T39:T41" si="65">R39*S39</f>
        <v>1806.38</v>
      </c>
      <c r="U39" s="2"/>
      <c r="V39" s="157" t="s">
        <v>979</v>
      </c>
      <c r="W39" s="159">
        <f>1631-W38</f>
        <v>181</v>
      </c>
      <c r="X39" s="158">
        <v>9.98</v>
      </c>
      <c r="Y39" s="150">
        <f t="shared" ref="Y39:Y41" si="66">W39*X39</f>
        <v>1806.38</v>
      </c>
      <c r="Z39" s="2"/>
      <c r="AA39" s="157" t="s">
        <v>979</v>
      </c>
      <c r="AB39" s="159">
        <f>1450-AB38</f>
        <v>0</v>
      </c>
      <c r="AC39" s="158">
        <v>9.98</v>
      </c>
      <c r="AD39" s="150">
        <f t="shared" ref="AD39:AD41" si="67">AB39*AC39</f>
        <v>0</v>
      </c>
      <c r="AE39" s="2"/>
      <c r="AF39" s="157" t="s">
        <v>979</v>
      </c>
      <c r="AG39" s="159">
        <f>1474-AG38</f>
        <v>24</v>
      </c>
      <c r="AH39" s="158">
        <v>9.98</v>
      </c>
      <c r="AI39" s="150">
        <f t="shared" ref="AI39:AI41" si="68">AG39*AH39</f>
        <v>239.52</v>
      </c>
      <c r="AJ39" s="2"/>
      <c r="AK39" s="157" t="s">
        <v>979</v>
      </c>
      <c r="AL39" s="159">
        <f>1676-AL38</f>
        <v>226</v>
      </c>
      <c r="AM39" s="158">
        <v>9.98</v>
      </c>
      <c r="AN39" s="150">
        <f t="shared" ref="AN39:AN41" si="69">AL39*AM39</f>
        <v>2255.48</v>
      </c>
      <c r="AO39" s="2"/>
      <c r="AP39" s="157" t="s">
        <v>979</v>
      </c>
      <c r="AQ39" s="159">
        <f>1835-AQ38</f>
        <v>385</v>
      </c>
      <c r="AR39" s="158">
        <v>9.98</v>
      </c>
      <c r="AS39" s="150">
        <f t="shared" ref="AS39:AS41" si="70">AQ39*AR39</f>
        <v>3842.3</v>
      </c>
      <c r="AT39" s="2"/>
      <c r="AU39" s="157" t="s">
        <v>979</v>
      </c>
      <c r="AV39" s="159">
        <f>1694-AV38</f>
        <v>244</v>
      </c>
      <c r="AW39" s="158">
        <v>9.98</v>
      </c>
      <c r="AX39" s="150">
        <f t="shared" ref="AX39:AX41" si="71">AV39*AW39</f>
        <v>2435.12</v>
      </c>
      <c r="AY39" s="2"/>
      <c r="AZ39" s="157" t="s">
        <v>979</v>
      </c>
      <c r="BA39" s="159">
        <f>1450-BA38</f>
        <v>0</v>
      </c>
      <c r="BB39" s="158">
        <v>9.98</v>
      </c>
      <c r="BC39" s="150">
        <f t="shared" ref="BC39:BC41" si="72">BA39*BB39</f>
        <v>0</v>
      </c>
      <c r="BD39" s="2"/>
      <c r="BE39" s="157" t="s">
        <v>979</v>
      </c>
      <c r="BF39" s="159">
        <f>1450-BF38</f>
        <v>0</v>
      </c>
      <c r="BG39" s="158">
        <v>9.98</v>
      </c>
      <c r="BH39" s="150">
        <f t="shared" ref="BH39:BH41" si="73">BF39*BG39</f>
        <v>0</v>
      </c>
      <c r="BI39" s="2"/>
      <c r="BJ39" s="157" t="s">
        <v>979</v>
      </c>
      <c r="BK39" s="148">
        <f t="shared" ref="BK39:BK41" si="74">C39+H39+M39+R39+W39+AB39+AG39+AL39+AQ39+AV39+BA39+BF39</f>
        <v>1627</v>
      </c>
      <c r="BL39" s="216">
        <f t="shared" ref="BL39:BL42" si="75">E39+J39+O39+T39+Y39+AD39+AI39+AN39+AS39+AX39+BC39+BH39</f>
        <v>16237.46</v>
      </c>
      <c r="BM39" s="150"/>
    </row>
    <row r="40" spans="1:65" customFormat="1" x14ac:dyDescent="0.25">
      <c r="A40" s="2"/>
      <c r="B40" s="157" t="s">
        <v>995</v>
      </c>
      <c r="C40" s="159">
        <v>998762</v>
      </c>
      <c r="D40" s="160">
        <v>4.0502000000000003E-2</v>
      </c>
      <c r="E40" s="150">
        <f t="shared" si="62"/>
        <v>40451.858524000003</v>
      </c>
      <c r="F40" s="2"/>
      <c r="G40" s="157" t="s">
        <v>995</v>
      </c>
      <c r="H40" s="159">
        <v>908204</v>
      </c>
      <c r="I40" s="160">
        <v>3.8982000000000003E-2</v>
      </c>
      <c r="J40" s="150">
        <f t="shared" si="63"/>
        <v>35403.608328000002</v>
      </c>
      <c r="K40" s="2"/>
      <c r="L40" s="157" t="s">
        <v>995</v>
      </c>
      <c r="M40" s="159">
        <v>1007468</v>
      </c>
      <c r="N40" s="160">
        <v>3.8982000000000003E-2</v>
      </c>
      <c r="O40" s="150">
        <f t="shared" si="64"/>
        <v>39273.117576000004</v>
      </c>
      <c r="P40" s="2"/>
      <c r="Q40" s="157" t="s">
        <v>995</v>
      </c>
      <c r="R40" s="159">
        <v>912042</v>
      </c>
      <c r="S40" s="160">
        <v>4.0502000000000003E-2</v>
      </c>
      <c r="T40" s="150">
        <f t="shared" si="65"/>
        <v>36939.525084000001</v>
      </c>
      <c r="U40" s="2"/>
      <c r="V40" s="157" t="s">
        <v>995</v>
      </c>
      <c r="W40" s="159">
        <v>978775</v>
      </c>
      <c r="X40" s="160">
        <v>4.0502000000000003E-2</v>
      </c>
      <c r="Y40" s="150">
        <f t="shared" si="66"/>
        <v>39642.345050000004</v>
      </c>
      <c r="Z40" s="2"/>
      <c r="AA40" s="157" t="s">
        <v>995</v>
      </c>
      <c r="AB40" s="159">
        <v>950324</v>
      </c>
      <c r="AC40" s="160">
        <v>4.0502000000000003E-2</v>
      </c>
      <c r="AD40" s="150">
        <f t="shared" si="67"/>
        <v>38490.022648000006</v>
      </c>
      <c r="AE40" s="2"/>
      <c r="AF40" s="157" t="s">
        <v>995</v>
      </c>
      <c r="AG40" s="159">
        <v>873214</v>
      </c>
      <c r="AH40" s="160">
        <v>4.0502000000000003E-2</v>
      </c>
      <c r="AI40" s="150">
        <f t="shared" si="68"/>
        <v>35366.913428</v>
      </c>
      <c r="AJ40" s="2"/>
      <c r="AK40" s="157" t="s">
        <v>995</v>
      </c>
      <c r="AL40" s="159">
        <v>1037096</v>
      </c>
      <c r="AM40" s="160">
        <v>4.0502000000000003E-2</v>
      </c>
      <c r="AN40" s="150">
        <f t="shared" si="69"/>
        <v>42004.462192000006</v>
      </c>
      <c r="AO40" s="2"/>
      <c r="AP40" s="157" t="s">
        <v>995</v>
      </c>
      <c r="AQ40" s="159">
        <v>942898</v>
      </c>
      <c r="AR40" s="160">
        <v>4.0502000000000003E-2</v>
      </c>
      <c r="AS40" s="150">
        <f t="shared" si="70"/>
        <v>38189.254796000001</v>
      </c>
      <c r="AT40" s="2"/>
      <c r="AU40" s="157" t="s">
        <v>995</v>
      </c>
      <c r="AV40" s="159">
        <v>998828</v>
      </c>
      <c r="AW40" s="160">
        <v>4.0502000000000003E-2</v>
      </c>
      <c r="AX40" s="150">
        <f t="shared" si="71"/>
        <v>40454.531656000006</v>
      </c>
      <c r="AY40" s="2"/>
      <c r="AZ40" s="157" t="s">
        <v>995</v>
      </c>
      <c r="BA40" s="159">
        <v>827998</v>
      </c>
      <c r="BB40" s="160">
        <v>4.0502000000000003E-2</v>
      </c>
      <c r="BC40" s="150">
        <f t="shared" si="72"/>
        <v>33535.574996000003</v>
      </c>
      <c r="BD40" s="2"/>
      <c r="BE40" s="157" t="s">
        <v>995</v>
      </c>
      <c r="BF40" s="159">
        <v>886184</v>
      </c>
      <c r="BG40" s="160">
        <v>4.0502000000000003E-2</v>
      </c>
      <c r="BH40" s="150">
        <f t="shared" si="73"/>
        <v>35892.224368000003</v>
      </c>
      <c r="BI40" s="2"/>
      <c r="BJ40" s="157" t="s">
        <v>995</v>
      </c>
      <c r="BK40" s="148">
        <f t="shared" si="74"/>
        <v>11321793</v>
      </c>
      <c r="BL40" s="216">
        <f t="shared" si="75"/>
        <v>455643.43864600005</v>
      </c>
      <c r="BM40" s="150"/>
    </row>
    <row r="41" spans="1:65" customFormat="1" x14ac:dyDescent="0.25">
      <c r="A41" s="2"/>
      <c r="B41" s="157" t="s">
        <v>996</v>
      </c>
      <c r="C41" s="159"/>
      <c r="D41" s="160">
        <f>0.040502-0.02776</f>
        <v>1.2742000000000003E-2</v>
      </c>
      <c r="E41" s="150">
        <f t="shared" si="62"/>
        <v>0</v>
      </c>
      <c r="F41" s="2"/>
      <c r="G41" s="157" t="s">
        <v>996</v>
      </c>
      <c r="H41" s="159"/>
      <c r="I41" s="160">
        <f>I40-0.02624</f>
        <v>1.2742000000000003E-2</v>
      </c>
      <c r="J41" s="150">
        <f t="shared" si="63"/>
        <v>0</v>
      </c>
      <c r="K41" s="2"/>
      <c r="L41" s="157" t="s">
        <v>996</v>
      </c>
      <c r="M41" s="159"/>
      <c r="N41" s="160">
        <f>N40-0.02624</f>
        <v>1.2742000000000003E-2</v>
      </c>
      <c r="O41" s="150">
        <f t="shared" si="64"/>
        <v>0</v>
      </c>
      <c r="P41" s="2"/>
      <c r="Q41" s="157" t="s">
        <v>996</v>
      </c>
      <c r="R41" s="159"/>
      <c r="S41" s="160">
        <f>0.040502-0.02776</f>
        <v>1.2742000000000003E-2</v>
      </c>
      <c r="T41" s="150">
        <f t="shared" si="65"/>
        <v>0</v>
      </c>
      <c r="U41" s="2"/>
      <c r="V41" s="157" t="s">
        <v>996</v>
      </c>
      <c r="W41" s="159"/>
      <c r="X41" s="160">
        <f>0.040502-0.02776</f>
        <v>1.2742000000000003E-2</v>
      </c>
      <c r="Y41" s="150">
        <f t="shared" si="66"/>
        <v>0</v>
      </c>
      <c r="Z41" s="2"/>
      <c r="AA41" s="157" t="s">
        <v>996</v>
      </c>
      <c r="AB41" s="159"/>
      <c r="AC41" s="160">
        <f>0.040502-0.02776</f>
        <v>1.2742000000000003E-2</v>
      </c>
      <c r="AD41" s="150">
        <f t="shared" si="67"/>
        <v>0</v>
      </c>
      <c r="AE41" s="2"/>
      <c r="AF41" s="157" t="s">
        <v>996</v>
      </c>
      <c r="AG41" s="159"/>
      <c r="AH41" s="160">
        <f>0.040502-0.02776</f>
        <v>1.2742000000000003E-2</v>
      </c>
      <c r="AI41" s="150">
        <f t="shared" si="68"/>
        <v>0</v>
      </c>
      <c r="AJ41" s="2"/>
      <c r="AK41" s="157" t="s">
        <v>996</v>
      </c>
      <c r="AL41" s="159"/>
      <c r="AM41" s="160">
        <f>0.040502-0.02776</f>
        <v>1.2742000000000003E-2</v>
      </c>
      <c r="AN41" s="150">
        <f t="shared" si="69"/>
        <v>0</v>
      </c>
      <c r="AO41" s="2"/>
      <c r="AP41" s="157" t="s">
        <v>996</v>
      </c>
      <c r="AQ41" s="159"/>
      <c r="AR41" s="160">
        <f>0.040502-0.02776</f>
        <v>1.2742000000000003E-2</v>
      </c>
      <c r="AS41" s="150">
        <f t="shared" si="70"/>
        <v>0</v>
      </c>
      <c r="AT41" s="2"/>
      <c r="AU41" s="157" t="s">
        <v>996</v>
      </c>
      <c r="AV41" s="159"/>
      <c r="AW41" s="160">
        <f>0.040502-0.02776</f>
        <v>1.2742000000000003E-2</v>
      </c>
      <c r="AX41" s="150">
        <f t="shared" si="71"/>
        <v>0</v>
      </c>
      <c r="AY41" s="2"/>
      <c r="AZ41" s="157" t="s">
        <v>996</v>
      </c>
      <c r="BA41" s="159"/>
      <c r="BB41" s="160">
        <f>0.040502-0.02776</f>
        <v>1.2742000000000003E-2</v>
      </c>
      <c r="BC41" s="150">
        <f t="shared" si="72"/>
        <v>0</v>
      </c>
      <c r="BD41" s="2"/>
      <c r="BE41" s="157" t="s">
        <v>996</v>
      </c>
      <c r="BF41" s="159"/>
      <c r="BG41" s="160">
        <f>0.040502-0.02776</f>
        <v>1.2742000000000003E-2</v>
      </c>
      <c r="BH41" s="150">
        <f t="shared" si="73"/>
        <v>0</v>
      </c>
      <c r="BI41" s="2"/>
      <c r="BJ41" s="157" t="s">
        <v>996</v>
      </c>
      <c r="BK41" s="148">
        <f t="shared" si="74"/>
        <v>0</v>
      </c>
      <c r="BL41" s="216">
        <f t="shared" si="75"/>
        <v>0</v>
      </c>
      <c r="BM41" s="150"/>
    </row>
    <row r="42" spans="1:65" customFormat="1" x14ac:dyDescent="0.25">
      <c r="A42" s="2"/>
      <c r="B42" s="157" t="s">
        <v>984</v>
      </c>
      <c r="C42" s="159"/>
      <c r="D42" s="160"/>
      <c r="E42" s="150">
        <v>-5104</v>
      </c>
      <c r="F42" s="2"/>
      <c r="G42" s="157" t="s">
        <v>984</v>
      </c>
      <c r="H42" s="159"/>
      <c r="I42" s="160"/>
      <c r="J42" s="150">
        <v>-5940</v>
      </c>
      <c r="K42" s="2"/>
      <c r="L42" s="157" t="s">
        <v>984</v>
      </c>
      <c r="M42" s="159"/>
      <c r="N42" s="160"/>
      <c r="O42" s="150">
        <v>-7868</v>
      </c>
      <c r="P42" s="2"/>
      <c r="Q42" s="157" t="s">
        <v>984</v>
      </c>
      <c r="R42" s="159"/>
      <c r="S42" s="160"/>
      <c r="T42" s="150">
        <v>-1523</v>
      </c>
      <c r="U42" s="2"/>
      <c r="V42" s="157" t="s">
        <v>984</v>
      </c>
      <c r="W42" s="159"/>
      <c r="X42" s="160"/>
      <c r="Y42" s="150">
        <v>-3680</v>
      </c>
      <c r="Z42" s="2"/>
      <c r="AA42" s="157" t="s">
        <v>984</v>
      </c>
      <c r="AB42" s="159"/>
      <c r="AC42" s="160"/>
      <c r="AD42" s="150">
        <v>-3317</v>
      </c>
      <c r="AE42" s="2"/>
      <c r="AF42" s="157" t="s">
        <v>984</v>
      </c>
      <c r="AG42" s="159"/>
      <c r="AH42" s="160"/>
      <c r="AI42" s="150">
        <v>-4218</v>
      </c>
      <c r="AJ42" s="2"/>
      <c r="AK42" s="157" t="s">
        <v>984</v>
      </c>
      <c r="AL42" s="159"/>
      <c r="AM42" s="160"/>
      <c r="AN42" s="150">
        <v>-5424</v>
      </c>
      <c r="AO42" s="2"/>
      <c r="AP42" s="157" t="s">
        <v>984</v>
      </c>
      <c r="AQ42" s="159"/>
      <c r="AR42" s="160"/>
      <c r="AS42" s="150">
        <v>-5771</v>
      </c>
      <c r="AT42" s="2"/>
      <c r="AU42" s="157" t="s">
        <v>984</v>
      </c>
      <c r="AV42" s="159"/>
      <c r="AW42" s="160"/>
      <c r="AX42" s="150">
        <v>-5633</v>
      </c>
      <c r="AY42" s="2"/>
      <c r="AZ42" s="157" t="s">
        <v>984</v>
      </c>
      <c r="BA42" s="159"/>
      <c r="BB42" s="160"/>
      <c r="BC42" s="150">
        <v>-5457</v>
      </c>
      <c r="BD42" s="2"/>
      <c r="BE42" s="157" t="s">
        <v>984</v>
      </c>
      <c r="BF42" s="159"/>
      <c r="BG42" s="160"/>
      <c r="BH42" s="150">
        <v>-1055</v>
      </c>
      <c r="BI42" s="2"/>
      <c r="BJ42" s="157" t="s">
        <v>984</v>
      </c>
      <c r="BK42" s="148"/>
      <c r="BL42" s="216">
        <f t="shared" si="75"/>
        <v>-54990</v>
      </c>
      <c r="BM42" s="150"/>
    </row>
    <row r="43" spans="1:65" customFormat="1" x14ac:dyDescent="0.25">
      <c r="A43" s="2"/>
      <c r="B43" s="157"/>
      <c r="C43" s="159"/>
      <c r="D43" s="160"/>
      <c r="E43" s="150"/>
      <c r="F43" s="2"/>
      <c r="G43" s="157"/>
      <c r="H43" s="159"/>
      <c r="I43" s="160"/>
      <c r="J43" s="150"/>
      <c r="K43" s="2"/>
      <c r="L43" s="157"/>
      <c r="M43" s="159"/>
      <c r="N43" s="160"/>
      <c r="O43" s="150"/>
      <c r="P43" s="2"/>
      <c r="Q43" s="157"/>
      <c r="R43" s="159"/>
      <c r="S43" s="160"/>
      <c r="T43" s="150"/>
      <c r="U43" s="2"/>
      <c r="V43" s="157"/>
      <c r="W43" s="159"/>
      <c r="X43" s="160"/>
      <c r="Y43" s="150"/>
      <c r="Z43" s="2"/>
      <c r="AA43" s="157"/>
      <c r="AB43" s="159"/>
      <c r="AC43" s="160"/>
      <c r="AD43" s="150"/>
      <c r="AE43" s="2"/>
      <c r="AF43" s="157"/>
      <c r="AG43" s="159"/>
      <c r="AH43" s="160"/>
      <c r="AI43" s="150"/>
      <c r="AJ43" s="2"/>
      <c r="AK43" s="157"/>
      <c r="AL43" s="159"/>
      <c r="AM43" s="160"/>
      <c r="AN43" s="150"/>
      <c r="AO43" s="2"/>
      <c r="AP43" s="157"/>
      <c r="AQ43" s="159"/>
      <c r="AR43" s="160"/>
      <c r="AS43" s="150"/>
      <c r="AT43" s="2"/>
      <c r="AU43" s="157"/>
      <c r="AV43" s="159"/>
      <c r="AW43" s="160"/>
      <c r="AX43" s="150"/>
      <c r="AY43" s="2"/>
      <c r="AZ43" s="157"/>
      <c r="BA43" s="159"/>
      <c r="BB43" s="160"/>
      <c r="BC43" s="150"/>
      <c r="BD43" s="2"/>
      <c r="BE43" s="157"/>
      <c r="BF43" s="159"/>
      <c r="BG43" s="160"/>
      <c r="BH43" s="150"/>
      <c r="BI43" s="2"/>
      <c r="BJ43" s="157"/>
      <c r="BK43" s="159"/>
      <c r="BL43" s="160"/>
      <c r="BM43" s="150"/>
    </row>
    <row r="44" spans="1:65" customFormat="1" x14ac:dyDescent="0.25">
      <c r="A44" s="8" t="s">
        <v>1035</v>
      </c>
      <c r="B44" s="206"/>
      <c r="C44" s="159"/>
      <c r="D44" s="160"/>
      <c r="E44" s="150"/>
      <c r="F44" s="8" t="s">
        <v>1035</v>
      </c>
      <c r="G44" s="206"/>
      <c r="H44" s="159"/>
      <c r="I44" s="160"/>
      <c r="J44" s="150"/>
      <c r="K44" s="8" t="s">
        <v>1035</v>
      </c>
      <c r="L44" s="206"/>
      <c r="M44" s="159"/>
      <c r="N44" s="160"/>
      <c r="O44" s="150"/>
      <c r="P44" s="8" t="s">
        <v>1035</v>
      </c>
      <c r="Q44" s="206"/>
      <c r="R44" s="159"/>
      <c r="S44" s="160"/>
      <c r="T44" s="150"/>
      <c r="U44" s="8" t="s">
        <v>1035</v>
      </c>
      <c r="V44" s="206"/>
      <c r="W44" s="159"/>
      <c r="X44" s="160"/>
      <c r="Y44" s="150"/>
      <c r="Z44" s="8" t="s">
        <v>1035</v>
      </c>
      <c r="AA44" s="206"/>
      <c r="AB44" s="159"/>
      <c r="AC44" s="160"/>
      <c r="AD44" s="150"/>
      <c r="AE44" s="8" t="s">
        <v>1035</v>
      </c>
      <c r="AF44" s="206"/>
      <c r="AG44" s="159"/>
      <c r="AH44" s="160"/>
      <c r="AI44" s="150"/>
      <c r="AJ44" s="8" t="s">
        <v>1035</v>
      </c>
      <c r="AK44" s="206"/>
      <c r="AL44" s="159"/>
      <c r="AM44" s="160"/>
      <c r="AN44" s="150"/>
      <c r="AO44" s="8" t="s">
        <v>1035</v>
      </c>
      <c r="AP44" s="206"/>
      <c r="AQ44" s="159"/>
      <c r="AR44" s="160"/>
      <c r="AS44" s="150"/>
      <c r="AT44" s="8" t="s">
        <v>1035</v>
      </c>
      <c r="AU44" s="206"/>
      <c r="AV44" s="159"/>
      <c r="AW44" s="160"/>
      <c r="AX44" s="150"/>
      <c r="AY44" s="8" t="s">
        <v>1035</v>
      </c>
      <c r="AZ44" s="206"/>
      <c r="BA44" s="159"/>
      <c r="BB44" s="160"/>
      <c r="BC44" s="150"/>
      <c r="BD44" s="8" t="s">
        <v>1035</v>
      </c>
      <c r="BE44" s="206"/>
      <c r="BF44" s="159"/>
      <c r="BG44" s="160"/>
      <c r="BH44" s="150"/>
      <c r="BI44" s="8" t="s">
        <v>1035</v>
      </c>
      <c r="BJ44" s="206"/>
      <c r="BK44" s="159"/>
      <c r="BL44" s="160"/>
      <c r="BM44" s="150"/>
    </row>
    <row r="45" spans="1:65" customFormat="1" x14ac:dyDescent="0.25">
      <c r="A45" s="2"/>
      <c r="B45" s="157" t="s">
        <v>978</v>
      </c>
      <c r="C45" s="159">
        <v>525</v>
      </c>
      <c r="D45" s="158">
        <v>7.17</v>
      </c>
      <c r="E45" s="150">
        <f>C45*D45</f>
        <v>3764.25</v>
      </c>
      <c r="F45" s="2"/>
      <c r="G45" s="157" t="s">
        <v>978</v>
      </c>
      <c r="H45" s="159">
        <v>525</v>
      </c>
      <c r="I45" s="158">
        <v>7.17</v>
      </c>
      <c r="J45" s="150">
        <f>H45*I45</f>
        <v>3764.25</v>
      </c>
      <c r="K45" s="2"/>
      <c r="L45" s="157" t="s">
        <v>978</v>
      </c>
      <c r="M45" s="159">
        <v>525</v>
      </c>
      <c r="N45" s="158">
        <v>7.17</v>
      </c>
      <c r="O45" s="150">
        <f>M45*N45</f>
        <v>3764.25</v>
      </c>
      <c r="P45" s="2"/>
      <c r="Q45" s="157" t="s">
        <v>978</v>
      </c>
      <c r="R45" s="159">
        <v>525</v>
      </c>
      <c r="S45" s="158">
        <v>7.17</v>
      </c>
      <c r="T45" s="150">
        <f>R45*S45</f>
        <v>3764.25</v>
      </c>
      <c r="U45" s="2"/>
      <c r="V45" s="157" t="s">
        <v>978</v>
      </c>
      <c r="W45" s="159">
        <v>525</v>
      </c>
      <c r="X45" s="158">
        <v>7.17</v>
      </c>
      <c r="Y45" s="150">
        <f>W45*X45</f>
        <v>3764.25</v>
      </c>
      <c r="Z45" s="2"/>
      <c r="AA45" s="157" t="s">
        <v>978</v>
      </c>
      <c r="AB45" s="159">
        <v>525</v>
      </c>
      <c r="AC45" s="158">
        <v>7.17</v>
      </c>
      <c r="AD45" s="150">
        <f>AB45*AC45</f>
        <v>3764.25</v>
      </c>
      <c r="AE45" s="2"/>
      <c r="AF45" s="157" t="s">
        <v>978</v>
      </c>
      <c r="AG45" s="159">
        <v>525</v>
      </c>
      <c r="AH45" s="158">
        <v>7.17</v>
      </c>
      <c r="AI45" s="150">
        <f>AG45*AH45</f>
        <v>3764.25</v>
      </c>
      <c r="AJ45" s="2"/>
      <c r="AK45" s="157" t="s">
        <v>978</v>
      </c>
      <c r="AL45" s="159">
        <v>525</v>
      </c>
      <c r="AM45" s="158">
        <v>7.17</v>
      </c>
      <c r="AN45" s="150">
        <f>AL45*AM45</f>
        <v>3764.25</v>
      </c>
      <c r="AO45" s="2"/>
      <c r="AP45" s="157" t="s">
        <v>978</v>
      </c>
      <c r="AQ45" s="159">
        <v>525</v>
      </c>
      <c r="AR45" s="158">
        <v>7.17</v>
      </c>
      <c r="AS45" s="150">
        <f>AQ45*AR45</f>
        <v>3764.25</v>
      </c>
      <c r="AT45" s="2"/>
      <c r="AU45" s="157" t="s">
        <v>978</v>
      </c>
      <c r="AV45" s="159">
        <v>525</v>
      </c>
      <c r="AW45" s="158">
        <v>7.17</v>
      </c>
      <c r="AX45" s="150">
        <f>AV45*AW45</f>
        <v>3764.25</v>
      </c>
      <c r="AY45" s="2"/>
      <c r="AZ45" s="157" t="s">
        <v>978</v>
      </c>
      <c r="BA45" s="159">
        <v>525</v>
      </c>
      <c r="BB45" s="158">
        <v>7.17</v>
      </c>
      <c r="BC45" s="150">
        <f>BA45*BB45</f>
        <v>3764.25</v>
      </c>
      <c r="BD45" s="2"/>
      <c r="BE45" s="157" t="s">
        <v>978</v>
      </c>
      <c r="BF45" s="159">
        <v>525</v>
      </c>
      <c r="BG45" s="158">
        <v>7.17</v>
      </c>
      <c r="BH45" s="150">
        <f>BF45*BG45</f>
        <v>3764.25</v>
      </c>
      <c r="BI45" s="2"/>
      <c r="BJ45" s="157" t="s">
        <v>978</v>
      </c>
      <c r="BK45" s="148">
        <f t="shared" ref="BK45" si="76">C45+H45+M45+R45+W45+AB45+AG45+AL45+AQ45+AV45+BA45+BF45</f>
        <v>6300</v>
      </c>
      <c r="BL45" s="216">
        <f t="shared" ref="BL45" si="77">E45+J45+O45+T45+Y45+AD45+AI45+AN45+AS45+AX45+BC45+BH45</f>
        <v>45171</v>
      </c>
      <c r="BM45" s="150"/>
    </row>
    <row r="46" spans="1:65" customFormat="1" x14ac:dyDescent="0.25">
      <c r="A46" s="2"/>
      <c r="B46" s="157" t="s">
        <v>979</v>
      </c>
      <c r="C46" s="159">
        <v>0</v>
      </c>
      <c r="D46" s="158">
        <v>9.98</v>
      </c>
      <c r="E46" s="150">
        <f t="shared" ref="E46:E48" si="78">C46*D46</f>
        <v>0</v>
      </c>
      <c r="F46" s="2"/>
      <c r="G46" s="157" t="s">
        <v>979</v>
      </c>
      <c r="H46" s="159">
        <v>0</v>
      </c>
      <c r="I46" s="158">
        <v>9.98</v>
      </c>
      <c r="J46" s="150">
        <f t="shared" ref="J46:J48" si="79">H46*I46</f>
        <v>0</v>
      </c>
      <c r="K46" s="2"/>
      <c r="L46" s="157" t="s">
        <v>979</v>
      </c>
      <c r="M46" s="159">
        <v>0</v>
      </c>
      <c r="N46" s="158">
        <v>9.98</v>
      </c>
      <c r="O46" s="150">
        <f t="shared" ref="O46:O48" si="80">M46*N46</f>
        <v>0</v>
      </c>
      <c r="P46" s="2"/>
      <c r="Q46" s="157" t="s">
        <v>979</v>
      </c>
      <c r="R46" s="159">
        <v>0</v>
      </c>
      <c r="S46" s="158">
        <v>9.98</v>
      </c>
      <c r="T46" s="150">
        <f t="shared" ref="T46:T48" si="81">R46*S46</f>
        <v>0</v>
      </c>
      <c r="U46" s="2"/>
      <c r="V46" s="157" t="s">
        <v>979</v>
      </c>
      <c r="W46" s="159">
        <v>0</v>
      </c>
      <c r="X46" s="158">
        <v>9.98</v>
      </c>
      <c r="Y46" s="150">
        <f t="shared" ref="Y46:Y48" si="82">W46*X46</f>
        <v>0</v>
      </c>
      <c r="Z46" s="2"/>
      <c r="AA46" s="157" t="s">
        <v>979</v>
      </c>
      <c r="AB46" s="159">
        <v>0</v>
      </c>
      <c r="AC46" s="158">
        <v>9.98</v>
      </c>
      <c r="AD46" s="150">
        <f t="shared" ref="AD46:AD48" si="83">AB46*AC46</f>
        <v>0</v>
      </c>
      <c r="AE46" s="2"/>
      <c r="AF46" s="157" t="s">
        <v>979</v>
      </c>
      <c r="AG46" s="159">
        <v>0</v>
      </c>
      <c r="AH46" s="158">
        <v>9.98</v>
      </c>
      <c r="AI46" s="150">
        <f t="shared" ref="AI46:AI48" si="84">AG46*AH46</f>
        <v>0</v>
      </c>
      <c r="AJ46" s="2"/>
      <c r="AK46" s="157" t="s">
        <v>979</v>
      </c>
      <c r="AL46" s="159">
        <v>0</v>
      </c>
      <c r="AM46" s="158">
        <v>9.98</v>
      </c>
      <c r="AN46" s="150">
        <f t="shared" ref="AN46:AN48" si="85">AL46*AM46</f>
        <v>0</v>
      </c>
      <c r="AO46" s="2"/>
      <c r="AP46" s="157" t="s">
        <v>979</v>
      </c>
      <c r="AQ46" s="159">
        <v>0</v>
      </c>
      <c r="AR46" s="158">
        <v>9.98</v>
      </c>
      <c r="AS46" s="150">
        <f t="shared" ref="AS46:AS48" si="86">AQ46*AR46</f>
        <v>0</v>
      </c>
      <c r="AT46" s="2"/>
      <c r="AU46" s="157" t="s">
        <v>979</v>
      </c>
      <c r="AV46" s="159">
        <v>0</v>
      </c>
      <c r="AW46" s="158">
        <v>9.98</v>
      </c>
      <c r="AX46" s="150">
        <f t="shared" ref="AX46:AX48" si="87">AV46*AW46</f>
        <v>0</v>
      </c>
      <c r="AY46" s="2"/>
      <c r="AZ46" s="157" t="s">
        <v>979</v>
      </c>
      <c r="BA46" s="159">
        <v>0</v>
      </c>
      <c r="BB46" s="158">
        <v>9.98</v>
      </c>
      <c r="BC46" s="150">
        <f t="shared" ref="BC46:BC48" si="88">BA46*BB46</f>
        <v>0</v>
      </c>
      <c r="BD46" s="2"/>
      <c r="BE46" s="157" t="s">
        <v>979</v>
      </c>
      <c r="BF46" s="159">
        <v>0</v>
      </c>
      <c r="BG46" s="158">
        <v>9.98</v>
      </c>
      <c r="BH46" s="150">
        <f t="shared" ref="BH46:BH48" si="89">BF46*BG46</f>
        <v>0</v>
      </c>
      <c r="BI46" s="2"/>
      <c r="BJ46" s="157" t="s">
        <v>979</v>
      </c>
      <c r="BK46" s="148">
        <f t="shared" ref="BK46:BK48" si="90">C46+H46+M46+R46+W46+AB46+AG46+AL46+AQ46+AV46+BA46+BF46</f>
        <v>0</v>
      </c>
      <c r="BL46" s="216">
        <f t="shared" ref="BL46:BL49" si="91">E46+J46+O46+T46+Y46+AD46+AI46+AN46+AS46+AX46+BC46+BH46</f>
        <v>0</v>
      </c>
      <c r="BM46" s="150"/>
    </row>
    <row r="47" spans="1:65" customFormat="1" x14ac:dyDescent="0.25">
      <c r="A47" s="2"/>
      <c r="B47" s="157" t="s">
        <v>995</v>
      </c>
      <c r="C47" s="159">
        <v>225327</v>
      </c>
      <c r="D47" s="160">
        <v>4.0502000000000003E-2</v>
      </c>
      <c r="E47" s="150">
        <f t="shared" si="78"/>
        <v>9126.1941540000007</v>
      </c>
      <c r="F47" s="2"/>
      <c r="G47" s="157" t="s">
        <v>995</v>
      </c>
      <c r="H47" s="159">
        <v>212670</v>
      </c>
      <c r="I47" s="160">
        <v>3.8982000000000003E-2</v>
      </c>
      <c r="J47" s="150">
        <f t="shared" si="79"/>
        <v>8290.3019400000012</v>
      </c>
      <c r="K47" s="2"/>
      <c r="L47" s="157" t="s">
        <v>995</v>
      </c>
      <c r="M47" s="159">
        <v>263014</v>
      </c>
      <c r="N47" s="160">
        <v>3.8982000000000003E-2</v>
      </c>
      <c r="O47" s="150">
        <f t="shared" si="80"/>
        <v>10252.811748</v>
      </c>
      <c r="P47" s="2"/>
      <c r="Q47" s="157" t="s">
        <v>995</v>
      </c>
      <c r="R47" s="159">
        <v>221057</v>
      </c>
      <c r="S47" s="160">
        <v>4.0502000000000003E-2</v>
      </c>
      <c r="T47" s="150">
        <f t="shared" si="81"/>
        <v>8953.2506140000005</v>
      </c>
      <c r="U47" s="2"/>
      <c r="V47" s="157" t="s">
        <v>995</v>
      </c>
      <c r="W47" s="159">
        <v>219886</v>
      </c>
      <c r="X47" s="160">
        <v>4.0502000000000003E-2</v>
      </c>
      <c r="Y47" s="150">
        <f t="shared" si="82"/>
        <v>8905.8227720000014</v>
      </c>
      <c r="Z47" s="2"/>
      <c r="AA47" s="157" t="s">
        <v>995</v>
      </c>
      <c r="AB47" s="159">
        <v>249501</v>
      </c>
      <c r="AC47" s="160">
        <v>4.0502000000000003E-2</v>
      </c>
      <c r="AD47" s="150">
        <f t="shared" si="83"/>
        <v>10105.289502000001</v>
      </c>
      <c r="AE47" s="2"/>
      <c r="AF47" s="157" t="s">
        <v>995</v>
      </c>
      <c r="AG47" s="159">
        <v>291112</v>
      </c>
      <c r="AH47" s="160">
        <v>4.0502000000000003E-2</v>
      </c>
      <c r="AI47" s="150">
        <f t="shared" si="84"/>
        <v>11790.618224000002</v>
      </c>
      <c r="AJ47" s="2"/>
      <c r="AK47" s="157" t="s">
        <v>995</v>
      </c>
      <c r="AL47" s="159">
        <v>268925</v>
      </c>
      <c r="AM47" s="160">
        <v>4.0502000000000003E-2</v>
      </c>
      <c r="AN47" s="150">
        <f t="shared" si="85"/>
        <v>10892.00035</v>
      </c>
      <c r="AO47" s="2"/>
      <c r="AP47" s="157" t="s">
        <v>995</v>
      </c>
      <c r="AQ47" s="159">
        <v>262092</v>
      </c>
      <c r="AR47" s="160">
        <v>4.0502000000000003E-2</v>
      </c>
      <c r="AS47" s="150">
        <f t="shared" si="86"/>
        <v>10615.250184</v>
      </c>
      <c r="AT47" s="2"/>
      <c r="AU47" s="157" t="s">
        <v>995</v>
      </c>
      <c r="AV47" s="159">
        <v>258555</v>
      </c>
      <c r="AW47" s="160">
        <v>4.0502000000000003E-2</v>
      </c>
      <c r="AX47" s="150">
        <f t="shared" si="87"/>
        <v>10471.994610000002</v>
      </c>
      <c r="AY47" s="2"/>
      <c r="AZ47" s="157" t="s">
        <v>995</v>
      </c>
      <c r="BA47" s="159">
        <v>230131</v>
      </c>
      <c r="BB47" s="160">
        <v>4.0502000000000003E-2</v>
      </c>
      <c r="BC47" s="150">
        <f t="shared" si="88"/>
        <v>9320.7657620000009</v>
      </c>
      <c r="BD47" s="2"/>
      <c r="BE47" s="157" t="s">
        <v>995</v>
      </c>
      <c r="BF47" s="159">
        <v>232148</v>
      </c>
      <c r="BG47" s="160">
        <v>4.0502000000000003E-2</v>
      </c>
      <c r="BH47" s="150">
        <f t="shared" si="89"/>
        <v>9402.4582960000007</v>
      </c>
      <c r="BI47" s="2"/>
      <c r="BJ47" s="157" t="s">
        <v>995</v>
      </c>
      <c r="BK47" s="148">
        <f t="shared" si="90"/>
        <v>2934418</v>
      </c>
      <c r="BL47" s="216">
        <f t="shared" si="91"/>
        <v>118126.758156</v>
      </c>
      <c r="BM47" s="150"/>
    </row>
    <row r="48" spans="1:65" customFormat="1" x14ac:dyDescent="0.25">
      <c r="A48" s="2"/>
      <c r="B48" s="157" t="s">
        <v>996</v>
      </c>
      <c r="C48" s="159"/>
      <c r="D48" s="160">
        <f>0.040502-0.02776</f>
        <v>1.2742000000000003E-2</v>
      </c>
      <c r="E48" s="150">
        <f t="shared" si="78"/>
        <v>0</v>
      </c>
      <c r="F48" s="2"/>
      <c r="G48" s="157" t="s">
        <v>996</v>
      </c>
      <c r="H48" s="159"/>
      <c r="I48" s="160">
        <f>I47-0.02624</f>
        <v>1.2742000000000003E-2</v>
      </c>
      <c r="J48" s="150">
        <f t="shared" si="79"/>
        <v>0</v>
      </c>
      <c r="K48" s="2"/>
      <c r="L48" s="157" t="s">
        <v>996</v>
      </c>
      <c r="M48" s="159"/>
      <c r="N48" s="160">
        <f>N47-0.02624</f>
        <v>1.2742000000000003E-2</v>
      </c>
      <c r="O48" s="150">
        <f t="shared" si="80"/>
        <v>0</v>
      </c>
      <c r="P48" s="2"/>
      <c r="Q48" s="157" t="s">
        <v>996</v>
      </c>
      <c r="R48" s="159"/>
      <c r="S48" s="160">
        <f>0.040502-0.02776</f>
        <v>1.2742000000000003E-2</v>
      </c>
      <c r="T48" s="150">
        <f t="shared" si="81"/>
        <v>0</v>
      </c>
      <c r="U48" s="2"/>
      <c r="V48" s="157" t="s">
        <v>996</v>
      </c>
      <c r="W48" s="159"/>
      <c r="X48" s="160">
        <f>0.040502-0.02776</f>
        <v>1.2742000000000003E-2</v>
      </c>
      <c r="Y48" s="150">
        <f t="shared" si="82"/>
        <v>0</v>
      </c>
      <c r="Z48" s="2"/>
      <c r="AA48" s="157" t="s">
        <v>996</v>
      </c>
      <c r="AB48" s="159"/>
      <c r="AC48" s="160">
        <f>0.040502-0.02776</f>
        <v>1.2742000000000003E-2</v>
      </c>
      <c r="AD48" s="150">
        <f t="shared" si="83"/>
        <v>0</v>
      </c>
      <c r="AE48" s="2"/>
      <c r="AF48" s="157" t="s">
        <v>996</v>
      </c>
      <c r="AG48" s="159"/>
      <c r="AH48" s="160">
        <f>0.040502-0.02776</f>
        <v>1.2742000000000003E-2</v>
      </c>
      <c r="AI48" s="150">
        <f t="shared" si="84"/>
        <v>0</v>
      </c>
      <c r="AJ48" s="2"/>
      <c r="AK48" s="157" t="s">
        <v>996</v>
      </c>
      <c r="AL48" s="159"/>
      <c r="AM48" s="160">
        <f>0.040502-0.02776</f>
        <v>1.2742000000000003E-2</v>
      </c>
      <c r="AN48" s="150">
        <f t="shared" si="85"/>
        <v>0</v>
      </c>
      <c r="AO48" s="2"/>
      <c r="AP48" s="157" t="s">
        <v>996</v>
      </c>
      <c r="AQ48" s="159"/>
      <c r="AR48" s="160">
        <f>0.040502-0.02776</f>
        <v>1.2742000000000003E-2</v>
      </c>
      <c r="AS48" s="150">
        <f t="shared" si="86"/>
        <v>0</v>
      </c>
      <c r="AT48" s="2"/>
      <c r="AU48" s="157" t="s">
        <v>996</v>
      </c>
      <c r="AV48" s="159"/>
      <c r="AW48" s="160">
        <f>0.040502-0.02776</f>
        <v>1.2742000000000003E-2</v>
      </c>
      <c r="AX48" s="150">
        <f t="shared" si="87"/>
        <v>0</v>
      </c>
      <c r="AY48" s="2"/>
      <c r="AZ48" s="157" t="s">
        <v>996</v>
      </c>
      <c r="BA48" s="159"/>
      <c r="BB48" s="160">
        <f>0.040502-0.02776</f>
        <v>1.2742000000000003E-2</v>
      </c>
      <c r="BC48" s="150">
        <f t="shared" si="88"/>
        <v>0</v>
      </c>
      <c r="BD48" s="2"/>
      <c r="BE48" s="157" t="s">
        <v>996</v>
      </c>
      <c r="BF48" s="159"/>
      <c r="BG48" s="160">
        <f>0.040502-0.02776</f>
        <v>1.2742000000000003E-2</v>
      </c>
      <c r="BH48" s="150">
        <f t="shared" si="89"/>
        <v>0</v>
      </c>
      <c r="BI48" s="2"/>
      <c r="BJ48" s="157" t="s">
        <v>996</v>
      </c>
      <c r="BK48" s="148">
        <f t="shared" si="90"/>
        <v>0</v>
      </c>
      <c r="BL48" s="216">
        <f t="shared" si="91"/>
        <v>0</v>
      </c>
      <c r="BM48" s="150"/>
    </row>
    <row r="49" spans="1:65" customFormat="1" x14ac:dyDescent="0.25">
      <c r="A49" s="2"/>
      <c r="B49" s="157" t="s">
        <v>984</v>
      </c>
      <c r="C49" s="159"/>
      <c r="D49" s="160"/>
      <c r="E49" s="150">
        <v>-1151</v>
      </c>
      <c r="F49" s="2"/>
      <c r="G49" s="157" t="s">
        <v>984</v>
      </c>
      <c r="H49" s="159"/>
      <c r="I49" s="160"/>
      <c r="J49" s="150">
        <v>-1391</v>
      </c>
      <c r="K49" s="2"/>
      <c r="L49" s="157" t="s">
        <v>984</v>
      </c>
      <c r="M49" s="159"/>
      <c r="N49" s="160"/>
      <c r="O49" s="150">
        <v>-2054</v>
      </c>
      <c r="P49" s="2"/>
      <c r="Q49" s="157" t="s">
        <v>984</v>
      </c>
      <c r="R49" s="159"/>
      <c r="S49" s="160"/>
      <c r="T49" s="150">
        <v>-369</v>
      </c>
      <c r="U49" s="2"/>
      <c r="V49" s="157" t="s">
        <v>984</v>
      </c>
      <c r="W49" s="159"/>
      <c r="X49" s="160"/>
      <c r="Y49" s="150">
        <v>-827</v>
      </c>
      <c r="Z49" s="2"/>
      <c r="AA49" s="157" t="s">
        <v>984</v>
      </c>
      <c r="AB49" s="159"/>
      <c r="AC49" s="160"/>
      <c r="AD49" s="150">
        <v>-871</v>
      </c>
      <c r="AE49" s="2"/>
      <c r="AF49" s="157" t="s">
        <v>984</v>
      </c>
      <c r="AG49" s="159"/>
      <c r="AH49" s="160"/>
      <c r="AI49" s="150">
        <v>-1406</v>
      </c>
      <c r="AJ49" s="2"/>
      <c r="AK49" s="157" t="s">
        <v>984</v>
      </c>
      <c r="AL49" s="159"/>
      <c r="AM49" s="160"/>
      <c r="AN49" s="150">
        <v>-1406</v>
      </c>
      <c r="AO49" s="2"/>
      <c r="AP49" s="157" t="s">
        <v>984</v>
      </c>
      <c r="AQ49" s="159"/>
      <c r="AR49" s="160"/>
      <c r="AS49" s="150">
        <v>-1604</v>
      </c>
      <c r="AT49" s="2"/>
      <c r="AU49" s="157" t="s">
        <v>984</v>
      </c>
      <c r="AV49" s="159"/>
      <c r="AW49" s="160"/>
      <c r="AX49" s="150">
        <v>-1458</v>
      </c>
      <c r="AY49" s="2"/>
      <c r="AZ49" s="157" t="s">
        <v>984</v>
      </c>
      <c r="BA49" s="159"/>
      <c r="BB49" s="160"/>
      <c r="BC49" s="150">
        <v>-1517</v>
      </c>
      <c r="BD49" s="2"/>
      <c r="BE49" s="157" t="s">
        <v>984</v>
      </c>
      <c r="BF49" s="159"/>
      <c r="BG49" s="160"/>
      <c r="BH49" s="150">
        <v>-276</v>
      </c>
      <c r="BI49" s="2"/>
      <c r="BJ49" s="157" t="s">
        <v>984</v>
      </c>
      <c r="BK49" s="148"/>
      <c r="BL49" s="216">
        <f t="shared" si="91"/>
        <v>-14330</v>
      </c>
      <c r="BM49" s="150"/>
    </row>
    <row r="50" spans="1:65" customFormat="1" x14ac:dyDescent="0.25">
      <c r="A50" s="2"/>
      <c r="B50" s="157"/>
      <c r="C50" s="159"/>
      <c r="D50" s="160"/>
      <c r="E50" s="150"/>
      <c r="F50" s="2"/>
      <c r="G50" s="157"/>
      <c r="H50" s="159"/>
      <c r="I50" s="160"/>
      <c r="J50" s="150"/>
      <c r="K50" s="2"/>
      <c r="L50" s="157"/>
      <c r="M50" s="159"/>
      <c r="N50" s="160"/>
      <c r="O50" s="150"/>
      <c r="P50" s="2"/>
      <c r="Q50" s="157"/>
      <c r="R50" s="159"/>
      <c r="S50" s="160"/>
      <c r="T50" s="150"/>
      <c r="U50" s="2"/>
      <c r="V50" s="157"/>
      <c r="W50" s="159"/>
      <c r="X50" s="160"/>
      <c r="Y50" s="150"/>
      <c r="Z50" s="2"/>
      <c r="AA50" s="157"/>
      <c r="AB50" s="159"/>
      <c r="AC50" s="160"/>
      <c r="AD50" s="150"/>
      <c r="AE50" s="2"/>
      <c r="AF50" s="157"/>
      <c r="AG50" s="159"/>
      <c r="AH50" s="160"/>
      <c r="AI50" s="150"/>
      <c r="AJ50" s="2"/>
      <c r="AK50" s="157"/>
      <c r="AL50" s="159"/>
      <c r="AM50" s="160"/>
      <c r="AN50" s="150"/>
      <c r="AO50" s="2"/>
      <c r="AP50" s="157"/>
      <c r="AQ50" s="159"/>
      <c r="AR50" s="160"/>
      <c r="AS50" s="150"/>
      <c r="AT50" s="2"/>
      <c r="AU50" s="157"/>
      <c r="AV50" s="159"/>
      <c r="AW50" s="160"/>
      <c r="AX50" s="150"/>
      <c r="AY50" s="2"/>
      <c r="AZ50" s="157"/>
      <c r="BA50" s="159"/>
      <c r="BB50" s="160"/>
      <c r="BC50" s="150"/>
      <c r="BD50" s="2"/>
      <c r="BE50" s="157"/>
      <c r="BF50" s="159"/>
      <c r="BG50" s="160"/>
      <c r="BH50" s="150"/>
      <c r="BI50" s="2"/>
      <c r="BJ50" s="157"/>
      <c r="BK50" s="159"/>
      <c r="BL50" s="160"/>
      <c r="BM50" s="150"/>
    </row>
    <row r="51" spans="1:65" customFormat="1" x14ac:dyDescent="0.25">
      <c r="A51" s="8" t="s">
        <v>1036</v>
      </c>
      <c r="B51" s="157"/>
      <c r="C51" s="159"/>
      <c r="D51" s="160"/>
      <c r="E51" s="150"/>
      <c r="F51" s="8" t="s">
        <v>1036</v>
      </c>
      <c r="G51" s="157"/>
      <c r="H51" s="159"/>
      <c r="I51" s="160"/>
      <c r="J51" s="150"/>
      <c r="K51" s="8" t="s">
        <v>1036</v>
      </c>
      <c r="L51" s="157"/>
      <c r="M51" s="159"/>
      <c r="N51" s="160"/>
      <c r="O51" s="150"/>
      <c r="P51" s="8" t="s">
        <v>1036</v>
      </c>
      <c r="Q51" s="157"/>
      <c r="R51" s="159"/>
      <c r="S51" s="160"/>
      <c r="T51" s="150"/>
      <c r="U51" s="8" t="s">
        <v>1036</v>
      </c>
      <c r="V51" s="157"/>
      <c r="W51" s="159"/>
      <c r="X51" s="160"/>
      <c r="Y51" s="150"/>
      <c r="Z51" s="8" t="s">
        <v>1036</v>
      </c>
      <c r="AA51" s="157"/>
      <c r="AB51" s="159"/>
      <c r="AC51" s="160"/>
      <c r="AD51" s="150"/>
      <c r="AE51" s="8" t="s">
        <v>1036</v>
      </c>
      <c r="AF51" s="157"/>
      <c r="AG51" s="159"/>
      <c r="AH51" s="160"/>
      <c r="AI51" s="150"/>
      <c r="AJ51" s="8" t="s">
        <v>1036</v>
      </c>
      <c r="AK51" s="157"/>
      <c r="AL51" s="159"/>
      <c r="AM51" s="160"/>
      <c r="AN51" s="150"/>
      <c r="AO51" s="8" t="s">
        <v>1036</v>
      </c>
      <c r="AP51" s="157"/>
      <c r="AQ51" s="159"/>
      <c r="AR51" s="160"/>
      <c r="AS51" s="150"/>
      <c r="AT51" s="8" t="s">
        <v>1036</v>
      </c>
      <c r="AU51" s="157"/>
      <c r="AV51" s="159"/>
      <c r="AW51" s="160"/>
      <c r="AX51" s="150"/>
      <c r="AY51" s="8" t="s">
        <v>1036</v>
      </c>
      <c r="AZ51" s="157"/>
      <c r="BA51" s="159"/>
      <c r="BB51" s="160"/>
      <c r="BC51" s="150"/>
      <c r="BD51" s="8" t="s">
        <v>1036</v>
      </c>
      <c r="BE51" s="157"/>
      <c r="BF51" s="159"/>
      <c r="BG51" s="160"/>
      <c r="BH51" s="150"/>
      <c r="BI51" s="8" t="s">
        <v>1036</v>
      </c>
      <c r="BJ51" s="157"/>
      <c r="BK51" s="159"/>
      <c r="BL51" s="160"/>
      <c r="BM51" s="150"/>
    </row>
    <row r="52" spans="1:65" customFormat="1" x14ac:dyDescent="0.25">
      <c r="A52" s="165"/>
      <c r="B52" s="157" t="s">
        <v>978</v>
      </c>
      <c r="C52" s="159">
        <v>500</v>
      </c>
      <c r="D52" s="158">
        <v>7.17</v>
      </c>
      <c r="E52" s="150">
        <f>C52*D52</f>
        <v>3585</v>
      </c>
      <c r="F52" s="165"/>
      <c r="G52" s="157" t="s">
        <v>978</v>
      </c>
      <c r="H52" s="159">
        <v>500</v>
      </c>
      <c r="I52" s="158">
        <v>7.17</v>
      </c>
      <c r="J52" s="150">
        <f>H52*I52</f>
        <v>3585</v>
      </c>
      <c r="K52" s="165"/>
      <c r="L52" s="157" t="s">
        <v>978</v>
      </c>
      <c r="M52" s="159">
        <v>500</v>
      </c>
      <c r="N52" s="158">
        <v>7.17</v>
      </c>
      <c r="O52" s="150">
        <f>M52*N52</f>
        <v>3585</v>
      </c>
      <c r="P52" s="165"/>
      <c r="Q52" s="157" t="s">
        <v>978</v>
      </c>
      <c r="R52" s="159">
        <v>500</v>
      </c>
      <c r="S52" s="158">
        <v>7.17</v>
      </c>
      <c r="T52" s="150">
        <f>R52*S52</f>
        <v>3585</v>
      </c>
      <c r="U52" s="165"/>
      <c r="V52" s="157" t="s">
        <v>978</v>
      </c>
      <c r="W52" s="159">
        <v>500</v>
      </c>
      <c r="X52" s="158">
        <v>7.17</v>
      </c>
      <c r="Y52" s="150">
        <f>W52*X52</f>
        <v>3585</v>
      </c>
      <c r="Z52" s="165"/>
      <c r="AA52" s="157" t="s">
        <v>978</v>
      </c>
      <c r="AB52" s="159">
        <v>500</v>
      </c>
      <c r="AC52" s="158">
        <v>7.17</v>
      </c>
      <c r="AD52" s="150">
        <f>AB52*AC52</f>
        <v>3585</v>
      </c>
      <c r="AE52" s="165"/>
      <c r="AF52" s="157" t="s">
        <v>978</v>
      </c>
      <c r="AG52" s="159">
        <v>500</v>
      </c>
      <c r="AH52" s="158">
        <v>7.17</v>
      </c>
      <c r="AI52" s="150">
        <f>AG52*AH52</f>
        <v>3585</v>
      </c>
      <c r="AJ52" s="165"/>
      <c r="AK52" s="157" t="s">
        <v>978</v>
      </c>
      <c r="AL52" s="159">
        <v>500</v>
      </c>
      <c r="AM52" s="158">
        <v>7.17</v>
      </c>
      <c r="AN52" s="150">
        <f>AL52*AM52</f>
        <v>3585</v>
      </c>
      <c r="AO52" s="165"/>
      <c r="AP52" s="157" t="s">
        <v>978</v>
      </c>
      <c r="AQ52" s="159">
        <v>500</v>
      </c>
      <c r="AR52" s="158">
        <v>7.17</v>
      </c>
      <c r="AS52" s="150">
        <f>AQ52*AR52</f>
        <v>3585</v>
      </c>
      <c r="AT52" s="165"/>
      <c r="AU52" s="157" t="s">
        <v>978</v>
      </c>
      <c r="AV52" s="159">
        <v>500</v>
      </c>
      <c r="AW52" s="158">
        <v>7.17</v>
      </c>
      <c r="AX52" s="150">
        <f>AV52*AW52</f>
        <v>3585</v>
      </c>
      <c r="AY52" s="165"/>
      <c r="AZ52" s="157" t="s">
        <v>978</v>
      </c>
      <c r="BA52" s="159">
        <v>500</v>
      </c>
      <c r="BB52" s="158">
        <v>7.17</v>
      </c>
      <c r="BC52" s="150">
        <f>BA52*BB52</f>
        <v>3585</v>
      </c>
      <c r="BD52" s="165"/>
      <c r="BE52" s="157" t="s">
        <v>978</v>
      </c>
      <c r="BF52" s="159">
        <v>500</v>
      </c>
      <c r="BG52" s="158">
        <v>7.17</v>
      </c>
      <c r="BH52" s="150">
        <f>BF52*BG52</f>
        <v>3585</v>
      </c>
      <c r="BI52" s="165"/>
      <c r="BJ52" s="157" t="s">
        <v>978</v>
      </c>
      <c r="BK52" s="148">
        <f t="shared" ref="BK52" si="92">C52+H52+M52+R52+W52+AB52+AG52+AL52+AQ52+AV52+BA52+BF52</f>
        <v>6000</v>
      </c>
      <c r="BL52" s="216">
        <f t="shared" ref="BL52" si="93">E52+J52+O52+T52+Y52+AD52+AI52+AN52+AS52+AX52+BC52+BH52</f>
        <v>43020</v>
      </c>
      <c r="BM52" s="150"/>
    </row>
    <row r="53" spans="1:65" customFormat="1" x14ac:dyDescent="0.25">
      <c r="A53" s="165"/>
      <c r="B53" s="157" t="s">
        <v>979</v>
      </c>
      <c r="C53" s="159">
        <v>0</v>
      </c>
      <c r="D53" s="158">
        <v>9.98</v>
      </c>
      <c r="E53" s="150">
        <f t="shared" ref="E53" si="94">C53*D53</f>
        <v>0</v>
      </c>
      <c r="F53" s="165"/>
      <c r="G53" s="157" t="s">
        <v>979</v>
      </c>
      <c r="H53" s="159">
        <v>0</v>
      </c>
      <c r="I53" s="158">
        <v>9.98</v>
      </c>
      <c r="J53" s="150">
        <f t="shared" ref="J53" si="95">H53*I53</f>
        <v>0</v>
      </c>
      <c r="K53" s="165"/>
      <c r="L53" s="157" t="s">
        <v>979</v>
      </c>
      <c r="M53" s="159">
        <v>0</v>
      </c>
      <c r="N53" s="158">
        <v>9.98</v>
      </c>
      <c r="O53" s="150">
        <f t="shared" ref="O53" si="96">M53*N53</f>
        <v>0</v>
      </c>
      <c r="P53" s="165"/>
      <c r="Q53" s="157" t="s">
        <v>979</v>
      </c>
      <c r="R53" s="159">
        <v>0</v>
      </c>
      <c r="S53" s="158">
        <v>9.98</v>
      </c>
      <c r="T53" s="150">
        <f t="shared" ref="T53" si="97">R53*S53</f>
        <v>0</v>
      </c>
      <c r="U53" s="165"/>
      <c r="V53" s="157" t="s">
        <v>979</v>
      </c>
      <c r="W53" s="159">
        <f>565-W52</f>
        <v>65</v>
      </c>
      <c r="X53" s="158">
        <v>9.98</v>
      </c>
      <c r="Y53" s="150">
        <f t="shared" ref="Y53" si="98">W53*X53</f>
        <v>648.70000000000005</v>
      </c>
      <c r="Z53" s="165"/>
      <c r="AA53" s="157" t="s">
        <v>979</v>
      </c>
      <c r="AB53" s="159">
        <f>605-AB52</f>
        <v>105</v>
      </c>
      <c r="AC53" s="158">
        <v>9.98</v>
      </c>
      <c r="AD53" s="150">
        <f t="shared" ref="AD53" si="99">AB53*AC53</f>
        <v>1047.9000000000001</v>
      </c>
      <c r="AE53" s="165"/>
      <c r="AF53" s="157" t="s">
        <v>979</v>
      </c>
      <c r="AG53" s="159">
        <f>595-AG52</f>
        <v>95</v>
      </c>
      <c r="AH53" s="158">
        <v>9.98</v>
      </c>
      <c r="AI53" s="150">
        <f t="shared" ref="AI53" si="100">AG53*AH53</f>
        <v>948.1</v>
      </c>
      <c r="AJ53" s="165"/>
      <c r="AK53" s="157" t="s">
        <v>979</v>
      </c>
      <c r="AL53" s="159">
        <f>597-AL52</f>
        <v>97</v>
      </c>
      <c r="AM53" s="158">
        <v>9.98</v>
      </c>
      <c r="AN53" s="150">
        <f t="shared" ref="AN53" si="101">AL53*AM53</f>
        <v>968.06000000000006</v>
      </c>
      <c r="AO53" s="165"/>
      <c r="AP53" s="157" t="s">
        <v>979</v>
      </c>
      <c r="AQ53" s="159">
        <f>562-AQ52</f>
        <v>62</v>
      </c>
      <c r="AR53" s="158">
        <v>9.98</v>
      </c>
      <c r="AS53" s="150">
        <f t="shared" ref="AS53" si="102">AQ53*AR53</f>
        <v>618.76</v>
      </c>
      <c r="AT53" s="165"/>
      <c r="AU53" s="157" t="s">
        <v>979</v>
      </c>
      <c r="AV53" s="159">
        <f>536-AV52</f>
        <v>36</v>
      </c>
      <c r="AW53" s="158">
        <v>9.98</v>
      </c>
      <c r="AX53" s="150">
        <f t="shared" ref="AX53" si="103">AV53*AW53</f>
        <v>359.28000000000003</v>
      </c>
      <c r="AY53" s="165"/>
      <c r="AZ53" s="157" t="s">
        <v>979</v>
      </c>
      <c r="BA53" s="159">
        <f>500-BA52</f>
        <v>0</v>
      </c>
      <c r="BB53" s="158">
        <v>9.98</v>
      </c>
      <c r="BC53" s="150">
        <f t="shared" ref="BC53" si="104">BA53*BB53</f>
        <v>0</v>
      </c>
      <c r="BD53" s="165"/>
      <c r="BE53" s="157" t="s">
        <v>979</v>
      </c>
      <c r="BF53" s="159">
        <f>500-BF52</f>
        <v>0</v>
      </c>
      <c r="BG53" s="158">
        <v>9.98</v>
      </c>
      <c r="BH53" s="150">
        <f t="shared" ref="BH53" si="105">BF53*BG53</f>
        <v>0</v>
      </c>
      <c r="BI53" s="165"/>
      <c r="BJ53" s="157" t="s">
        <v>979</v>
      </c>
      <c r="BK53" s="148">
        <f t="shared" ref="BK53:BK56" si="106">C53+H53+M53+R53+W53+AB53+AG53+AL53+AQ53+AV53+BA53+BF53</f>
        <v>460</v>
      </c>
      <c r="BL53" s="216">
        <f t="shared" ref="BL53:BL57" si="107">E53+J53+O53+T53+Y53+AD53+AI53+AN53+AS53+AX53+BC53+BH53</f>
        <v>4590.8</v>
      </c>
      <c r="BM53" s="150"/>
    </row>
    <row r="54" spans="1:65" customFormat="1" x14ac:dyDescent="0.25">
      <c r="A54" s="165"/>
      <c r="B54" s="157" t="s">
        <v>997</v>
      </c>
      <c r="C54" s="159"/>
      <c r="D54" s="158"/>
      <c r="E54" s="150">
        <v>-717</v>
      </c>
      <c r="F54" s="165"/>
      <c r="G54" s="157" t="s">
        <v>997</v>
      </c>
      <c r="H54" s="159"/>
      <c r="I54" s="158"/>
      <c r="J54" s="150">
        <v>-717</v>
      </c>
      <c r="K54" s="165"/>
      <c r="L54" s="157" t="s">
        <v>997</v>
      </c>
      <c r="M54" s="159"/>
      <c r="N54" s="158"/>
      <c r="O54" s="150">
        <v>-717</v>
      </c>
      <c r="P54" s="165"/>
      <c r="Q54" s="157" t="s">
        <v>997</v>
      </c>
      <c r="R54" s="159"/>
      <c r="S54" s="158"/>
      <c r="T54" s="150">
        <v>-1076</v>
      </c>
      <c r="U54" s="165"/>
      <c r="V54" s="157" t="s">
        <v>997</v>
      </c>
      <c r="W54" s="159"/>
      <c r="X54" s="158"/>
      <c r="Y54" s="150">
        <v>-1271</v>
      </c>
      <c r="Z54" s="165"/>
      <c r="AA54" s="157" t="s">
        <v>997</v>
      </c>
      <c r="AB54" s="159"/>
      <c r="AC54" s="158"/>
      <c r="AD54" s="150">
        <v>-1390</v>
      </c>
      <c r="AE54" s="165"/>
      <c r="AF54" s="157" t="s">
        <v>997</v>
      </c>
      <c r="AG54" s="159"/>
      <c r="AH54" s="158"/>
      <c r="AI54" s="150">
        <v>-1360</v>
      </c>
      <c r="AJ54" s="165"/>
      <c r="AK54" s="157" t="s">
        <v>997</v>
      </c>
      <c r="AL54" s="159"/>
      <c r="AM54" s="158"/>
      <c r="AN54" s="150">
        <v>-1366</v>
      </c>
      <c r="AO54" s="165"/>
      <c r="AP54" s="157" t="s">
        <v>997</v>
      </c>
      <c r="AQ54" s="159"/>
      <c r="AR54" s="158"/>
      <c r="AS54" s="150">
        <v>-1262</v>
      </c>
      <c r="AT54" s="165"/>
      <c r="AU54" s="157" t="s">
        <v>997</v>
      </c>
      <c r="AV54" s="159"/>
      <c r="AW54" s="158"/>
      <c r="AX54" s="150">
        <v>-1184</v>
      </c>
      <c r="AY54" s="165"/>
      <c r="AZ54" s="157" t="s">
        <v>997</v>
      </c>
      <c r="BA54" s="159"/>
      <c r="BB54" s="158"/>
      <c r="BC54" s="150">
        <v>-1076</v>
      </c>
      <c r="BD54" s="165"/>
      <c r="BE54" s="157" t="s">
        <v>997</v>
      </c>
      <c r="BF54" s="159"/>
      <c r="BG54" s="158"/>
      <c r="BH54" s="150">
        <v>-717</v>
      </c>
      <c r="BI54" s="165"/>
      <c r="BJ54" s="157" t="s">
        <v>997</v>
      </c>
      <c r="BK54" s="148">
        <f t="shared" si="106"/>
        <v>0</v>
      </c>
      <c r="BL54" s="216">
        <f t="shared" si="107"/>
        <v>-12853</v>
      </c>
      <c r="BM54" s="150"/>
    </row>
    <row r="55" spans="1:65" customFormat="1" x14ac:dyDescent="0.25">
      <c r="A55" s="165"/>
      <c r="B55" s="157" t="s">
        <v>995</v>
      </c>
      <c r="C55" s="159">
        <v>250186</v>
      </c>
      <c r="D55" s="160">
        <v>4.0502000000000003E-2</v>
      </c>
      <c r="E55" s="150">
        <f t="shared" ref="E55:E56" si="108">C55*D55</f>
        <v>10133.033372000002</v>
      </c>
      <c r="F55" s="165"/>
      <c r="G55" s="157" t="s">
        <v>995</v>
      </c>
      <c r="H55" s="159">
        <v>234128</v>
      </c>
      <c r="I55" s="160">
        <v>3.8982000000000003E-2</v>
      </c>
      <c r="J55" s="150">
        <f t="shared" ref="J55:J56" si="109">H55*I55</f>
        <v>9126.777696000001</v>
      </c>
      <c r="K55" s="165"/>
      <c r="L55" s="157" t="s">
        <v>995</v>
      </c>
      <c r="M55" s="159">
        <v>267411</v>
      </c>
      <c r="N55" s="160">
        <v>3.8982000000000003E-2</v>
      </c>
      <c r="O55" s="150">
        <f t="shared" ref="O55:O56" si="110">M55*N55</f>
        <v>10424.215602</v>
      </c>
      <c r="P55" s="165"/>
      <c r="Q55" s="157" t="s">
        <v>995</v>
      </c>
      <c r="R55" s="159">
        <v>274069</v>
      </c>
      <c r="S55" s="160">
        <v>4.0502000000000003E-2</v>
      </c>
      <c r="T55" s="150">
        <f t="shared" ref="T55:T56" si="111">R55*S55</f>
        <v>11100.342638</v>
      </c>
      <c r="U55" s="165"/>
      <c r="V55" s="157" t="s">
        <v>995</v>
      </c>
      <c r="W55" s="159">
        <v>316625</v>
      </c>
      <c r="X55" s="160">
        <v>4.0502000000000003E-2</v>
      </c>
      <c r="Y55" s="150">
        <f t="shared" ref="Y55:Y56" si="112">W55*X55</f>
        <v>12823.945750000001</v>
      </c>
      <c r="Z55" s="165"/>
      <c r="AA55" s="157" t="s">
        <v>995</v>
      </c>
      <c r="AB55" s="159">
        <v>335004</v>
      </c>
      <c r="AC55" s="160">
        <v>4.0502000000000003E-2</v>
      </c>
      <c r="AD55" s="150">
        <f t="shared" ref="AD55:AD56" si="113">AB55*AC55</f>
        <v>13568.332008000001</v>
      </c>
      <c r="AE55" s="165"/>
      <c r="AF55" s="157" t="s">
        <v>995</v>
      </c>
      <c r="AG55" s="159">
        <v>368777</v>
      </c>
      <c r="AH55" s="160">
        <v>4.0502000000000003E-2</v>
      </c>
      <c r="AI55" s="150">
        <f t="shared" ref="AI55:AI56" si="114">AG55*AH55</f>
        <v>14936.206054000002</v>
      </c>
      <c r="AJ55" s="165"/>
      <c r="AK55" s="157" t="s">
        <v>995</v>
      </c>
      <c r="AL55" s="159">
        <v>355210</v>
      </c>
      <c r="AM55" s="160">
        <v>4.0502000000000003E-2</v>
      </c>
      <c r="AN55" s="150">
        <f t="shared" ref="AN55:AN56" si="115">AL55*AM55</f>
        <v>14386.71542</v>
      </c>
      <c r="AO55" s="165"/>
      <c r="AP55" s="157" t="s">
        <v>995</v>
      </c>
      <c r="AQ55" s="159">
        <v>337238</v>
      </c>
      <c r="AR55" s="160">
        <v>4.0502000000000003E-2</v>
      </c>
      <c r="AS55" s="150">
        <f t="shared" ref="AS55:AS56" si="116">AQ55*AR55</f>
        <v>13658.813476000001</v>
      </c>
      <c r="AT55" s="165"/>
      <c r="AU55" s="157" t="s">
        <v>995</v>
      </c>
      <c r="AV55" s="159">
        <v>294959</v>
      </c>
      <c r="AW55" s="160">
        <v>4.0502000000000003E-2</v>
      </c>
      <c r="AX55" s="150">
        <f t="shared" ref="AX55:AX56" si="117">AV55*AW55</f>
        <v>11946.429418000002</v>
      </c>
      <c r="AY55" s="165"/>
      <c r="AZ55" s="157" t="s">
        <v>995</v>
      </c>
      <c r="BA55" s="159">
        <v>243374</v>
      </c>
      <c r="BB55" s="160">
        <v>4.0502000000000003E-2</v>
      </c>
      <c r="BC55" s="150">
        <f t="shared" ref="BC55:BC56" si="118">BA55*BB55</f>
        <v>9857.1337480000002</v>
      </c>
      <c r="BD55" s="165"/>
      <c r="BE55" s="157" t="s">
        <v>995</v>
      </c>
      <c r="BF55" s="159">
        <v>250383</v>
      </c>
      <c r="BG55" s="160">
        <v>4.0502000000000003E-2</v>
      </c>
      <c r="BH55" s="150">
        <f t="shared" ref="BH55:BH56" si="119">BF55*BG55</f>
        <v>10141.012266000002</v>
      </c>
      <c r="BI55" s="165"/>
      <c r="BJ55" s="157" t="s">
        <v>995</v>
      </c>
      <c r="BK55" s="148">
        <f t="shared" si="106"/>
        <v>3527364</v>
      </c>
      <c r="BL55" s="216">
        <f t="shared" si="107"/>
        <v>142102.957448</v>
      </c>
      <c r="BM55" s="150"/>
    </row>
    <row r="56" spans="1:65" customFormat="1" x14ac:dyDescent="0.25">
      <c r="A56" s="165"/>
      <c r="B56" s="157" t="s">
        <v>996</v>
      </c>
      <c r="C56" s="159">
        <v>0</v>
      </c>
      <c r="D56" s="160">
        <f>0.040502-0.02776</f>
        <v>1.2742000000000003E-2</v>
      </c>
      <c r="E56" s="150">
        <f t="shared" si="108"/>
        <v>0</v>
      </c>
      <c r="F56" s="165"/>
      <c r="G56" s="157" t="s">
        <v>996</v>
      </c>
      <c r="H56" s="159">
        <v>0</v>
      </c>
      <c r="I56" s="160">
        <f>I55-0.02624</f>
        <v>1.2742000000000003E-2</v>
      </c>
      <c r="J56" s="150">
        <f t="shared" si="109"/>
        <v>0</v>
      </c>
      <c r="K56" s="165"/>
      <c r="L56" s="157" t="s">
        <v>996</v>
      </c>
      <c r="M56" s="159">
        <v>0</v>
      </c>
      <c r="N56" s="160">
        <f>N55-0.02624</f>
        <v>1.2742000000000003E-2</v>
      </c>
      <c r="O56" s="150">
        <f t="shared" si="110"/>
        <v>0</v>
      </c>
      <c r="P56" s="165"/>
      <c r="Q56" s="157" t="s">
        <v>996</v>
      </c>
      <c r="R56" s="159">
        <v>0</v>
      </c>
      <c r="S56" s="160">
        <f>0.040502-0.02776</f>
        <v>1.2742000000000003E-2</v>
      </c>
      <c r="T56" s="150">
        <f t="shared" si="111"/>
        <v>0</v>
      </c>
      <c r="U56" s="165"/>
      <c r="V56" s="157" t="s">
        <v>996</v>
      </c>
      <c r="W56" s="159">
        <v>0</v>
      </c>
      <c r="X56" s="160">
        <f>0.040502-0.02776</f>
        <v>1.2742000000000003E-2</v>
      </c>
      <c r="Y56" s="150">
        <f t="shared" si="112"/>
        <v>0</v>
      </c>
      <c r="Z56" s="165"/>
      <c r="AA56" s="157" t="s">
        <v>996</v>
      </c>
      <c r="AB56" s="159">
        <v>0</v>
      </c>
      <c r="AC56" s="160">
        <f>0.040502-0.02776</f>
        <v>1.2742000000000003E-2</v>
      </c>
      <c r="AD56" s="150">
        <f t="shared" si="113"/>
        <v>0</v>
      </c>
      <c r="AE56" s="165"/>
      <c r="AF56" s="157" t="s">
        <v>996</v>
      </c>
      <c r="AG56" s="159">
        <v>0</v>
      </c>
      <c r="AH56" s="160">
        <f>0.040502-0.02776</f>
        <v>1.2742000000000003E-2</v>
      </c>
      <c r="AI56" s="150">
        <f t="shared" si="114"/>
        <v>0</v>
      </c>
      <c r="AJ56" s="165"/>
      <c r="AK56" s="157" t="s">
        <v>996</v>
      </c>
      <c r="AL56" s="159">
        <v>0</v>
      </c>
      <c r="AM56" s="160">
        <f>0.040502-0.02776</f>
        <v>1.2742000000000003E-2</v>
      </c>
      <c r="AN56" s="150">
        <f t="shared" si="115"/>
        <v>0</v>
      </c>
      <c r="AO56" s="165"/>
      <c r="AP56" s="157" t="s">
        <v>996</v>
      </c>
      <c r="AQ56" s="159">
        <v>0</v>
      </c>
      <c r="AR56" s="160">
        <f>0.040502-0.02776</f>
        <v>1.2742000000000003E-2</v>
      </c>
      <c r="AS56" s="150">
        <f t="shared" si="116"/>
        <v>0</v>
      </c>
      <c r="AT56" s="165"/>
      <c r="AU56" s="157" t="s">
        <v>996</v>
      </c>
      <c r="AV56" s="159">
        <v>0</v>
      </c>
      <c r="AW56" s="160">
        <f>0.040502-0.02776</f>
        <v>1.2742000000000003E-2</v>
      </c>
      <c r="AX56" s="150">
        <f t="shared" si="117"/>
        <v>0</v>
      </c>
      <c r="AY56" s="165"/>
      <c r="AZ56" s="157" t="s">
        <v>996</v>
      </c>
      <c r="BA56" s="159">
        <v>0</v>
      </c>
      <c r="BB56" s="160">
        <f>0.040502-0.02776</f>
        <v>1.2742000000000003E-2</v>
      </c>
      <c r="BC56" s="150">
        <f t="shared" si="118"/>
        <v>0</v>
      </c>
      <c r="BD56" s="165"/>
      <c r="BE56" s="157" t="s">
        <v>996</v>
      </c>
      <c r="BF56" s="159">
        <v>0</v>
      </c>
      <c r="BG56" s="160">
        <f>0.040502-0.02776</f>
        <v>1.2742000000000003E-2</v>
      </c>
      <c r="BH56" s="150">
        <f t="shared" si="119"/>
        <v>0</v>
      </c>
      <c r="BI56" s="165"/>
      <c r="BJ56" s="157" t="s">
        <v>996</v>
      </c>
      <c r="BK56" s="148">
        <f t="shared" si="106"/>
        <v>0</v>
      </c>
      <c r="BL56" s="216">
        <f t="shared" si="107"/>
        <v>0</v>
      </c>
      <c r="BM56" s="150"/>
    </row>
    <row r="57" spans="1:65" customFormat="1" x14ac:dyDescent="0.25">
      <c r="A57" s="165"/>
      <c r="B57" s="157" t="s">
        <v>984</v>
      </c>
      <c r="C57" s="159"/>
      <c r="D57" s="160"/>
      <c r="E57" s="150">
        <v>-1278</v>
      </c>
      <c r="F57" s="165"/>
      <c r="G57" s="157" t="s">
        <v>984</v>
      </c>
      <c r="H57" s="159"/>
      <c r="I57" s="160"/>
      <c r="J57" s="150">
        <v>-1531</v>
      </c>
      <c r="K57" s="165"/>
      <c r="L57" s="157" t="s">
        <v>984</v>
      </c>
      <c r="M57" s="159"/>
      <c r="N57" s="160"/>
      <c r="O57" s="150">
        <v>-2088</v>
      </c>
      <c r="P57" s="165"/>
      <c r="Q57" s="157" t="s">
        <v>984</v>
      </c>
      <c r="R57" s="159"/>
      <c r="S57" s="160"/>
      <c r="T57" s="150">
        <v>-458</v>
      </c>
      <c r="U57" s="165"/>
      <c r="V57" s="157" t="s">
        <v>984</v>
      </c>
      <c r="W57" s="159"/>
      <c r="X57" s="160"/>
      <c r="Y57" s="150">
        <v>-1191</v>
      </c>
      <c r="Z57" s="165"/>
      <c r="AA57" s="157" t="s">
        <v>984</v>
      </c>
      <c r="AB57" s="159"/>
      <c r="AC57" s="160"/>
      <c r="AD57" s="150">
        <v>-1169</v>
      </c>
      <c r="AE57" s="165"/>
      <c r="AF57" s="157" t="s">
        <v>984</v>
      </c>
      <c r="AG57" s="159"/>
      <c r="AH57" s="160"/>
      <c r="AI57" s="150">
        <v>-1781</v>
      </c>
      <c r="AJ57" s="165"/>
      <c r="AK57" s="157" t="s">
        <v>984</v>
      </c>
      <c r="AL57" s="159"/>
      <c r="AM57" s="160"/>
      <c r="AN57" s="150">
        <v>-1858</v>
      </c>
      <c r="AO57" s="165"/>
      <c r="AP57" s="157" t="s">
        <v>984</v>
      </c>
      <c r="AQ57" s="159"/>
      <c r="AR57" s="160"/>
      <c r="AS57" s="150">
        <v>-2064</v>
      </c>
      <c r="AT57" s="165"/>
      <c r="AU57" s="157" t="s">
        <v>984</v>
      </c>
      <c r="AV57" s="159"/>
      <c r="AW57" s="160"/>
      <c r="AX57" s="150">
        <v>-1664</v>
      </c>
      <c r="AY57" s="165"/>
      <c r="AZ57" s="157" t="s">
        <v>984</v>
      </c>
      <c r="BA57" s="159"/>
      <c r="BB57" s="160"/>
      <c r="BC57" s="150">
        <v>-1604</v>
      </c>
      <c r="BD57" s="165"/>
      <c r="BE57" s="157" t="s">
        <v>984</v>
      </c>
      <c r="BF57" s="159"/>
      <c r="BG57" s="160"/>
      <c r="BH57" s="150">
        <v>-298</v>
      </c>
      <c r="BI57" s="165"/>
      <c r="BJ57" s="157" t="s">
        <v>984</v>
      </c>
      <c r="BK57" s="148"/>
      <c r="BL57" s="216">
        <f t="shared" si="107"/>
        <v>-16984</v>
      </c>
      <c r="BM57" s="150"/>
    </row>
    <row r="58" spans="1:65" customFormat="1" x14ac:dyDescent="0.25">
      <c r="A58" s="165"/>
      <c r="B58" s="157"/>
      <c r="C58" s="159"/>
      <c r="D58" s="160"/>
      <c r="E58" s="150"/>
      <c r="F58" s="165"/>
      <c r="G58" s="157"/>
      <c r="H58" s="159"/>
      <c r="I58" s="160"/>
      <c r="J58" s="150"/>
      <c r="K58" s="165"/>
      <c r="L58" s="157"/>
      <c r="M58" s="159"/>
      <c r="N58" s="160"/>
      <c r="O58" s="150"/>
      <c r="P58" s="165"/>
      <c r="Q58" s="157"/>
      <c r="R58" s="159"/>
      <c r="S58" s="160"/>
      <c r="T58" s="150"/>
      <c r="U58" s="165"/>
      <c r="V58" s="157"/>
      <c r="W58" s="159"/>
      <c r="X58" s="160"/>
      <c r="Y58" s="150"/>
      <c r="Z58" s="165"/>
      <c r="AA58" s="157"/>
      <c r="AB58" s="159"/>
      <c r="AC58" s="160"/>
      <c r="AD58" s="150"/>
      <c r="AE58" s="165"/>
      <c r="AF58" s="157"/>
      <c r="AG58" s="159"/>
      <c r="AH58" s="160"/>
      <c r="AI58" s="150"/>
      <c r="AJ58" s="165"/>
      <c r="AK58" s="157"/>
      <c r="AL58" s="159"/>
      <c r="AM58" s="160"/>
      <c r="AN58" s="150"/>
      <c r="AO58" s="165"/>
      <c r="AP58" s="157"/>
      <c r="AQ58" s="159"/>
      <c r="AR58" s="160"/>
      <c r="AS58" s="150"/>
      <c r="AT58" s="165"/>
      <c r="AU58" s="157"/>
      <c r="AV58" s="159"/>
      <c r="AW58" s="160"/>
      <c r="AX58" s="150"/>
      <c r="AY58" s="165"/>
      <c r="AZ58" s="157"/>
      <c r="BA58" s="159"/>
      <c r="BB58" s="160"/>
      <c r="BC58" s="150"/>
      <c r="BD58" s="165"/>
      <c r="BE58" s="157"/>
      <c r="BF58" s="159"/>
      <c r="BG58" s="160"/>
      <c r="BH58" s="150"/>
      <c r="BI58" s="165"/>
      <c r="BJ58" s="157"/>
      <c r="BK58" s="159"/>
      <c r="BL58" s="160"/>
      <c r="BM58" s="150"/>
    </row>
    <row r="59" spans="1:65" customFormat="1" x14ac:dyDescent="0.25">
      <c r="A59" s="8" t="s">
        <v>1037</v>
      </c>
      <c r="B59" s="206"/>
      <c r="C59" s="159"/>
      <c r="D59" s="160"/>
      <c r="E59" s="150"/>
      <c r="F59" s="8" t="s">
        <v>1037</v>
      </c>
      <c r="G59" s="206"/>
      <c r="H59" s="159"/>
      <c r="I59" s="160"/>
      <c r="J59" s="150"/>
      <c r="K59" s="8" t="s">
        <v>1037</v>
      </c>
      <c r="L59" s="206"/>
      <c r="M59" s="159"/>
      <c r="N59" s="160"/>
      <c r="O59" s="150"/>
      <c r="P59" s="8" t="s">
        <v>1037</v>
      </c>
      <c r="Q59" s="206"/>
      <c r="R59" s="159"/>
      <c r="S59" s="160"/>
      <c r="T59" s="150"/>
      <c r="U59" s="8" t="s">
        <v>1037</v>
      </c>
      <c r="V59" s="206"/>
      <c r="W59" s="159"/>
      <c r="X59" s="160"/>
      <c r="Y59" s="150"/>
      <c r="Z59" s="8" t="s">
        <v>1037</v>
      </c>
      <c r="AA59" s="206"/>
      <c r="AB59" s="159"/>
      <c r="AC59" s="160"/>
      <c r="AD59" s="150"/>
      <c r="AE59" s="8" t="s">
        <v>1037</v>
      </c>
      <c r="AF59" s="206"/>
      <c r="AG59" s="159"/>
      <c r="AH59" s="160"/>
      <c r="AI59" s="150"/>
      <c r="AJ59" s="8" t="s">
        <v>1037</v>
      </c>
      <c r="AK59" s="206"/>
      <c r="AL59" s="159"/>
      <c r="AM59" s="160"/>
      <c r="AN59" s="150"/>
      <c r="AO59" s="8" t="s">
        <v>1037</v>
      </c>
      <c r="AP59" s="206"/>
      <c r="AQ59" s="159"/>
      <c r="AR59" s="160"/>
      <c r="AS59" s="150"/>
      <c r="AT59" s="8" t="s">
        <v>1037</v>
      </c>
      <c r="AU59" s="206"/>
      <c r="AV59" s="159"/>
      <c r="AW59" s="160"/>
      <c r="AX59" s="150"/>
      <c r="AY59" s="8" t="s">
        <v>1037</v>
      </c>
      <c r="AZ59" s="206"/>
      <c r="BA59" s="159"/>
      <c r="BB59" s="160"/>
      <c r="BC59" s="150"/>
      <c r="BD59" s="8" t="s">
        <v>1037</v>
      </c>
      <c r="BE59" s="206"/>
      <c r="BF59" s="159"/>
      <c r="BG59" s="160"/>
      <c r="BH59" s="150"/>
      <c r="BI59" s="8" t="s">
        <v>1037</v>
      </c>
      <c r="BJ59" s="206"/>
      <c r="BK59" s="159"/>
      <c r="BL59" s="160"/>
      <c r="BM59" s="150"/>
    </row>
    <row r="60" spans="1:65" customFormat="1" x14ac:dyDescent="0.25">
      <c r="A60" s="2"/>
      <c r="B60" s="157" t="s">
        <v>978</v>
      </c>
      <c r="C60" s="159">
        <v>1650</v>
      </c>
      <c r="D60" s="158">
        <v>7.17</v>
      </c>
      <c r="E60" s="150">
        <f>C60*D60</f>
        <v>11830.5</v>
      </c>
      <c r="F60" s="2"/>
      <c r="G60" s="157" t="s">
        <v>978</v>
      </c>
      <c r="H60" s="159">
        <v>1650</v>
      </c>
      <c r="I60" s="158">
        <v>7.17</v>
      </c>
      <c r="J60" s="150">
        <f>H60*I60</f>
        <v>11830.5</v>
      </c>
      <c r="K60" s="2"/>
      <c r="L60" s="157" t="s">
        <v>978</v>
      </c>
      <c r="M60" s="159">
        <v>1650</v>
      </c>
      <c r="N60" s="158">
        <v>7.17</v>
      </c>
      <c r="O60" s="150">
        <f>M60*N60</f>
        <v>11830.5</v>
      </c>
      <c r="P60" s="2"/>
      <c r="Q60" s="157" t="s">
        <v>978</v>
      </c>
      <c r="R60" s="159">
        <v>1800</v>
      </c>
      <c r="S60" s="158">
        <v>7.17</v>
      </c>
      <c r="T60" s="150">
        <f>R60*S60</f>
        <v>12906</v>
      </c>
      <c r="U60" s="2"/>
      <c r="V60" s="157" t="s">
        <v>978</v>
      </c>
      <c r="W60" s="159">
        <v>1800</v>
      </c>
      <c r="X60" s="158">
        <v>7.17</v>
      </c>
      <c r="Y60" s="150">
        <f>W60*X60</f>
        <v>12906</v>
      </c>
      <c r="Z60" s="2"/>
      <c r="AA60" s="157" t="s">
        <v>978</v>
      </c>
      <c r="AB60" s="159">
        <v>1800</v>
      </c>
      <c r="AC60" s="158">
        <v>7.17</v>
      </c>
      <c r="AD60" s="150">
        <f>AB60*AC60</f>
        <v>12906</v>
      </c>
      <c r="AE60" s="2"/>
      <c r="AF60" s="157" t="s">
        <v>978</v>
      </c>
      <c r="AG60" s="159">
        <v>1800</v>
      </c>
      <c r="AH60" s="158">
        <v>7.17</v>
      </c>
      <c r="AI60" s="150">
        <f>AG60*AH60</f>
        <v>12906</v>
      </c>
      <c r="AJ60" s="2"/>
      <c r="AK60" s="157" t="s">
        <v>978</v>
      </c>
      <c r="AL60" s="159">
        <v>1800</v>
      </c>
      <c r="AM60" s="158">
        <v>7.17</v>
      </c>
      <c r="AN60" s="150">
        <f>AL60*AM60</f>
        <v>12906</v>
      </c>
      <c r="AO60" s="2"/>
      <c r="AP60" s="157" t="s">
        <v>978</v>
      </c>
      <c r="AQ60" s="159">
        <v>1800</v>
      </c>
      <c r="AR60" s="158">
        <v>7.17</v>
      </c>
      <c r="AS60" s="150">
        <f>AQ60*AR60</f>
        <v>12906</v>
      </c>
      <c r="AT60" s="2"/>
      <c r="AU60" s="157" t="s">
        <v>978</v>
      </c>
      <c r="AV60" s="159">
        <v>1650</v>
      </c>
      <c r="AW60" s="158">
        <v>7.17</v>
      </c>
      <c r="AX60" s="150">
        <f>AV60*AW60</f>
        <v>11830.5</v>
      </c>
      <c r="AY60" s="2"/>
      <c r="AZ60" s="157" t="s">
        <v>978</v>
      </c>
      <c r="BA60" s="159">
        <v>1650</v>
      </c>
      <c r="BB60" s="158">
        <v>7.17</v>
      </c>
      <c r="BC60" s="150">
        <f>BA60*BB60</f>
        <v>11830.5</v>
      </c>
      <c r="BD60" s="2"/>
      <c r="BE60" s="157" t="s">
        <v>978</v>
      </c>
      <c r="BF60" s="159">
        <v>1650</v>
      </c>
      <c r="BG60" s="158">
        <v>7.17</v>
      </c>
      <c r="BH60" s="150">
        <f>BF60*BG60</f>
        <v>11830.5</v>
      </c>
      <c r="BI60" s="2"/>
      <c r="BJ60" s="157" t="s">
        <v>978</v>
      </c>
      <c r="BK60" s="148">
        <f t="shared" ref="BK60" si="120">C60+H60+M60+R60+W60+AB60+AG60+AL60+AQ60+AV60+BA60+BF60</f>
        <v>20700</v>
      </c>
      <c r="BL60" s="216">
        <f t="shared" ref="BL60" si="121">E60+J60+O60+T60+Y60+AD60+AI60+AN60+AS60+AX60+BC60+BH60</f>
        <v>148419</v>
      </c>
      <c r="BM60" s="150"/>
    </row>
    <row r="61" spans="1:65" customFormat="1" x14ac:dyDescent="0.25">
      <c r="A61" s="2"/>
      <c r="B61" s="157" t="s">
        <v>979</v>
      </c>
      <c r="C61" s="159">
        <v>0</v>
      </c>
      <c r="D61" s="158">
        <v>9.98</v>
      </c>
      <c r="E61" s="150">
        <f t="shared" ref="E61:E63" si="122">C61*D61</f>
        <v>0</v>
      </c>
      <c r="F61" s="2"/>
      <c r="G61" s="157" t="s">
        <v>979</v>
      </c>
      <c r="H61" s="159">
        <v>0</v>
      </c>
      <c r="I61" s="158">
        <v>9.98</v>
      </c>
      <c r="J61" s="150">
        <f t="shared" ref="J61:J63" si="123">H61*I61</f>
        <v>0</v>
      </c>
      <c r="K61" s="2"/>
      <c r="L61" s="157" t="s">
        <v>979</v>
      </c>
      <c r="M61" s="159">
        <v>0</v>
      </c>
      <c r="N61" s="158">
        <v>9.98</v>
      </c>
      <c r="O61" s="150">
        <f t="shared" ref="O61:O63" si="124">M61*N61</f>
        <v>0</v>
      </c>
      <c r="P61" s="2"/>
      <c r="Q61" s="157" t="s">
        <v>979</v>
      </c>
      <c r="R61" s="159">
        <v>0</v>
      </c>
      <c r="S61" s="158">
        <v>9.98</v>
      </c>
      <c r="T61" s="150">
        <f t="shared" ref="T61:T63" si="125">R61*S61</f>
        <v>0</v>
      </c>
      <c r="U61" s="2"/>
      <c r="V61" s="157" t="s">
        <v>979</v>
      </c>
      <c r="W61" s="159">
        <v>0</v>
      </c>
      <c r="X61" s="158">
        <v>9.98</v>
      </c>
      <c r="Y61" s="150">
        <f t="shared" ref="Y61:Y63" si="126">W61*X61</f>
        <v>0</v>
      </c>
      <c r="Z61" s="2"/>
      <c r="AA61" s="157" t="s">
        <v>979</v>
      </c>
      <c r="AB61" s="159">
        <v>0</v>
      </c>
      <c r="AC61" s="158">
        <v>9.98</v>
      </c>
      <c r="AD61" s="150">
        <f t="shared" ref="AD61:AD63" si="127">AB61*AC61</f>
        <v>0</v>
      </c>
      <c r="AE61" s="2"/>
      <c r="AF61" s="157" t="s">
        <v>979</v>
      </c>
      <c r="AG61" s="159">
        <v>0</v>
      </c>
      <c r="AH61" s="158">
        <v>9.98</v>
      </c>
      <c r="AI61" s="150">
        <f t="shared" ref="AI61:AI63" si="128">AG61*AH61</f>
        <v>0</v>
      </c>
      <c r="AJ61" s="2"/>
      <c r="AK61" s="157" t="s">
        <v>979</v>
      </c>
      <c r="AL61" s="159">
        <v>0</v>
      </c>
      <c r="AM61" s="158">
        <v>9.98</v>
      </c>
      <c r="AN61" s="150">
        <f t="shared" ref="AN61:AN63" si="129">AL61*AM61</f>
        <v>0</v>
      </c>
      <c r="AO61" s="2"/>
      <c r="AP61" s="157" t="s">
        <v>979</v>
      </c>
      <c r="AQ61" s="159">
        <v>0</v>
      </c>
      <c r="AR61" s="158">
        <v>9.98</v>
      </c>
      <c r="AS61" s="150">
        <f t="shared" ref="AS61:AS63" si="130">AQ61*AR61</f>
        <v>0</v>
      </c>
      <c r="AT61" s="2"/>
      <c r="AU61" s="157" t="s">
        <v>979</v>
      </c>
      <c r="AV61" s="159">
        <v>0</v>
      </c>
      <c r="AW61" s="158">
        <v>9.98</v>
      </c>
      <c r="AX61" s="150">
        <f t="shared" ref="AX61:AX63" si="131">AV61*AW61</f>
        <v>0</v>
      </c>
      <c r="AY61" s="2"/>
      <c r="AZ61" s="157" t="s">
        <v>979</v>
      </c>
      <c r="BA61" s="159">
        <v>0</v>
      </c>
      <c r="BB61" s="158">
        <v>9.98</v>
      </c>
      <c r="BC61" s="150">
        <f t="shared" ref="BC61:BC63" si="132">BA61*BB61</f>
        <v>0</v>
      </c>
      <c r="BD61" s="2"/>
      <c r="BE61" s="157" t="s">
        <v>979</v>
      </c>
      <c r="BF61" s="159">
        <v>0</v>
      </c>
      <c r="BG61" s="158">
        <v>9.98</v>
      </c>
      <c r="BH61" s="150">
        <f t="shared" ref="BH61:BH63" si="133">BF61*BG61</f>
        <v>0</v>
      </c>
      <c r="BI61" s="2"/>
      <c r="BJ61" s="157" t="s">
        <v>979</v>
      </c>
      <c r="BK61" s="148">
        <f t="shared" ref="BK61:BK63" si="134">C61+H61+M61+R61+W61+AB61+AG61+AL61+AQ61+AV61+BA61+BF61</f>
        <v>0</v>
      </c>
      <c r="BL61" s="216">
        <f t="shared" ref="BL61:BL64" si="135">E61+J61+O61+T61+Y61+AD61+AI61+AN61+AS61+AX61+BC61+BH61</f>
        <v>0</v>
      </c>
      <c r="BM61" s="150"/>
    </row>
    <row r="62" spans="1:65" customFormat="1" x14ac:dyDescent="0.25">
      <c r="A62" s="2"/>
      <c r="B62" s="157" t="s">
        <v>995</v>
      </c>
      <c r="C62" s="159">
        <v>889249</v>
      </c>
      <c r="D62" s="160">
        <v>4.0502000000000003E-2</v>
      </c>
      <c r="E62" s="150">
        <f t="shared" si="122"/>
        <v>36016.362998000004</v>
      </c>
      <c r="F62" s="2"/>
      <c r="G62" s="157" t="s">
        <v>995</v>
      </c>
      <c r="H62" s="159">
        <v>1000612</v>
      </c>
      <c r="I62" s="160">
        <v>3.8982000000000003E-2</v>
      </c>
      <c r="J62" s="150">
        <f t="shared" si="123"/>
        <v>39005.856984000005</v>
      </c>
      <c r="K62" s="2"/>
      <c r="L62" s="157" t="s">
        <v>995</v>
      </c>
      <c r="M62" s="159">
        <v>931723</v>
      </c>
      <c r="N62" s="160">
        <v>3.8982000000000003E-2</v>
      </c>
      <c r="O62" s="150">
        <f t="shared" si="124"/>
        <v>36320.425986000002</v>
      </c>
      <c r="P62" s="2"/>
      <c r="Q62" s="157" t="s">
        <v>995</v>
      </c>
      <c r="R62" s="159">
        <v>1002016</v>
      </c>
      <c r="S62" s="160">
        <v>4.0502000000000003E-2</v>
      </c>
      <c r="T62" s="150">
        <f t="shared" si="125"/>
        <v>40583.652032000005</v>
      </c>
      <c r="U62" s="2"/>
      <c r="V62" s="157" t="s">
        <v>995</v>
      </c>
      <c r="W62" s="159">
        <v>1006283</v>
      </c>
      <c r="X62" s="160">
        <v>4.0502000000000003E-2</v>
      </c>
      <c r="Y62" s="150">
        <f t="shared" si="126"/>
        <v>40756.474066000002</v>
      </c>
      <c r="Z62" s="2"/>
      <c r="AA62" s="157" t="s">
        <v>995</v>
      </c>
      <c r="AB62" s="159">
        <v>983599</v>
      </c>
      <c r="AC62" s="160">
        <v>4.0502000000000003E-2</v>
      </c>
      <c r="AD62" s="150">
        <f t="shared" si="127"/>
        <v>39837.726698000006</v>
      </c>
      <c r="AE62" s="2"/>
      <c r="AF62" s="157" t="s">
        <v>995</v>
      </c>
      <c r="AG62" s="159">
        <v>996911</v>
      </c>
      <c r="AH62" s="160">
        <v>4.0502000000000003E-2</v>
      </c>
      <c r="AI62" s="150">
        <f t="shared" si="128"/>
        <v>40376.889322000003</v>
      </c>
      <c r="AJ62" s="2"/>
      <c r="AK62" s="157" t="s">
        <v>995</v>
      </c>
      <c r="AL62" s="159">
        <v>966717</v>
      </c>
      <c r="AM62" s="160">
        <v>4.0502000000000003E-2</v>
      </c>
      <c r="AN62" s="150">
        <f t="shared" si="129"/>
        <v>39153.971934000001</v>
      </c>
      <c r="AO62" s="2"/>
      <c r="AP62" s="157" t="s">
        <v>995</v>
      </c>
      <c r="AQ62" s="159">
        <v>908345</v>
      </c>
      <c r="AR62" s="160">
        <v>4.0502000000000003E-2</v>
      </c>
      <c r="AS62" s="150">
        <f t="shared" si="130"/>
        <v>36789.789190000003</v>
      </c>
      <c r="AT62" s="2"/>
      <c r="AU62" s="157" t="s">
        <v>995</v>
      </c>
      <c r="AV62" s="159">
        <v>1001474</v>
      </c>
      <c r="AW62" s="160">
        <v>4.0502000000000003E-2</v>
      </c>
      <c r="AX62" s="150">
        <f t="shared" si="131"/>
        <v>40561.699948000001</v>
      </c>
      <c r="AY62" s="2"/>
      <c r="AZ62" s="157" t="s">
        <v>995</v>
      </c>
      <c r="BA62" s="159">
        <v>918985</v>
      </c>
      <c r="BB62" s="160">
        <v>4.0502000000000003E-2</v>
      </c>
      <c r="BC62" s="150">
        <f t="shared" si="132"/>
        <v>37220.730470000002</v>
      </c>
      <c r="BD62" s="2"/>
      <c r="BE62" s="157" t="s">
        <v>995</v>
      </c>
      <c r="BF62" s="159">
        <v>881124</v>
      </c>
      <c r="BG62" s="160">
        <v>4.0502000000000003E-2</v>
      </c>
      <c r="BH62" s="150">
        <f t="shared" si="133"/>
        <v>35687.284248000004</v>
      </c>
      <c r="BI62" s="2"/>
      <c r="BJ62" s="157" t="s">
        <v>995</v>
      </c>
      <c r="BK62" s="148">
        <f t="shared" si="134"/>
        <v>11487038</v>
      </c>
      <c r="BL62" s="216">
        <f t="shared" si="135"/>
        <v>462310.86387600005</v>
      </c>
      <c r="BM62" s="150"/>
    </row>
    <row r="63" spans="1:65" customFormat="1" x14ac:dyDescent="0.25">
      <c r="A63" s="2"/>
      <c r="B63" s="157" t="s">
        <v>996</v>
      </c>
      <c r="C63" s="159"/>
      <c r="D63" s="160">
        <f>0.040502-0.02776</f>
        <v>1.2742000000000003E-2</v>
      </c>
      <c r="E63" s="150">
        <f t="shared" si="122"/>
        <v>0</v>
      </c>
      <c r="F63" s="2"/>
      <c r="G63" s="157" t="s">
        <v>996</v>
      </c>
      <c r="H63" s="159"/>
      <c r="I63" s="160">
        <f>I62-0.02624</f>
        <v>1.2742000000000003E-2</v>
      </c>
      <c r="J63" s="150">
        <f t="shared" si="123"/>
        <v>0</v>
      </c>
      <c r="K63" s="2"/>
      <c r="L63" s="157" t="s">
        <v>996</v>
      </c>
      <c r="M63" s="159"/>
      <c r="N63" s="160">
        <f>N62-0.02624</f>
        <v>1.2742000000000003E-2</v>
      </c>
      <c r="O63" s="150">
        <f t="shared" si="124"/>
        <v>0</v>
      </c>
      <c r="P63" s="2"/>
      <c r="Q63" s="157" t="s">
        <v>996</v>
      </c>
      <c r="R63" s="159"/>
      <c r="S63" s="160">
        <f>0.040502-0.02776</f>
        <v>1.2742000000000003E-2</v>
      </c>
      <c r="T63" s="150">
        <f t="shared" si="125"/>
        <v>0</v>
      </c>
      <c r="U63" s="2"/>
      <c r="V63" s="157" t="s">
        <v>996</v>
      </c>
      <c r="W63" s="159"/>
      <c r="X63" s="160">
        <f>0.040502-0.02776</f>
        <v>1.2742000000000003E-2</v>
      </c>
      <c r="Y63" s="150">
        <f t="shared" si="126"/>
        <v>0</v>
      </c>
      <c r="Z63" s="2"/>
      <c r="AA63" s="157" t="s">
        <v>996</v>
      </c>
      <c r="AB63" s="159"/>
      <c r="AC63" s="160">
        <f>0.040502-0.02776</f>
        <v>1.2742000000000003E-2</v>
      </c>
      <c r="AD63" s="150">
        <f t="shared" si="127"/>
        <v>0</v>
      </c>
      <c r="AE63" s="2"/>
      <c r="AF63" s="157" t="s">
        <v>996</v>
      </c>
      <c r="AG63" s="159"/>
      <c r="AH63" s="160">
        <f>0.040502-0.02776</f>
        <v>1.2742000000000003E-2</v>
      </c>
      <c r="AI63" s="150">
        <f t="shared" si="128"/>
        <v>0</v>
      </c>
      <c r="AJ63" s="2"/>
      <c r="AK63" s="157" t="s">
        <v>996</v>
      </c>
      <c r="AL63" s="159"/>
      <c r="AM63" s="160">
        <f>0.040502-0.02776</f>
        <v>1.2742000000000003E-2</v>
      </c>
      <c r="AN63" s="150">
        <f t="shared" si="129"/>
        <v>0</v>
      </c>
      <c r="AO63" s="2"/>
      <c r="AP63" s="157" t="s">
        <v>996</v>
      </c>
      <c r="AQ63" s="159"/>
      <c r="AR63" s="160">
        <f>0.040502-0.02776</f>
        <v>1.2742000000000003E-2</v>
      </c>
      <c r="AS63" s="150">
        <f t="shared" si="130"/>
        <v>0</v>
      </c>
      <c r="AT63" s="2"/>
      <c r="AU63" s="157" t="s">
        <v>996</v>
      </c>
      <c r="AV63" s="159"/>
      <c r="AW63" s="160">
        <f>0.040502-0.02776</f>
        <v>1.2742000000000003E-2</v>
      </c>
      <c r="AX63" s="150">
        <f t="shared" si="131"/>
        <v>0</v>
      </c>
      <c r="AY63" s="2"/>
      <c r="AZ63" s="157" t="s">
        <v>996</v>
      </c>
      <c r="BA63" s="159"/>
      <c r="BB63" s="160">
        <f>0.040502-0.02776</f>
        <v>1.2742000000000003E-2</v>
      </c>
      <c r="BC63" s="150">
        <f t="shared" si="132"/>
        <v>0</v>
      </c>
      <c r="BD63" s="2"/>
      <c r="BE63" s="157" t="s">
        <v>996</v>
      </c>
      <c r="BF63" s="159"/>
      <c r="BG63" s="160">
        <f>0.040502-0.02776</f>
        <v>1.2742000000000003E-2</v>
      </c>
      <c r="BH63" s="150">
        <f t="shared" si="133"/>
        <v>0</v>
      </c>
      <c r="BI63" s="2"/>
      <c r="BJ63" s="157" t="s">
        <v>996</v>
      </c>
      <c r="BK63" s="148">
        <f t="shared" si="134"/>
        <v>0</v>
      </c>
      <c r="BL63" s="216">
        <f t="shared" si="135"/>
        <v>0</v>
      </c>
      <c r="BM63" s="150"/>
    </row>
    <row r="64" spans="1:65" customFormat="1" x14ac:dyDescent="0.25">
      <c r="A64" s="2"/>
      <c r="B64" s="157" t="s">
        <v>984</v>
      </c>
      <c r="C64" s="159"/>
      <c r="D64" s="160"/>
      <c r="E64" s="150">
        <v>-4544</v>
      </c>
      <c r="F64" s="2"/>
      <c r="G64" s="157" t="s">
        <v>984</v>
      </c>
      <c r="H64" s="159"/>
      <c r="I64" s="160"/>
      <c r="J64" s="150">
        <v>-6544</v>
      </c>
      <c r="K64" s="2"/>
      <c r="L64" s="157" t="s">
        <v>984</v>
      </c>
      <c r="M64" s="159"/>
      <c r="N64" s="160"/>
      <c r="O64" s="150">
        <v>-7277</v>
      </c>
      <c r="P64" s="2"/>
      <c r="Q64" s="157" t="s">
        <v>984</v>
      </c>
      <c r="R64" s="159"/>
      <c r="S64" s="160"/>
      <c r="T64" s="150">
        <v>-1673</v>
      </c>
      <c r="U64" s="2"/>
      <c r="V64" s="157" t="s">
        <v>984</v>
      </c>
      <c r="W64" s="159"/>
      <c r="X64" s="160"/>
      <c r="Y64" s="150">
        <v>-3784</v>
      </c>
      <c r="Z64" s="2"/>
      <c r="AA64" s="157" t="s">
        <v>984</v>
      </c>
      <c r="AB64" s="159"/>
      <c r="AC64" s="160"/>
      <c r="AD64" s="150">
        <v>-3433</v>
      </c>
      <c r="AE64" s="2"/>
      <c r="AF64" s="157" t="s">
        <v>984</v>
      </c>
      <c r="AG64" s="159"/>
      <c r="AH64" s="160"/>
      <c r="AI64" s="150">
        <v>-4815</v>
      </c>
      <c r="AJ64" s="2"/>
      <c r="AK64" s="157" t="s">
        <v>984</v>
      </c>
      <c r="AL64" s="159"/>
      <c r="AM64" s="160"/>
      <c r="AN64" s="150">
        <v>-5056</v>
      </c>
      <c r="AO64" s="2"/>
      <c r="AP64" s="157" t="s">
        <v>984</v>
      </c>
      <c r="AQ64" s="159"/>
      <c r="AR64" s="160"/>
      <c r="AS64" s="150">
        <v>-5559</v>
      </c>
      <c r="AT64" s="2"/>
      <c r="AU64" s="157" t="s">
        <v>984</v>
      </c>
      <c r="AV64" s="159"/>
      <c r="AW64" s="160"/>
      <c r="AX64" s="150">
        <v>-5648</v>
      </c>
      <c r="AY64" s="2"/>
      <c r="AZ64" s="157" t="s">
        <v>984</v>
      </c>
      <c r="BA64" s="159"/>
      <c r="BB64" s="160"/>
      <c r="BC64" s="150">
        <v>-6056</v>
      </c>
      <c r="BD64" s="2"/>
      <c r="BE64" s="157" t="s">
        <v>984</v>
      </c>
      <c r="BF64" s="159"/>
      <c r="BG64" s="160"/>
      <c r="BH64" s="150">
        <v>-1049</v>
      </c>
      <c r="BI64" s="2"/>
      <c r="BJ64" s="157" t="s">
        <v>984</v>
      </c>
      <c r="BK64" s="148"/>
      <c r="BL64" s="216">
        <f t="shared" si="135"/>
        <v>-55438</v>
      </c>
      <c r="BM64" s="150"/>
    </row>
    <row r="65" spans="1:65" customFormat="1" x14ac:dyDescent="0.25">
      <c r="A65" s="2"/>
      <c r="B65" s="157"/>
      <c r="C65" s="159"/>
      <c r="D65" s="160"/>
      <c r="E65" s="150"/>
      <c r="F65" s="2"/>
      <c r="G65" s="157"/>
      <c r="H65" s="159"/>
      <c r="I65" s="160"/>
      <c r="J65" s="150"/>
      <c r="K65" s="2"/>
      <c r="L65" s="157"/>
      <c r="M65" s="159"/>
      <c r="N65" s="160"/>
      <c r="O65" s="150"/>
      <c r="P65" s="2"/>
      <c r="Q65" s="157"/>
      <c r="R65" s="159"/>
      <c r="S65" s="160"/>
      <c r="T65" s="150"/>
      <c r="U65" s="2"/>
      <c r="V65" s="157"/>
      <c r="W65" s="159"/>
      <c r="X65" s="160"/>
      <c r="Y65" s="150"/>
      <c r="Z65" s="2"/>
      <c r="AA65" s="157"/>
      <c r="AB65" s="159"/>
      <c r="AC65" s="160"/>
      <c r="AD65" s="150"/>
      <c r="AE65" s="2"/>
      <c r="AF65" s="157"/>
      <c r="AG65" s="159"/>
      <c r="AH65" s="160"/>
      <c r="AI65" s="150"/>
      <c r="AJ65" s="2"/>
      <c r="AK65" s="157"/>
      <c r="AL65" s="159"/>
      <c r="AM65" s="160"/>
      <c r="AN65" s="150"/>
      <c r="AO65" s="2"/>
      <c r="AP65" s="157"/>
      <c r="AQ65" s="159"/>
      <c r="AR65" s="160"/>
      <c r="AS65" s="150"/>
      <c r="AT65" s="2"/>
      <c r="AU65" s="157"/>
      <c r="AV65" s="159"/>
      <c r="AW65" s="160"/>
      <c r="AX65" s="150"/>
      <c r="AY65" s="2"/>
      <c r="AZ65" s="157"/>
      <c r="BA65" s="159"/>
      <c r="BB65" s="160"/>
      <c r="BC65" s="150"/>
      <c r="BD65" s="2"/>
      <c r="BE65" s="157"/>
      <c r="BF65" s="159"/>
      <c r="BG65" s="160"/>
      <c r="BH65" s="150"/>
      <c r="BI65" s="2"/>
      <c r="BJ65" s="157"/>
      <c r="BK65" s="159"/>
      <c r="BL65" s="160"/>
      <c r="BM65" s="150"/>
    </row>
    <row r="66" spans="1:65" customFormat="1" x14ac:dyDescent="0.25">
      <c r="A66" s="8" t="s">
        <v>1038</v>
      </c>
      <c r="B66" s="206"/>
      <c r="C66" s="159"/>
      <c r="D66" s="160"/>
      <c r="E66" s="150"/>
      <c r="F66" s="8" t="s">
        <v>1038</v>
      </c>
      <c r="G66" s="206"/>
      <c r="H66" s="159"/>
      <c r="I66" s="160"/>
      <c r="J66" s="150"/>
      <c r="K66" s="8" t="s">
        <v>1038</v>
      </c>
      <c r="L66" s="206"/>
      <c r="M66" s="159"/>
      <c r="N66" s="160"/>
      <c r="O66" s="150"/>
      <c r="P66" s="8" t="s">
        <v>1038</v>
      </c>
      <c r="Q66" s="206"/>
      <c r="R66" s="159"/>
      <c r="S66" s="160"/>
      <c r="T66" s="150"/>
      <c r="U66" s="8" t="s">
        <v>1038</v>
      </c>
      <c r="V66" s="206"/>
      <c r="W66" s="159"/>
      <c r="X66" s="160"/>
      <c r="Y66" s="150"/>
      <c r="Z66" s="8" t="s">
        <v>1038</v>
      </c>
      <c r="AA66" s="206"/>
      <c r="AB66" s="159"/>
      <c r="AC66" s="160"/>
      <c r="AD66" s="150"/>
      <c r="AE66" s="8" t="s">
        <v>1038</v>
      </c>
      <c r="AF66" s="206"/>
      <c r="AG66" s="159"/>
      <c r="AH66" s="160"/>
      <c r="AI66" s="150"/>
      <c r="AJ66" s="8" t="s">
        <v>1038</v>
      </c>
      <c r="AK66" s="206"/>
      <c r="AL66" s="159"/>
      <c r="AM66" s="160"/>
      <c r="AN66" s="150"/>
      <c r="AO66" s="8" t="s">
        <v>1038</v>
      </c>
      <c r="AP66" s="206"/>
      <c r="AQ66" s="159"/>
      <c r="AR66" s="160"/>
      <c r="AS66" s="150"/>
      <c r="AT66" s="8" t="s">
        <v>1038</v>
      </c>
      <c r="AU66" s="206"/>
      <c r="AV66" s="159"/>
      <c r="AW66" s="160"/>
      <c r="AX66" s="150"/>
      <c r="AY66" s="8" t="s">
        <v>1038</v>
      </c>
      <c r="AZ66" s="206"/>
      <c r="BA66" s="159"/>
      <c r="BB66" s="160"/>
      <c r="BC66" s="150"/>
      <c r="BD66" s="8" t="s">
        <v>1038</v>
      </c>
      <c r="BE66" s="206"/>
      <c r="BF66" s="159"/>
      <c r="BG66" s="160"/>
      <c r="BH66" s="150"/>
      <c r="BI66" s="8" t="s">
        <v>1038</v>
      </c>
      <c r="BJ66" s="206"/>
      <c r="BK66" s="159"/>
      <c r="BL66" s="160"/>
      <c r="BM66" s="150"/>
    </row>
    <row r="67" spans="1:65" customFormat="1" x14ac:dyDescent="0.25">
      <c r="A67" s="2"/>
      <c r="B67" s="157" t="s">
        <v>978</v>
      </c>
      <c r="C67" s="159">
        <v>900</v>
      </c>
      <c r="D67" s="158">
        <v>7.17</v>
      </c>
      <c r="E67" s="150">
        <f>C67*D67</f>
        <v>6453</v>
      </c>
      <c r="F67" s="2"/>
      <c r="G67" s="157" t="s">
        <v>978</v>
      </c>
      <c r="H67" s="159">
        <v>900</v>
      </c>
      <c r="I67" s="158">
        <v>7.17</v>
      </c>
      <c r="J67" s="150">
        <f>H67*I67</f>
        <v>6453</v>
      </c>
      <c r="K67" s="2"/>
      <c r="L67" s="157" t="s">
        <v>978</v>
      </c>
      <c r="M67" s="159">
        <v>900</v>
      </c>
      <c r="N67" s="158">
        <v>7.17</v>
      </c>
      <c r="O67" s="150">
        <f>M67*N67</f>
        <v>6453</v>
      </c>
      <c r="P67" s="2"/>
      <c r="Q67" s="157" t="s">
        <v>978</v>
      </c>
      <c r="R67" s="159">
        <v>600</v>
      </c>
      <c r="S67" s="158">
        <v>7.17</v>
      </c>
      <c r="T67" s="150">
        <f>R67*S67</f>
        <v>4302</v>
      </c>
      <c r="U67" s="2"/>
      <c r="V67" s="157" t="s">
        <v>978</v>
      </c>
      <c r="W67" s="159">
        <v>600</v>
      </c>
      <c r="X67" s="158">
        <v>7.17</v>
      </c>
      <c r="Y67" s="150">
        <f>W67*X67</f>
        <v>4302</v>
      </c>
      <c r="Z67" s="2"/>
      <c r="AA67" s="157" t="s">
        <v>978</v>
      </c>
      <c r="AB67" s="159">
        <v>600</v>
      </c>
      <c r="AC67" s="158">
        <v>7.17</v>
      </c>
      <c r="AD67" s="150">
        <f>AB67*AC67</f>
        <v>4302</v>
      </c>
      <c r="AE67" s="2"/>
      <c r="AF67" s="157" t="s">
        <v>978</v>
      </c>
      <c r="AG67" s="159">
        <v>600</v>
      </c>
      <c r="AH67" s="158">
        <v>7.17</v>
      </c>
      <c r="AI67" s="150">
        <f>AG67*AH67</f>
        <v>4302</v>
      </c>
      <c r="AJ67" s="2"/>
      <c r="AK67" s="157" t="s">
        <v>978</v>
      </c>
      <c r="AL67" s="159">
        <v>600</v>
      </c>
      <c r="AM67" s="158">
        <v>7.17</v>
      </c>
      <c r="AN67" s="150">
        <f>AL67*AM67</f>
        <v>4302</v>
      </c>
      <c r="AO67" s="2"/>
      <c r="AP67" s="157" t="s">
        <v>978</v>
      </c>
      <c r="AQ67" s="159">
        <v>600</v>
      </c>
      <c r="AR67" s="158">
        <v>7.17</v>
      </c>
      <c r="AS67" s="150">
        <f>AQ67*AR67</f>
        <v>4302</v>
      </c>
      <c r="AT67" s="2"/>
      <c r="AU67" s="157" t="s">
        <v>978</v>
      </c>
      <c r="AV67" s="159">
        <v>900</v>
      </c>
      <c r="AW67" s="158">
        <v>7.17</v>
      </c>
      <c r="AX67" s="150">
        <f>AV67*AW67</f>
        <v>6453</v>
      </c>
      <c r="AY67" s="2"/>
      <c r="AZ67" s="157" t="s">
        <v>978</v>
      </c>
      <c r="BA67" s="159">
        <v>900</v>
      </c>
      <c r="BB67" s="158">
        <v>7.17</v>
      </c>
      <c r="BC67" s="150">
        <f>BA67*BB67</f>
        <v>6453</v>
      </c>
      <c r="BD67" s="2"/>
      <c r="BE67" s="157" t="s">
        <v>978</v>
      </c>
      <c r="BF67" s="159">
        <v>900</v>
      </c>
      <c r="BG67" s="158">
        <v>7.17</v>
      </c>
      <c r="BH67" s="150">
        <f>BF67*BG67</f>
        <v>6453</v>
      </c>
      <c r="BI67" s="2"/>
      <c r="BJ67" s="157" t="s">
        <v>978</v>
      </c>
      <c r="BK67" s="148">
        <f t="shared" ref="BK67" si="136">C67+H67+M67+R67+W67+AB67+AG67+AL67+AQ67+AV67+BA67+BF67</f>
        <v>9000</v>
      </c>
      <c r="BL67" s="216">
        <f t="shared" ref="BL67" si="137">E67+J67+O67+T67+Y67+AD67+AI67+AN67+AS67+AX67+BC67+BH67</f>
        <v>64530</v>
      </c>
      <c r="BM67" s="150"/>
    </row>
    <row r="68" spans="1:65" customFormat="1" x14ac:dyDescent="0.25">
      <c r="A68" s="2"/>
      <c r="B68" s="157" t="s">
        <v>979</v>
      </c>
      <c r="C68" s="159">
        <f>967-C67</f>
        <v>67</v>
      </c>
      <c r="D68" s="158">
        <v>9.98</v>
      </c>
      <c r="E68" s="150">
        <f t="shared" ref="E68:E70" si="138">C68*D68</f>
        <v>668.66000000000008</v>
      </c>
      <c r="F68" s="2"/>
      <c r="G68" s="157" t="s">
        <v>979</v>
      </c>
      <c r="H68" s="159">
        <f>900-H67</f>
        <v>0</v>
      </c>
      <c r="I68" s="158">
        <v>9.98</v>
      </c>
      <c r="J68" s="150">
        <f t="shared" ref="J68:J70" si="139">H68*I68</f>
        <v>0</v>
      </c>
      <c r="K68" s="2"/>
      <c r="L68" s="157" t="s">
        <v>979</v>
      </c>
      <c r="M68" s="159">
        <f>900-M67</f>
        <v>0</v>
      </c>
      <c r="N68" s="158">
        <v>9.98</v>
      </c>
      <c r="O68" s="150">
        <f t="shared" ref="O68:O70" si="140">M68*N68</f>
        <v>0</v>
      </c>
      <c r="P68" s="2"/>
      <c r="Q68" s="157" t="s">
        <v>979</v>
      </c>
      <c r="R68" s="159">
        <f>922-R67</f>
        <v>322</v>
      </c>
      <c r="S68" s="158">
        <v>9.98</v>
      </c>
      <c r="T68" s="150">
        <f t="shared" ref="T68:T70" si="141">R68*S68</f>
        <v>3213.56</v>
      </c>
      <c r="U68" s="2"/>
      <c r="V68" s="157" t="s">
        <v>979</v>
      </c>
      <c r="W68" s="159">
        <f>867-W67</f>
        <v>267</v>
      </c>
      <c r="X68" s="158">
        <v>9.98</v>
      </c>
      <c r="Y68" s="150">
        <f t="shared" ref="Y68:Y70" si="142">W68*X68</f>
        <v>2664.6600000000003</v>
      </c>
      <c r="Z68" s="2"/>
      <c r="AA68" s="157" t="s">
        <v>979</v>
      </c>
      <c r="AB68" s="159">
        <f>1013-AB67</f>
        <v>413</v>
      </c>
      <c r="AC68" s="158">
        <v>9.98</v>
      </c>
      <c r="AD68" s="150">
        <f t="shared" ref="AD68:AD70" si="143">AB68*AC68</f>
        <v>4121.74</v>
      </c>
      <c r="AE68" s="2"/>
      <c r="AF68" s="157" t="s">
        <v>979</v>
      </c>
      <c r="AG68" s="159">
        <f>976-AG67</f>
        <v>376</v>
      </c>
      <c r="AH68" s="158">
        <v>9.98</v>
      </c>
      <c r="AI68" s="150">
        <f t="shared" ref="AI68:AI70" si="144">AG68*AH68</f>
        <v>3752.48</v>
      </c>
      <c r="AJ68" s="2"/>
      <c r="AK68" s="157" t="s">
        <v>979</v>
      </c>
      <c r="AL68" s="159">
        <f>921-AL67</f>
        <v>321</v>
      </c>
      <c r="AM68" s="158">
        <v>9.98</v>
      </c>
      <c r="AN68" s="150">
        <f t="shared" ref="AN68:AN70" si="145">AL68*AM68</f>
        <v>3203.58</v>
      </c>
      <c r="AO68" s="2"/>
      <c r="AP68" s="157" t="s">
        <v>979</v>
      </c>
      <c r="AQ68" s="159">
        <f>1010-AQ67</f>
        <v>410</v>
      </c>
      <c r="AR68" s="158">
        <v>9.98</v>
      </c>
      <c r="AS68" s="150">
        <f t="shared" ref="AS68:AS70" si="146">AQ68*AR68</f>
        <v>4091.8</v>
      </c>
      <c r="AT68" s="2"/>
      <c r="AU68" s="157" t="s">
        <v>979</v>
      </c>
      <c r="AV68" s="159">
        <f>989-AV67</f>
        <v>89</v>
      </c>
      <c r="AW68" s="158">
        <v>9.98</v>
      </c>
      <c r="AX68" s="150">
        <f t="shared" ref="AX68:AX70" si="147">AV68*AW68</f>
        <v>888.22</v>
      </c>
      <c r="AY68" s="2"/>
      <c r="AZ68" s="157" t="s">
        <v>979</v>
      </c>
      <c r="BA68" s="159">
        <f>992-BA67</f>
        <v>92</v>
      </c>
      <c r="BB68" s="158">
        <v>9.98</v>
      </c>
      <c r="BC68" s="150">
        <f t="shared" ref="BC68:BC70" si="148">BA68*BB68</f>
        <v>918.16000000000008</v>
      </c>
      <c r="BD68" s="2"/>
      <c r="BE68" s="157" t="s">
        <v>979</v>
      </c>
      <c r="BF68" s="159">
        <f>1092-BF67</f>
        <v>192</v>
      </c>
      <c r="BG68" s="158">
        <v>9.98</v>
      </c>
      <c r="BH68" s="150">
        <f t="shared" ref="BH68:BH70" si="149">BF68*BG68</f>
        <v>1916.16</v>
      </c>
      <c r="BI68" s="2"/>
      <c r="BJ68" s="157" t="s">
        <v>979</v>
      </c>
      <c r="BK68" s="148">
        <f t="shared" ref="BK68:BK70" si="150">C68+H68+M68+R68+W68+AB68+AG68+AL68+AQ68+AV68+BA68+BF68</f>
        <v>2549</v>
      </c>
      <c r="BL68" s="216">
        <f t="shared" ref="BL68:BL71" si="151">E68+J68+O68+T68+Y68+AD68+AI68+AN68+AS68+AX68+BC68+BH68</f>
        <v>25439.02</v>
      </c>
      <c r="BM68" s="150"/>
    </row>
    <row r="69" spans="1:65" customFormat="1" x14ac:dyDescent="0.25">
      <c r="A69" s="2"/>
      <c r="B69" s="157" t="s">
        <v>995</v>
      </c>
      <c r="C69" s="159">
        <v>532780</v>
      </c>
      <c r="D69" s="160">
        <v>4.0502000000000003E-2</v>
      </c>
      <c r="E69" s="150">
        <f t="shared" si="138"/>
        <v>21578.655560000003</v>
      </c>
      <c r="F69" s="2"/>
      <c r="G69" s="157" t="s">
        <v>995</v>
      </c>
      <c r="H69" s="159">
        <v>565485</v>
      </c>
      <c r="I69" s="160">
        <v>3.8982000000000003E-2</v>
      </c>
      <c r="J69" s="150">
        <f t="shared" si="139"/>
        <v>22043.736270000001</v>
      </c>
      <c r="K69" s="2"/>
      <c r="L69" s="157" t="s">
        <v>995</v>
      </c>
      <c r="M69" s="159">
        <v>567120</v>
      </c>
      <c r="N69" s="160">
        <v>3.8982000000000003E-2</v>
      </c>
      <c r="O69" s="150">
        <f t="shared" si="140"/>
        <v>22107.471840000002</v>
      </c>
      <c r="P69" s="2"/>
      <c r="Q69" s="157" t="s">
        <v>995</v>
      </c>
      <c r="R69" s="159">
        <v>560031</v>
      </c>
      <c r="S69" s="160">
        <v>4.0502000000000003E-2</v>
      </c>
      <c r="T69" s="150">
        <f t="shared" si="141"/>
        <v>22682.375562000001</v>
      </c>
      <c r="U69" s="2"/>
      <c r="V69" s="157" t="s">
        <v>995</v>
      </c>
      <c r="W69" s="159">
        <v>563274</v>
      </c>
      <c r="X69" s="160">
        <v>4.0502000000000003E-2</v>
      </c>
      <c r="Y69" s="150">
        <f t="shared" si="142"/>
        <v>22813.723548000002</v>
      </c>
      <c r="Z69" s="2"/>
      <c r="AA69" s="157" t="s">
        <v>995</v>
      </c>
      <c r="AB69" s="159">
        <v>541829</v>
      </c>
      <c r="AC69" s="160">
        <v>4.0502000000000003E-2</v>
      </c>
      <c r="AD69" s="150">
        <f t="shared" si="143"/>
        <v>21945.158158000002</v>
      </c>
      <c r="AE69" s="2"/>
      <c r="AF69" s="157" t="s">
        <v>995</v>
      </c>
      <c r="AG69" s="159">
        <v>570271</v>
      </c>
      <c r="AH69" s="160">
        <v>4.0502000000000003E-2</v>
      </c>
      <c r="AI69" s="150">
        <f t="shared" si="144"/>
        <v>23097.116042000001</v>
      </c>
      <c r="AJ69" s="2"/>
      <c r="AK69" s="157" t="s">
        <v>995</v>
      </c>
      <c r="AL69" s="159">
        <v>547579</v>
      </c>
      <c r="AM69" s="160">
        <v>4.0502000000000003E-2</v>
      </c>
      <c r="AN69" s="150">
        <f t="shared" si="145"/>
        <v>22178.044658000003</v>
      </c>
      <c r="AO69" s="2"/>
      <c r="AP69" s="157" t="s">
        <v>995</v>
      </c>
      <c r="AQ69" s="159">
        <v>515044</v>
      </c>
      <c r="AR69" s="160">
        <v>4.0502000000000003E-2</v>
      </c>
      <c r="AS69" s="150">
        <f t="shared" si="146"/>
        <v>20860.312088000002</v>
      </c>
      <c r="AT69" s="2"/>
      <c r="AU69" s="157" t="s">
        <v>995</v>
      </c>
      <c r="AV69" s="159">
        <v>556126</v>
      </c>
      <c r="AW69" s="160">
        <v>4.0502000000000003E-2</v>
      </c>
      <c r="AX69" s="150">
        <f t="shared" si="147"/>
        <v>22524.215252000002</v>
      </c>
      <c r="AY69" s="2"/>
      <c r="AZ69" s="157" t="s">
        <v>995</v>
      </c>
      <c r="BA69" s="159">
        <v>551256</v>
      </c>
      <c r="BB69" s="160">
        <v>4.0502000000000003E-2</v>
      </c>
      <c r="BC69" s="150">
        <f t="shared" si="148"/>
        <v>22326.970512000004</v>
      </c>
      <c r="BD69" s="2"/>
      <c r="BE69" s="157" t="s">
        <v>995</v>
      </c>
      <c r="BF69" s="159">
        <v>551591</v>
      </c>
      <c r="BG69" s="160">
        <v>4.0502000000000003E-2</v>
      </c>
      <c r="BH69" s="150">
        <f t="shared" si="149"/>
        <v>22340.538682000002</v>
      </c>
      <c r="BI69" s="2"/>
      <c r="BJ69" s="157" t="s">
        <v>995</v>
      </c>
      <c r="BK69" s="148">
        <f t="shared" si="150"/>
        <v>6622386</v>
      </c>
      <c r="BL69" s="216">
        <f t="shared" si="151"/>
        <v>266498.318172</v>
      </c>
      <c r="BM69" s="150"/>
    </row>
    <row r="70" spans="1:65" customFormat="1" x14ac:dyDescent="0.25">
      <c r="A70" s="2"/>
      <c r="B70" s="157" t="s">
        <v>996</v>
      </c>
      <c r="C70" s="159"/>
      <c r="D70" s="160">
        <f>0.040502-0.02776</f>
        <v>1.2742000000000003E-2</v>
      </c>
      <c r="E70" s="150">
        <f t="shared" si="138"/>
        <v>0</v>
      </c>
      <c r="F70" s="2"/>
      <c r="G70" s="157" t="s">
        <v>996</v>
      </c>
      <c r="H70" s="159"/>
      <c r="I70" s="160">
        <f>I69-0.02624</f>
        <v>1.2742000000000003E-2</v>
      </c>
      <c r="J70" s="150">
        <f t="shared" si="139"/>
        <v>0</v>
      </c>
      <c r="K70" s="2"/>
      <c r="L70" s="157" t="s">
        <v>996</v>
      </c>
      <c r="M70" s="159"/>
      <c r="N70" s="160">
        <f>N69-0.02624</f>
        <v>1.2742000000000003E-2</v>
      </c>
      <c r="O70" s="150">
        <f t="shared" si="140"/>
        <v>0</v>
      </c>
      <c r="P70" s="2"/>
      <c r="Q70" s="157" t="s">
        <v>996</v>
      </c>
      <c r="R70" s="159"/>
      <c r="S70" s="160">
        <f>0.040502-0.02776</f>
        <v>1.2742000000000003E-2</v>
      </c>
      <c r="T70" s="150">
        <f t="shared" si="141"/>
        <v>0</v>
      </c>
      <c r="U70" s="2"/>
      <c r="V70" s="157" t="s">
        <v>996</v>
      </c>
      <c r="W70" s="159"/>
      <c r="X70" s="160">
        <f>0.040502-0.02776</f>
        <v>1.2742000000000003E-2</v>
      </c>
      <c r="Y70" s="150">
        <f t="shared" si="142"/>
        <v>0</v>
      </c>
      <c r="Z70" s="2"/>
      <c r="AA70" s="157" t="s">
        <v>996</v>
      </c>
      <c r="AB70" s="159"/>
      <c r="AC70" s="160">
        <f>0.040502-0.02776</f>
        <v>1.2742000000000003E-2</v>
      </c>
      <c r="AD70" s="150">
        <f t="shared" si="143"/>
        <v>0</v>
      </c>
      <c r="AE70" s="2"/>
      <c r="AF70" s="157" t="s">
        <v>996</v>
      </c>
      <c r="AG70" s="159"/>
      <c r="AH70" s="160">
        <f>0.040502-0.02776</f>
        <v>1.2742000000000003E-2</v>
      </c>
      <c r="AI70" s="150">
        <f t="shared" si="144"/>
        <v>0</v>
      </c>
      <c r="AJ70" s="2"/>
      <c r="AK70" s="157" t="s">
        <v>996</v>
      </c>
      <c r="AL70" s="159"/>
      <c r="AM70" s="160">
        <f>0.040502-0.02776</f>
        <v>1.2742000000000003E-2</v>
      </c>
      <c r="AN70" s="150">
        <f t="shared" si="145"/>
        <v>0</v>
      </c>
      <c r="AO70" s="2"/>
      <c r="AP70" s="157" t="s">
        <v>996</v>
      </c>
      <c r="AQ70" s="159"/>
      <c r="AR70" s="160">
        <f>0.040502-0.02776</f>
        <v>1.2742000000000003E-2</v>
      </c>
      <c r="AS70" s="150">
        <f t="shared" si="146"/>
        <v>0</v>
      </c>
      <c r="AT70" s="2"/>
      <c r="AU70" s="157" t="s">
        <v>996</v>
      </c>
      <c r="AV70" s="159"/>
      <c r="AW70" s="160">
        <f>0.040502-0.02776</f>
        <v>1.2742000000000003E-2</v>
      </c>
      <c r="AX70" s="150">
        <f t="shared" si="147"/>
        <v>0</v>
      </c>
      <c r="AY70" s="2"/>
      <c r="AZ70" s="157" t="s">
        <v>996</v>
      </c>
      <c r="BA70" s="159"/>
      <c r="BB70" s="160">
        <f>0.040502-0.02776</f>
        <v>1.2742000000000003E-2</v>
      </c>
      <c r="BC70" s="150">
        <f t="shared" si="148"/>
        <v>0</v>
      </c>
      <c r="BD70" s="2"/>
      <c r="BE70" s="157" t="s">
        <v>996</v>
      </c>
      <c r="BF70" s="159"/>
      <c r="BG70" s="160">
        <f>0.040502-0.02776</f>
        <v>1.2742000000000003E-2</v>
      </c>
      <c r="BH70" s="150">
        <f t="shared" si="149"/>
        <v>0</v>
      </c>
      <c r="BI70" s="2"/>
      <c r="BJ70" s="157" t="s">
        <v>996</v>
      </c>
      <c r="BK70" s="148">
        <f t="shared" si="150"/>
        <v>0</v>
      </c>
      <c r="BL70" s="216">
        <f t="shared" si="151"/>
        <v>0</v>
      </c>
      <c r="BM70" s="150"/>
    </row>
    <row r="71" spans="1:65" customFormat="1" x14ac:dyDescent="0.25">
      <c r="A71" s="2"/>
      <c r="B71" s="157" t="s">
        <v>984</v>
      </c>
      <c r="C71" s="159"/>
      <c r="D71" s="160"/>
      <c r="E71" s="150">
        <v>-2723</v>
      </c>
      <c r="F71" s="2"/>
      <c r="G71" s="157" t="s">
        <v>984</v>
      </c>
      <c r="H71" s="159"/>
      <c r="I71" s="160"/>
      <c r="J71" s="150">
        <v>-3698</v>
      </c>
      <c r="K71" s="2"/>
      <c r="L71" s="157" t="s">
        <v>984</v>
      </c>
      <c r="M71" s="159"/>
      <c r="N71" s="160"/>
      <c r="O71" s="150">
        <v>-4429</v>
      </c>
      <c r="P71" s="2"/>
      <c r="Q71" s="157" t="s">
        <v>984</v>
      </c>
      <c r="R71" s="159"/>
      <c r="S71" s="160"/>
      <c r="T71" s="150">
        <v>-935</v>
      </c>
      <c r="U71" s="2"/>
      <c r="V71" s="157" t="s">
        <v>984</v>
      </c>
      <c r="W71" s="159"/>
      <c r="X71" s="160"/>
      <c r="Y71" s="150">
        <v>-2118</v>
      </c>
      <c r="Z71" s="2"/>
      <c r="AA71" s="157" t="s">
        <v>984</v>
      </c>
      <c r="AB71" s="159"/>
      <c r="AC71" s="160"/>
      <c r="AD71" s="150">
        <v>-1891</v>
      </c>
      <c r="AE71" s="2"/>
      <c r="AF71" s="157" t="s">
        <v>984</v>
      </c>
      <c r="AG71" s="159"/>
      <c r="AH71" s="160"/>
      <c r="AI71" s="150">
        <v>-2754</v>
      </c>
      <c r="AJ71" s="2"/>
      <c r="AK71" s="157" t="s">
        <v>984</v>
      </c>
      <c r="AL71" s="159"/>
      <c r="AM71" s="160"/>
      <c r="AN71" s="150">
        <v>-2864</v>
      </c>
      <c r="AO71" s="2"/>
      <c r="AP71" s="157" t="s">
        <v>984</v>
      </c>
      <c r="AQ71" s="159"/>
      <c r="AR71" s="160"/>
      <c r="AS71" s="150">
        <v>-3152</v>
      </c>
      <c r="AT71" s="2"/>
      <c r="AU71" s="157" t="s">
        <v>984</v>
      </c>
      <c r="AV71" s="159"/>
      <c r="AW71" s="160"/>
      <c r="AX71" s="150">
        <v>-3137</v>
      </c>
      <c r="AY71" s="2"/>
      <c r="AZ71" s="157" t="s">
        <v>984</v>
      </c>
      <c r="BA71" s="159"/>
      <c r="BB71" s="160"/>
      <c r="BC71" s="150">
        <v>-3633</v>
      </c>
      <c r="BD71" s="2"/>
      <c r="BE71" s="157" t="s">
        <v>984</v>
      </c>
      <c r="BF71" s="159"/>
      <c r="BG71" s="160"/>
      <c r="BH71" s="150">
        <v>-656</v>
      </c>
      <c r="BI71" s="2"/>
      <c r="BJ71" s="157" t="s">
        <v>984</v>
      </c>
      <c r="BK71" s="148"/>
      <c r="BL71" s="216">
        <f t="shared" si="151"/>
        <v>-31990</v>
      </c>
      <c r="BM71" s="150"/>
    </row>
    <row r="72" spans="1:65" customFormat="1" x14ac:dyDescent="0.25">
      <c r="A72" s="2"/>
      <c r="B72" s="157"/>
      <c r="C72" s="159"/>
      <c r="D72" s="160"/>
      <c r="E72" s="150"/>
      <c r="G72" s="206"/>
      <c r="H72" s="159"/>
      <c r="I72" s="160"/>
      <c r="J72" s="150"/>
      <c r="L72" s="206"/>
      <c r="M72" s="159"/>
      <c r="N72" s="160"/>
      <c r="O72" s="150"/>
      <c r="Q72" s="206"/>
      <c r="R72" s="159"/>
      <c r="S72" s="160"/>
      <c r="T72" s="150"/>
      <c r="V72" s="206"/>
      <c r="W72" s="159"/>
      <c r="X72" s="160"/>
      <c r="Y72" s="150"/>
      <c r="AA72" s="206"/>
      <c r="AB72" s="159"/>
      <c r="AC72" s="160"/>
      <c r="AD72" s="150"/>
      <c r="AF72" s="206"/>
      <c r="AG72" s="159"/>
      <c r="AH72" s="160"/>
      <c r="AI72" s="150"/>
      <c r="AK72" s="206"/>
      <c r="AL72" s="159"/>
      <c r="AM72" s="160"/>
      <c r="AN72" s="150"/>
      <c r="AP72" s="206"/>
      <c r="AQ72" s="159"/>
      <c r="AR72" s="160"/>
      <c r="AS72" s="150"/>
      <c r="AU72" s="206"/>
      <c r="AV72" s="159"/>
      <c r="AW72" s="160"/>
      <c r="AX72" s="150"/>
      <c r="AZ72" s="206"/>
      <c r="BA72" s="159"/>
      <c r="BB72" s="160"/>
      <c r="BC72" s="150"/>
      <c r="BE72" s="206"/>
      <c r="BF72" s="159"/>
      <c r="BG72" s="160"/>
      <c r="BH72" s="150"/>
      <c r="BJ72" s="206"/>
      <c r="BK72" s="159"/>
      <c r="BL72" s="160"/>
      <c r="BM72" s="150"/>
    </row>
    <row r="73" spans="1:65" customFormat="1" x14ac:dyDescent="0.25">
      <c r="A73" s="165"/>
      <c r="B73" s="157" t="s">
        <v>978</v>
      </c>
      <c r="C73" s="159">
        <f>C17+C24+C31+C38+C45+C52+C60+C67</f>
        <v>10795</v>
      </c>
      <c r="D73" s="158"/>
      <c r="E73" s="158">
        <f>E17+E24+E31+E38+E45+E52+E60+E67</f>
        <v>77400.149999999994</v>
      </c>
      <c r="G73" s="157" t="s">
        <v>978</v>
      </c>
      <c r="H73" s="159">
        <f>H17+H24+H31+H38+H45+H52+H60+H67</f>
        <v>10795</v>
      </c>
      <c r="I73" s="158"/>
      <c r="J73" s="158">
        <f>J17+J24+J31+J38+J45+J52+J60+J67</f>
        <v>77400.149999999994</v>
      </c>
      <c r="L73" s="157" t="s">
        <v>978</v>
      </c>
      <c r="M73" s="159">
        <f>M17+M24+M31+M38+M45+M52+M60+M67</f>
        <v>10795</v>
      </c>
      <c r="N73" s="158"/>
      <c r="O73" s="158">
        <f>O17+O24+O31+O38+O45+O52+O60+O67</f>
        <v>77400.149999999994</v>
      </c>
      <c r="Q73" s="157" t="s">
        <v>978</v>
      </c>
      <c r="R73" s="159">
        <f>R17+R24+R31+R38+R45+R52+R60+R67</f>
        <v>10645</v>
      </c>
      <c r="S73" s="158"/>
      <c r="T73" s="158">
        <f>T17+T24+T31+T38+T45+T52+T60+T67</f>
        <v>76324.649999999994</v>
      </c>
      <c r="V73" s="157" t="s">
        <v>978</v>
      </c>
      <c r="W73" s="159">
        <f>W17+W24+W31+W38+W45+W52+W60+W67</f>
        <v>10645</v>
      </c>
      <c r="X73" s="158"/>
      <c r="Y73" s="158">
        <f>Y17+Y24+Y31+Y38+Y45+Y52+Y60+Y67</f>
        <v>76324.649999999994</v>
      </c>
      <c r="AA73" s="157" t="s">
        <v>978</v>
      </c>
      <c r="AB73" s="159">
        <f>AB17+AB24+AB31+AB38+AB45+AB52+AB60+AB67</f>
        <v>10645</v>
      </c>
      <c r="AC73" s="158"/>
      <c r="AD73" s="158">
        <f>AD17+AD24+AD31+AD38+AD45+AD52+AD60+AD67</f>
        <v>76324.649999999994</v>
      </c>
      <c r="AF73" s="157" t="s">
        <v>978</v>
      </c>
      <c r="AG73" s="159">
        <f>AG17+AG24+AG31+AG38+AG45+AG52+AG60+AG67</f>
        <v>10645</v>
      </c>
      <c r="AH73" s="158"/>
      <c r="AI73" s="158">
        <f>AI17+AI24+AI31+AI38+AI45+AI52+AI60+AI67</f>
        <v>76324.649999999994</v>
      </c>
      <c r="AK73" s="157" t="s">
        <v>978</v>
      </c>
      <c r="AL73" s="159">
        <f>AL17+AL24+AL31+AL38+AL45+AL52+AL60+AL67</f>
        <v>10645</v>
      </c>
      <c r="AM73" s="158"/>
      <c r="AN73" s="158">
        <f>AN17+AN24+AN31+AN38+AN45+AN52+AN60+AN67</f>
        <v>76324.649999999994</v>
      </c>
      <c r="AP73" s="157" t="s">
        <v>978</v>
      </c>
      <c r="AQ73" s="159">
        <f>AQ17+AQ24+AQ31+AQ38+AQ45+AQ52+AQ60+AQ67</f>
        <v>10645</v>
      </c>
      <c r="AR73" s="158"/>
      <c r="AS73" s="158">
        <f>AS17+AS24+AS31+AS38+AS45+AS52+AS60+AS67</f>
        <v>76324.649999999994</v>
      </c>
      <c r="AU73" s="157" t="s">
        <v>978</v>
      </c>
      <c r="AV73" s="159">
        <f>AV17+AV24+AV31+AV38+AV45+AV52+AV60+AV67</f>
        <v>10795</v>
      </c>
      <c r="AW73" s="158"/>
      <c r="AX73" s="158">
        <f>AX17+AX24+AX31+AX38+AX45+AX52+AX60+AX67</f>
        <v>77400.149999999994</v>
      </c>
      <c r="AZ73" s="157" t="s">
        <v>978</v>
      </c>
      <c r="BA73" s="159">
        <f>BA17+BA24+BA31+BA38+BA45+BA52+BA60+BA67</f>
        <v>10795</v>
      </c>
      <c r="BB73" s="158"/>
      <c r="BC73" s="158">
        <f>BC17+BC24+BC31+BC38+BC45+BC52+BC60+BC67</f>
        <v>77400.149999999994</v>
      </c>
      <c r="BE73" s="157" t="s">
        <v>978</v>
      </c>
      <c r="BF73" s="159">
        <f>BF17+BF24+BF31+BF38+BF45+BF52+BF60+BF67</f>
        <v>10795</v>
      </c>
      <c r="BG73" s="158"/>
      <c r="BH73" s="158">
        <f>BH17+BH24+BH31+BH38+BH45+BH52+BH60+BH67</f>
        <v>77400.149999999994</v>
      </c>
      <c r="BJ73" s="157" t="s">
        <v>978</v>
      </c>
      <c r="BK73" s="148">
        <f t="shared" si="12"/>
        <v>128640</v>
      </c>
      <c r="BL73" s="216">
        <f t="shared" si="13"/>
        <v>922348.80000000016</v>
      </c>
    </row>
    <row r="74" spans="1:65" customFormat="1" x14ac:dyDescent="0.25">
      <c r="A74" s="165"/>
      <c r="B74" s="157" t="s">
        <v>979</v>
      </c>
      <c r="C74" s="159">
        <f>C18+C25+C32+C39+C46+C53+C61+C68</f>
        <v>782</v>
      </c>
      <c r="D74" s="158"/>
      <c r="E74" s="158">
        <f>E18+E25+E32+E39+E46+E53+E61+E68</f>
        <v>7804.3600000000006</v>
      </c>
      <c r="G74" s="157" t="s">
        <v>979</v>
      </c>
      <c r="H74" s="159">
        <f t="shared" ref="H74" si="152">H18+H25+H32+H39+H46+H53+H61+H68</f>
        <v>0</v>
      </c>
      <c r="I74" s="158"/>
      <c r="J74" s="158">
        <f t="shared" ref="J74" si="153">J18+J25+J32+J39+J46+J53+J61+J68</f>
        <v>0</v>
      </c>
      <c r="L74" s="157" t="s">
        <v>979</v>
      </c>
      <c r="M74" s="159">
        <f t="shared" ref="M74" si="154">M18+M25+M32+M39+M46+M53+M61+M68</f>
        <v>0</v>
      </c>
      <c r="N74" s="158"/>
      <c r="O74" s="158">
        <f t="shared" ref="O74" si="155">O18+O25+O32+O39+O46+O53+O61+O68</f>
        <v>0</v>
      </c>
      <c r="Q74" s="157" t="s">
        <v>979</v>
      </c>
      <c r="R74" s="159">
        <f t="shared" ref="R74" si="156">R18+R25+R32+R39+R46+R53+R61+R68</f>
        <v>503</v>
      </c>
      <c r="S74" s="158"/>
      <c r="T74" s="158">
        <f t="shared" ref="T74" si="157">T18+T25+T32+T39+T46+T53+T61+T68</f>
        <v>5019.9400000000005</v>
      </c>
      <c r="V74" s="157" t="s">
        <v>979</v>
      </c>
      <c r="W74" s="159">
        <f t="shared" ref="W74" si="158">W18+W25+W32+W39+W46+W53+W61+W68</f>
        <v>513</v>
      </c>
      <c r="X74" s="158"/>
      <c r="Y74" s="158">
        <f t="shared" ref="Y74" si="159">Y18+Y25+Y32+Y39+Y46+Y53+Y61+Y68</f>
        <v>5119.74</v>
      </c>
      <c r="AA74" s="157" t="s">
        <v>979</v>
      </c>
      <c r="AB74" s="159">
        <f t="shared" ref="AB74" si="160">AB18+AB25+AB32+AB39+AB46+AB53+AB61+AB68</f>
        <v>518</v>
      </c>
      <c r="AC74" s="158"/>
      <c r="AD74" s="158">
        <f t="shared" ref="AD74" si="161">AD18+AD25+AD32+AD39+AD46+AD53+AD61+AD68</f>
        <v>5169.6399999999994</v>
      </c>
      <c r="AF74" s="157" t="s">
        <v>979</v>
      </c>
      <c r="AG74" s="159">
        <f t="shared" ref="AG74" si="162">AG18+AG25+AG32+AG39+AG46+AG53+AG61+AG68</f>
        <v>663</v>
      </c>
      <c r="AH74" s="158"/>
      <c r="AI74" s="158">
        <f t="shared" ref="AI74" si="163">AI18+AI25+AI32+AI39+AI46+AI53+AI61+AI68</f>
        <v>6616.74</v>
      </c>
      <c r="AK74" s="157" t="s">
        <v>979</v>
      </c>
      <c r="AL74" s="159">
        <f t="shared" ref="AL74" si="164">AL18+AL25+AL32+AL39+AL46+AL53+AL61+AL68</f>
        <v>644</v>
      </c>
      <c r="AM74" s="158"/>
      <c r="AN74" s="158">
        <f t="shared" ref="AN74" si="165">AN18+AN25+AN32+AN39+AN46+AN53+AN61+AN68</f>
        <v>6427.12</v>
      </c>
      <c r="AP74" s="157" t="s">
        <v>979</v>
      </c>
      <c r="AQ74" s="159">
        <f t="shared" ref="AQ74" si="166">AQ18+AQ25+AQ32+AQ39+AQ46+AQ53+AQ61+AQ68</f>
        <v>857</v>
      </c>
      <c r="AR74" s="158"/>
      <c r="AS74" s="158">
        <f t="shared" ref="AS74" si="167">AS18+AS25+AS32+AS39+AS46+AS53+AS61+AS68</f>
        <v>8552.86</v>
      </c>
      <c r="AU74" s="157" t="s">
        <v>979</v>
      </c>
      <c r="AV74" s="159">
        <f t="shared" ref="AV74" si="168">AV18+AV25+AV32+AV39+AV46+AV53+AV61+AV68</f>
        <v>370</v>
      </c>
      <c r="AW74" s="158"/>
      <c r="AX74" s="158">
        <f t="shared" ref="AX74" si="169">AX18+AX25+AX32+AX39+AX46+AX53+AX61+AX68</f>
        <v>3692.6000000000004</v>
      </c>
      <c r="AZ74" s="157" t="s">
        <v>979</v>
      </c>
      <c r="BA74" s="159">
        <f t="shared" ref="BA74" si="170">BA18+BA25+BA32+BA39+BA46+BA53+BA61+BA68</f>
        <v>296</v>
      </c>
      <c r="BB74" s="158"/>
      <c r="BC74" s="158">
        <f t="shared" ref="BC74" si="171">BC18+BC25+BC32+BC39+BC46+BC53+BC61+BC68</f>
        <v>2954.08</v>
      </c>
      <c r="BE74" s="157" t="s">
        <v>979</v>
      </c>
      <c r="BF74" s="159">
        <f t="shared" ref="BF74" si="172">BF18+BF25+BF32+BF39+BF46+BF53+BF61+BF68</f>
        <v>210</v>
      </c>
      <c r="BG74" s="158"/>
      <c r="BH74" s="158">
        <f t="shared" ref="BH74" si="173">BH18+BH25+BH32+BH39+BH46+BH53+BH61+BH68</f>
        <v>2095.8000000000002</v>
      </c>
      <c r="BJ74" s="157" t="s">
        <v>979</v>
      </c>
      <c r="BK74" s="148">
        <f t="shared" si="12"/>
        <v>5356</v>
      </c>
      <c r="BL74" s="216">
        <f t="shared" si="13"/>
        <v>53452.880000000005</v>
      </c>
    </row>
    <row r="75" spans="1:65" customFormat="1" x14ac:dyDescent="0.25">
      <c r="A75" s="165"/>
      <c r="B75" s="157" t="s">
        <v>997</v>
      </c>
      <c r="C75" s="159"/>
      <c r="D75" s="158"/>
      <c r="E75" s="158">
        <f>E54</f>
        <v>-717</v>
      </c>
      <c r="G75" s="157" t="s">
        <v>997</v>
      </c>
      <c r="H75" s="159"/>
      <c r="I75" s="158"/>
      <c r="J75" s="158">
        <f>J54</f>
        <v>-717</v>
      </c>
      <c r="L75" s="157" t="s">
        <v>997</v>
      </c>
      <c r="M75" s="159"/>
      <c r="N75" s="158"/>
      <c r="O75" s="158">
        <f>O54</f>
        <v>-717</v>
      </c>
      <c r="Q75" s="157" t="s">
        <v>997</v>
      </c>
      <c r="R75" s="159"/>
      <c r="S75" s="158"/>
      <c r="T75" s="158">
        <f>T54</f>
        <v>-1076</v>
      </c>
      <c r="V75" s="157" t="s">
        <v>997</v>
      </c>
      <c r="W75" s="159"/>
      <c r="X75" s="158"/>
      <c r="Y75" s="158">
        <f>Y54</f>
        <v>-1271</v>
      </c>
      <c r="AA75" s="157" t="s">
        <v>997</v>
      </c>
      <c r="AB75" s="159"/>
      <c r="AC75" s="158"/>
      <c r="AD75" s="158">
        <f>AD54</f>
        <v>-1390</v>
      </c>
      <c r="AF75" s="157" t="s">
        <v>997</v>
      </c>
      <c r="AG75" s="159"/>
      <c r="AH75" s="158"/>
      <c r="AI75" s="158">
        <f>AI54</f>
        <v>-1360</v>
      </c>
      <c r="AK75" s="157" t="s">
        <v>997</v>
      </c>
      <c r="AL75" s="159"/>
      <c r="AM75" s="158"/>
      <c r="AN75" s="158">
        <f>AN54</f>
        <v>-1366</v>
      </c>
      <c r="AP75" s="157" t="s">
        <v>997</v>
      </c>
      <c r="AQ75" s="159"/>
      <c r="AR75" s="158"/>
      <c r="AS75" s="158">
        <f>AS54</f>
        <v>-1262</v>
      </c>
      <c r="AU75" s="157" t="s">
        <v>997</v>
      </c>
      <c r="AV75" s="159"/>
      <c r="AW75" s="158"/>
      <c r="AX75" s="158">
        <f>AX54</f>
        <v>-1184</v>
      </c>
      <c r="AZ75" s="157" t="s">
        <v>997</v>
      </c>
      <c r="BA75" s="159"/>
      <c r="BB75" s="158"/>
      <c r="BC75" s="158">
        <f>BC54</f>
        <v>-1076</v>
      </c>
      <c r="BE75" s="157" t="s">
        <v>997</v>
      </c>
      <c r="BF75" s="159"/>
      <c r="BG75" s="158"/>
      <c r="BH75" s="158">
        <f>BH54</f>
        <v>-717</v>
      </c>
      <c r="BJ75" s="157" t="s">
        <v>997</v>
      </c>
      <c r="BK75" s="148"/>
      <c r="BL75" s="216">
        <f t="shared" si="13"/>
        <v>-12853</v>
      </c>
    </row>
    <row r="76" spans="1:65" customFormat="1" x14ac:dyDescent="0.25">
      <c r="A76" s="165"/>
      <c r="B76" s="157" t="s">
        <v>995</v>
      </c>
      <c r="C76" s="159">
        <f>C19+C26+C33+C40+C47+C55+C62+C69</f>
        <v>5541129</v>
      </c>
      <c r="D76" s="160"/>
      <c r="E76" s="158">
        <f>E19+E26+E33+E40+E47+E55+E62+E69</f>
        <v>224426.80675800002</v>
      </c>
      <c r="G76" s="157" t="s">
        <v>995</v>
      </c>
      <c r="H76" s="159">
        <f>H19+H26+H33+H40+H47+H55+H62+H69</f>
        <v>5315183</v>
      </c>
      <c r="I76" s="160"/>
      <c r="J76" s="158">
        <f>J19+J26+J33+J40+J47+J55+J62+J69</f>
        <v>207196.46370600001</v>
      </c>
      <c r="L76" s="157" t="s">
        <v>995</v>
      </c>
      <c r="M76" s="159">
        <f>M19+M26+M33+M40+M47+M55+M62+M69</f>
        <v>5465897</v>
      </c>
      <c r="N76" s="160"/>
      <c r="O76" s="158">
        <f>O19+O26+O33+O40+O47+O55+O62+O69</f>
        <v>213071.59685400006</v>
      </c>
      <c r="Q76" s="157" t="s">
        <v>995</v>
      </c>
      <c r="R76" s="159">
        <f>R19+R26+R33+R40+R47+R55+R62+R69</f>
        <v>5564583</v>
      </c>
      <c r="S76" s="160"/>
      <c r="T76" s="158">
        <f>T19+T26+T33+T40+T47+T55+T62+T69</f>
        <v>225376.740666</v>
      </c>
      <c r="V76" s="157" t="s">
        <v>995</v>
      </c>
      <c r="W76" s="159">
        <f>W19+W26+W33+W40+W47+W55+W62+W69</f>
        <v>5834910</v>
      </c>
      <c r="X76" s="160"/>
      <c r="Y76" s="158">
        <f>Y19+Y26+Y33+Y40+Y47+Y55+Y62+Y69</f>
        <v>236325.52482000005</v>
      </c>
      <c r="AA76" s="157" t="s">
        <v>995</v>
      </c>
      <c r="AB76" s="159">
        <f>AB19+AB26+AB33+AB40+AB47+AB55+AB62+AB69</f>
        <v>5704411</v>
      </c>
      <c r="AC76" s="160"/>
      <c r="AD76" s="158">
        <f>AD19+AD26+AD33+AD40+AD47+AD55+AD62+AD69</f>
        <v>231040.05432200004</v>
      </c>
      <c r="AF76" s="157" t="s">
        <v>995</v>
      </c>
      <c r="AG76" s="159">
        <f>AG19+AG26+AG33+AG40+AG47+AG55+AG62+AG69</f>
        <v>5717861</v>
      </c>
      <c r="AH76" s="160"/>
      <c r="AI76" s="158">
        <f>AI19+AI26+AI33+AI40+AI47+AI55+AI62+AI69</f>
        <v>231584.80622200004</v>
      </c>
      <c r="AK76" s="157" t="s">
        <v>995</v>
      </c>
      <c r="AL76" s="159">
        <f>AL19+AL26+AL33+AL40+AL47+AL55+AL62+AL69</f>
        <v>5943839</v>
      </c>
      <c r="AM76" s="160"/>
      <c r="AN76" s="158">
        <f>AN19+AN26+AN33+AN40+AN47+AN55+AN62+AN69</f>
        <v>240737.36717799999</v>
      </c>
      <c r="AP76" s="157" t="s">
        <v>995</v>
      </c>
      <c r="AQ76" s="159">
        <f>AQ19+AQ26+AQ33+AQ40+AQ47+AQ55+AQ62+AQ69</f>
        <v>5540758</v>
      </c>
      <c r="AR76" s="160"/>
      <c r="AS76" s="158">
        <f>AS19+AS26+AS33+AS40+AS47+AS55+AS62+AS69</f>
        <v>224411.78051600003</v>
      </c>
      <c r="AU76" s="157" t="s">
        <v>995</v>
      </c>
      <c r="AV76" s="159">
        <f>AV19+AV26+AV33+AV40+AV47+AV55+AV62+AV69</f>
        <v>5908915</v>
      </c>
      <c r="AW76" s="160"/>
      <c r="AX76" s="158">
        <f>AX19+AX26+AX33+AX40+AX47+AX55+AX62+AX69</f>
        <v>239322.87533000001</v>
      </c>
      <c r="AZ76" s="157" t="s">
        <v>995</v>
      </c>
      <c r="BA76" s="159">
        <f>BA19+BA26+BA33+BA40+BA47+BA55+BA62+BA69</f>
        <v>5214872</v>
      </c>
      <c r="BB76" s="160"/>
      <c r="BC76" s="158">
        <f>BC19+BC26+BC33+BC40+BC47+BC55+BC62+BC69</f>
        <v>211212.74574400001</v>
      </c>
      <c r="BE76" s="157" t="s">
        <v>995</v>
      </c>
      <c r="BF76" s="159">
        <f>BF19+BF26+BF33+BF40+BF47+BF55+BF62+BF69</f>
        <v>5129857</v>
      </c>
      <c r="BG76" s="160"/>
      <c r="BH76" s="158">
        <f>BH19+BH26+BH33+BH40+BH47+BH55+BH62+BH69</f>
        <v>207769.46821400005</v>
      </c>
      <c r="BJ76" s="157" t="s">
        <v>995</v>
      </c>
      <c r="BK76" s="148">
        <f t="shared" si="12"/>
        <v>66882215</v>
      </c>
      <c r="BL76" s="216">
        <f t="shared" si="13"/>
        <v>2692476.2303300011</v>
      </c>
    </row>
    <row r="77" spans="1:65" customFormat="1" x14ac:dyDescent="0.25">
      <c r="A77" s="165"/>
      <c r="B77" s="157" t="s">
        <v>996</v>
      </c>
      <c r="C77" s="159">
        <f>C20+C27+C34+C41+C48+C56+C63+C70</f>
        <v>0</v>
      </c>
      <c r="D77" s="160"/>
      <c r="E77" s="158">
        <f>E20+E27+E34+E41+E48+E56+E63+E70</f>
        <v>0</v>
      </c>
      <c r="G77" s="157" t="s">
        <v>996</v>
      </c>
      <c r="H77" s="159">
        <f>H20+H27+H34+H41+H48+H56+H63+H70</f>
        <v>15771</v>
      </c>
      <c r="I77" s="160"/>
      <c r="J77" s="158">
        <f>J20+J27+J34+J41+J48+J56+J63+J70</f>
        <v>200.95408200000006</v>
      </c>
      <c r="L77" s="157" t="s">
        <v>996</v>
      </c>
      <c r="M77" s="159">
        <f>M20+M27+M34+M41+M48+M56+M63+M70</f>
        <v>16846</v>
      </c>
      <c r="N77" s="160"/>
      <c r="O77" s="158">
        <f>O20+O27+O34+O41+O48+O56+O63+O70</f>
        <v>214.65173200000007</v>
      </c>
      <c r="Q77" s="157" t="s">
        <v>996</v>
      </c>
      <c r="R77" s="159">
        <f>R20+R27+R34+R41+R48+R56+R63+R70</f>
        <v>16367</v>
      </c>
      <c r="S77" s="160"/>
      <c r="T77" s="158">
        <f>T20+T27+T34+T41+T48+T56+T63+T70</f>
        <v>208.54831400000006</v>
      </c>
      <c r="V77" s="157" t="s">
        <v>996</v>
      </c>
      <c r="W77" s="159">
        <f>W20+W27+W34+W41+W48+W56+W63+W70</f>
        <v>0</v>
      </c>
      <c r="X77" s="160"/>
      <c r="Y77" s="158">
        <f>Y20+Y27+Y34+Y41+Y48+Y56+Y63+Y70</f>
        <v>0</v>
      </c>
      <c r="AA77" s="157" t="s">
        <v>996</v>
      </c>
      <c r="AB77" s="159">
        <f>AB20+AB27+AB34+AB41+AB48+AB56+AB63+AB70</f>
        <v>0</v>
      </c>
      <c r="AC77" s="160"/>
      <c r="AD77" s="158">
        <f>AD20+AD27+AD34+AD41+AD48+AD56+AD63+AD70</f>
        <v>0</v>
      </c>
      <c r="AF77" s="157" t="s">
        <v>996</v>
      </c>
      <c r="AG77" s="159">
        <f>AG20+AG27+AG34+AG41+AG48+AG56+AG63+AG70</f>
        <v>0</v>
      </c>
      <c r="AH77" s="160"/>
      <c r="AI77" s="158">
        <f>AI20+AI27+AI34+AI41+AI48+AI56+AI63+AI70</f>
        <v>0</v>
      </c>
      <c r="AK77" s="157" t="s">
        <v>996</v>
      </c>
      <c r="AL77" s="159">
        <f>AL20+AL27+AL34+AL41+AL48+AL56+AL63+AL70</f>
        <v>0</v>
      </c>
      <c r="AM77" s="160"/>
      <c r="AN77" s="158">
        <f>AN20+AN27+AN34+AN41+AN48+AN56+AN63+AN70</f>
        <v>0</v>
      </c>
      <c r="AP77" s="157" t="s">
        <v>996</v>
      </c>
      <c r="AQ77" s="159">
        <f>AQ20+AQ27+AQ34+AQ41+AQ48+AQ56+AQ63+AQ70</f>
        <v>0</v>
      </c>
      <c r="AR77" s="160"/>
      <c r="AS77" s="158">
        <f>AS20+AS27+AS34+AS41+AS48+AS56+AS63+AS70</f>
        <v>0</v>
      </c>
      <c r="AU77" s="157" t="s">
        <v>996</v>
      </c>
      <c r="AV77" s="159">
        <f>AV20+AV27+AV34+AV41+AV48+AV56+AV63+AV70</f>
        <v>2483</v>
      </c>
      <c r="AW77" s="160"/>
      <c r="AX77" s="158">
        <f>AX20+AX27+AX34+AX41+AX48+AX56+AX63+AX70</f>
        <v>31.638386000000008</v>
      </c>
      <c r="AZ77" s="157" t="s">
        <v>996</v>
      </c>
      <c r="BA77" s="159">
        <f>BA20+BA27+BA34+BA41+BA48+BA56+BA63+BA70</f>
        <v>24195</v>
      </c>
      <c r="BB77" s="160"/>
      <c r="BC77" s="158">
        <f>BC20+BC27+BC34+BC41+BC48+BC56+BC63+BC70</f>
        <v>308.29269000000011</v>
      </c>
      <c r="BE77" s="157" t="s">
        <v>996</v>
      </c>
      <c r="BF77" s="159">
        <f>BF20+BF27+BF34+BF41+BF48+BF56+BF63+BF70</f>
        <v>43405</v>
      </c>
      <c r="BG77" s="160"/>
      <c r="BH77" s="158">
        <f>BH20+BH27+BH34+BH41+BH48+BH56+BH63+BH70</f>
        <v>553.06651000000011</v>
      </c>
      <c r="BJ77" s="157" t="s">
        <v>996</v>
      </c>
      <c r="BK77" s="148">
        <f t="shared" si="12"/>
        <v>119067</v>
      </c>
      <c r="BL77" s="217">
        <f t="shared" si="13"/>
        <v>1517.1517140000003</v>
      </c>
    </row>
    <row r="78" spans="1:65" customFormat="1" x14ac:dyDescent="0.25">
      <c r="A78" s="165"/>
      <c r="B78" s="157" t="s">
        <v>984</v>
      </c>
      <c r="C78" s="159"/>
      <c r="D78" s="160"/>
      <c r="E78" s="158">
        <f>E71+E64+E57+E49+E42+E35+E28+E21</f>
        <v>-28315</v>
      </c>
      <c r="G78" s="157"/>
      <c r="H78" s="159"/>
      <c r="I78" s="160"/>
      <c r="J78" s="158"/>
      <c r="L78" s="157"/>
      <c r="M78" s="159"/>
      <c r="N78" s="160"/>
      <c r="O78" s="158"/>
      <c r="Q78" s="157"/>
      <c r="R78" s="159"/>
      <c r="S78" s="160"/>
      <c r="T78" s="158"/>
      <c r="V78" s="157"/>
      <c r="W78" s="159"/>
      <c r="X78" s="160"/>
      <c r="Y78" s="158"/>
      <c r="AA78" s="157"/>
      <c r="AB78" s="159"/>
      <c r="AC78" s="160"/>
      <c r="AD78" s="158"/>
      <c r="AF78" s="157"/>
      <c r="AG78" s="159"/>
      <c r="AH78" s="160"/>
      <c r="AI78" s="158"/>
      <c r="AK78" s="157"/>
      <c r="AL78" s="159"/>
      <c r="AM78" s="160"/>
      <c r="AN78" s="158"/>
      <c r="AP78" s="157"/>
      <c r="AQ78" s="159"/>
      <c r="AR78" s="160"/>
      <c r="AS78" s="158"/>
      <c r="AU78" s="157"/>
      <c r="AV78" s="159"/>
      <c r="AW78" s="160"/>
      <c r="AX78" s="158"/>
      <c r="AZ78" s="157"/>
      <c r="BA78" s="159"/>
      <c r="BB78" s="160"/>
      <c r="BC78" s="158"/>
      <c r="BE78" s="157"/>
      <c r="BF78" s="159"/>
      <c r="BG78" s="160"/>
      <c r="BH78" s="158"/>
      <c r="BJ78" s="157"/>
      <c r="BK78" s="148"/>
      <c r="BL78" s="216">
        <f>SUM(BL73:BL77)</f>
        <v>3656942.0620440012</v>
      </c>
    </row>
    <row r="79" spans="1:65" customFormat="1" x14ac:dyDescent="0.25">
      <c r="A79" s="165"/>
      <c r="B79" s="157"/>
      <c r="C79" s="159"/>
      <c r="D79" s="160"/>
      <c r="E79" s="150"/>
      <c r="G79" s="157"/>
      <c r="H79" s="159"/>
      <c r="I79" s="160"/>
      <c r="J79" s="150"/>
      <c r="L79" s="157"/>
      <c r="M79" s="159"/>
      <c r="N79" s="160"/>
      <c r="O79" s="150"/>
      <c r="Q79" s="157"/>
      <c r="R79" s="159"/>
      <c r="S79" s="160"/>
      <c r="T79" s="150"/>
      <c r="V79" s="157"/>
      <c r="W79" s="159"/>
      <c r="X79" s="160"/>
      <c r="Y79" s="150"/>
      <c r="AA79" s="157"/>
      <c r="AB79" s="159"/>
      <c r="AC79" s="160"/>
      <c r="AD79" s="150"/>
      <c r="AF79" s="157"/>
      <c r="AG79" s="159"/>
      <c r="AH79" s="160"/>
      <c r="AI79" s="150"/>
      <c r="AK79" s="157"/>
      <c r="AL79" s="159"/>
      <c r="AM79" s="160"/>
      <c r="AN79" s="150"/>
      <c r="AP79" s="157"/>
      <c r="AQ79" s="159"/>
      <c r="AR79" s="160"/>
      <c r="AS79" s="150"/>
      <c r="AU79" s="157"/>
      <c r="AV79" s="159"/>
      <c r="AW79" s="160"/>
      <c r="AX79" s="150"/>
      <c r="AZ79" s="157"/>
      <c r="BA79" s="159"/>
      <c r="BB79" s="160"/>
      <c r="BC79" s="150"/>
      <c r="BE79" s="157"/>
      <c r="BF79" s="159"/>
      <c r="BG79" s="160"/>
      <c r="BH79" s="150"/>
      <c r="BJ79" s="157"/>
      <c r="BK79" s="148"/>
      <c r="BL79" s="216"/>
    </row>
    <row r="80" spans="1:65" customFormat="1" x14ac:dyDescent="0.25">
      <c r="A80" s="2"/>
      <c r="B80" s="206" t="s">
        <v>994</v>
      </c>
      <c r="C80" s="159"/>
      <c r="D80" s="160"/>
      <c r="E80" s="150"/>
      <c r="G80" s="206" t="s">
        <v>994</v>
      </c>
      <c r="H80" s="159"/>
      <c r="I80" s="160"/>
      <c r="J80" s="150"/>
      <c r="L80" s="206" t="s">
        <v>994</v>
      </c>
      <c r="M80" s="159"/>
      <c r="N80" s="160"/>
      <c r="O80" s="150"/>
      <c r="Q80" s="206" t="s">
        <v>994</v>
      </c>
      <c r="R80" s="159"/>
      <c r="S80" s="160"/>
      <c r="T80" s="150"/>
      <c r="V80" s="206" t="s">
        <v>994</v>
      </c>
      <c r="W80" s="159"/>
      <c r="X80" s="160"/>
      <c r="Y80" s="150"/>
      <c r="AA80" s="206" t="s">
        <v>994</v>
      </c>
      <c r="AB80" s="159"/>
      <c r="AC80" s="160"/>
      <c r="AD80" s="150"/>
      <c r="AF80" s="206" t="s">
        <v>994</v>
      </c>
      <c r="AG80" s="159"/>
      <c r="AH80" s="160"/>
      <c r="AI80" s="150"/>
      <c r="AK80" s="206" t="s">
        <v>994</v>
      </c>
      <c r="AL80" s="159"/>
      <c r="AM80" s="160"/>
      <c r="AN80" s="150"/>
      <c r="AP80" s="206" t="s">
        <v>994</v>
      </c>
      <c r="AQ80" s="159"/>
      <c r="AR80" s="160"/>
      <c r="AS80" s="150"/>
      <c r="AU80" s="206" t="s">
        <v>994</v>
      </c>
      <c r="AV80" s="159"/>
      <c r="AW80" s="160"/>
      <c r="AX80" s="150"/>
      <c r="AZ80" s="206" t="s">
        <v>994</v>
      </c>
      <c r="BA80" s="159"/>
      <c r="BB80" s="160"/>
      <c r="BC80" s="150"/>
      <c r="BE80" s="206" t="s">
        <v>994</v>
      </c>
      <c r="BF80" s="159"/>
      <c r="BG80" s="160"/>
      <c r="BH80" s="150"/>
      <c r="BJ80" s="206" t="s">
        <v>994</v>
      </c>
      <c r="BK80" s="148"/>
      <c r="BL80" s="216"/>
    </row>
    <row r="81" spans="1:64" customFormat="1" x14ac:dyDescent="0.25">
      <c r="A81" s="8" t="s">
        <v>1039</v>
      </c>
      <c r="B81" s="206"/>
      <c r="C81" s="159"/>
      <c r="D81" s="160"/>
      <c r="E81" s="150"/>
      <c r="F81" s="8" t="s">
        <v>1039</v>
      </c>
      <c r="G81" s="206"/>
      <c r="H81" s="159"/>
      <c r="I81" s="160"/>
      <c r="J81" s="150"/>
      <c r="K81" s="8" t="s">
        <v>1039</v>
      </c>
      <c r="L81" s="206"/>
      <c r="M81" s="159"/>
      <c r="N81" s="160"/>
      <c r="O81" s="150"/>
      <c r="P81" s="8" t="s">
        <v>1039</v>
      </c>
      <c r="Q81" s="206"/>
      <c r="R81" s="159"/>
      <c r="S81" s="160"/>
      <c r="T81" s="150"/>
      <c r="U81" s="8" t="s">
        <v>1039</v>
      </c>
      <c r="V81" s="206"/>
      <c r="W81" s="159"/>
      <c r="X81" s="160"/>
      <c r="Y81" s="150"/>
      <c r="Z81" s="8" t="s">
        <v>1039</v>
      </c>
      <c r="AA81" s="206"/>
      <c r="AB81" s="159"/>
      <c r="AC81" s="160"/>
      <c r="AD81" s="150"/>
      <c r="AE81" s="8" t="s">
        <v>1039</v>
      </c>
      <c r="AF81" s="206"/>
      <c r="AG81" s="159"/>
      <c r="AH81" s="160"/>
      <c r="AI81" s="150"/>
      <c r="AJ81" s="8" t="s">
        <v>1039</v>
      </c>
      <c r="AK81" s="206"/>
      <c r="AL81" s="159"/>
      <c r="AM81" s="160"/>
      <c r="AN81" s="150"/>
      <c r="AO81" s="8" t="s">
        <v>1039</v>
      </c>
      <c r="AP81" s="206"/>
      <c r="AQ81" s="159"/>
      <c r="AR81" s="160"/>
      <c r="AS81" s="150"/>
      <c r="AT81" s="8" t="s">
        <v>1039</v>
      </c>
      <c r="AU81" s="206"/>
      <c r="AV81" s="159"/>
      <c r="AW81" s="160"/>
      <c r="AX81" s="150"/>
      <c r="AY81" s="8" t="s">
        <v>1039</v>
      </c>
      <c r="AZ81" s="206"/>
      <c r="BA81" s="159"/>
      <c r="BB81" s="160"/>
      <c r="BC81" s="150"/>
      <c r="BD81" s="8" t="s">
        <v>1039</v>
      </c>
      <c r="BE81" s="206"/>
      <c r="BF81" s="159"/>
      <c r="BG81" s="160"/>
      <c r="BH81" s="150"/>
      <c r="BI81" s="8" t="s">
        <v>1039</v>
      </c>
      <c r="BJ81" s="206"/>
      <c r="BK81" s="159"/>
      <c r="BL81" s="216"/>
    </row>
    <row r="82" spans="1:64" customFormat="1" x14ac:dyDescent="0.25">
      <c r="A82" s="2"/>
      <c r="B82" s="157" t="s">
        <v>12</v>
      </c>
      <c r="C82" s="159">
        <v>8073</v>
      </c>
      <c r="D82" s="158">
        <v>7.17</v>
      </c>
      <c r="E82" s="150">
        <f>C82*D82</f>
        <v>57883.409999999996</v>
      </c>
      <c r="F82" s="2"/>
      <c r="G82" s="157" t="s">
        <v>12</v>
      </c>
      <c r="H82" s="159">
        <v>8073</v>
      </c>
      <c r="I82" s="158">
        <v>7.17</v>
      </c>
      <c r="J82" s="150">
        <f>H82*I82</f>
        <v>57883.409999999996</v>
      </c>
      <c r="K82" s="2"/>
      <c r="L82" s="157" t="s">
        <v>12</v>
      </c>
      <c r="M82" s="159">
        <v>8073</v>
      </c>
      <c r="N82" s="158">
        <v>7.17</v>
      </c>
      <c r="O82" s="150">
        <f>M82*N82</f>
        <v>57883.409999999996</v>
      </c>
      <c r="P82" s="2"/>
      <c r="Q82" s="157" t="s">
        <v>12</v>
      </c>
      <c r="R82" s="159">
        <v>7906</v>
      </c>
      <c r="S82" s="158">
        <v>7.17</v>
      </c>
      <c r="T82" s="150">
        <f>R82*S82</f>
        <v>56686.02</v>
      </c>
      <c r="U82" s="2"/>
      <c r="V82" s="157" t="s">
        <v>12</v>
      </c>
      <c r="W82" s="159">
        <v>7906</v>
      </c>
      <c r="X82" s="158">
        <v>7.17</v>
      </c>
      <c r="Y82" s="150">
        <f>W82*X82</f>
        <v>56686.02</v>
      </c>
      <c r="Z82" s="2"/>
      <c r="AA82" s="157" t="s">
        <v>12</v>
      </c>
      <c r="AB82" s="159">
        <v>7906</v>
      </c>
      <c r="AC82" s="158">
        <v>7.17</v>
      </c>
      <c r="AD82" s="150">
        <f>AB82*AC82</f>
        <v>56686.02</v>
      </c>
      <c r="AE82" s="2"/>
      <c r="AF82" s="157" t="s">
        <v>12</v>
      </c>
      <c r="AG82" s="159">
        <v>7906</v>
      </c>
      <c r="AH82" s="158">
        <v>7.17</v>
      </c>
      <c r="AI82" s="150">
        <f>AG82*AH82</f>
        <v>56686.02</v>
      </c>
      <c r="AJ82" s="2"/>
      <c r="AK82" s="157" t="s">
        <v>12</v>
      </c>
      <c r="AL82" s="159">
        <v>7920</v>
      </c>
      <c r="AM82" s="158">
        <v>7.17</v>
      </c>
      <c r="AN82" s="150">
        <f>AL82*AM82</f>
        <v>56786.400000000001</v>
      </c>
      <c r="AO82" s="2"/>
      <c r="AP82" s="157" t="s">
        <v>12</v>
      </c>
      <c r="AQ82" s="159">
        <v>8073</v>
      </c>
      <c r="AR82" s="158">
        <v>7.17</v>
      </c>
      <c r="AS82" s="150">
        <f>AQ82*AR82</f>
        <v>57883.409999999996</v>
      </c>
      <c r="AT82" s="2"/>
      <c r="AU82" s="157" t="s">
        <v>12</v>
      </c>
      <c r="AV82" s="159">
        <v>8073</v>
      </c>
      <c r="AW82" s="158">
        <v>7.17</v>
      </c>
      <c r="AX82" s="150">
        <f>AV82*AW82</f>
        <v>57883.409999999996</v>
      </c>
      <c r="AY82" s="2"/>
      <c r="AZ82" s="157" t="s">
        <v>12</v>
      </c>
      <c r="BA82" s="159">
        <v>8073</v>
      </c>
      <c r="BB82" s="158">
        <v>7.17</v>
      </c>
      <c r="BC82" s="150">
        <f>BA82*BB82</f>
        <v>57883.409999999996</v>
      </c>
      <c r="BD82" s="2"/>
      <c r="BE82" s="157" t="s">
        <v>12</v>
      </c>
      <c r="BF82" s="159">
        <v>8073</v>
      </c>
      <c r="BG82" s="158">
        <v>7.17</v>
      </c>
      <c r="BH82" s="150">
        <f>BF82*BG82</f>
        <v>57883.409999999996</v>
      </c>
      <c r="BI82" s="2"/>
      <c r="BJ82" s="157" t="s">
        <v>12</v>
      </c>
      <c r="BK82" s="148">
        <f t="shared" ref="BK82" si="174">C82+H82+M82+R82+W82+AB82+AG82+AL82+AQ82+AV82+BA82+BF82</f>
        <v>96055</v>
      </c>
      <c r="BL82" s="216">
        <f t="shared" ref="BL82" si="175">E82+J82+O82+T82+Y82+AD82+AI82+AN82+AS82+AX82+BC82+BH82</f>
        <v>688714.35000000009</v>
      </c>
    </row>
    <row r="83" spans="1:64" customFormat="1" x14ac:dyDescent="0.25">
      <c r="A83" s="2"/>
      <c r="B83" s="157" t="s">
        <v>995</v>
      </c>
      <c r="C83" s="159">
        <v>2943032</v>
      </c>
      <c r="D83" s="160">
        <v>4.0502000000000003E-2</v>
      </c>
      <c r="E83" s="150">
        <f>C83*D83</f>
        <v>119198.68206400001</v>
      </c>
      <c r="F83" s="2"/>
      <c r="G83" s="157" t="s">
        <v>995</v>
      </c>
      <c r="H83" s="159">
        <v>2862999</v>
      </c>
      <c r="I83" s="160">
        <v>3.8982000000000003E-2</v>
      </c>
      <c r="J83" s="150">
        <f>H83*I83</f>
        <v>111605.427018</v>
      </c>
      <c r="K83" s="2"/>
      <c r="L83" s="157" t="s">
        <v>995</v>
      </c>
      <c r="M83" s="159">
        <v>2385085</v>
      </c>
      <c r="N83" s="160">
        <v>3.8982000000000003E-2</v>
      </c>
      <c r="O83" s="150">
        <f>M83*N83</f>
        <v>92975.383470000001</v>
      </c>
      <c r="P83" s="2"/>
      <c r="Q83" s="157" t="s">
        <v>995</v>
      </c>
      <c r="R83" s="159">
        <v>3339950</v>
      </c>
      <c r="S83" s="160">
        <v>4.0502000000000003E-2</v>
      </c>
      <c r="T83" s="150">
        <f>R83*S83</f>
        <v>135274.65490000002</v>
      </c>
      <c r="U83" s="2"/>
      <c r="V83" s="157" t="s">
        <v>995</v>
      </c>
      <c r="W83" s="159">
        <v>3792923</v>
      </c>
      <c r="X83" s="160">
        <v>4.0502000000000003E-2</v>
      </c>
      <c r="Y83" s="150">
        <f>W83*X83</f>
        <v>153620.96734600002</v>
      </c>
      <c r="Z83" s="2"/>
      <c r="AA83" s="157" t="s">
        <v>995</v>
      </c>
      <c r="AB83" s="159">
        <v>3864991</v>
      </c>
      <c r="AC83" s="160">
        <v>4.0502000000000003E-2</v>
      </c>
      <c r="AD83" s="150">
        <f>AB83*AC83</f>
        <v>156539.86548200002</v>
      </c>
      <c r="AE83" s="2"/>
      <c r="AF83" s="157" t="s">
        <v>995</v>
      </c>
      <c r="AG83" s="159">
        <v>3481550</v>
      </c>
      <c r="AH83" s="160">
        <v>4.0502000000000003E-2</v>
      </c>
      <c r="AI83" s="150">
        <f>AG83*AH83</f>
        <v>141009.73810000002</v>
      </c>
      <c r="AJ83" s="2"/>
      <c r="AK83" s="157" t="s">
        <v>995</v>
      </c>
      <c r="AL83" s="159">
        <v>3946565</v>
      </c>
      <c r="AM83" s="160">
        <v>4.0502000000000003E-2</v>
      </c>
      <c r="AN83" s="150">
        <f>AL83*AM83</f>
        <v>159843.77563000002</v>
      </c>
      <c r="AO83" s="2"/>
      <c r="AP83" s="157" t="s">
        <v>995</v>
      </c>
      <c r="AQ83" s="159">
        <v>3562852</v>
      </c>
      <c r="AR83" s="160">
        <v>4.0502000000000003E-2</v>
      </c>
      <c r="AS83" s="150">
        <f>AQ83*AR83</f>
        <v>144302.631704</v>
      </c>
      <c r="AT83" s="2"/>
      <c r="AU83" s="157" t="s">
        <v>995</v>
      </c>
      <c r="AV83" s="159">
        <v>3494736</v>
      </c>
      <c r="AW83" s="160">
        <v>4.0502000000000003E-2</v>
      </c>
      <c r="AX83" s="150">
        <f>AV83*AW83</f>
        <v>141543.79747200001</v>
      </c>
      <c r="AY83" s="2"/>
      <c r="AZ83" s="157" t="s">
        <v>995</v>
      </c>
      <c r="BA83" s="159">
        <v>2913052</v>
      </c>
      <c r="BB83" s="160">
        <v>4.0502000000000003E-2</v>
      </c>
      <c r="BC83" s="150">
        <f>BA83*BB83</f>
        <v>117984.43210400001</v>
      </c>
      <c r="BD83" s="2"/>
      <c r="BE83" s="157" t="s">
        <v>995</v>
      </c>
      <c r="BF83" s="159">
        <v>2417150</v>
      </c>
      <c r="BG83" s="160">
        <v>4.0502000000000003E-2</v>
      </c>
      <c r="BH83" s="150">
        <f>BF83*BG83</f>
        <v>97899.409300000014</v>
      </c>
      <c r="BI83" s="2"/>
      <c r="BJ83" s="157" t="s">
        <v>995</v>
      </c>
      <c r="BK83" s="148">
        <f t="shared" ref="BK83:BK84" si="176">C83+H83+M83+R83+W83+AB83+AG83+AL83+AQ83+AV83+BA83+BF83</f>
        <v>39004885</v>
      </c>
      <c r="BL83" s="216">
        <f t="shared" ref="BL83:BL85" si="177">E83+J83+O83+T83+Y83+AD83+AI83+AN83+AS83+AX83+BC83+BH83</f>
        <v>1571798.7645900003</v>
      </c>
    </row>
    <row r="84" spans="1:64" customFormat="1" x14ac:dyDescent="0.25">
      <c r="A84" s="2"/>
      <c r="B84" s="157" t="s">
        <v>996</v>
      </c>
      <c r="C84" s="159">
        <f>3229200-C83</f>
        <v>286168</v>
      </c>
      <c r="D84" s="160">
        <f>0.040502-0.02776</f>
        <v>1.2742000000000003E-2</v>
      </c>
      <c r="E84" s="150">
        <f>C84*D84</f>
        <v>3646.3526560000009</v>
      </c>
      <c r="F84" s="2"/>
      <c r="G84" s="157" t="s">
        <v>996</v>
      </c>
      <c r="H84" s="159">
        <f>3229200-H83</f>
        <v>366201</v>
      </c>
      <c r="I84" s="160">
        <f>I83-0.02624</f>
        <v>1.2742000000000003E-2</v>
      </c>
      <c r="J84" s="150">
        <f>H84*I84</f>
        <v>4666.1331420000015</v>
      </c>
      <c r="K84" s="2"/>
      <c r="L84" s="157" t="s">
        <v>996</v>
      </c>
      <c r="M84" s="159">
        <f>3229200-M83</f>
        <v>844115</v>
      </c>
      <c r="N84" s="160">
        <f>N83-0.02624</f>
        <v>1.2742000000000003E-2</v>
      </c>
      <c r="O84" s="150">
        <f>M84*N84</f>
        <v>10755.713330000002</v>
      </c>
      <c r="P84" s="2"/>
      <c r="Q84" s="157" t="s">
        <v>996</v>
      </c>
      <c r="R84" s="159">
        <f>3339950-R83</f>
        <v>0</v>
      </c>
      <c r="S84" s="160">
        <f>0.040502-0.02776</f>
        <v>1.2742000000000003E-2</v>
      </c>
      <c r="T84" s="150">
        <f>R84*S84</f>
        <v>0</v>
      </c>
      <c r="U84" s="2"/>
      <c r="V84" s="157" t="s">
        <v>996</v>
      </c>
      <c r="W84" s="159">
        <f>3792923-W83</f>
        <v>0</v>
      </c>
      <c r="X84" s="160">
        <f>0.040502-0.02776</f>
        <v>1.2742000000000003E-2</v>
      </c>
      <c r="Y84" s="150">
        <f>W84*X84</f>
        <v>0</v>
      </c>
      <c r="Z84" s="2"/>
      <c r="AA84" s="157" t="s">
        <v>996</v>
      </c>
      <c r="AB84" s="159">
        <f>3864991-AB83</f>
        <v>0</v>
      </c>
      <c r="AC84" s="160">
        <f>0.040502-0.02776</f>
        <v>1.2742000000000003E-2</v>
      </c>
      <c r="AD84" s="150">
        <f>AB84*AC84</f>
        <v>0</v>
      </c>
      <c r="AE84" s="2"/>
      <c r="AF84" s="157" t="s">
        <v>996</v>
      </c>
      <c r="AG84" s="159">
        <f>3481550-AG83</f>
        <v>0</v>
      </c>
      <c r="AH84" s="160">
        <f>0.040502-0.02776</f>
        <v>1.2742000000000003E-2</v>
      </c>
      <c r="AI84" s="150">
        <f>AG84*AH84</f>
        <v>0</v>
      </c>
      <c r="AJ84" s="2"/>
      <c r="AK84" s="157" t="s">
        <v>996</v>
      </c>
      <c r="AL84" s="159">
        <f>3946565-AL83</f>
        <v>0</v>
      </c>
      <c r="AM84" s="160">
        <f>0.040502-0.02776</f>
        <v>1.2742000000000003E-2</v>
      </c>
      <c r="AN84" s="150">
        <f>AL84*AM84</f>
        <v>0</v>
      </c>
      <c r="AO84" s="2"/>
      <c r="AP84" s="157" t="s">
        <v>996</v>
      </c>
      <c r="AQ84" s="159">
        <f>3562852-AQ83</f>
        <v>0</v>
      </c>
      <c r="AR84" s="160">
        <f>0.040502-0.02776</f>
        <v>1.2742000000000003E-2</v>
      </c>
      <c r="AS84" s="150">
        <f>AQ84*AR84</f>
        <v>0</v>
      </c>
      <c r="AT84" s="2"/>
      <c r="AU84" s="157" t="s">
        <v>996</v>
      </c>
      <c r="AV84" s="159">
        <f>3494736-AV83</f>
        <v>0</v>
      </c>
      <c r="AW84" s="160">
        <f>0.040502-0.02776</f>
        <v>1.2742000000000003E-2</v>
      </c>
      <c r="AX84" s="150">
        <f>AV84*AW84</f>
        <v>0</v>
      </c>
      <c r="AY84" s="2"/>
      <c r="AZ84" s="157" t="s">
        <v>996</v>
      </c>
      <c r="BA84" s="159">
        <f>3229200-BA83</f>
        <v>316148</v>
      </c>
      <c r="BB84" s="160">
        <f>0.040502-0.02776</f>
        <v>1.2742000000000003E-2</v>
      </c>
      <c r="BC84" s="150">
        <f>BA84*BB84</f>
        <v>4028.3578160000011</v>
      </c>
      <c r="BD84" s="2"/>
      <c r="BE84" s="157" t="s">
        <v>996</v>
      </c>
      <c r="BF84" s="159">
        <f>3229200-BF83</f>
        <v>812050</v>
      </c>
      <c r="BG84" s="160">
        <f>0.040502-0.02776</f>
        <v>1.2742000000000003E-2</v>
      </c>
      <c r="BH84" s="150">
        <f>BF84*BG84</f>
        <v>10347.141100000003</v>
      </c>
      <c r="BI84" s="2"/>
      <c r="BJ84" s="157" t="s">
        <v>996</v>
      </c>
      <c r="BK84" s="148">
        <f t="shared" si="176"/>
        <v>2624682</v>
      </c>
      <c r="BL84" s="216">
        <f t="shared" si="177"/>
        <v>33443.698044000004</v>
      </c>
    </row>
    <row r="85" spans="1:64" customFormat="1" x14ac:dyDescent="0.25">
      <c r="A85" s="2"/>
      <c r="B85" s="157" t="s">
        <v>984</v>
      </c>
      <c r="C85" s="159"/>
      <c r="D85" s="160"/>
      <c r="E85" s="150">
        <v>-15039</v>
      </c>
      <c r="F85" s="2"/>
      <c r="G85" s="157" t="s">
        <v>984</v>
      </c>
      <c r="H85" s="159"/>
      <c r="I85" s="160"/>
      <c r="J85" s="150">
        <v>-18724</v>
      </c>
      <c r="K85" s="2"/>
      <c r="L85" s="157" t="s">
        <v>984</v>
      </c>
      <c r="M85" s="159"/>
      <c r="N85" s="160"/>
      <c r="O85" s="150">
        <v>-18628</v>
      </c>
      <c r="P85" s="2"/>
      <c r="Q85" s="157" t="s">
        <v>984</v>
      </c>
      <c r="R85" s="159"/>
      <c r="S85" s="160"/>
      <c r="T85" s="150">
        <v>-5578</v>
      </c>
      <c r="U85" s="2"/>
      <c r="V85" s="157" t="s">
        <v>984</v>
      </c>
      <c r="W85" s="159"/>
      <c r="X85" s="160"/>
      <c r="Y85" s="150">
        <v>-14261</v>
      </c>
      <c r="Z85" s="2"/>
      <c r="AA85" s="157" t="s">
        <v>984</v>
      </c>
      <c r="AB85" s="159"/>
      <c r="AC85" s="160"/>
      <c r="AD85" s="150">
        <v>-13489</v>
      </c>
      <c r="AE85" s="2"/>
      <c r="AF85" s="157" t="s">
        <v>984</v>
      </c>
      <c r="AG85" s="159"/>
      <c r="AH85" s="160"/>
      <c r="AI85" s="150">
        <v>-16816</v>
      </c>
      <c r="AJ85" s="2"/>
      <c r="AK85" s="157" t="s">
        <v>984</v>
      </c>
      <c r="AL85" s="159"/>
      <c r="AM85" s="160"/>
      <c r="AN85" s="150">
        <v>-20641</v>
      </c>
      <c r="AO85" s="2"/>
      <c r="AP85" s="157" t="s">
        <v>984</v>
      </c>
      <c r="AQ85" s="159"/>
      <c r="AR85" s="160"/>
      <c r="AS85" s="150">
        <v>-21805</v>
      </c>
      <c r="AT85" s="2"/>
      <c r="AU85" s="157" t="s">
        <v>984</v>
      </c>
      <c r="AV85" s="159"/>
      <c r="AW85" s="160"/>
      <c r="AX85" s="150">
        <v>-19710</v>
      </c>
      <c r="AY85" s="2"/>
      <c r="AZ85" s="157" t="s">
        <v>984</v>
      </c>
      <c r="BA85" s="159"/>
      <c r="BB85" s="160"/>
      <c r="BC85" s="150">
        <v>-19197</v>
      </c>
      <c r="BD85" s="2"/>
      <c r="BE85" s="157" t="s">
        <v>984</v>
      </c>
      <c r="BF85" s="159"/>
      <c r="BG85" s="160"/>
      <c r="BH85" s="150">
        <v>-2876</v>
      </c>
      <c r="BI85" s="2"/>
      <c r="BJ85" s="157" t="s">
        <v>984</v>
      </c>
      <c r="BK85" s="148"/>
      <c r="BL85" s="216">
        <f t="shared" si="177"/>
        <v>-186764</v>
      </c>
    </row>
    <row r="86" spans="1:64" customFormat="1" x14ac:dyDescent="0.25">
      <c r="A86" s="2"/>
      <c r="B86" s="206"/>
      <c r="C86" s="159"/>
      <c r="D86" s="160"/>
      <c r="E86" s="150"/>
      <c r="F86" s="2"/>
      <c r="G86" s="206"/>
      <c r="H86" s="159"/>
      <c r="I86" s="160"/>
      <c r="J86" s="150"/>
      <c r="K86" s="2"/>
      <c r="L86" s="206"/>
      <c r="M86" s="159"/>
      <c r="N86" s="160"/>
      <c r="O86" s="150"/>
      <c r="P86" s="2"/>
      <c r="Q86" s="206"/>
      <c r="R86" s="159"/>
      <c r="S86" s="160"/>
      <c r="T86" s="150"/>
      <c r="U86" s="2"/>
      <c r="V86" s="206"/>
      <c r="W86" s="159"/>
      <c r="X86" s="160"/>
      <c r="Y86" s="150"/>
      <c r="Z86" s="2"/>
      <c r="AA86" s="206"/>
      <c r="AB86" s="159"/>
      <c r="AC86" s="160"/>
      <c r="AD86" s="150"/>
      <c r="AE86" s="2"/>
      <c r="AF86" s="206"/>
      <c r="AG86" s="159"/>
      <c r="AH86" s="160"/>
      <c r="AI86" s="150"/>
      <c r="AJ86" s="2"/>
      <c r="AK86" s="206"/>
      <c r="AL86" s="159"/>
      <c r="AM86" s="160"/>
      <c r="AN86" s="150"/>
      <c r="AO86" s="2"/>
      <c r="AP86" s="206"/>
      <c r="AQ86" s="159"/>
      <c r="AR86" s="160"/>
      <c r="AS86" s="150"/>
      <c r="AT86" s="2"/>
      <c r="AU86" s="206"/>
      <c r="AV86" s="159"/>
      <c r="AW86" s="160"/>
      <c r="AX86" s="150"/>
      <c r="AY86" s="2"/>
      <c r="AZ86" s="206"/>
      <c r="BA86" s="159"/>
      <c r="BB86" s="160"/>
      <c r="BC86" s="150"/>
      <c r="BD86" s="2"/>
      <c r="BE86" s="206"/>
      <c r="BF86" s="159"/>
      <c r="BG86" s="160"/>
      <c r="BH86" s="150"/>
      <c r="BI86" s="2"/>
      <c r="BJ86" s="206"/>
      <c r="BK86" s="159"/>
      <c r="BL86" s="216"/>
    </row>
    <row r="87" spans="1:64" customFormat="1" x14ac:dyDescent="0.25">
      <c r="A87" s="8" t="s">
        <v>1040</v>
      </c>
      <c r="B87" s="206"/>
      <c r="C87" s="159"/>
      <c r="D87" s="160"/>
      <c r="E87" s="150"/>
      <c r="F87" s="8" t="s">
        <v>1040</v>
      </c>
      <c r="G87" s="206"/>
      <c r="H87" s="159"/>
      <c r="I87" s="160"/>
      <c r="J87" s="150"/>
      <c r="K87" s="8" t="s">
        <v>1040</v>
      </c>
      <c r="L87" s="206"/>
      <c r="M87" s="159"/>
      <c r="N87" s="160"/>
      <c r="O87" s="150"/>
      <c r="P87" s="8" t="s">
        <v>1040</v>
      </c>
      <c r="Q87" s="206"/>
      <c r="R87" s="159"/>
      <c r="S87" s="160"/>
      <c r="T87" s="150"/>
      <c r="U87" s="8" t="s">
        <v>1040</v>
      </c>
      <c r="V87" s="206"/>
      <c r="W87" s="159"/>
      <c r="X87" s="160"/>
      <c r="Y87" s="150"/>
      <c r="Z87" s="8" t="s">
        <v>1040</v>
      </c>
      <c r="AA87" s="206"/>
      <c r="AB87" s="159"/>
      <c r="AC87" s="160"/>
      <c r="AD87" s="150"/>
      <c r="AE87" s="8" t="s">
        <v>1040</v>
      </c>
      <c r="AF87" s="206"/>
      <c r="AG87" s="159"/>
      <c r="AH87" s="160"/>
      <c r="AI87" s="150"/>
      <c r="AJ87" s="8" t="s">
        <v>1040</v>
      </c>
      <c r="AK87" s="206"/>
      <c r="AL87" s="159"/>
      <c r="AM87" s="160"/>
      <c r="AN87" s="150"/>
      <c r="AO87" s="8" t="s">
        <v>1040</v>
      </c>
      <c r="AP87" s="206"/>
      <c r="AQ87" s="159"/>
      <c r="AR87" s="160"/>
      <c r="AS87" s="150"/>
      <c r="AT87" s="8" t="s">
        <v>1040</v>
      </c>
      <c r="AU87" s="206"/>
      <c r="AV87" s="159"/>
      <c r="AW87" s="160"/>
      <c r="AX87" s="150"/>
      <c r="AY87" s="8" t="s">
        <v>1040</v>
      </c>
      <c r="AZ87" s="206"/>
      <c r="BA87" s="159"/>
      <c r="BB87" s="160"/>
      <c r="BC87" s="150"/>
      <c r="BD87" s="8" t="s">
        <v>1040</v>
      </c>
      <c r="BE87" s="206"/>
      <c r="BF87" s="159"/>
      <c r="BG87" s="160"/>
      <c r="BH87" s="150"/>
      <c r="BI87" s="8" t="s">
        <v>1040</v>
      </c>
      <c r="BJ87" s="206"/>
      <c r="BK87" s="159"/>
      <c r="BL87" s="216"/>
    </row>
    <row r="88" spans="1:64" customFormat="1" x14ac:dyDescent="0.25">
      <c r="A88" s="2"/>
      <c r="B88" s="157" t="s">
        <v>12</v>
      </c>
      <c r="C88" s="159">
        <v>2300</v>
      </c>
      <c r="D88" s="158">
        <v>7.17</v>
      </c>
      <c r="E88" s="150">
        <f>C88*D88</f>
        <v>16491</v>
      </c>
      <c r="F88" s="2"/>
      <c r="G88" s="157" t="s">
        <v>12</v>
      </c>
      <c r="H88" s="159">
        <v>2300</v>
      </c>
      <c r="I88" s="158">
        <v>7.17</v>
      </c>
      <c r="J88" s="150">
        <f>H88*I88</f>
        <v>16491</v>
      </c>
      <c r="K88" s="2"/>
      <c r="L88" s="157" t="s">
        <v>12</v>
      </c>
      <c r="M88" s="159">
        <v>2300</v>
      </c>
      <c r="N88" s="158">
        <v>7.17</v>
      </c>
      <c r="O88" s="150">
        <f>M88*N88</f>
        <v>16491</v>
      </c>
      <c r="P88" s="2"/>
      <c r="Q88" s="157" t="s">
        <v>12</v>
      </c>
      <c r="R88" s="159">
        <v>2300</v>
      </c>
      <c r="S88" s="158">
        <v>7.17</v>
      </c>
      <c r="T88" s="150">
        <f>R88*S88</f>
        <v>16491</v>
      </c>
      <c r="U88" s="2"/>
      <c r="V88" s="157" t="s">
        <v>12</v>
      </c>
      <c r="W88" s="159">
        <v>2300</v>
      </c>
      <c r="X88" s="158">
        <v>7.17</v>
      </c>
      <c r="Y88" s="150">
        <f>W88*X88</f>
        <v>16491</v>
      </c>
      <c r="Z88" s="2"/>
      <c r="AA88" s="157" t="s">
        <v>12</v>
      </c>
      <c r="AB88" s="159">
        <v>2300</v>
      </c>
      <c r="AC88" s="158">
        <v>7.17</v>
      </c>
      <c r="AD88" s="150">
        <f>AB88*AC88</f>
        <v>16491</v>
      </c>
      <c r="AE88" s="2"/>
      <c r="AF88" s="157" t="s">
        <v>12</v>
      </c>
      <c r="AG88" s="159">
        <v>2300</v>
      </c>
      <c r="AH88" s="158">
        <v>7.17</v>
      </c>
      <c r="AI88" s="150">
        <f>AG88*AH88</f>
        <v>16491</v>
      </c>
      <c r="AJ88" s="2"/>
      <c r="AK88" s="157" t="s">
        <v>12</v>
      </c>
      <c r="AL88" s="159">
        <v>2300</v>
      </c>
      <c r="AM88" s="158">
        <v>7.17</v>
      </c>
      <c r="AN88" s="150">
        <f>AL88*AM88</f>
        <v>16491</v>
      </c>
      <c r="AO88" s="2"/>
      <c r="AP88" s="157" t="s">
        <v>12</v>
      </c>
      <c r="AQ88" s="159">
        <v>2300</v>
      </c>
      <c r="AR88" s="158">
        <v>7.17</v>
      </c>
      <c r="AS88" s="150">
        <f>AQ88*AR88</f>
        <v>16491</v>
      </c>
      <c r="AT88" s="2"/>
      <c r="AU88" s="157" t="s">
        <v>12</v>
      </c>
      <c r="AV88" s="159">
        <v>2300</v>
      </c>
      <c r="AW88" s="158">
        <v>7.17</v>
      </c>
      <c r="AX88" s="150">
        <f>AV88*AW88</f>
        <v>16491</v>
      </c>
      <c r="AY88" s="2"/>
      <c r="AZ88" s="157" t="s">
        <v>12</v>
      </c>
      <c r="BA88" s="159">
        <v>2300</v>
      </c>
      <c r="BB88" s="158">
        <v>7.17</v>
      </c>
      <c r="BC88" s="150">
        <f>BA88*BB88</f>
        <v>16491</v>
      </c>
      <c r="BD88" s="2"/>
      <c r="BE88" s="157" t="s">
        <v>12</v>
      </c>
      <c r="BF88" s="159">
        <v>2300</v>
      </c>
      <c r="BG88" s="158">
        <v>7.17</v>
      </c>
      <c r="BH88" s="150">
        <f>BF88*BG88</f>
        <v>16491</v>
      </c>
      <c r="BI88" s="2"/>
      <c r="BJ88" s="157" t="s">
        <v>12</v>
      </c>
      <c r="BK88" s="148">
        <f t="shared" ref="BK88" si="178">C88+H88+M88+R88+W88+AB88+AG88+AL88+AQ88+AV88+BA88+BF88</f>
        <v>27600</v>
      </c>
      <c r="BL88" s="216">
        <f t="shared" ref="BL88" si="179">E88+J88+O88+T88+Y88+AD88+AI88+AN88+AS88+AX88+BC88+BH88</f>
        <v>197892</v>
      </c>
    </row>
    <row r="89" spans="1:64" customFormat="1" x14ac:dyDescent="0.25">
      <c r="A89" s="2"/>
      <c r="B89" s="157" t="s">
        <v>995</v>
      </c>
      <c r="C89" s="159">
        <v>769894</v>
      </c>
      <c r="D89" s="160">
        <v>4.0502000000000003E-2</v>
      </c>
      <c r="E89" s="150">
        <f>C89*D89</f>
        <v>31182.246788000004</v>
      </c>
      <c r="F89" s="2"/>
      <c r="G89" s="157" t="s">
        <v>995</v>
      </c>
      <c r="H89" s="159">
        <v>718579</v>
      </c>
      <c r="I89" s="160">
        <v>3.8982000000000003E-2</v>
      </c>
      <c r="J89" s="150">
        <f>H89*I89</f>
        <v>28011.646578000004</v>
      </c>
      <c r="K89" s="2"/>
      <c r="L89" s="157" t="s">
        <v>995</v>
      </c>
      <c r="M89" s="159">
        <v>748294</v>
      </c>
      <c r="N89" s="160">
        <v>3.8982000000000003E-2</v>
      </c>
      <c r="O89" s="150">
        <f>M89*N89</f>
        <v>29169.996708000002</v>
      </c>
      <c r="P89" s="2"/>
      <c r="Q89" s="157" t="s">
        <v>995</v>
      </c>
      <c r="R89" s="159">
        <v>874429</v>
      </c>
      <c r="S89" s="160">
        <v>4.0502000000000003E-2</v>
      </c>
      <c r="T89" s="150">
        <f>R89*S89</f>
        <v>35416.123358000004</v>
      </c>
      <c r="U89" s="2"/>
      <c r="V89" s="157" t="s">
        <v>995</v>
      </c>
      <c r="W89" s="159">
        <v>1006488</v>
      </c>
      <c r="X89" s="160">
        <v>4.0502000000000003E-2</v>
      </c>
      <c r="Y89" s="150">
        <f>W89*X89</f>
        <v>40764.776976000001</v>
      </c>
      <c r="Z89" s="2"/>
      <c r="AA89" s="157" t="s">
        <v>995</v>
      </c>
      <c r="AB89" s="159">
        <v>1034805</v>
      </c>
      <c r="AC89" s="160">
        <v>4.0502000000000003E-2</v>
      </c>
      <c r="AD89" s="150">
        <f>AB89*AC89</f>
        <v>41911.672110000007</v>
      </c>
      <c r="AE89" s="2"/>
      <c r="AF89" s="157" t="s">
        <v>995</v>
      </c>
      <c r="AG89" s="159">
        <v>1161992</v>
      </c>
      <c r="AH89" s="160">
        <v>4.0502000000000003E-2</v>
      </c>
      <c r="AI89" s="150">
        <f>AG89*AH89</f>
        <v>47062.999984000002</v>
      </c>
      <c r="AJ89" s="2"/>
      <c r="AK89" s="157" t="s">
        <v>995</v>
      </c>
      <c r="AL89" s="159">
        <v>1135617</v>
      </c>
      <c r="AM89" s="160">
        <v>4.0502000000000003E-2</v>
      </c>
      <c r="AN89" s="150">
        <f>AL89*AM89</f>
        <v>45994.759734000007</v>
      </c>
      <c r="AO89" s="2"/>
      <c r="AP89" s="157" t="s">
        <v>995</v>
      </c>
      <c r="AQ89" s="159">
        <v>1078331</v>
      </c>
      <c r="AR89" s="160">
        <v>4.0502000000000003E-2</v>
      </c>
      <c r="AS89" s="150">
        <f>AQ89*AR89</f>
        <v>43674.562162000002</v>
      </c>
      <c r="AT89" s="2"/>
      <c r="AU89" s="157" t="s">
        <v>995</v>
      </c>
      <c r="AV89" s="159">
        <v>890997</v>
      </c>
      <c r="AW89" s="160">
        <v>4.0502000000000003E-2</v>
      </c>
      <c r="AX89" s="150">
        <f>AV89*AW89</f>
        <v>36087.160494000003</v>
      </c>
      <c r="AY89" s="2"/>
      <c r="AZ89" s="157" t="s">
        <v>995</v>
      </c>
      <c r="BA89" s="159">
        <v>757091</v>
      </c>
      <c r="BB89" s="160">
        <v>4.0502000000000003E-2</v>
      </c>
      <c r="BC89" s="150">
        <f>BA89*BB89</f>
        <v>30663.699682000002</v>
      </c>
      <c r="BD89" s="2"/>
      <c r="BE89" s="157" t="s">
        <v>995</v>
      </c>
      <c r="BF89" s="159">
        <v>738679</v>
      </c>
      <c r="BG89" s="160">
        <v>4.0502000000000003E-2</v>
      </c>
      <c r="BH89" s="150">
        <f>BF89*BG89</f>
        <v>29917.976858000002</v>
      </c>
      <c r="BI89" s="2"/>
      <c r="BJ89" s="157" t="s">
        <v>995</v>
      </c>
      <c r="BK89" s="148">
        <f t="shared" ref="BK89:BK90" si="180">C89+H89+M89+R89+W89+AB89+AG89+AL89+AQ89+AV89+BA89+BF89</f>
        <v>10915196</v>
      </c>
      <c r="BL89" s="216">
        <f t="shared" ref="BL89:BL91" si="181">E89+J89+O89+T89+Y89+AD89+AI89+AN89+AS89+AX89+BC89+BH89</f>
        <v>439857.62143199996</v>
      </c>
    </row>
    <row r="90" spans="1:64" customFormat="1" x14ac:dyDescent="0.25">
      <c r="A90" s="2"/>
      <c r="B90" s="157" t="s">
        <v>996</v>
      </c>
      <c r="C90" s="159">
        <f>920000-C89</f>
        <v>150106</v>
      </c>
      <c r="D90" s="160">
        <f>0.040502-0.02776</f>
        <v>1.2742000000000003E-2</v>
      </c>
      <c r="E90" s="150">
        <f>C90*D90</f>
        <v>1912.6506520000005</v>
      </c>
      <c r="F90" s="2"/>
      <c r="G90" s="157" t="s">
        <v>996</v>
      </c>
      <c r="H90" s="159">
        <f>920000-H89</f>
        <v>201421</v>
      </c>
      <c r="I90" s="160">
        <f>I89-0.02624</f>
        <v>1.2742000000000003E-2</v>
      </c>
      <c r="J90" s="150">
        <f>H90*I90</f>
        <v>2566.5063820000005</v>
      </c>
      <c r="K90" s="2"/>
      <c r="L90" s="157" t="s">
        <v>996</v>
      </c>
      <c r="M90" s="159">
        <f>920000-M89</f>
        <v>171706</v>
      </c>
      <c r="N90" s="160">
        <f>N89-0.02624</f>
        <v>1.2742000000000003E-2</v>
      </c>
      <c r="O90" s="150">
        <f>M90*N90</f>
        <v>2187.8778520000005</v>
      </c>
      <c r="P90" s="2"/>
      <c r="Q90" s="157" t="s">
        <v>996</v>
      </c>
      <c r="R90" s="159">
        <f>920000-R89</f>
        <v>45571</v>
      </c>
      <c r="S90" s="160">
        <f>0.040502-0.02776</f>
        <v>1.2742000000000003E-2</v>
      </c>
      <c r="T90" s="150">
        <f>R90*S90</f>
        <v>580.66568200000017</v>
      </c>
      <c r="U90" s="2"/>
      <c r="V90" s="157" t="s">
        <v>996</v>
      </c>
      <c r="W90" s="159">
        <f>1006488-W89</f>
        <v>0</v>
      </c>
      <c r="X90" s="160">
        <f>0.040502-0.02776</f>
        <v>1.2742000000000003E-2</v>
      </c>
      <c r="Y90" s="150">
        <f>W90*X90</f>
        <v>0</v>
      </c>
      <c r="Z90" s="2"/>
      <c r="AA90" s="157" t="s">
        <v>996</v>
      </c>
      <c r="AB90" s="159">
        <f>1034805-AB89</f>
        <v>0</v>
      </c>
      <c r="AC90" s="160">
        <f>0.040502-0.02776</f>
        <v>1.2742000000000003E-2</v>
      </c>
      <c r="AD90" s="150">
        <f>AB90*AC90</f>
        <v>0</v>
      </c>
      <c r="AE90" s="2"/>
      <c r="AF90" s="157" t="s">
        <v>996</v>
      </c>
      <c r="AG90" s="159">
        <f>1161992-AG89</f>
        <v>0</v>
      </c>
      <c r="AH90" s="160">
        <f>0.040502-0.02776</f>
        <v>1.2742000000000003E-2</v>
      </c>
      <c r="AI90" s="150">
        <f>AG90*AH90</f>
        <v>0</v>
      </c>
      <c r="AJ90" s="2"/>
      <c r="AK90" s="157" t="s">
        <v>996</v>
      </c>
      <c r="AL90" s="159">
        <f>1135617-AL89</f>
        <v>0</v>
      </c>
      <c r="AM90" s="160">
        <f>0.040502-0.02776</f>
        <v>1.2742000000000003E-2</v>
      </c>
      <c r="AN90" s="150">
        <f>AL90*AM90</f>
        <v>0</v>
      </c>
      <c r="AO90" s="2"/>
      <c r="AP90" s="157" t="s">
        <v>996</v>
      </c>
      <c r="AQ90" s="159">
        <f>1078331-AQ89</f>
        <v>0</v>
      </c>
      <c r="AR90" s="160">
        <f>0.040502-0.02776</f>
        <v>1.2742000000000003E-2</v>
      </c>
      <c r="AS90" s="150">
        <f>AQ90*AR90</f>
        <v>0</v>
      </c>
      <c r="AT90" s="2"/>
      <c r="AU90" s="157" t="s">
        <v>996</v>
      </c>
      <c r="AV90" s="159">
        <f>920000-AV89</f>
        <v>29003</v>
      </c>
      <c r="AW90" s="160">
        <f>0.040502-0.02776</f>
        <v>1.2742000000000003E-2</v>
      </c>
      <c r="AX90" s="150">
        <f>AV90*AW90</f>
        <v>369.55622600000009</v>
      </c>
      <c r="AY90" s="2"/>
      <c r="AZ90" s="157" t="s">
        <v>996</v>
      </c>
      <c r="BA90" s="159">
        <f>920000-BA89</f>
        <v>162909</v>
      </c>
      <c r="BB90" s="160">
        <f>0.040502-0.02776</f>
        <v>1.2742000000000003E-2</v>
      </c>
      <c r="BC90" s="150">
        <f>BA90*BB90</f>
        <v>2075.7864780000004</v>
      </c>
      <c r="BD90" s="2"/>
      <c r="BE90" s="157" t="s">
        <v>996</v>
      </c>
      <c r="BF90" s="159">
        <f>920000-BF89</f>
        <v>181321</v>
      </c>
      <c r="BG90" s="160">
        <f>0.040502-0.02776</f>
        <v>1.2742000000000003E-2</v>
      </c>
      <c r="BH90" s="150">
        <f>BF90*BG90</f>
        <v>2310.3921820000005</v>
      </c>
      <c r="BI90" s="2"/>
      <c r="BJ90" s="157" t="s">
        <v>996</v>
      </c>
      <c r="BK90" s="148">
        <f t="shared" si="180"/>
        <v>942037</v>
      </c>
      <c r="BL90" s="216">
        <f t="shared" si="181"/>
        <v>12003.435454000002</v>
      </c>
    </row>
    <row r="91" spans="1:64" customFormat="1" x14ac:dyDescent="0.25">
      <c r="A91" s="2"/>
      <c r="B91" s="157" t="s">
        <v>984</v>
      </c>
      <c r="C91" s="159"/>
      <c r="D91" s="160"/>
      <c r="E91" s="150">
        <v>-3934</v>
      </c>
      <c r="F91" s="2"/>
      <c r="G91" s="157" t="s">
        <v>984</v>
      </c>
      <c r="H91" s="159"/>
      <c r="I91" s="160"/>
      <c r="J91" s="150">
        <v>-4700</v>
      </c>
      <c r="K91" s="2"/>
      <c r="L91" s="157" t="s">
        <v>984</v>
      </c>
      <c r="M91" s="159"/>
      <c r="N91" s="160"/>
      <c r="O91" s="150">
        <v>-5844</v>
      </c>
      <c r="P91" s="2"/>
      <c r="Q91" s="157" t="s">
        <v>984</v>
      </c>
      <c r="R91" s="159"/>
      <c r="S91" s="160"/>
      <c r="T91" s="150">
        <v>-1460</v>
      </c>
      <c r="U91" s="2"/>
      <c r="V91" s="157" t="s">
        <v>984</v>
      </c>
      <c r="W91" s="159"/>
      <c r="X91" s="160"/>
      <c r="Y91" s="150">
        <v>-3784</v>
      </c>
      <c r="Z91" s="2"/>
      <c r="AA91" s="157" t="s">
        <v>984</v>
      </c>
      <c r="AB91" s="159"/>
      <c r="AC91" s="160"/>
      <c r="AD91" s="150">
        <v>-3611</v>
      </c>
      <c r="AE91" s="2"/>
      <c r="AF91" s="157" t="s">
        <v>984</v>
      </c>
      <c r="AG91" s="159"/>
      <c r="AH91" s="160"/>
      <c r="AI91" s="150">
        <v>-5612</v>
      </c>
      <c r="AJ91" s="2"/>
      <c r="AK91" s="157" t="s">
        <v>984</v>
      </c>
      <c r="AL91" s="159"/>
      <c r="AM91" s="160"/>
      <c r="AN91" s="150">
        <v>-5939</v>
      </c>
      <c r="AO91" s="2"/>
      <c r="AP91" s="157" t="s">
        <v>984</v>
      </c>
      <c r="AQ91" s="159"/>
      <c r="AR91" s="160"/>
      <c r="AS91" s="150">
        <v>-6599</v>
      </c>
      <c r="AT91" s="2"/>
      <c r="AU91" s="157" t="s">
        <v>984</v>
      </c>
      <c r="AV91" s="159"/>
      <c r="AW91" s="160"/>
      <c r="AX91" s="150">
        <v>-5025</v>
      </c>
      <c r="AY91" s="2"/>
      <c r="AZ91" s="157" t="s">
        <v>984</v>
      </c>
      <c r="BA91" s="159"/>
      <c r="BB91" s="160"/>
      <c r="BC91" s="150">
        <v>-4989</v>
      </c>
      <c r="BD91" s="2"/>
      <c r="BE91" s="157" t="s">
        <v>984</v>
      </c>
      <c r="BF91" s="159"/>
      <c r="BG91" s="160"/>
      <c r="BH91" s="150">
        <v>-879</v>
      </c>
      <c r="BI91" s="2"/>
      <c r="BJ91" s="157" t="s">
        <v>984</v>
      </c>
      <c r="BK91" s="148"/>
      <c r="BL91" s="216">
        <f t="shared" si="181"/>
        <v>-52376</v>
      </c>
    </row>
    <row r="92" spans="1:64" customFormat="1" x14ac:dyDescent="0.25">
      <c r="A92" s="2"/>
      <c r="B92" s="206"/>
      <c r="C92" s="159"/>
      <c r="D92" s="160"/>
      <c r="E92" s="150"/>
      <c r="F92" s="2"/>
      <c r="G92" s="206"/>
      <c r="H92" s="159"/>
      <c r="I92" s="160"/>
      <c r="J92" s="150"/>
      <c r="K92" s="2"/>
      <c r="L92" s="206"/>
      <c r="M92" s="159"/>
      <c r="N92" s="160"/>
      <c r="O92" s="150"/>
      <c r="P92" s="2"/>
      <c r="Q92" s="206"/>
      <c r="R92" s="159"/>
      <c r="S92" s="160"/>
      <c r="T92" s="150"/>
      <c r="U92" s="2"/>
      <c r="V92" s="206"/>
      <c r="W92" s="159"/>
      <c r="X92" s="160"/>
      <c r="Y92" s="150"/>
      <c r="Z92" s="2"/>
      <c r="AA92" s="206"/>
      <c r="AB92" s="159"/>
      <c r="AC92" s="160"/>
      <c r="AD92" s="150"/>
      <c r="AE92" s="2"/>
      <c r="AF92" s="206"/>
      <c r="AG92" s="159"/>
      <c r="AH92" s="160"/>
      <c r="AI92" s="150"/>
      <c r="AJ92" s="2"/>
      <c r="AK92" s="206"/>
      <c r="AL92" s="159"/>
      <c r="AM92" s="160"/>
      <c r="AN92" s="150"/>
      <c r="AO92" s="2"/>
      <c r="AP92" s="206"/>
      <c r="AQ92" s="159"/>
      <c r="AR92" s="160"/>
      <c r="AS92" s="150"/>
      <c r="AT92" s="2"/>
      <c r="AU92" s="206"/>
      <c r="AV92" s="159"/>
      <c r="AW92" s="160"/>
      <c r="AX92" s="150"/>
      <c r="AY92" s="2"/>
      <c r="AZ92" s="206"/>
      <c r="BA92" s="159"/>
      <c r="BB92" s="160"/>
      <c r="BC92" s="150"/>
      <c r="BD92" s="2"/>
      <c r="BE92" s="206"/>
      <c r="BF92" s="159"/>
      <c r="BG92" s="160"/>
      <c r="BH92" s="150"/>
      <c r="BI92" s="2"/>
      <c r="BJ92" s="206"/>
      <c r="BK92" s="159"/>
      <c r="BL92" s="216"/>
    </row>
    <row r="93" spans="1:64" customFormat="1" x14ac:dyDescent="0.25">
      <c r="A93" s="8" t="s">
        <v>1041</v>
      </c>
      <c r="B93" s="206"/>
      <c r="C93" s="159"/>
      <c r="D93" s="160"/>
      <c r="E93" s="150"/>
      <c r="F93" s="8" t="s">
        <v>1041</v>
      </c>
      <c r="G93" s="206"/>
      <c r="H93" s="159"/>
      <c r="I93" s="160"/>
      <c r="J93" s="150"/>
      <c r="K93" s="8" t="s">
        <v>1041</v>
      </c>
      <c r="L93" s="206"/>
      <c r="M93" s="159"/>
      <c r="N93" s="160"/>
      <c r="O93" s="150"/>
      <c r="P93" s="8" t="s">
        <v>1041</v>
      </c>
      <c r="Q93" s="206"/>
      <c r="R93" s="159"/>
      <c r="S93" s="160"/>
      <c r="T93" s="150"/>
      <c r="U93" s="8" t="s">
        <v>1041</v>
      </c>
      <c r="V93" s="206"/>
      <c r="W93" s="159"/>
      <c r="X93" s="160"/>
      <c r="Y93" s="150"/>
      <c r="Z93" s="8" t="s">
        <v>1041</v>
      </c>
      <c r="AA93" s="206"/>
      <c r="AB93" s="159"/>
      <c r="AC93" s="160"/>
      <c r="AD93" s="150"/>
      <c r="AE93" s="8" t="s">
        <v>1041</v>
      </c>
      <c r="AF93" s="206"/>
      <c r="AG93" s="159"/>
      <c r="AH93" s="160"/>
      <c r="AI93" s="150"/>
      <c r="AJ93" s="8" t="s">
        <v>1041</v>
      </c>
      <c r="AK93" s="206"/>
      <c r="AL93" s="159"/>
      <c r="AM93" s="160"/>
      <c r="AN93" s="150"/>
      <c r="AO93" s="8" t="s">
        <v>1041</v>
      </c>
      <c r="AP93" s="206"/>
      <c r="AQ93" s="159"/>
      <c r="AR93" s="160"/>
      <c r="AS93" s="150"/>
      <c r="AT93" s="8" t="s">
        <v>1041</v>
      </c>
      <c r="AU93" s="206"/>
      <c r="AV93" s="159"/>
      <c r="AW93" s="160"/>
      <c r="AX93" s="150"/>
      <c r="AY93" s="8" t="s">
        <v>1041</v>
      </c>
      <c r="AZ93" s="206"/>
      <c r="BA93" s="159"/>
      <c r="BB93" s="160"/>
      <c r="BC93" s="150"/>
      <c r="BD93" s="8" t="s">
        <v>1041</v>
      </c>
      <c r="BE93" s="206"/>
      <c r="BF93" s="159"/>
      <c r="BG93" s="160"/>
      <c r="BH93" s="150"/>
      <c r="BI93" s="8" t="s">
        <v>1041</v>
      </c>
      <c r="BJ93" s="206"/>
      <c r="BK93" s="159"/>
      <c r="BL93" s="216"/>
    </row>
    <row r="94" spans="1:64" customFormat="1" x14ac:dyDescent="0.25">
      <c r="A94" s="2"/>
      <c r="B94" s="157" t="s">
        <v>12</v>
      </c>
      <c r="C94" s="159">
        <v>6183</v>
      </c>
      <c r="D94" s="158">
        <v>7.17</v>
      </c>
      <c r="E94" s="150">
        <f>C94*D94</f>
        <v>44332.11</v>
      </c>
      <c r="F94" s="2"/>
      <c r="G94" s="157" t="s">
        <v>12</v>
      </c>
      <c r="H94" s="159">
        <v>6183</v>
      </c>
      <c r="I94" s="158">
        <v>7.17</v>
      </c>
      <c r="J94" s="150">
        <f>H94*I94</f>
        <v>44332.11</v>
      </c>
      <c r="K94" s="2"/>
      <c r="L94" s="157" t="s">
        <v>12</v>
      </c>
      <c r="M94" s="159">
        <v>6183</v>
      </c>
      <c r="N94" s="158">
        <v>7.17</v>
      </c>
      <c r="O94" s="150">
        <f>M94*N94</f>
        <v>44332.11</v>
      </c>
      <c r="P94" s="2"/>
      <c r="Q94" s="157" t="s">
        <v>12</v>
      </c>
      <c r="R94" s="159">
        <v>6460</v>
      </c>
      <c r="S94" s="158">
        <v>7.17</v>
      </c>
      <c r="T94" s="150">
        <f>R94*S94</f>
        <v>46318.2</v>
      </c>
      <c r="U94" s="2"/>
      <c r="V94" s="157" t="s">
        <v>12</v>
      </c>
      <c r="W94" s="159">
        <v>6460</v>
      </c>
      <c r="X94" s="158">
        <v>7.17</v>
      </c>
      <c r="Y94" s="150">
        <f>W94*X94</f>
        <v>46318.2</v>
      </c>
      <c r="Z94" s="2"/>
      <c r="AA94" s="157" t="s">
        <v>12</v>
      </c>
      <c r="AB94" s="159">
        <v>6460</v>
      </c>
      <c r="AC94" s="158">
        <v>7.17</v>
      </c>
      <c r="AD94" s="150">
        <f>AB94*AC94</f>
        <v>46318.2</v>
      </c>
      <c r="AE94" s="2"/>
      <c r="AF94" s="157" t="s">
        <v>12</v>
      </c>
      <c r="AG94" s="159">
        <v>5897</v>
      </c>
      <c r="AH94" s="158">
        <v>7.17</v>
      </c>
      <c r="AI94" s="150">
        <f>AG94*AH94</f>
        <v>42281.49</v>
      </c>
      <c r="AJ94" s="2"/>
      <c r="AK94" s="157" t="s">
        <v>12</v>
      </c>
      <c r="AL94" s="159">
        <v>5897</v>
      </c>
      <c r="AM94" s="158">
        <v>7.17</v>
      </c>
      <c r="AN94" s="150">
        <f>AL94*AM94</f>
        <v>42281.49</v>
      </c>
      <c r="AO94" s="2"/>
      <c r="AP94" s="157" t="s">
        <v>12</v>
      </c>
      <c r="AQ94" s="159">
        <v>6183</v>
      </c>
      <c r="AR94" s="158">
        <v>7.17</v>
      </c>
      <c r="AS94" s="150">
        <f>AQ94*AR94</f>
        <v>44332.11</v>
      </c>
      <c r="AT94" s="2"/>
      <c r="AU94" s="157" t="s">
        <v>12</v>
      </c>
      <c r="AV94" s="159">
        <v>6183</v>
      </c>
      <c r="AW94" s="158">
        <v>7.17</v>
      </c>
      <c r="AX94" s="150">
        <f>AV94*AW94</f>
        <v>44332.11</v>
      </c>
      <c r="AY94" s="2"/>
      <c r="AZ94" s="157" t="s">
        <v>12</v>
      </c>
      <c r="BA94" s="159">
        <v>6183</v>
      </c>
      <c r="BB94" s="158">
        <v>7.17</v>
      </c>
      <c r="BC94" s="150">
        <f>BA94*BB94</f>
        <v>44332.11</v>
      </c>
      <c r="BD94" s="2"/>
      <c r="BE94" s="157" t="s">
        <v>12</v>
      </c>
      <c r="BF94" s="159">
        <v>6183</v>
      </c>
      <c r="BG94" s="158">
        <v>7.17</v>
      </c>
      <c r="BH94" s="150">
        <f>BF94*BG94</f>
        <v>44332.11</v>
      </c>
      <c r="BI94" s="2"/>
      <c r="BJ94" s="157" t="s">
        <v>12</v>
      </c>
      <c r="BK94" s="148">
        <f t="shared" ref="BK94" si="182">C94+H94+M94+R94+W94+AB94+AG94+AL94+AQ94+AV94+BA94+BF94</f>
        <v>74455</v>
      </c>
      <c r="BL94" s="216">
        <f t="shared" ref="BL94" si="183">E94+J94+O94+T94+Y94+AD94+AI94+AN94+AS94+AX94+BC94+BH94</f>
        <v>533842.35</v>
      </c>
    </row>
    <row r="95" spans="1:64" customFormat="1" x14ac:dyDescent="0.25">
      <c r="A95" s="2"/>
      <c r="B95" s="157" t="s">
        <v>995</v>
      </c>
      <c r="C95" s="159">
        <v>3399302</v>
      </c>
      <c r="D95" s="160">
        <v>4.0502000000000003E-2</v>
      </c>
      <c r="E95" s="150">
        <f>C95*D95</f>
        <v>137678.52960400001</v>
      </c>
      <c r="F95" s="2"/>
      <c r="G95" s="157" t="s">
        <v>995</v>
      </c>
      <c r="H95" s="159">
        <v>3265140</v>
      </c>
      <c r="I95" s="160">
        <v>3.8982000000000003E-2</v>
      </c>
      <c r="J95" s="150">
        <f>H95*I95</f>
        <v>127281.68748000001</v>
      </c>
      <c r="K95" s="2"/>
      <c r="L95" s="157" t="s">
        <v>995</v>
      </c>
      <c r="M95" s="159">
        <v>3586981</v>
      </c>
      <c r="N95" s="160">
        <v>3.8982000000000003E-2</v>
      </c>
      <c r="O95" s="150">
        <f>M95*N95</f>
        <v>139827.69334200001</v>
      </c>
      <c r="P95" s="2"/>
      <c r="Q95" s="157" t="s">
        <v>995</v>
      </c>
      <c r="R95" s="159">
        <v>3527121</v>
      </c>
      <c r="S95" s="160">
        <v>4.0502000000000003E-2</v>
      </c>
      <c r="T95" s="150">
        <f>R95*S95</f>
        <v>142855.454742</v>
      </c>
      <c r="U95" s="2"/>
      <c r="V95" s="157" t="s">
        <v>995</v>
      </c>
      <c r="W95" s="159">
        <v>3910860</v>
      </c>
      <c r="X95" s="160">
        <v>4.0502000000000003E-2</v>
      </c>
      <c r="Y95" s="150">
        <f>W95*X95</f>
        <v>158397.65172000002</v>
      </c>
      <c r="Z95" s="2"/>
      <c r="AA95" s="157" t="s">
        <v>995</v>
      </c>
      <c r="AB95" s="159">
        <v>3871695</v>
      </c>
      <c r="AC95" s="160">
        <v>4.0502000000000003E-2</v>
      </c>
      <c r="AD95" s="150">
        <f>AB95*AC95</f>
        <v>156811.39089000001</v>
      </c>
      <c r="AE95" s="2"/>
      <c r="AF95" s="157" t="s">
        <v>995</v>
      </c>
      <c r="AG95" s="159">
        <v>4283582</v>
      </c>
      <c r="AH95" s="160">
        <v>4.0502000000000003E-2</v>
      </c>
      <c r="AI95" s="150">
        <f>AG95*AH95</f>
        <v>173493.638164</v>
      </c>
      <c r="AJ95" s="2"/>
      <c r="AK95" s="157" t="s">
        <v>995</v>
      </c>
      <c r="AL95" s="159">
        <v>4198707</v>
      </c>
      <c r="AM95" s="160">
        <v>4.0502000000000003E-2</v>
      </c>
      <c r="AN95" s="150">
        <f>AL95*AM95</f>
        <v>170056.030914</v>
      </c>
      <c r="AO95" s="2"/>
      <c r="AP95" s="157" t="s">
        <v>995</v>
      </c>
      <c r="AQ95" s="159">
        <v>3942676</v>
      </c>
      <c r="AR95" s="160">
        <v>4.0502000000000003E-2</v>
      </c>
      <c r="AS95" s="150">
        <f>AQ95*AR95</f>
        <v>159686.26335200001</v>
      </c>
      <c r="AT95" s="2"/>
      <c r="AU95" s="157" t="s">
        <v>995</v>
      </c>
      <c r="AV95" s="159">
        <v>3899594</v>
      </c>
      <c r="AW95" s="160">
        <v>4.0502000000000003E-2</v>
      </c>
      <c r="AX95" s="150">
        <f>AV95*AW95</f>
        <v>157941.35618800001</v>
      </c>
      <c r="AY95" s="2"/>
      <c r="AZ95" s="157" t="s">
        <v>995</v>
      </c>
      <c r="BA95" s="159">
        <v>3387446</v>
      </c>
      <c r="BB95" s="160">
        <v>4.0502000000000003E-2</v>
      </c>
      <c r="BC95" s="150">
        <f>BA95*BB95</f>
        <v>137198.33789200001</v>
      </c>
      <c r="BD95" s="2"/>
      <c r="BE95" s="157" t="s">
        <v>995</v>
      </c>
      <c r="BF95" s="159">
        <v>3497554</v>
      </c>
      <c r="BG95" s="160">
        <v>4.0502000000000003E-2</v>
      </c>
      <c r="BH95" s="150">
        <f>BF95*BG95</f>
        <v>141657.93210800001</v>
      </c>
      <c r="BI95" s="2"/>
      <c r="BJ95" s="157" t="s">
        <v>995</v>
      </c>
      <c r="BK95" s="148">
        <f t="shared" ref="BK95:BK96" si="184">C95+H95+M95+R95+W95+AB95+AG95+AL95+AQ95+AV95+BA95+BF95</f>
        <v>44770658</v>
      </c>
      <c r="BL95" s="216">
        <f t="shared" ref="BL95:BL97" si="185">E95+J95+O95+T95+Y95+AD95+AI95+AN95+AS95+AX95+BC95+BH95</f>
        <v>1802885.966396</v>
      </c>
    </row>
    <row r="96" spans="1:64" customFormat="1" x14ac:dyDescent="0.25">
      <c r="A96" s="2"/>
      <c r="B96" s="157" t="s">
        <v>996</v>
      </c>
      <c r="C96" s="159">
        <f>3399302-C95</f>
        <v>0</v>
      </c>
      <c r="D96" s="160">
        <f>0.040502-0.02776</f>
        <v>1.2742000000000003E-2</v>
      </c>
      <c r="E96" s="150">
        <f>C96*D96</f>
        <v>0</v>
      </c>
      <c r="F96" s="2"/>
      <c r="G96" s="157" t="s">
        <v>996</v>
      </c>
      <c r="H96" s="159">
        <f>3265140-H95</f>
        <v>0</v>
      </c>
      <c r="I96" s="160">
        <f>I95-0.02624</f>
        <v>1.2742000000000003E-2</v>
      </c>
      <c r="J96" s="150">
        <f>H96*I96</f>
        <v>0</v>
      </c>
      <c r="K96" s="2"/>
      <c r="L96" s="157" t="s">
        <v>996</v>
      </c>
      <c r="M96" s="159">
        <f>3586981-M95</f>
        <v>0</v>
      </c>
      <c r="N96" s="160">
        <f>N95-0.02624</f>
        <v>1.2742000000000003E-2</v>
      </c>
      <c r="O96" s="150">
        <f>M96*N96</f>
        <v>0</v>
      </c>
      <c r="P96" s="2"/>
      <c r="Q96" s="157" t="s">
        <v>996</v>
      </c>
      <c r="R96" s="159">
        <f>3527121-R95</f>
        <v>0</v>
      </c>
      <c r="S96" s="160">
        <f>0.040502-0.02776</f>
        <v>1.2742000000000003E-2</v>
      </c>
      <c r="T96" s="150">
        <f>R96*S96</f>
        <v>0</v>
      </c>
      <c r="U96" s="2"/>
      <c r="V96" s="157" t="s">
        <v>996</v>
      </c>
      <c r="W96" s="159">
        <f>3910860-W95</f>
        <v>0</v>
      </c>
      <c r="X96" s="160">
        <f>0.040502-0.02776</f>
        <v>1.2742000000000003E-2</v>
      </c>
      <c r="Y96" s="150">
        <f>W96*X96</f>
        <v>0</v>
      </c>
      <c r="Z96" s="2"/>
      <c r="AA96" s="157" t="s">
        <v>996</v>
      </c>
      <c r="AB96" s="159">
        <f>3871695-AB95</f>
        <v>0</v>
      </c>
      <c r="AC96" s="160">
        <f>0.040502-0.02776</f>
        <v>1.2742000000000003E-2</v>
      </c>
      <c r="AD96" s="150">
        <f>AB96*AC96</f>
        <v>0</v>
      </c>
      <c r="AE96" s="2"/>
      <c r="AF96" s="157" t="s">
        <v>996</v>
      </c>
      <c r="AG96" s="159">
        <f>4283582-AG95</f>
        <v>0</v>
      </c>
      <c r="AH96" s="160">
        <f>0.040502-0.02776</f>
        <v>1.2742000000000003E-2</v>
      </c>
      <c r="AI96" s="150">
        <f>AG96*AH96</f>
        <v>0</v>
      </c>
      <c r="AJ96" s="2"/>
      <c r="AK96" s="157" t="s">
        <v>996</v>
      </c>
      <c r="AL96" s="159">
        <f>4198707-AL95</f>
        <v>0</v>
      </c>
      <c r="AM96" s="160">
        <f>0.040502-0.02776</f>
        <v>1.2742000000000003E-2</v>
      </c>
      <c r="AN96" s="150">
        <f>AL96*AM96</f>
        <v>0</v>
      </c>
      <c r="AO96" s="2"/>
      <c r="AP96" s="157" t="s">
        <v>996</v>
      </c>
      <c r="AQ96" s="159">
        <f>3942676-AQ95</f>
        <v>0</v>
      </c>
      <c r="AR96" s="160">
        <f>0.040502-0.02776</f>
        <v>1.2742000000000003E-2</v>
      </c>
      <c r="AS96" s="150">
        <f>AQ96*AR96</f>
        <v>0</v>
      </c>
      <c r="AT96" s="2"/>
      <c r="AU96" s="157" t="s">
        <v>996</v>
      </c>
      <c r="AV96" s="159">
        <f>3899594-AV95</f>
        <v>0</v>
      </c>
      <c r="AW96" s="160">
        <f>0.040502-0.02776</f>
        <v>1.2742000000000003E-2</v>
      </c>
      <c r="AX96" s="150">
        <f>AV96*AW96</f>
        <v>0</v>
      </c>
      <c r="AY96" s="2"/>
      <c r="AZ96" s="157" t="s">
        <v>996</v>
      </c>
      <c r="BA96" s="159">
        <f>3387446-BA95</f>
        <v>0</v>
      </c>
      <c r="BB96" s="160">
        <f>0.040502-0.02776</f>
        <v>1.2742000000000003E-2</v>
      </c>
      <c r="BC96" s="150">
        <f>BA96*BB96</f>
        <v>0</v>
      </c>
      <c r="BD96" s="2"/>
      <c r="BE96" s="157" t="s">
        <v>996</v>
      </c>
      <c r="BF96" s="159">
        <f>3497554-BF95</f>
        <v>0</v>
      </c>
      <c r="BG96" s="160">
        <f>0.040502-0.02776</f>
        <v>1.2742000000000003E-2</v>
      </c>
      <c r="BH96" s="150">
        <f>BF96*BG96</f>
        <v>0</v>
      </c>
      <c r="BI96" s="2"/>
      <c r="BJ96" s="157" t="s">
        <v>996</v>
      </c>
      <c r="BK96" s="148">
        <f t="shared" si="184"/>
        <v>0</v>
      </c>
      <c r="BL96" s="216">
        <f t="shared" si="185"/>
        <v>0</v>
      </c>
    </row>
    <row r="97" spans="1:67" customFormat="1" x14ac:dyDescent="0.25">
      <c r="A97" s="2"/>
      <c r="B97" s="157" t="s">
        <v>984</v>
      </c>
      <c r="C97" s="159"/>
      <c r="D97" s="160"/>
      <c r="E97" s="150">
        <v>-17370</v>
      </c>
      <c r="F97" s="2"/>
      <c r="G97" s="157" t="s">
        <v>984</v>
      </c>
      <c r="H97" s="159"/>
      <c r="I97" s="160"/>
      <c r="J97" s="150">
        <v>-21354</v>
      </c>
      <c r="K97" s="2"/>
      <c r="L97" s="157" t="s">
        <v>984</v>
      </c>
      <c r="M97" s="159"/>
      <c r="N97" s="160"/>
      <c r="O97" s="150">
        <v>-28014</v>
      </c>
      <c r="P97" s="2"/>
      <c r="Q97" s="157" t="s">
        <v>984</v>
      </c>
      <c r="R97" s="159"/>
      <c r="S97" s="160"/>
      <c r="T97" s="150">
        <v>-5890</v>
      </c>
      <c r="U97" s="2"/>
      <c r="V97" s="157" t="s">
        <v>984</v>
      </c>
      <c r="W97" s="159"/>
      <c r="X97" s="160"/>
      <c r="Y97" s="150">
        <v>-14705</v>
      </c>
      <c r="Z97" s="2"/>
      <c r="AA97" s="157" t="s">
        <v>984</v>
      </c>
      <c r="AB97" s="159"/>
      <c r="AC97" s="160"/>
      <c r="AD97" s="150">
        <v>-13512</v>
      </c>
      <c r="AE97" s="2"/>
      <c r="AF97" s="157" t="s">
        <v>984</v>
      </c>
      <c r="AG97" s="159"/>
      <c r="AH97" s="160"/>
      <c r="AI97" s="150">
        <v>-20690</v>
      </c>
      <c r="AJ97" s="2"/>
      <c r="AK97" s="157" t="s">
        <v>984</v>
      </c>
      <c r="AL97" s="159"/>
      <c r="AM97" s="160"/>
      <c r="AN97" s="150">
        <v>-21959</v>
      </c>
      <c r="AO97" s="2"/>
      <c r="AP97" s="157" t="s">
        <v>984</v>
      </c>
      <c r="AQ97" s="159"/>
      <c r="AR97" s="160"/>
      <c r="AS97" s="150">
        <v>-24129</v>
      </c>
      <c r="AT97" s="2"/>
      <c r="AU97" s="157" t="s">
        <v>984</v>
      </c>
      <c r="AV97" s="159"/>
      <c r="AW97" s="160"/>
      <c r="AX97" s="150">
        <v>-21994</v>
      </c>
      <c r="AY97" s="2"/>
      <c r="AZ97" s="157" t="s">
        <v>984</v>
      </c>
      <c r="BA97" s="159"/>
      <c r="BB97" s="160"/>
      <c r="BC97" s="150">
        <v>-22323</v>
      </c>
      <c r="BD97" s="2"/>
      <c r="BE97" s="157" t="s">
        <v>984</v>
      </c>
      <c r="BF97" s="159"/>
      <c r="BG97" s="160"/>
      <c r="BH97" s="150">
        <v>-4162</v>
      </c>
      <c r="BI97" s="2"/>
      <c r="BJ97" s="157" t="s">
        <v>984</v>
      </c>
      <c r="BK97" s="148"/>
      <c r="BL97" s="216">
        <f t="shared" si="185"/>
        <v>-216102</v>
      </c>
    </row>
    <row r="98" spans="1:67" customFormat="1" x14ac:dyDescent="0.25">
      <c r="A98" s="2"/>
      <c r="B98" s="157"/>
      <c r="C98" s="159"/>
      <c r="D98" s="160"/>
      <c r="E98" s="150"/>
      <c r="F98" s="2"/>
      <c r="G98" s="157"/>
      <c r="H98" s="159"/>
      <c r="I98" s="160"/>
      <c r="J98" s="150"/>
      <c r="K98" s="2"/>
      <c r="L98" s="157"/>
      <c r="M98" s="159"/>
      <c r="N98" s="160"/>
      <c r="O98" s="150"/>
      <c r="P98" s="2"/>
      <c r="Q98" s="157"/>
      <c r="R98" s="159"/>
      <c r="S98" s="160"/>
      <c r="T98" s="150"/>
      <c r="U98" s="2"/>
      <c r="V98" s="157"/>
      <c r="W98" s="159"/>
      <c r="X98" s="160"/>
      <c r="Y98" s="150"/>
      <c r="Z98" s="2"/>
      <c r="AA98" s="157"/>
      <c r="AB98" s="159"/>
      <c r="AC98" s="160"/>
      <c r="AD98" s="150"/>
      <c r="AE98" s="2"/>
      <c r="AF98" s="157"/>
      <c r="AG98" s="159"/>
      <c r="AH98" s="160"/>
      <c r="AI98" s="150"/>
      <c r="AJ98" s="2"/>
      <c r="AK98" s="157"/>
      <c r="AL98" s="159"/>
      <c r="AM98" s="160"/>
      <c r="AN98" s="150"/>
      <c r="AO98" s="2"/>
      <c r="AP98" s="157"/>
      <c r="AQ98" s="159"/>
      <c r="AR98" s="160"/>
      <c r="AS98" s="150"/>
      <c r="AT98" s="2"/>
      <c r="AU98" s="157"/>
      <c r="AV98" s="159"/>
      <c r="AW98" s="160"/>
      <c r="AX98" s="150"/>
      <c r="AY98" s="2"/>
      <c r="AZ98" s="157"/>
      <c r="BA98" s="159"/>
      <c r="BB98" s="160"/>
      <c r="BC98" s="150"/>
      <c r="BD98" s="2"/>
      <c r="BE98" s="157"/>
      <c r="BF98" s="159"/>
      <c r="BG98" s="160"/>
      <c r="BH98" s="150"/>
      <c r="BI98" s="2"/>
      <c r="BJ98" s="157"/>
      <c r="BK98" s="148"/>
      <c r="BL98" s="216"/>
    </row>
    <row r="99" spans="1:67" customFormat="1" x14ac:dyDescent="0.25">
      <c r="A99" s="8" t="s">
        <v>1042</v>
      </c>
      <c r="B99" s="206"/>
      <c r="C99" s="159"/>
      <c r="D99" s="160"/>
      <c r="E99" s="150"/>
      <c r="G99" s="206"/>
      <c r="H99" s="159"/>
      <c r="I99" s="160"/>
      <c r="J99" s="150"/>
      <c r="L99" s="206"/>
      <c r="M99" s="159"/>
      <c r="N99" s="160"/>
      <c r="O99" s="150"/>
      <c r="Q99" s="206"/>
      <c r="R99" s="159"/>
      <c r="S99" s="160"/>
      <c r="T99" s="150"/>
      <c r="V99" s="206"/>
      <c r="W99" s="159"/>
      <c r="X99" s="160"/>
      <c r="Y99" s="150"/>
      <c r="AA99" s="206"/>
      <c r="AB99" s="159"/>
      <c r="AC99" s="160"/>
      <c r="AD99" s="150"/>
      <c r="AF99" s="206"/>
      <c r="AG99" s="159"/>
      <c r="AH99" s="160"/>
      <c r="AI99" s="150"/>
      <c r="AK99" s="206"/>
      <c r="AL99" s="159"/>
      <c r="AM99" s="160"/>
      <c r="AN99" s="150"/>
      <c r="AP99" s="206"/>
      <c r="AQ99" s="159"/>
      <c r="AR99" s="160"/>
      <c r="AS99" s="150"/>
      <c r="AU99" s="206"/>
      <c r="AV99" s="159"/>
      <c r="AW99" s="160"/>
      <c r="AX99" s="150"/>
      <c r="AZ99" s="206"/>
      <c r="BA99" s="159"/>
      <c r="BB99" s="160"/>
      <c r="BC99" s="150"/>
      <c r="BE99" s="206"/>
      <c r="BF99" s="159"/>
      <c r="BG99" s="160"/>
      <c r="BH99" s="150"/>
      <c r="BJ99" s="206"/>
      <c r="BK99" s="159"/>
      <c r="BL99" s="216"/>
    </row>
    <row r="100" spans="1:67" customFormat="1" x14ac:dyDescent="0.25">
      <c r="A100" s="165"/>
      <c r="B100" s="157" t="s">
        <v>12</v>
      </c>
      <c r="C100" s="159">
        <f>C82+C88+C94</f>
        <v>16556</v>
      </c>
      <c r="D100" s="158"/>
      <c r="E100" s="150">
        <f>E82+E88+E94</f>
        <v>118706.52</v>
      </c>
      <c r="G100" s="157" t="s">
        <v>12</v>
      </c>
      <c r="H100" s="159">
        <f>H82+H88+H94</f>
        <v>16556</v>
      </c>
      <c r="I100" s="158"/>
      <c r="J100" s="150">
        <f>J82+J88+J94</f>
        <v>118706.52</v>
      </c>
      <c r="L100" s="157" t="s">
        <v>12</v>
      </c>
      <c r="M100" s="159">
        <f>M82+M88+M94</f>
        <v>16556</v>
      </c>
      <c r="N100" s="158"/>
      <c r="O100" s="150">
        <f>O82+O88+O94</f>
        <v>118706.52</v>
      </c>
      <c r="Q100" s="157" t="s">
        <v>12</v>
      </c>
      <c r="R100" s="159">
        <f>R82+R88+R94</f>
        <v>16666</v>
      </c>
      <c r="S100" s="158"/>
      <c r="T100" s="150">
        <f>T82+T88+T94</f>
        <v>119495.21999999999</v>
      </c>
      <c r="V100" s="157" t="s">
        <v>12</v>
      </c>
      <c r="W100" s="159">
        <f>W82+W88+W94</f>
        <v>16666</v>
      </c>
      <c r="X100" s="158"/>
      <c r="Y100" s="150">
        <f>Y82+Y88+Y94</f>
        <v>119495.21999999999</v>
      </c>
      <c r="AA100" s="157" t="s">
        <v>12</v>
      </c>
      <c r="AB100" s="159">
        <f>AB82+AB88+AB94</f>
        <v>16666</v>
      </c>
      <c r="AC100" s="158"/>
      <c r="AD100" s="150">
        <f>AD82+AD88+AD94</f>
        <v>119495.21999999999</v>
      </c>
      <c r="AF100" s="157" t="s">
        <v>12</v>
      </c>
      <c r="AG100" s="159">
        <f>AG82+AG88+AG94</f>
        <v>16103</v>
      </c>
      <c r="AH100" s="158"/>
      <c r="AI100" s="150">
        <f>AI82+AI88+AI94</f>
        <v>115458.50999999998</v>
      </c>
      <c r="AK100" s="157" t="s">
        <v>12</v>
      </c>
      <c r="AL100" s="159">
        <f>AL82+AL88+AL94</f>
        <v>16117</v>
      </c>
      <c r="AM100" s="158"/>
      <c r="AN100" s="150">
        <f>AN82+AN88+AN94</f>
        <v>115558.88999999998</v>
      </c>
      <c r="AP100" s="157" t="s">
        <v>12</v>
      </c>
      <c r="AQ100" s="159">
        <f>AQ82+AQ88+AQ94</f>
        <v>16556</v>
      </c>
      <c r="AR100" s="158"/>
      <c r="AS100" s="150">
        <f>AS82+AS88+AS94</f>
        <v>118706.52</v>
      </c>
      <c r="AU100" s="157" t="s">
        <v>12</v>
      </c>
      <c r="AV100" s="159">
        <f>AV82+AV88+AV94</f>
        <v>16556</v>
      </c>
      <c r="AW100" s="158"/>
      <c r="AX100" s="150">
        <f>AX82+AX88+AX94</f>
        <v>118706.52</v>
      </c>
      <c r="AZ100" s="157" t="s">
        <v>12</v>
      </c>
      <c r="BA100" s="159">
        <f>BA82+BA88+BA94</f>
        <v>16556</v>
      </c>
      <c r="BB100" s="158"/>
      <c r="BC100" s="150">
        <f>BC82+BC88+BC94</f>
        <v>118706.52</v>
      </c>
      <c r="BE100" s="157" t="s">
        <v>12</v>
      </c>
      <c r="BF100" s="159">
        <f>BF82+BF88+BF94</f>
        <v>16556</v>
      </c>
      <c r="BG100" s="158"/>
      <c r="BH100" s="150">
        <f>BH82+BH88+BH94</f>
        <v>118706.52</v>
      </c>
      <c r="BJ100" s="157" t="s">
        <v>12</v>
      </c>
      <c r="BK100" s="148">
        <f t="shared" si="12"/>
        <v>198110</v>
      </c>
      <c r="BL100" s="216">
        <f t="shared" si="13"/>
        <v>1420448.7</v>
      </c>
    </row>
    <row r="101" spans="1:67" customFormat="1" x14ac:dyDescent="0.25">
      <c r="A101" s="165"/>
      <c r="B101" s="157" t="s">
        <v>995</v>
      </c>
      <c r="C101" s="159">
        <f>C83+C89+C95</f>
        <v>7112228</v>
      </c>
      <c r="D101" s="160"/>
      <c r="E101" s="150">
        <f>E83+E89+E95</f>
        <v>288059.45845600002</v>
      </c>
      <c r="G101" s="157" t="s">
        <v>995</v>
      </c>
      <c r="H101" s="159">
        <f>H83+H89+H95</f>
        <v>6846718</v>
      </c>
      <c r="I101" s="160"/>
      <c r="J101" s="150">
        <f>J83+J89+J95</f>
        <v>266898.761076</v>
      </c>
      <c r="L101" s="157" t="s">
        <v>995</v>
      </c>
      <c r="M101" s="159">
        <f>M83+M89+M95</f>
        <v>6720360</v>
      </c>
      <c r="N101" s="160"/>
      <c r="O101" s="150">
        <f>O83+O89+O95</f>
        <v>261973.07352000003</v>
      </c>
      <c r="Q101" s="157" t="s">
        <v>995</v>
      </c>
      <c r="R101" s="159">
        <f>R83+R89+R95</f>
        <v>7741500</v>
      </c>
      <c r="S101" s="160"/>
      <c r="T101" s="150">
        <f>T83+T89+T95</f>
        <v>313546.23300000001</v>
      </c>
      <c r="V101" s="157" t="s">
        <v>995</v>
      </c>
      <c r="W101" s="159">
        <f>W83+W89+W95</f>
        <v>8710271</v>
      </c>
      <c r="X101" s="160"/>
      <c r="Y101" s="150">
        <f>Y83+Y89+Y95</f>
        <v>352783.39604200004</v>
      </c>
      <c r="AA101" s="157" t="s">
        <v>995</v>
      </c>
      <c r="AB101" s="159">
        <f>AB83+AB89+AB95</f>
        <v>8771491</v>
      </c>
      <c r="AC101" s="160"/>
      <c r="AD101" s="150">
        <f>AD83+AD89+AD95</f>
        <v>355262.92848200002</v>
      </c>
      <c r="AF101" s="157" t="s">
        <v>995</v>
      </c>
      <c r="AG101" s="159">
        <f>AG83+AG89+AG95</f>
        <v>8927124</v>
      </c>
      <c r="AH101" s="160"/>
      <c r="AI101" s="150">
        <f>AI83+AI89+AI95</f>
        <v>361566.37624800002</v>
      </c>
      <c r="AK101" s="157" t="s">
        <v>995</v>
      </c>
      <c r="AL101" s="159">
        <f>AL83+AL89+AL95</f>
        <v>9280889</v>
      </c>
      <c r="AM101" s="160"/>
      <c r="AN101" s="150">
        <f>AN83+AN89+AN95</f>
        <v>375894.56627800001</v>
      </c>
      <c r="AP101" s="157" t="s">
        <v>995</v>
      </c>
      <c r="AQ101" s="159">
        <f>AQ83+AQ89+AQ95</f>
        <v>8583859</v>
      </c>
      <c r="AR101" s="160"/>
      <c r="AS101" s="150">
        <f>AS83+AS89+AS95</f>
        <v>347663.45721799997</v>
      </c>
      <c r="AU101" s="157" t="s">
        <v>995</v>
      </c>
      <c r="AV101" s="159">
        <f>AV83+AV89+AV95</f>
        <v>8285327</v>
      </c>
      <c r="AW101" s="160"/>
      <c r="AX101" s="150">
        <f>AX83+AX89+AX95</f>
        <v>335572.31415400002</v>
      </c>
      <c r="AZ101" s="157" t="s">
        <v>995</v>
      </c>
      <c r="BA101" s="159">
        <f>BA83+BA89+BA95</f>
        <v>7057589</v>
      </c>
      <c r="BB101" s="160"/>
      <c r="BC101" s="150">
        <f>BC83+BC89+BC95</f>
        <v>285846.46967800002</v>
      </c>
      <c r="BE101" s="157" t="s">
        <v>995</v>
      </c>
      <c r="BF101" s="159">
        <f>BF83+BF89+BF95</f>
        <v>6653383</v>
      </c>
      <c r="BG101" s="160"/>
      <c r="BH101" s="150">
        <f>BH83+BH89+BH95</f>
        <v>269475.31826600002</v>
      </c>
      <c r="BJ101" s="157" t="s">
        <v>995</v>
      </c>
      <c r="BK101" s="148">
        <f t="shared" si="12"/>
        <v>94690739</v>
      </c>
      <c r="BL101" s="216">
        <f t="shared" si="13"/>
        <v>3814542.3524179999</v>
      </c>
    </row>
    <row r="102" spans="1:67" customFormat="1" x14ac:dyDescent="0.25">
      <c r="A102" s="165"/>
      <c r="B102" s="157" t="s">
        <v>996</v>
      </c>
      <c r="C102" s="159">
        <f>C84+C90+C96</f>
        <v>436274</v>
      </c>
      <c r="D102" s="160"/>
      <c r="E102" s="150">
        <f>E84+E90+E96</f>
        <v>5559.0033080000012</v>
      </c>
      <c r="G102" s="157" t="s">
        <v>996</v>
      </c>
      <c r="H102" s="159">
        <f>H84+H90+H96</f>
        <v>567622</v>
      </c>
      <c r="I102" s="160"/>
      <c r="J102" s="150">
        <f>J84+J90+J96</f>
        <v>7232.639524000002</v>
      </c>
      <c r="L102" s="157" t="s">
        <v>996</v>
      </c>
      <c r="M102" s="159">
        <f>M84+M90+M96</f>
        <v>1015821</v>
      </c>
      <c r="N102" s="160"/>
      <c r="O102" s="150">
        <f>O84+O90+O96</f>
        <v>12943.591182000004</v>
      </c>
      <c r="Q102" s="157" t="s">
        <v>996</v>
      </c>
      <c r="R102" s="159">
        <f>R84+R90+R96</f>
        <v>45571</v>
      </c>
      <c r="S102" s="160"/>
      <c r="T102" s="150">
        <f>T84+T90+T96</f>
        <v>580.66568200000017</v>
      </c>
      <c r="V102" s="157" t="s">
        <v>996</v>
      </c>
      <c r="W102" s="159">
        <f>W84+W90+W96</f>
        <v>0</v>
      </c>
      <c r="X102" s="160"/>
      <c r="Y102" s="150">
        <f>Y84+Y90+Y96</f>
        <v>0</v>
      </c>
      <c r="AA102" s="157" t="s">
        <v>996</v>
      </c>
      <c r="AB102" s="159">
        <f>AB84+AB90+AB96</f>
        <v>0</v>
      </c>
      <c r="AC102" s="160"/>
      <c r="AD102" s="150">
        <f>AD84+AD90+AD96</f>
        <v>0</v>
      </c>
      <c r="AF102" s="157" t="s">
        <v>996</v>
      </c>
      <c r="AG102" s="159">
        <f>AG84+AG90+AG96</f>
        <v>0</v>
      </c>
      <c r="AH102" s="160"/>
      <c r="AI102" s="150">
        <f>AI84+AI90+AI96</f>
        <v>0</v>
      </c>
      <c r="AK102" s="157" t="s">
        <v>996</v>
      </c>
      <c r="AL102" s="159">
        <f>AL84+AL90+AL96</f>
        <v>0</v>
      </c>
      <c r="AM102" s="160"/>
      <c r="AN102" s="150">
        <f>AN84+AN90+AN96</f>
        <v>0</v>
      </c>
      <c r="AP102" s="157" t="s">
        <v>996</v>
      </c>
      <c r="AQ102" s="159">
        <f>AQ84+AQ90+AQ96</f>
        <v>0</v>
      </c>
      <c r="AR102" s="160"/>
      <c r="AS102" s="150">
        <f>AS84+AS90+AS96</f>
        <v>0</v>
      </c>
      <c r="AU102" s="157" t="s">
        <v>996</v>
      </c>
      <c r="AV102" s="159">
        <f>AV84+AV90+AV96</f>
        <v>29003</v>
      </c>
      <c r="AW102" s="160"/>
      <c r="AX102" s="150">
        <f>AX84+AX90+AX96</f>
        <v>369.55622600000009</v>
      </c>
      <c r="AZ102" s="157" t="s">
        <v>996</v>
      </c>
      <c r="BA102" s="159">
        <f>BA84+BA90+BA96</f>
        <v>479057</v>
      </c>
      <c r="BB102" s="160"/>
      <c r="BC102" s="150">
        <f>BC84+BC90+BC96</f>
        <v>6104.1442940000015</v>
      </c>
      <c r="BE102" s="157" t="s">
        <v>996</v>
      </c>
      <c r="BF102" s="159">
        <f>BF84+BF90+BF96</f>
        <v>993371</v>
      </c>
      <c r="BG102" s="160"/>
      <c r="BH102" s="150">
        <f>BH84+BH90+BH96</f>
        <v>12657.533282000004</v>
      </c>
      <c r="BJ102" s="157" t="s">
        <v>996</v>
      </c>
      <c r="BK102" s="148">
        <f t="shared" si="12"/>
        <v>3566719</v>
      </c>
      <c r="BL102" s="217">
        <f t="shared" si="13"/>
        <v>45447.13349800001</v>
      </c>
    </row>
    <row r="103" spans="1:67" customFormat="1" x14ac:dyDescent="0.25">
      <c r="A103" s="165"/>
      <c r="B103" s="157" t="s">
        <v>984</v>
      </c>
      <c r="C103" s="159"/>
      <c r="D103" s="160"/>
      <c r="E103" s="150">
        <f>E85+E91+E97</f>
        <v>-36343</v>
      </c>
      <c r="G103" s="157"/>
      <c r="H103" s="159"/>
      <c r="I103" s="160"/>
      <c r="J103" s="150"/>
      <c r="L103" s="157"/>
      <c r="M103" s="159"/>
      <c r="N103" s="160"/>
      <c r="O103" s="150"/>
      <c r="Q103" s="157"/>
      <c r="R103" s="159"/>
      <c r="S103" s="160"/>
      <c r="T103" s="150"/>
      <c r="V103" s="157"/>
      <c r="W103" s="159"/>
      <c r="X103" s="160"/>
      <c r="Y103" s="150"/>
      <c r="AA103" s="157"/>
      <c r="AB103" s="159"/>
      <c r="AC103" s="160"/>
      <c r="AD103" s="150"/>
      <c r="AF103" s="157"/>
      <c r="AG103" s="159"/>
      <c r="AH103" s="160"/>
      <c r="AI103" s="150"/>
      <c r="AK103" s="157"/>
      <c r="AL103" s="159"/>
      <c r="AM103" s="160"/>
      <c r="AN103" s="150"/>
      <c r="AP103" s="157"/>
      <c r="AQ103" s="159"/>
      <c r="AR103" s="160"/>
      <c r="AS103" s="150"/>
      <c r="AU103" s="157"/>
      <c r="AV103" s="159"/>
      <c r="AW103" s="160"/>
      <c r="AX103" s="150"/>
      <c r="AZ103" s="157"/>
      <c r="BA103" s="159"/>
      <c r="BB103" s="160"/>
      <c r="BC103" s="150"/>
      <c r="BE103" s="157"/>
      <c r="BF103" s="159"/>
      <c r="BG103" s="160"/>
      <c r="BH103" s="150"/>
      <c r="BJ103" s="157"/>
      <c r="BK103" s="148"/>
      <c r="BL103" s="216">
        <f>SUM(BL100:BL102)</f>
        <v>5280438.185916</v>
      </c>
    </row>
    <row r="104" spans="1:67" customFormat="1" x14ac:dyDescent="0.25">
      <c r="A104" s="165"/>
      <c r="B104" s="157"/>
      <c r="C104" s="159"/>
      <c r="D104" s="160"/>
      <c r="E104" s="150"/>
      <c r="G104" s="157"/>
      <c r="H104" s="159"/>
      <c r="I104" s="160"/>
      <c r="J104" s="150"/>
      <c r="L104" s="157"/>
      <c r="M104" s="159"/>
      <c r="N104" s="160"/>
      <c r="O104" s="150"/>
      <c r="Q104" s="157"/>
      <c r="R104" s="159"/>
      <c r="S104" s="160"/>
      <c r="T104" s="150"/>
      <c r="V104" s="157"/>
      <c r="W104" s="159"/>
      <c r="X104" s="160"/>
      <c r="Y104" s="150"/>
      <c r="AA104" s="157"/>
      <c r="AB104" s="159"/>
      <c r="AC104" s="160"/>
      <c r="AD104" s="150"/>
      <c r="AF104" s="157"/>
      <c r="AG104" s="159"/>
      <c r="AH104" s="160"/>
      <c r="AI104" s="150"/>
      <c r="AK104" s="157"/>
      <c r="AL104" s="159"/>
      <c r="AM104" s="160"/>
      <c r="AN104" s="150"/>
      <c r="AP104" s="157"/>
      <c r="AQ104" s="159"/>
      <c r="AR104" s="160"/>
      <c r="AS104" s="150"/>
      <c r="AU104" s="157"/>
      <c r="AV104" s="159"/>
      <c r="AW104" s="160"/>
      <c r="AX104" s="150"/>
      <c r="AZ104" s="157"/>
      <c r="BA104" s="159"/>
      <c r="BB104" s="160"/>
      <c r="BC104" s="150"/>
      <c r="BE104" s="157"/>
      <c r="BF104" s="159"/>
      <c r="BG104" s="160"/>
      <c r="BH104" s="150"/>
      <c r="BJ104" s="157"/>
      <c r="BK104" s="148"/>
      <c r="BL104" s="216"/>
    </row>
    <row r="105" spans="1:67" customFormat="1" x14ac:dyDescent="0.25">
      <c r="A105" s="165"/>
      <c r="B105" s="157" t="s">
        <v>980</v>
      </c>
      <c r="C105" s="20">
        <f>C11+C73+C74+C100</f>
        <v>340150</v>
      </c>
      <c r="D105" s="20"/>
      <c r="E105" s="21">
        <f>E11+E73+E74+E75+E100</f>
        <v>2081536.3699999999</v>
      </c>
      <c r="G105" s="157" t="s">
        <v>980</v>
      </c>
      <c r="H105" s="20">
        <f>H11+H73+H74+H100</f>
        <v>315642</v>
      </c>
      <c r="I105" s="20"/>
      <c r="J105" s="21">
        <f>J11+J73+J74+J75+J100</f>
        <v>1930901.4899999998</v>
      </c>
      <c r="L105" s="157" t="s">
        <v>980</v>
      </c>
      <c r="M105" s="20">
        <f>M11+M73+M74+M100</f>
        <v>254278</v>
      </c>
      <c r="N105" s="20"/>
      <c r="O105" s="21">
        <f>O11+O73+O74+O75+O100</f>
        <v>1561490.2099999997</v>
      </c>
      <c r="Q105" s="157" t="s">
        <v>980</v>
      </c>
      <c r="R105" s="20">
        <f>R11+R73+R74+R100</f>
        <v>243111</v>
      </c>
      <c r="S105" s="20"/>
      <c r="T105" s="21">
        <f>T11+T73+T74+T75+T100</f>
        <v>1495851.7499999998</v>
      </c>
      <c r="V105" s="157" t="s">
        <v>980</v>
      </c>
      <c r="W105" s="20">
        <f>W11+W73+W74+W100</f>
        <v>215149</v>
      </c>
      <c r="X105" s="20"/>
      <c r="Y105" s="21">
        <f>Y11+Y73+Y74+Y75+Y100</f>
        <v>1327365.1099999999</v>
      </c>
      <c r="AA105" s="157" t="s">
        <v>980</v>
      </c>
      <c r="AB105" s="20">
        <f>AB11+AB73+AB74+AB100</f>
        <v>223710</v>
      </c>
      <c r="AC105" s="20"/>
      <c r="AD105" s="21">
        <f>AD11+AD73+AD74+AD75+AD100</f>
        <v>1378803.1299999997</v>
      </c>
      <c r="AF105" s="157" t="s">
        <v>980</v>
      </c>
      <c r="AG105" s="20">
        <f>AG11+AG73+AG74+AG100</f>
        <v>242469</v>
      </c>
      <c r="AH105" s="20"/>
      <c r="AI105" s="21">
        <f>AI11+AI73+AI74+AI75+AI100</f>
        <v>1491689.0599999998</v>
      </c>
      <c r="AK105" s="157" t="s">
        <v>980</v>
      </c>
      <c r="AL105" s="20">
        <f>AL11+AL73+AL74+AL100</f>
        <v>245137</v>
      </c>
      <c r="AM105" s="20"/>
      <c r="AN105" s="21">
        <f>AN11+AN73+AN74+AN75+AN100</f>
        <v>1507685.2799999998</v>
      </c>
      <c r="AP105" s="157" t="s">
        <v>980</v>
      </c>
      <c r="AQ105" s="20">
        <f>AQ11+AQ73+AQ74+AQ100</f>
        <v>237353</v>
      </c>
      <c r="AR105" s="20"/>
      <c r="AS105" s="21">
        <f>AS11+AS73+AS74+AS75+AS100</f>
        <v>1462277.93</v>
      </c>
      <c r="AU105" s="157" t="s">
        <v>980</v>
      </c>
      <c r="AV105" s="20">
        <f>AV11+AV73+AV74+AV100</f>
        <v>228606</v>
      </c>
      <c r="AW105" s="20"/>
      <c r="AX105" s="21">
        <f>AX11+AX73+AX74+AX75+AX100</f>
        <v>1407942.97</v>
      </c>
      <c r="AZ105" s="157" t="s">
        <v>980</v>
      </c>
      <c r="BA105" s="20">
        <f>BA11+BA73+BA74+BA100</f>
        <v>336660</v>
      </c>
      <c r="BB105" s="20"/>
      <c r="BC105" s="21">
        <f>BC11+BC73+BC74+BC75+BC100</f>
        <v>2058243.0099999998</v>
      </c>
      <c r="BE105" s="157" t="s">
        <v>980</v>
      </c>
      <c r="BF105" s="20">
        <f>BF11+BF73+BF74+BF100</f>
        <v>323016</v>
      </c>
      <c r="BG105" s="20"/>
      <c r="BH105" s="21">
        <f>BH11+BH73+BH74+BH75+BH100</f>
        <v>1976124.5699999998</v>
      </c>
      <c r="BJ105" s="157" t="s">
        <v>980</v>
      </c>
      <c r="BK105" s="148">
        <f t="shared" si="12"/>
        <v>3205281</v>
      </c>
      <c r="BL105" s="216">
        <f t="shared" si="13"/>
        <v>19679910.879999999</v>
      </c>
    </row>
    <row r="106" spans="1:67" customFormat="1" x14ac:dyDescent="0.25">
      <c r="A106" s="165"/>
      <c r="B106" s="157" t="s">
        <v>981</v>
      </c>
      <c r="C106" s="148">
        <f>C12+C13+C76+C77+C101+C102</f>
        <v>130055786</v>
      </c>
      <c r="D106" s="150"/>
      <c r="E106" s="150">
        <f>E12+E13+E76+E77+E101+E102</f>
        <v>5902108.340117</v>
      </c>
      <c r="G106" s="157" t="s">
        <v>981</v>
      </c>
      <c r="H106" s="148">
        <f>H12+H13+H76+H77+H101+H102</f>
        <v>124928126</v>
      </c>
      <c r="I106" s="150"/>
      <c r="J106" s="150">
        <f>J12+J13+J76+J77+J101+J102</f>
        <v>5471726.4222409995</v>
      </c>
      <c r="L106" s="157" t="s">
        <v>981</v>
      </c>
      <c r="M106" s="148">
        <f>M12+M13+M76+M77+M101+M102</f>
        <v>101414149</v>
      </c>
      <c r="N106" s="150"/>
      <c r="O106" s="150">
        <f>O12+O13+O76+O77+O101+O102</f>
        <v>4417013.412788</v>
      </c>
      <c r="Q106" s="157" t="s">
        <v>981</v>
      </c>
      <c r="R106" s="148">
        <f>R12+R13+R76+R77+R101+R102</f>
        <v>84519007</v>
      </c>
      <c r="S106" s="150"/>
      <c r="T106" s="150">
        <f>T12+T13+T76+T77+T101+T102</f>
        <v>3821529.0633760006</v>
      </c>
      <c r="V106" s="157" t="s">
        <v>981</v>
      </c>
      <c r="W106" s="148">
        <f>W12+W13+W76+W77+W101+W102</f>
        <v>94928053</v>
      </c>
      <c r="X106" s="150"/>
      <c r="Y106" s="150">
        <f>Y12+Y13+Y76+Y77+Y101+Y102</f>
        <v>4395117.2002150007</v>
      </c>
      <c r="AA106" s="157" t="s">
        <v>981</v>
      </c>
      <c r="AB106" s="148">
        <f>AB12+AB13+AB76+AB77+AB101+AB102</f>
        <v>98471274</v>
      </c>
      <c r="AC106" s="150"/>
      <c r="AD106" s="150">
        <f>AD12+AD13+AD76+AD77+AD101+AD102</f>
        <v>4572628.8547819993</v>
      </c>
      <c r="AF106" s="157" t="s">
        <v>981</v>
      </c>
      <c r="AG106" s="148">
        <f>AG12+AG13+AG76+AG77+AG101+AG102</f>
        <v>117781934</v>
      </c>
      <c r="AH106" s="150"/>
      <c r="AI106" s="150">
        <f>AI12+AI13+AI76+AI77+AI101+AI102</f>
        <v>5495583.1163460007</v>
      </c>
      <c r="AK106" s="157" t="s">
        <v>981</v>
      </c>
      <c r="AL106" s="148">
        <f>AL12+AL13+AL76+AL77+AL101+AL102</f>
        <v>114241766</v>
      </c>
      <c r="AM106" s="150"/>
      <c r="AN106" s="150">
        <f>AN12+AN13+AN76+AN77+AN101+AN102</f>
        <v>5325204.2487930004</v>
      </c>
      <c r="AP106" s="157" t="s">
        <v>981</v>
      </c>
      <c r="AQ106" s="148">
        <f>AQ12+AQ13+AQ76+AQ77+AQ101+AQ102</f>
        <v>106311389</v>
      </c>
      <c r="AR106" s="150"/>
      <c r="AS106" s="150">
        <f>AS12+AS13+AS76+AS77+AS101+AS102</f>
        <v>4961826.2433620002</v>
      </c>
      <c r="AU106" s="157" t="s">
        <v>981</v>
      </c>
      <c r="AV106" s="148">
        <f>AV12+AV13+AV76+AV77+AV101+AV102</f>
        <v>89623969</v>
      </c>
      <c r="AW106" s="150"/>
      <c r="AX106" s="150">
        <f>AX12+AX13+AX76+AX77+AX101+AX102</f>
        <v>4055167.1011800002</v>
      </c>
      <c r="AZ106" s="157" t="s">
        <v>981</v>
      </c>
      <c r="BA106" s="148">
        <f>BA12+BA13+BA76+BA77+BA101+BA102</f>
        <v>117549077</v>
      </c>
      <c r="BB106" s="150"/>
      <c r="BC106" s="150">
        <f>BC12+BC13+BC76+BC77+BC101+BC102</f>
        <v>5322040.4401169997</v>
      </c>
      <c r="BE106" s="157" t="s">
        <v>981</v>
      </c>
      <c r="BF106" s="148">
        <f>BF12+BF13+BF76+BF77+BF101+BF102</f>
        <v>123532174</v>
      </c>
      <c r="BG106" s="150"/>
      <c r="BH106" s="150">
        <f>BH12+BH13+BH76+BH77+BH101+BH102</f>
        <v>5589194.3192639994</v>
      </c>
      <c r="BJ106" s="157" t="s">
        <v>981</v>
      </c>
      <c r="BK106" s="148">
        <f t="shared" si="12"/>
        <v>1303356704</v>
      </c>
      <c r="BL106" s="216">
        <f t="shared" si="13"/>
        <v>59329138.762581006</v>
      </c>
    </row>
    <row r="107" spans="1:67" customFormat="1" x14ac:dyDescent="0.25">
      <c r="B107" s="157"/>
      <c r="C107" s="159"/>
      <c r="D107" s="160"/>
      <c r="E107" s="150"/>
      <c r="G107" s="157"/>
      <c r="H107" s="159"/>
      <c r="I107" s="160"/>
      <c r="J107" s="150"/>
      <c r="L107" s="157"/>
      <c r="M107" s="159"/>
      <c r="N107" s="160"/>
      <c r="O107" s="150"/>
      <c r="Q107" s="157"/>
      <c r="R107" s="159"/>
      <c r="S107" s="160"/>
      <c r="T107" s="150"/>
      <c r="V107" s="157"/>
      <c r="W107" s="159"/>
      <c r="X107" s="160"/>
      <c r="Y107" s="150"/>
      <c r="AA107" s="157"/>
      <c r="AB107" s="159"/>
      <c r="AC107" s="160"/>
      <c r="AD107" s="150"/>
      <c r="AF107" s="157"/>
      <c r="AG107" s="159"/>
      <c r="AH107" s="160"/>
      <c r="AI107" s="150"/>
      <c r="AK107" s="157"/>
      <c r="AL107" s="159"/>
      <c r="AM107" s="160"/>
      <c r="AN107" s="150"/>
      <c r="AP107" s="157"/>
      <c r="AQ107" s="159"/>
      <c r="AR107" s="160"/>
      <c r="AS107" s="150"/>
      <c r="AU107" s="157"/>
      <c r="AV107" s="159"/>
      <c r="AW107" s="160"/>
      <c r="AX107" s="150"/>
      <c r="AZ107" s="157"/>
      <c r="BA107" s="159"/>
      <c r="BB107" s="160"/>
      <c r="BC107" s="150"/>
      <c r="BE107" s="157"/>
      <c r="BF107" s="159"/>
      <c r="BG107" s="160"/>
      <c r="BH107" s="150"/>
      <c r="BJ107" s="157"/>
      <c r="BK107" s="148"/>
      <c r="BL107" s="216"/>
    </row>
    <row r="108" spans="1:67" customFormat="1" x14ac:dyDescent="0.25">
      <c r="B108" s="157" t="s">
        <v>982</v>
      </c>
      <c r="C108" s="159"/>
      <c r="D108" s="160"/>
      <c r="E108" s="150">
        <v>5760</v>
      </c>
      <c r="G108" s="157" t="s">
        <v>982</v>
      </c>
      <c r="H108" s="159"/>
      <c r="I108" s="160"/>
      <c r="J108" s="150">
        <v>5760</v>
      </c>
      <c r="L108" s="157" t="s">
        <v>982</v>
      </c>
      <c r="M108" s="159"/>
      <c r="N108" s="160"/>
      <c r="O108" s="150">
        <v>5760</v>
      </c>
      <c r="Q108" s="157" t="s">
        <v>982</v>
      </c>
      <c r="R108" s="159"/>
      <c r="S108" s="160"/>
      <c r="T108" s="150">
        <v>5760</v>
      </c>
      <c r="V108" s="157" t="s">
        <v>982</v>
      </c>
      <c r="W108" s="159"/>
      <c r="X108" s="160"/>
      <c r="Y108" s="150">
        <v>5760</v>
      </c>
      <c r="AA108" s="157" t="s">
        <v>982</v>
      </c>
      <c r="AB108" s="159"/>
      <c r="AC108" s="160"/>
      <c r="AD108" s="150">
        <v>5760</v>
      </c>
      <c r="AF108" s="157" t="s">
        <v>982</v>
      </c>
      <c r="AG108" s="159"/>
      <c r="AH108" s="160"/>
      <c r="AI108" s="150">
        <v>5760</v>
      </c>
      <c r="AK108" s="157" t="s">
        <v>982</v>
      </c>
      <c r="AL108" s="159"/>
      <c r="AM108" s="160"/>
      <c r="AN108" s="150">
        <v>5760</v>
      </c>
      <c r="AP108" s="157" t="s">
        <v>982</v>
      </c>
      <c r="AQ108" s="159"/>
      <c r="AR108" s="160"/>
      <c r="AS108" s="150">
        <v>5760</v>
      </c>
      <c r="AU108" s="157" t="s">
        <v>982</v>
      </c>
      <c r="AV108" s="159"/>
      <c r="AW108" s="160"/>
      <c r="AX108" s="150">
        <v>5760</v>
      </c>
      <c r="AZ108" s="157" t="s">
        <v>982</v>
      </c>
      <c r="BA108" s="159"/>
      <c r="BB108" s="160"/>
      <c r="BC108" s="150">
        <v>5760</v>
      </c>
      <c r="BE108" s="157" t="s">
        <v>982</v>
      </c>
      <c r="BF108" s="159"/>
      <c r="BG108" s="160"/>
      <c r="BH108" s="150">
        <v>5760</v>
      </c>
      <c r="BJ108" s="157" t="s">
        <v>982</v>
      </c>
      <c r="BK108" s="148"/>
      <c r="BL108" s="216">
        <f t="shared" si="13"/>
        <v>69120</v>
      </c>
    </row>
    <row r="109" spans="1:67" customFormat="1" x14ac:dyDescent="0.25">
      <c r="B109" s="157" t="s">
        <v>983</v>
      </c>
      <c r="C109" s="159"/>
      <c r="D109" s="162"/>
      <c r="E109" s="150">
        <v>136258</v>
      </c>
      <c r="G109" s="157" t="s">
        <v>983</v>
      </c>
      <c r="H109" s="159"/>
      <c r="I109" s="162"/>
      <c r="J109" s="150">
        <v>136258</v>
      </c>
      <c r="L109" s="157" t="s">
        <v>983</v>
      </c>
      <c r="M109" s="159"/>
      <c r="N109" s="162"/>
      <c r="O109" s="150">
        <v>136258</v>
      </c>
      <c r="Q109" s="157" t="s">
        <v>983</v>
      </c>
      <c r="R109" s="159"/>
      <c r="S109" s="162"/>
      <c r="T109" s="150">
        <v>136258</v>
      </c>
      <c r="V109" s="157" t="s">
        <v>983</v>
      </c>
      <c r="W109" s="159"/>
      <c r="X109" s="162"/>
      <c r="Y109" s="150">
        <v>136258</v>
      </c>
      <c r="AA109" s="157" t="s">
        <v>983</v>
      </c>
      <c r="AB109" s="159"/>
      <c r="AC109" s="162"/>
      <c r="AD109" s="150">
        <v>136258</v>
      </c>
      <c r="AF109" s="157" t="s">
        <v>983</v>
      </c>
      <c r="AG109" s="159"/>
      <c r="AH109" s="162"/>
      <c r="AI109" s="150">
        <v>136258</v>
      </c>
      <c r="AK109" s="157" t="s">
        <v>983</v>
      </c>
      <c r="AL109" s="159"/>
      <c r="AM109" s="162"/>
      <c r="AN109" s="150">
        <v>136258</v>
      </c>
      <c r="AP109" s="157" t="s">
        <v>983</v>
      </c>
      <c r="AQ109" s="159"/>
      <c r="AR109" s="162"/>
      <c r="AS109" s="150">
        <v>136258</v>
      </c>
      <c r="AU109" s="157" t="s">
        <v>983</v>
      </c>
      <c r="AV109" s="159"/>
      <c r="AW109" s="162"/>
      <c r="AX109" s="150">
        <v>136258</v>
      </c>
      <c r="AZ109" s="157" t="s">
        <v>983</v>
      </c>
      <c r="BA109" s="159"/>
      <c r="BB109" s="162"/>
      <c r="BC109" s="150">
        <v>136258</v>
      </c>
      <c r="BE109" s="157" t="s">
        <v>983</v>
      </c>
      <c r="BF109" s="159"/>
      <c r="BG109" s="162"/>
      <c r="BH109" s="150">
        <v>136258</v>
      </c>
      <c r="BJ109" s="157" t="s">
        <v>983</v>
      </c>
      <c r="BK109" s="148"/>
      <c r="BL109" s="216">
        <f t="shared" si="13"/>
        <v>1635096</v>
      </c>
    </row>
    <row r="110" spans="1:67" customFormat="1" x14ac:dyDescent="0.25">
      <c r="B110" s="157" t="s">
        <v>1045</v>
      </c>
      <c r="C110" s="159"/>
      <c r="D110" s="158"/>
      <c r="E110" s="164">
        <f>-662356</f>
        <v>-662356</v>
      </c>
      <c r="G110" s="157" t="s">
        <v>984</v>
      </c>
      <c r="H110" s="159"/>
      <c r="I110" s="158"/>
      <c r="J110" s="164">
        <v>-813213</v>
      </c>
      <c r="K110" s="153"/>
      <c r="L110" s="157" t="s">
        <v>984</v>
      </c>
      <c r="M110" s="159"/>
      <c r="N110" s="158"/>
      <c r="O110" s="164">
        <v>-783978</v>
      </c>
      <c r="Q110" s="157" t="s">
        <v>984</v>
      </c>
      <c r="R110" s="159"/>
      <c r="S110" s="158"/>
      <c r="T110" s="164">
        <v>-141042</v>
      </c>
      <c r="U110" s="153"/>
      <c r="V110" s="157" t="s">
        <v>984</v>
      </c>
      <c r="W110" s="159"/>
      <c r="X110" s="158"/>
      <c r="Y110" s="164">
        <v>-356932</v>
      </c>
      <c r="Z110" s="153"/>
      <c r="AA110" s="157" t="s">
        <v>984</v>
      </c>
      <c r="AB110" s="159"/>
      <c r="AC110" s="158"/>
      <c r="AD110" s="164">
        <v>-343666</v>
      </c>
      <c r="AE110" s="153"/>
      <c r="AF110" s="157" t="s">
        <v>984</v>
      </c>
      <c r="AG110" s="159"/>
      <c r="AH110" s="158"/>
      <c r="AI110" s="164">
        <v>-568885</v>
      </c>
      <c r="AJ110" s="153"/>
      <c r="AK110" s="157" t="s">
        <v>984</v>
      </c>
      <c r="AL110" s="159"/>
      <c r="AM110" s="158"/>
      <c r="AN110" s="164">
        <v>-597484</v>
      </c>
      <c r="AO110" s="153"/>
      <c r="AP110" s="157" t="s">
        <v>984</v>
      </c>
      <c r="AQ110" s="159"/>
      <c r="AR110" s="158"/>
      <c r="AS110" s="164">
        <v>-650627</v>
      </c>
      <c r="AT110" s="153"/>
      <c r="AU110" s="157" t="s">
        <v>984</v>
      </c>
      <c r="AV110" s="159"/>
      <c r="AW110" s="158"/>
      <c r="AX110" s="164">
        <v>-505299</v>
      </c>
      <c r="AY110" s="153"/>
      <c r="AZ110" s="157" t="s">
        <v>984</v>
      </c>
      <c r="BA110" s="159"/>
      <c r="BB110" s="158"/>
      <c r="BC110" s="164">
        <v>-771332</v>
      </c>
      <c r="BD110" s="153"/>
      <c r="BE110" s="157" t="s">
        <v>984</v>
      </c>
      <c r="BF110" s="159"/>
      <c r="BG110" s="158"/>
      <c r="BH110" s="164">
        <v>-145769</v>
      </c>
      <c r="BI110" s="153"/>
      <c r="BJ110" s="157" t="s">
        <v>984</v>
      </c>
      <c r="BK110" s="148"/>
      <c r="BL110" s="216">
        <f t="shared" si="13"/>
        <v>-6340583</v>
      </c>
      <c r="BM110" s="153"/>
      <c r="BN110" s="153"/>
      <c r="BO110" s="153"/>
    </row>
    <row r="111" spans="1:67" customFormat="1" x14ac:dyDescent="0.25">
      <c r="B111" s="157" t="s">
        <v>985</v>
      </c>
      <c r="C111" s="159"/>
      <c r="D111" s="158"/>
      <c r="E111" s="161">
        <v>1244880</v>
      </c>
      <c r="G111" s="157" t="s">
        <v>985</v>
      </c>
      <c r="H111" s="159"/>
      <c r="I111" s="158"/>
      <c r="J111" s="161">
        <v>966635</v>
      </c>
      <c r="L111" s="157" t="s">
        <v>985</v>
      </c>
      <c r="M111" s="159"/>
      <c r="N111" s="158"/>
      <c r="O111" s="161">
        <v>810089</v>
      </c>
      <c r="Q111" s="157" t="s">
        <v>985</v>
      </c>
      <c r="R111" s="159"/>
      <c r="S111" s="158"/>
      <c r="T111" s="161">
        <v>809987</v>
      </c>
      <c r="V111" s="157" t="s">
        <v>985</v>
      </c>
      <c r="W111" s="159"/>
      <c r="X111" s="158"/>
      <c r="Y111" s="161">
        <v>868542</v>
      </c>
      <c r="AA111" s="157" t="s">
        <v>985</v>
      </c>
      <c r="AB111" s="159"/>
      <c r="AC111" s="158"/>
      <c r="AD111" s="161">
        <v>1089012</v>
      </c>
      <c r="AF111" s="157" t="s">
        <v>985</v>
      </c>
      <c r="AG111" s="159"/>
      <c r="AH111" s="158"/>
      <c r="AI111" s="161">
        <v>1221549</v>
      </c>
      <c r="AK111" s="157" t="s">
        <v>985</v>
      </c>
      <c r="AL111" s="159"/>
      <c r="AM111" s="158"/>
      <c r="AN111" s="161">
        <v>1158141</v>
      </c>
      <c r="AP111" s="157" t="s">
        <v>985</v>
      </c>
      <c r="AQ111" s="159"/>
      <c r="AR111" s="158"/>
      <c r="AS111" s="161">
        <v>916311</v>
      </c>
      <c r="AU111" s="157" t="s">
        <v>985</v>
      </c>
      <c r="AV111" s="159"/>
      <c r="AW111" s="158"/>
      <c r="AX111" s="161">
        <v>823113</v>
      </c>
      <c r="AZ111" s="157" t="s">
        <v>985</v>
      </c>
      <c r="BA111" s="159"/>
      <c r="BB111" s="158"/>
      <c r="BC111" s="161">
        <v>1188167</v>
      </c>
      <c r="BE111" s="157" t="s">
        <v>985</v>
      </c>
      <c r="BF111" s="159"/>
      <c r="BG111" s="158"/>
      <c r="BH111" s="161">
        <v>1497189</v>
      </c>
      <c r="BJ111" s="157" t="s">
        <v>985</v>
      </c>
      <c r="BK111" s="148"/>
      <c r="BL111" s="217">
        <f t="shared" si="13"/>
        <v>12593615</v>
      </c>
    </row>
    <row r="112" spans="1:67" customFormat="1" x14ac:dyDescent="0.25">
      <c r="B112" s="157"/>
      <c r="C112" s="158"/>
      <c r="D112" s="158"/>
      <c r="E112" s="158"/>
      <c r="G112" s="157"/>
      <c r="H112" s="158"/>
      <c r="I112" s="158"/>
      <c r="J112" s="158"/>
      <c r="L112" s="157"/>
      <c r="M112" s="158"/>
      <c r="N112" s="158"/>
      <c r="O112" s="158"/>
      <c r="Q112" s="157"/>
      <c r="R112" s="158"/>
      <c r="S112" s="158"/>
      <c r="T112" s="158"/>
      <c r="V112" s="157"/>
      <c r="W112" s="158"/>
      <c r="X112" s="158"/>
      <c r="Y112" s="158"/>
      <c r="AA112" s="157"/>
      <c r="AB112" s="158"/>
      <c r="AC112" s="158"/>
      <c r="AD112" s="158"/>
      <c r="AF112" s="157"/>
      <c r="AG112" s="158"/>
      <c r="AH112" s="158"/>
      <c r="AI112" s="158"/>
      <c r="AK112" s="157"/>
      <c r="AL112" s="158"/>
      <c r="AM112" s="158"/>
      <c r="AN112" s="158"/>
      <c r="AP112" s="157"/>
      <c r="AQ112" s="158"/>
      <c r="AR112" s="158"/>
      <c r="AS112" s="158"/>
      <c r="AU112" s="157"/>
      <c r="AV112" s="158"/>
      <c r="AW112" s="158"/>
      <c r="AX112" s="158"/>
      <c r="AZ112" s="157"/>
      <c r="BA112" s="158"/>
      <c r="BB112" s="158"/>
      <c r="BC112" s="158"/>
      <c r="BE112" s="157"/>
      <c r="BF112" s="158"/>
      <c r="BG112" s="158"/>
      <c r="BH112" s="158"/>
      <c r="BJ112" s="157"/>
      <c r="BK112" s="148"/>
      <c r="BL112" s="216"/>
    </row>
    <row r="113" spans="1:65" customFormat="1" x14ac:dyDescent="0.25">
      <c r="B113" s="198" t="s">
        <v>986</v>
      </c>
      <c r="C113" s="158"/>
      <c r="D113" s="158"/>
      <c r="E113" s="158">
        <f>SUM(E105:E111)</f>
        <v>8708186.7101170011</v>
      </c>
      <c r="G113" s="198" t="s">
        <v>986</v>
      </c>
      <c r="H113" s="158"/>
      <c r="I113" s="158"/>
      <c r="J113" s="158">
        <f>SUM(J105:J111)</f>
        <v>7698067.9122409988</v>
      </c>
      <c r="L113" s="198" t="s">
        <v>986</v>
      </c>
      <c r="M113" s="158"/>
      <c r="N113" s="158"/>
      <c r="O113" s="158">
        <f>SUM(O105:O111)</f>
        <v>6146632.6227879999</v>
      </c>
      <c r="Q113" s="198" t="s">
        <v>986</v>
      </c>
      <c r="R113" s="158"/>
      <c r="S113" s="158"/>
      <c r="T113" s="158">
        <f>SUM(T105:T111)</f>
        <v>6128343.8133760002</v>
      </c>
      <c r="V113" s="198" t="s">
        <v>986</v>
      </c>
      <c r="W113" s="158"/>
      <c r="X113" s="158"/>
      <c r="Y113" s="158">
        <f>SUM(Y105:Y111)</f>
        <v>6376110.3102150001</v>
      </c>
      <c r="AA113" s="198" t="s">
        <v>986</v>
      </c>
      <c r="AB113" s="158"/>
      <c r="AC113" s="158"/>
      <c r="AD113" s="158">
        <f>SUM(AD105:AD111)</f>
        <v>6838795.9847819991</v>
      </c>
      <c r="AF113" s="198" t="s">
        <v>986</v>
      </c>
      <c r="AG113" s="158"/>
      <c r="AH113" s="158"/>
      <c r="AI113" s="158">
        <f>SUM(AI105:AI111)</f>
        <v>7781954.1763460003</v>
      </c>
      <c r="AK113" s="198" t="s">
        <v>986</v>
      </c>
      <c r="AL113" s="158"/>
      <c r="AM113" s="158"/>
      <c r="AN113" s="158">
        <f>SUM(AN105:AN111)</f>
        <v>7535564.5287929997</v>
      </c>
      <c r="AP113" s="198" t="s">
        <v>986</v>
      </c>
      <c r="AQ113" s="158"/>
      <c r="AR113" s="158"/>
      <c r="AS113" s="158">
        <f>SUM(AS105:AS111)</f>
        <v>6831806.1733619999</v>
      </c>
      <c r="AU113" s="198" t="s">
        <v>986</v>
      </c>
      <c r="AV113" s="158"/>
      <c r="AW113" s="158"/>
      <c r="AX113" s="158">
        <f>SUM(AX105:AX111)</f>
        <v>5922942.07118</v>
      </c>
      <c r="AZ113" s="198" t="s">
        <v>986</v>
      </c>
      <c r="BA113" s="158"/>
      <c r="BB113" s="158"/>
      <c r="BC113" s="158">
        <f>SUM(BC105:BC111)</f>
        <v>7939136.4501169994</v>
      </c>
      <c r="BE113" s="198" t="s">
        <v>986</v>
      </c>
      <c r="BF113" s="158"/>
      <c r="BG113" s="158"/>
      <c r="BH113" s="158">
        <f>SUM(BH105:BH111)</f>
        <v>9058756.8892639987</v>
      </c>
      <c r="BJ113" s="198" t="s">
        <v>986</v>
      </c>
      <c r="BK113" s="148"/>
      <c r="BL113" s="216">
        <f t="shared" si="13"/>
        <v>86966297.642581001</v>
      </c>
    </row>
    <row r="114" spans="1:65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148"/>
      <c r="BL114" s="216"/>
    </row>
    <row r="115" spans="1:65" customFormat="1" x14ac:dyDescent="0.25">
      <c r="B115" s="157" t="s">
        <v>987</v>
      </c>
      <c r="C115" s="201"/>
      <c r="D115" s="158"/>
      <c r="E115" s="158">
        <v>-10782</v>
      </c>
      <c r="G115" s="157" t="s">
        <v>987</v>
      </c>
      <c r="H115" s="201"/>
      <c r="I115" s="158"/>
      <c r="J115" s="158">
        <v>-10770</v>
      </c>
      <c r="L115" s="157" t="s">
        <v>987</v>
      </c>
      <c r="M115" s="201"/>
      <c r="N115" s="158"/>
      <c r="O115" s="158">
        <v>-10761</v>
      </c>
      <c r="Q115" s="157" t="s">
        <v>987</v>
      </c>
      <c r="R115" s="201"/>
      <c r="S115" s="158"/>
      <c r="T115" s="158">
        <v>-10920</v>
      </c>
      <c r="V115" s="157" t="s">
        <v>987</v>
      </c>
      <c r="W115" s="201"/>
      <c r="X115" s="158"/>
      <c r="Y115" s="158">
        <v>-10908</v>
      </c>
      <c r="AA115" s="157" t="s">
        <v>987</v>
      </c>
      <c r="AB115" s="201"/>
      <c r="AC115" s="158"/>
      <c r="AD115" s="158">
        <v>-10908</v>
      </c>
      <c r="AF115" s="157" t="s">
        <v>987</v>
      </c>
      <c r="AG115" s="201"/>
      <c r="AH115" s="158"/>
      <c r="AI115" s="158">
        <v>-10908</v>
      </c>
      <c r="AK115" s="157" t="s">
        <v>987</v>
      </c>
      <c r="AL115" s="201"/>
      <c r="AM115" s="158"/>
      <c r="AN115" s="158">
        <v>-10868</v>
      </c>
      <c r="AP115" s="157" t="s">
        <v>987</v>
      </c>
      <c r="AQ115" s="201"/>
      <c r="AR115" s="158"/>
      <c r="AS115" s="158">
        <v>-10829</v>
      </c>
      <c r="AU115" s="157" t="s">
        <v>987</v>
      </c>
      <c r="AV115" s="201"/>
      <c r="AW115" s="158"/>
      <c r="AX115" s="158">
        <v>-10805</v>
      </c>
      <c r="AZ115" s="157" t="s">
        <v>987</v>
      </c>
      <c r="BA115" s="201"/>
      <c r="BB115" s="158"/>
      <c r="BC115" s="158">
        <v>-10804</v>
      </c>
      <c r="BE115" s="157" t="s">
        <v>987</v>
      </c>
      <c r="BF115" s="201"/>
      <c r="BG115" s="158"/>
      <c r="BH115" s="158">
        <v>-10786</v>
      </c>
      <c r="BJ115" s="157" t="s">
        <v>987</v>
      </c>
      <c r="BK115" s="148"/>
      <c r="BL115" s="216">
        <f t="shared" si="13"/>
        <v>-130049</v>
      </c>
    </row>
    <row r="116" spans="1:65" x14ac:dyDescent="0.25">
      <c r="A116"/>
      <c r="B116" s="157" t="s">
        <v>988</v>
      </c>
      <c r="C116" s="176"/>
      <c r="D116" s="168"/>
      <c r="E116" s="210">
        <v>-1798</v>
      </c>
      <c r="F116" s="210"/>
      <c r="G116" s="163" t="s">
        <v>988</v>
      </c>
      <c r="H116" s="211"/>
      <c r="I116" s="209"/>
      <c r="J116" s="210">
        <v>-1547</v>
      </c>
      <c r="K116" s="210"/>
      <c r="L116" s="163" t="s">
        <v>988</v>
      </c>
      <c r="M116" s="211"/>
      <c r="N116" s="209"/>
      <c r="O116" s="210">
        <v>-1634</v>
      </c>
      <c r="P116" s="21"/>
      <c r="Q116" s="163" t="s">
        <v>988</v>
      </c>
      <c r="R116" s="211"/>
      <c r="S116" s="209"/>
      <c r="T116" s="210">
        <v>-1663</v>
      </c>
      <c r="V116" s="163" t="s">
        <v>988</v>
      </c>
      <c r="W116" s="211"/>
      <c r="X116" s="209"/>
      <c r="Y116" s="210">
        <v>-1720</v>
      </c>
      <c r="AA116" s="163" t="s">
        <v>988</v>
      </c>
      <c r="AB116" s="211"/>
      <c r="AC116" s="209"/>
      <c r="AD116" s="210">
        <v>-2066</v>
      </c>
      <c r="AF116" s="163" t="s">
        <v>988</v>
      </c>
      <c r="AG116" s="211"/>
      <c r="AH116" s="209"/>
      <c r="AI116" s="210">
        <v>-2031</v>
      </c>
      <c r="AK116" s="163" t="s">
        <v>988</v>
      </c>
      <c r="AL116" s="211"/>
      <c r="AM116" s="209"/>
      <c r="AN116" s="210">
        <v>-1974</v>
      </c>
      <c r="AP116" s="163" t="s">
        <v>988</v>
      </c>
      <c r="AQ116" s="211"/>
      <c r="AR116" s="209"/>
      <c r="AS116" s="210">
        <v>-1677</v>
      </c>
      <c r="AU116" s="163" t="s">
        <v>988</v>
      </c>
      <c r="AV116" s="211"/>
      <c r="AW116" s="209"/>
      <c r="AX116" s="210">
        <v>-1744</v>
      </c>
      <c r="AZ116" s="163" t="s">
        <v>988</v>
      </c>
      <c r="BA116" s="211"/>
      <c r="BB116" s="209"/>
      <c r="BC116" s="210">
        <v>-1902</v>
      </c>
      <c r="BE116" s="163" t="s">
        <v>988</v>
      </c>
      <c r="BF116" s="211"/>
      <c r="BG116" s="209"/>
      <c r="BH116" s="210">
        <v>-2136</v>
      </c>
      <c r="BJ116" s="163" t="s">
        <v>988</v>
      </c>
      <c r="BK116" s="148"/>
      <c r="BL116" s="216">
        <f t="shared" si="13"/>
        <v>-21892</v>
      </c>
    </row>
    <row r="117" spans="1:65" x14ac:dyDescent="0.25">
      <c r="A117"/>
      <c r="B117" s="157" t="s">
        <v>989</v>
      </c>
      <c r="C117" s="167">
        <v>14000</v>
      </c>
      <c r="D117" s="168"/>
      <c r="E117" s="209">
        <v>350</v>
      </c>
      <c r="F117" s="210"/>
      <c r="G117" s="163" t="s">
        <v>989</v>
      </c>
      <c r="H117" s="212">
        <v>14000</v>
      </c>
      <c r="I117" s="209"/>
      <c r="J117" s="209">
        <v>350</v>
      </c>
      <c r="K117" s="210"/>
      <c r="L117" s="163" t="s">
        <v>989</v>
      </c>
      <c r="M117" s="212">
        <v>14000</v>
      </c>
      <c r="N117" s="209"/>
      <c r="O117" s="209">
        <v>365</v>
      </c>
      <c r="P117" s="21"/>
      <c r="Q117" s="163" t="s">
        <v>989</v>
      </c>
      <c r="R117" s="212">
        <v>14800</v>
      </c>
      <c r="S117" s="209"/>
      <c r="T117" s="209">
        <v>370</v>
      </c>
      <c r="V117" s="163" t="s">
        <v>989</v>
      </c>
      <c r="W117" s="212">
        <v>14800</v>
      </c>
      <c r="X117" s="209"/>
      <c r="Y117" s="209">
        <v>375</v>
      </c>
      <c r="AA117" s="163" t="s">
        <v>989</v>
      </c>
      <c r="AB117" s="212">
        <v>14800</v>
      </c>
      <c r="AC117" s="209"/>
      <c r="AD117" s="209">
        <v>355</v>
      </c>
      <c r="AF117" s="163" t="s">
        <v>989</v>
      </c>
      <c r="AG117" s="212">
        <v>14800</v>
      </c>
      <c r="AH117" s="209"/>
      <c r="AI117" s="209">
        <v>358</v>
      </c>
      <c r="AK117" s="163" t="s">
        <v>989</v>
      </c>
      <c r="AL117" s="212">
        <v>14800</v>
      </c>
      <c r="AM117" s="209"/>
      <c r="AN117" s="209">
        <v>355</v>
      </c>
      <c r="AP117" s="163" t="s">
        <v>989</v>
      </c>
      <c r="AQ117" s="212">
        <v>14800</v>
      </c>
      <c r="AR117" s="209"/>
      <c r="AS117" s="209">
        <v>355</v>
      </c>
      <c r="AU117" s="163" t="s">
        <v>989</v>
      </c>
      <c r="AV117" s="212">
        <v>14800</v>
      </c>
      <c r="AW117" s="209"/>
      <c r="AX117" s="209">
        <v>355</v>
      </c>
      <c r="AZ117" s="163" t="s">
        <v>989</v>
      </c>
      <c r="BA117" s="212">
        <v>14800</v>
      </c>
      <c r="BB117" s="209"/>
      <c r="BC117" s="209">
        <v>353</v>
      </c>
      <c r="BE117" s="163" t="s">
        <v>989</v>
      </c>
      <c r="BF117" s="212">
        <v>14800</v>
      </c>
      <c r="BG117" s="209"/>
      <c r="BH117" s="209">
        <v>358</v>
      </c>
      <c r="BJ117" s="163" t="s">
        <v>989</v>
      </c>
      <c r="BK117" s="148">
        <f t="shared" si="12"/>
        <v>175200</v>
      </c>
      <c r="BL117" s="216">
        <f t="shared" si="13"/>
        <v>4299</v>
      </c>
    </row>
    <row r="118" spans="1:65" x14ac:dyDescent="0.25">
      <c r="A118"/>
      <c r="B118" s="157" t="s">
        <v>991</v>
      </c>
      <c r="C118" s="167"/>
      <c r="D118" s="168"/>
      <c r="E118" s="207">
        <v>-134</v>
      </c>
      <c r="F118" s="149"/>
      <c r="G118" s="157" t="s">
        <v>991</v>
      </c>
      <c r="H118" s="167"/>
      <c r="I118" s="168"/>
      <c r="J118" s="207">
        <v>-144</v>
      </c>
      <c r="K118" s="149"/>
      <c r="L118" s="157" t="s">
        <v>991</v>
      </c>
      <c r="M118" s="167"/>
      <c r="N118" s="168"/>
      <c r="O118" s="207">
        <v>-141</v>
      </c>
      <c r="P118" s="21"/>
      <c r="Q118" s="157" t="s">
        <v>991</v>
      </c>
      <c r="R118" s="167"/>
      <c r="S118" s="168"/>
      <c r="T118" s="207">
        <v>-153</v>
      </c>
      <c r="V118" s="157" t="s">
        <v>991</v>
      </c>
      <c r="W118" s="167"/>
      <c r="X118" s="168"/>
      <c r="Y118" s="207">
        <v>-254</v>
      </c>
      <c r="AA118" s="157" t="s">
        <v>991</v>
      </c>
      <c r="AB118" s="167"/>
      <c r="AC118" s="168"/>
      <c r="AD118" s="207">
        <v>-257</v>
      </c>
      <c r="AF118" s="157" t="s">
        <v>991</v>
      </c>
      <c r="AG118" s="167"/>
      <c r="AH118" s="168"/>
      <c r="AI118" s="207">
        <v>-260</v>
      </c>
      <c r="AK118" s="157" t="s">
        <v>991</v>
      </c>
      <c r="AL118" s="167"/>
      <c r="AM118" s="168"/>
      <c r="AN118" s="207">
        <v>-350</v>
      </c>
      <c r="AP118" s="157" t="s">
        <v>991</v>
      </c>
      <c r="AQ118" s="167"/>
      <c r="AR118" s="168"/>
      <c r="AS118" s="207">
        <v>-297</v>
      </c>
      <c r="AU118" s="157" t="s">
        <v>991</v>
      </c>
      <c r="AV118" s="167"/>
      <c r="AW118" s="168"/>
      <c r="AX118" s="207">
        <v>-352</v>
      </c>
      <c r="AZ118" s="157" t="s">
        <v>991</v>
      </c>
      <c r="BA118" s="167"/>
      <c r="BB118" s="168"/>
      <c r="BC118" s="207">
        <v>-286</v>
      </c>
      <c r="BE118" s="157" t="s">
        <v>991</v>
      </c>
      <c r="BF118" s="167"/>
      <c r="BG118" s="168"/>
      <c r="BH118" s="207">
        <v>-177</v>
      </c>
      <c r="BJ118" s="157" t="s">
        <v>991</v>
      </c>
      <c r="BK118" s="148"/>
      <c r="BL118" s="213">
        <f t="shared" si="13"/>
        <v>-2805</v>
      </c>
    </row>
    <row r="119" spans="1:65" x14ac:dyDescent="0.25">
      <c r="D119" s="152"/>
      <c r="E119" s="152">
        <f>SUM(E115:E118)</f>
        <v>-12364</v>
      </c>
      <c r="F119" s="152"/>
      <c r="I119" s="152"/>
      <c r="J119" s="152">
        <f>SUM(J115:J118)</f>
        <v>-12111</v>
      </c>
      <c r="K119" s="152"/>
      <c r="N119" s="152"/>
      <c r="O119" s="152">
        <f>SUM(O115:O118)</f>
        <v>-12171</v>
      </c>
      <c r="P119" s="152"/>
      <c r="S119" s="152"/>
      <c r="T119" s="152">
        <f>SUM(T115:T118)</f>
        <v>-12366</v>
      </c>
      <c r="X119" s="152"/>
      <c r="Y119" s="152">
        <f>SUM(Y115:Y118)</f>
        <v>-12507</v>
      </c>
      <c r="AC119" s="152"/>
      <c r="AD119" s="152">
        <f>SUM(AD115:AD118)</f>
        <v>-12876</v>
      </c>
      <c r="AH119" s="152"/>
      <c r="AI119" s="152">
        <f>SUM(AI115:AI118)</f>
        <v>-12841</v>
      </c>
      <c r="AM119" s="152"/>
      <c r="AN119" s="152">
        <f>SUM(AN115:AN118)</f>
        <v>-12837</v>
      </c>
      <c r="AR119" s="152"/>
      <c r="AS119" s="152">
        <f>SUM(AS115:AS118)</f>
        <v>-12448</v>
      </c>
      <c r="AW119" s="152"/>
      <c r="AX119" s="152">
        <f>SUM(AX115:AX118)</f>
        <v>-12546</v>
      </c>
      <c r="BB119" s="152"/>
      <c r="BC119" s="152">
        <f>SUM(BC115:BC118)</f>
        <v>-12639</v>
      </c>
      <c r="BG119" s="152"/>
      <c r="BH119" s="152">
        <f>SUM(BH115:BH118)</f>
        <v>-12741</v>
      </c>
      <c r="BK119" s="148"/>
      <c r="BL119" s="216">
        <f t="shared" si="13"/>
        <v>-150447</v>
      </c>
    </row>
    <row r="120" spans="1:65" x14ac:dyDescent="0.25">
      <c r="B120" s="9"/>
      <c r="G120" s="9"/>
      <c r="L120" s="9"/>
      <c r="P120" s="33"/>
      <c r="Q120" s="9"/>
      <c r="V120" s="9"/>
      <c r="AA120" s="9"/>
      <c r="AF120" s="9"/>
      <c r="AK120" s="9"/>
      <c r="AP120" s="9"/>
      <c r="AU120" s="9"/>
      <c r="AZ120" s="9"/>
      <c r="BE120" s="9"/>
      <c r="BJ120" s="9"/>
      <c r="BK120" s="148"/>
      <c r="BL120" s="216"/>
    </row>
    <row r="121" spans="1:65" x14ac:dyDescent="0.25">
      <c r="B121" s="208" t="s">
        <v>990</v>
      </c>
      <c r="E121" s="33">
        <f>E113+E119</f>
        <v>8695822.7101170011</v>
      </c>
      <c r="G121" s="208" t="s">
        <v>990</v>
      </c>
      <c r="J121" s="33">
        <f>J113+J119</f>
        <v>7685956.9122409988</v>
      </c>
      <c r="L121" s="208" t="s">
        <v>990</v>
      </c>
      <c r="O121" s="33">
        <f>O113+O119</f>
        <v>6134461.6227879999</v>
      </c>
      <c r="Q121" s="208" t="s">
        <v>990</v>
      </c>
      <c r="T121" s="33">
        <f>T113+T119</f>
        <v>6115977.8133760002</v>
      </c>
      <c r="V121" s="208" t="s">
        <v>990</v>
      </c>
      <c r="Y121" s="33">
        <f>Y113+Y119</f>
        <v>6363603.3102150001</v>
      </c>
      <c r="AA121" s="208" t="s">
        <v>990</v>
      </c>
      <c r="AD121" s="33">
        <f>AD113+AD119</f>
        <v>6825919.9847819991</v>
      </c>
      <c r="AF121" s="208" t="s">
        <v>990</v>
      </c>
      <c r="AI121" s="33">
        <f>AI113+AI119</f>
        <v>7769113.1763460003</v>
      </c>
      <c r="AK121" s="208" t="s">
        <v>990</v>
      </c>
      <c r="AN121" s="33">
        <f>AN113+AN119</f>
        <v>7522727.5287929997</v>
      </c>
      <c r="AP121" s="208" t="s">
        <v>990</v>
      </c>
      <c r="AS121" s="33">
        <f>AS113+AS119</f>
        <v>6819358.1733619999</v>
      </c>
      <c r="AU121" s="208" t="s">
        <v>990</v>
      </c>
      <c r="AX121" s="33">
        <f>AX113+AX119</f>
        <v>5910396.07118</v>
      </c>
      <c r="AZ121" s="208" t="s">
        <v>990</v>
      </c>
      <c r="BC121" s="33">
        <f>BC113+BC119</f>
        <v>7926497.4501169994</v>
      </c>
      <c r="BE121" s="208" t="s">
        <v>990</v>
      </c>
      <c r="BH121" s="33">
        <f>BH113+BH119</f>
        <v>9046015.8892639987</v>
      </c>
      <c r="BJ121" s="208" t="s">
        <v>990</v>
      </c>
      <c r="BK121" s="148"/>
      <c r="BL121" s="216">
        <f t="shared" si="13"/>
        <v>86815850.642581001</v>
      </c>
    </row>
    <row r="123" spans="1:65" x14ac:dyDescent="0.25">
      <c r="B123" s="214" t="s">
        <v>998</v>
      </c>
      <c r="E123" s="33">
        <v>8695824</v>
      </c>
      <c r="G123" s="214" t="s">
        <v>998</v>
      </c>
      <c r="J123" s="33">
        <v>7685963</v>
      </c>
      <c r="L123" s="214" t="s">
        <v>998</v>
      </c>
      <c r="O123" s="33">
        <v>6134457</v>
      </c>
      <c r="Q123" s="214" t="s">
        <v>998</v>
      </c>
      <c r="T123" s="33">
        <v>6115982</v>
      </c>
      <c r="V123" s="214" t="s">
        <v>998</v>
      </c>
      <c r="Y123" s="33">
        <v>6363605</v>
      </c>
      <c r="AA123" s="214" t="s">
        <v>998</v>
      </c>
      <c r="AD123" s="33">
        <v>6825917</v>
      </c>
      <c r="AF123" s="214" t="s">
        <v>998</v>
      </c>
      <c r="AI123" s="33">
        <v>7769113</v>
      </c>
      <c r="AK123" s="214" t="s">
        <v>998</v>
      </c>
      <c r="AN123" s="33">
        <v>7522725</v>
      </c>
      <c r="AP123" s="214" t="s">
        <v>998</v>
      </c>
      <c r="AS123" s="33">
        <v>6819360</v>
      </c>
      <c r="AU123" s="214" t="s">
        <v>998</v>
      </c>
      <c r="AX123" s="33">
        <v>5910397</v>
      </c>
      <c r="AZ123" s="214" t="s">
        <v>998</v>
      </c>
      <c r="BC123" s="33">
        <v>7926499</v>
      </c>
      <c r="BE123" s="214" t="s">
        <v>998</v>
      </c>
      <c r="BH123" s="33">
        <v>9046020</v>
      </c>
      <c r="BJ123" s="214" t="s">
        <v>998</v>
      </c>
      <c r="BL123" s="216">
        <f t="shared" si="13"/>
        <v>86815862</v>
      </c>
    </row>
    <row r="124" spans="1:65" x14ac:dyDescent="0.25">
      <c r="B124" s="215"/>
      <c r="G124" s="215"/>
      <c r="L124" s="215"/>
      <c r="Q124" s="215"/>
      <c r="V124" s="215"/>
      <c r="AA124" s="215"/>
      <c r="AF124" s="215"/>
      <c r="AK124" s="215"/>
      <c r="AP124" s="215"/>
      <c r="AU124" s="215"/>
      <c r="AZ124" s="215"/>
      <c r="BE124" s="215"/>
    </row>
    <row r="125" spans="1:65" x14ac:dyDescent="0.25">
      <c r="B125" s="214" t="s">
        <v>949</v>
      </c>
      <c r="E125" s="33">
        <f>E121-E123</f>
        <v>-1.2898829989135265</v>
      </c>
      <c r="G125" s="214" t="s">
        <v>949</v>
      </c>
      <c r="J125" s="33">
        <f>J121-J123</f>
        <v>-6.0877590011805296</v>
      </c>
      <c r="L125" s="214" t="s">
        <v>949</v>
      </c>
      <c r="O125" s="33">
        <f>O121-O123</f>
        <v>4.622787999920547</v>
      </c>
      <c r="Q125" s="214" t="s">
        <v>949</v>
      </c>
      <c r="T125" s="33">
        <f>T121-T123</f>
        <v>-4.1866239998489618</v>
      </c>
      <c r="V125" s="214" t="s">
        <v>949</v>
      </c>
      <c r="Y125" s="33">
        <f>Y121-Y123</f>
        <v>-1.6897849999368191</v>
      </c>
      <c r="AA125" s="214" t="s">
        <v>949</v>
      </c>
      <c r="AD125" s="33">
        <f>AD121-AD123</f>
        <v>2.9847819991409779</v>
      </c>
      <c r="AF125" s="214" t="s">
        <v>949</v>
      </c>
      <c r="AI125" s="33">
        <f>AI121-AI123</f>
        <v>0.17634600028395653</v>
      </c>
      <c r="AK125" s="214" t="s">
        <v>949</v>
      </c>
      <c r="AN125" s="33">
        <f>AN121-AN123</f>
        <v>2.5287929996848106</v>
      </c>
      <c r="AP125" s="214" t="s">
        <v>949</v>
      </c>
      <c r="AS125" s="33">
        <f>AS121-AS123</f>
        <v>-1.8266380000859499</v>
      </c>
      <c r="AU125" s="214" t="s">
        <v>949</v>
      </c>
      <c r="AX125" s="33">
        <f>AX121-AX123</f>
        <v>-0.92882000003010035</v>
      </c>
      <c r="AZ125" s="214" t="s">
        <v>949</v>
      </c>
      <c r="BC125" s="33">
        <f>BC121-BC123</f>
        <v>-1.5498830005526543</v>
      </c>
      <c r="BE125" s="214" t="s">
        <v>949</v>
      </c>
      <c r="BH125" s="33">
        <f>BH121-BH123</f>
        <v>-4.1107360012829304</v>
      </c>
      <c r="BJ125" s="214" t="s">
        <v>949</v>
      </c>
      <c r="BL125" s="33">
        <f>BL123-BL121</f>
        <v>11.35741899907589</v>
      </c>
      <c r="BM125" s="33"/>
    </row>
    <row r="127" spans="1:65" x14ac:dyDescent="0.25">
      <c r="C127" s="191"/>
      <c r="D127" s="38"/>
      <c r="E127" s="38"/>
      <c r="BJ127" s="214" t="s">
        <v>999</v>
      </c>
      <c r="BL127" s="21">
        <v>86818667</v>
      </c>
    </row>
    <row r="128" spans="1:65" x14ac:dyDescent="0.25">
      <c r="C128" s="18"/>
      <c r="D128" s="38"/>
      <c r="E128" s="41"/>
    </row>
    <row r="129" spans="3:64" x14ac:dyDescent="0.25">
      <c r="C129" s="18"/>
      <c r="D129" s="38"/>
      <c r="E129" s="41"/>
      <c r="BL129" s="218">
        <f>BL127-BL123</f>
        <v>2805</v>
      </c>
    </row>
    <row r="130" spans="3:64" x14ac:dyDescent="0.25">
      <c r="C130" s="18"/>
      <c r="D130" s="38"/>
      <c r="E130" s="41"/>
    </row>
    <row r="131" spans="3:64" x14ac:dyDescent="0.25">
      <c r="C131" s="18"/>
      <c r="D131" s="38"/>
      <c r="E131" s="41"/>
      <c r="BL131" s="33">
        <f>BL127-BL111-BL116</f>
        <v>74246944</v>
      </c>
    </row>
    <row r="132" spans="3:64" x14ac:dyDescent="0.25">
      <c r="C132" s="18"/>
      <c r="D132" s="38"/>
      <c r="E132" s="41"/>
    </row>
    <row r="133" spans="3:64" x14ac:dyDescent="0.25">
      <c r="C133" s="18"/>
      <c r="D133" s="38"/>
      <c r="E133" s="41"/>
    </row>
    <row r="134" spans="3:64" x14ac:dyDescent="0.25">
      <c r="C134" s="18"/>
      <c r="D134" s="38"/>
      <c r="E134" s="41"/>
    </row>
    <row r="135" spans="3:64" x14ac:dyDescent="0.25">
      <c r="C135" s="18"/>
      <c r="D135" s="38"/>
      <c r="E135" s="41"/>
    </row>
    <row r="136" spans="3:64" x14ac:dyDescent="0.25">
      <c r="C136" s="18"/>
      <c r="D136" s="38"/>
      <c r="E136" s="41"/>
    </row>
    <row r="137" spans="3:64" x14ac:dyDescent="0.25">
      <c r="C137" s="38"/>
      <c r="D137" s="38"/>
      <c r="E137" s="38"/>
    </row>
    <row r="138" spans="3:64" x14ac:dyDescent="0.25">
      <c r="C138" s="191"/>
      <c r="D138" s="38"/>
      <c r="E138" s="38"/>
    </row>
    <row r="139" spans="3:64" x14ac:dyDescent="0.25">
      <c r="C139" s="18"/>
      <c r="D139" s="38"/>
      <c r="E139" s="147"/>
    </row>
    <row r="140" spans="3:64" x14ac:dyDescent="0.25">
      <c r="C140" s="18"/>
      <c r="D140" s="38"/>
      <c r="E140" s="41"/>
    </row>
    <row r="141" spans="3:64" x14ac:dyDescent="0.25">
      <c r="C141" s="18"/>
      <c r="D141" s="38"/>
      <c r="E141" s="41"/>
    </row>
    <row r="142" spans="3:64" x14ac:dyDescent="0.25">
      <c r="C142" s="18"/>
      <c r="D142" s="38"/>
      <c r="E142" s="41"/>
    </row>
    <row r="143" spans="3:64" x14ac:dyDescent="0.25">
      <c r="C143" s="38"/>
      <c r="D143" s="38"/>
      <c r="E143" s="147"/>
    </row>
    <row r="144" spans="3:64" x14ac:dyDescent="0.25">
      <c r="C144" s="191"/>
      <c r="D144" s="38"/>
      <c r="E144" s="38"/>
    </row>
    <row r="145" spans="3:5" x14ac:dyDescent="0.25">
      <c r="C145" s="18"/>
      <c r="D145" s="41"/>
      <c r="E145" s="147"/>
    </row>
    <row r="146" spans="3:5" x14ac:dyDescent="0.25">
      <c r="C146" s="18"/>
      <c r="D146" s="41"/>
      <c r="E146" s="147"/>
    </row>
    <row r="147" spans="3:5" x14ac:dyDescent="0.25">
      <c r="C147" s="18"/>
      <c r="D147" s="41"/>
      <c r="E147" s="147"/>
    </row>
    <row r="148" spans="3:5" x14ac:dyDescent="0.25">
      <c r="C148" s="18"/>
      <c r="D148" s="41"/>
      <c r="E148" s="147"/>
    </row>
    <row r="149" spans="3:5" x14ac:dyDescent="0.25">
      <c r="C149" s="18"/>
      <c r="D149" s="41"/>
      <c r="E149" s="147"/>
    </row>
    <row r="150" spans="3:5" x14ac:dyDescent="0.25">
      <c r="C150" s="18"/>
      <c r="D150" s="41"/>
      <c r="E150" s="147"/>
    </row>
    <row r="151" spans="3:5" x14ac:dyDescent="0.25">
      <c r="C151" s="18"/>
      <c r="D151" s="41"/>
      <c r="E151" s="147"/>
    </row>
    <row r="152" spans="3:5" x14ac:dyDescent="0.25">
      <c r="C152" s="18"/>
      <c r="D152" s="41"/>
      <c r="E152" s="147"/>
    </row>
    <row r="153" spans="3:5" x14ac:dyDescent="0.25">
      <c r="C153" s="18"/>
      <c r="D153" s="41"/>
      <c r="E153" s="147"/>
    </row>
    <row r="154" spans="3:5" x14ac:dyDescent="0.25">
      <c r="C154" s="18"/>
      <c r="D154" s="41"/>
      <c r="E154" s="147"/>
    </row>
    <row r="155" spans="3:5" x14ac:dyDescent="0.25">
      <c r="C155" s="18"/>
      <c r="D155" s="41"/>
      <c r="E155" s="147"/>
    </row>
    <row r="156" spans="3:5" x14ac:dyDescent="0.25">
      <c r="C156" s="18"/>
      <c r="D156" s="41"/>
      <c r="E156" s="147"/>
    </row>
    <row r="157" spans="3:5" x14ac:dyDescent="0.25">
      <c r="C157" s="18"/>
      <c r="D157" s="41"/>
      <c r="E157" s="147"/>
    </row>
    <row r="158" spans="3:5" x14ac:dyDescent="0.25">
      <c r="C158" s="18"/>
      <c r="D158" s="41"/>
      <c r="E158" s="147"/>
    </row>
    <row r="159" spans="3:5" x14ac:dyDescent="0.25">
      <c r="C159" s="18"/>
      <c r="D159" s="41"/>
      <c r="E159" s="147"/>
    </row>
    <row r="160" spans="3:5" x14ac:dyDescent="0.25">
      <c r="C160" s="18"/>
      <c r="D160" s="41"/>
      <c r="E160" s="147"/>
    </row>
    <row r="161" spans="3:5" x14ac:dyDescent="0.25">
      <c r="C161" s="18"/>
      <c r="D161" s="41"/>
      <c r="E161" s="147"/>
    </row>
    <row r="162" spans="3:5" x14ac:dyDescent="0.25">
      <c r="C162" s="18"/>
      <c r="D162" s="41"/>
      <c r="E162" s="147"/>
    </row>
    <row r="163" spans="3:5" x14ac:dyDescent="0.25">
      <c r="C163" s="18"/>
      <c r="D163" s="41"/>
      <c r="E163" s="147"/>
    </row>
    <row r="164" spans="3:5" x14ac:dyDescent="0.25">
      <c r="C164" s="18"/>
      <c r="D164" s="41"/>
      <c r="E164" s="147"/>
    </row>
    <row r="165" spans="3:5" x14ac:dyDescent="0.25">
      <c r="C165" s="18"/>
      <c r="D165" s="41"/>
      <c r="E165" s="147"/>
    </row>
    <row r="166" spans="3:5" x14ac:dyDescent="0.25">
      <c r="C166" s="18"/>
      <c r="D166" s="41"/>
      <c r="E166" s="147"/>
    </row>
    <row r="167" spans="3:5" x14ac:dyDescent="0.25">
      <c r="C167" s="18"/>
      <c r="D167" s="41"/>
      <c r="E167" s="147"/>
    </row>
    <row r="168" spans="3:5" x14ac:dyDescent="0.25">
      <c r="C168" s="18"/>
      <c r="D168" s="41"/>
      <c r="E168" s="147"/>
    </row>
    <row r="169" spans="3:5" x14ac:dyDescent="0.25">
      <c r="C169" s="18"/>
      <c r="D169" s="41"/>
      <c r="E169" s="147"/>
    </row>
    <row r="170" spans="3:5" x14ac:dyDescent="0.25">
      <c r="C170" s="18"/>
      <c r="D170" s="41"/>
      <c r="E170" s="147"/>
    </row>
    <row r="171" spans="3:5" x14ac:dyDescent="0.25">
      <c r="C171" s="18"/>
      <c r="D171" s="41"/>
      <c r="E171" s="147"/>
    </row>
    <row r="172" spans="3:5" x14ac:dyDescent="0.25">
      <c r="C172" s="18"/>
      <c r="D172" s="41"/>
      <c r="E172" s="147"/>
    </row>
    <row r="173" spans="3:5" x14ac:dyDescent="0.25">
      <c r="C173" s="18"/>
      <c r="D173" s="41"/>
      <c r="E173" s="147"/>
    </row>
    <row r="174" spans="3:5" x14ac:dyDescent="0.25">
      <c r="C174" s="18"/>
      <c r="D174" s="41"/>
      <c r="E174" s="147"/>
    </row>
    <row r="175" spans="3:5" x14ac:dyDescent="0.25">
      <c r="C175" s="18"/>
      <c r="D175" s="41"/>
      <c r="E175" s="147"/>
    </row>
    <row r="176" spans="3:5" x14ac:dyDescent="0.25">
      <c r="C176" s="18"/>
      <c r="D176" s="41"/>
      <c r="E176" s="147"/>
    </row>
    <row r="177" spans="3:5" x14ac:dyDescent="0.25">
      <c r="C177" s="18"/>
      <c r="D177" s="41"/>
      <c r="E177" s="147"/>
    </row>
    <row r="178" spans="3:5" x14ac:dyDescent="0.25">
      <c r="C178" s="18"/>
      <c r="D178" s="41"/>
      <c r="E178" s="147"/>
    </row>
    <row r="179" spans="3:5" x14ac:dyDescent="0.25">
      <c r="C179" s="18"/>
      <c r="D179" s="41"/>
      <c r="E179" s="147"/>
    </row>
    <row r="180" spans="3:5" x14ac:dyDescent="0.25">
      <c r="C180" s="18"/>
      <c r="D180" s="41"/>
      <c r="E180" s="147"/>
    </row>
    <row r="181" spans="3:5" x14ac:dyDescent="0.25">
      <c r="C181" s="18"/>
      <c r="D181" s="41"/>
      <c r="E181" s="147"/>
    </row>
    <row r="182" spans="3:5" x14ac:dyDescent="0.25">
      <c r="C182" s="18"/>
      <c r="D182" s="41"/>
      <c r="E182" s="147"/>
    </row>
    <row r="183" spans="3:5" x14ac:dyDescent="0.25">
      <c r="C183" s="18"/>
      <c r="D183" s="41"/>
      <c r="E183" s="147"/>
    </row>
    <row r="184" spans="3:5" x14ac:dyDescent="0.25">
      <c r="C184" s="18"/>
      <c r="D184" s="41"/>
      <c r="E184" s="147"/>
    </row>
    <row r="185" spans="3:5" x14ac:dyDescent="0.25">
      <c r="C185" s="18"/>
      <c r="D185" s="38"/>
      <c r="E185" s="41"/>
    </row>
    <row r="186" spans="3:5" x14ac:dyDescent="0.25">
      <c r="C186" s="38"/>
      <c r="D186" s="38"/>
      <c r="E186" s="38"/>
    </row>
    <row r="187" spans="3:5" x14ac:dyDescent="0.25">
      <c r="C187" s="26"/>
      <c r="D187" s="38"/>
      <c r="E187" s="147"/>
    </row>
    <row r="188" spans="3:5" x14ac:dyDescent="0.25">
      <c r="C188" s="38"/>
      <c r="D188" s="38"/>
      <c r="E188" s="38"/>
    </row>
    <row r="189" spans="3:5" x14ac:dyDescent="0.25">
      <c r="C189" s="38"/>
      <c r="D189" s="38"/>
      <c r="E189" s="41"/>
    </row>
    <row r="190" spans="3:5" x14ac:dyDescent="0.25">
      <c r="C190" s="38"/>
      <c r="D190" s="38"/>
      <c r="E190" s="147"/>
    </row>
  </sheetData>
  <phoneticPr fontId="0" type="noConversion"/>
  <pageMargins left="0.75" right="0.75" top="1" bottom="1" header="0.5" footer="0.5"/>
  <pageSetup scale="46" orientation="landscape" horizontalDpi="4294967293" r:id="rId1"/>
  <headerFooter alignWithMargins="0">
    <oddHeader>&amp;A</oddHeader>
    <oddFooter>Page &amp;P</oddFooter>
  </headerFooter>
  <colBreaks count="3" manualBreakCount="3">
    <brk id="31" max="1048575" man="1"/>
    <brk id="46" max="49" man="1"/>
    <brk id="6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182"/>
  <sheetViews>
    <sheetView topLeftCell="AW61" workbookViewId="0">
      <selection activeCell="BL126" sqref="BL126"/>
    </sheetView>
  </sheetViews>
  <sheetFormatPr defaultRowHeight="15" x14ac:dyDescent="0.25"/>
  <cols>
    <col min="1" max="1" width="13" style="2" customWidth="1"/>
    <col min="2" max="2" width="12.42578125" style="2" customWidth="1"/>
    <col min="3" max="3" width="16.28515625" style="2" customWidth="1"/>
    <col min="4" max="5" width="17.5703125" style="2" customWidth="1"/>
    <col min="6" max="6" width="6.85546875" style="2" customWidth="1"/>
    <col min="7" max="9" width="17.5703125" style="2" customWidth="1"/>
    <col min="10" max="10" width="17.140625" style="2" customWidth="1"/>
    <col min="11" max="11" width="6.85546875" style="2" customWidth="1"/>
    <col min="12" max="15" width="17.140625" style="2" customWidth="1"/>
    <col min="16" max="16" width="7.85546875" style="2" customWidth="1"/>
    <col min="17" max="17" width="16.28515625" style="2" customWidth="1"/>
    <col min="18" max="18" width="18.7109375" style="2" customWidth="1"/>
    <col min="19" max="20" width="16.42578125" style="2" customWidth="1"/>
    <col min="21" max="21" width="9.28515625" style="2" customWidth="1"/>
    <col min="22" max="22" width="14.140625" style="2" customWidth="1"/>
    <col min="23" max="23" width="15.85546875" style="2" customWidth="1"/>
    <col min="24" max="25" width="16.42578125" style="2" customWidth="1"/>
    <col min="26" max="26" width="12.7109375" style="2" customWidth="1"/>
    <col min="27" max="27" width="11.28515625" style="2" customWidth="1"/>
    <col min="28" max="28" width="14.28515625" style="2" customWidth="1"/>
    <col min="29" max="30" width="16.42578125" style="2" customWidth="1"/>
    <col min="31" max="31" width="11.85546875" style="2" customWidth="1"/>
    <col min="32" max="32" width="12.5703125" style="2" customWidth="1"/>
    <col min="33" max="33" width="15.7109375" style="2" customWidth="1"/>
    <col min="34" max="35" width="16.42578125" style="2" customWidth="1"/>
    <col min="36" max="36" width="12" style="2" customWidth="1"/>
    <col min="37" max="37" width="12.7109375" style="2" customWidth="1"/>
    <col min="38" max="38" width="16.28515625" style="2" customWidth="1"/>
    <col min="39" max="40" width="16.42578125" style="2" customWidth="1"/>
    <col min="41" max="41" width="11.5703125" style="2" customWidth="1"/>
    <col min="42" max="42" width="11.7109375" style="2" customWidth="1"/>
    <col min="43" max="43" width="15.5703125" style="2" customWidth="1"/>
    <col min="44" max="45" width="16.42578125" style="2" customWidth="1"/>
    <col min="46" max="46" width="11.140625" style="2" customWidth="1"/>
    <col min="47" max="47" width="11.42578125" style="2" customWidth="1"/>
    <col min="48" max="48" width="15.85546875" style="2" customWidth="1"/>
    <col min="49" max="50" width="16.42578125" style="2" customWidth="1"/>
    <col min="51" max="51" width="13.7109375" style="2" customWidth="1"/>
    <col min="52" max="52" width="12.85546875" style="2" customWidth="1"/>
    <col min="53" max="53" width="15.140625" style="2" customWidth="1"/>
    <col min="54" max="55" width="16.42578125" style="2" customWidth="1"/>
    <col min="56" max="56" width="13" style="2" customWidth="1"/>
    <col min="57" max="57" width="14" style="2" customWidth="1"/>
    <col min="58" max="58" width="15.7109375" style="2" customWidth="1"/>
    <col min="59" max="60" width="16.42578125" style="2" customWidth="1"/>
    <col min="61" max="61" width="14.42578125" style="2" customWidth="1"/>
    <col min="62" max="62" width="13.140625" style="2" customWidth="1"/>
    <col min="63" max="63" width="17.28515625" style="2" customWidth="1"/>
    <col min="64" max="64" width="18.7109375" style="2" bestFit="1" customWidth="1"/>
    <col min="65" max="65" width="18.7109375" style="2" customWidth="1"/>
    <col min="66" max="66" width="21.140625" style="2" customWidth="1"/>
    <col min="67" max="67" width="20.140625" style="2" customWidth="1"/>
    <col min="68" max="69" width="9.140625" style="2"/>
    <col min="70" max="70" width="11.28515625" style="2" customWidth="1"/>
    <col min="71" max="73" width="16.28515625" style="2" customWidth="1"/>
    <col min="74" max="16384" width="9.140625" style="2"/>
  </cols>
  <sheetData>
    <row r="1" spans="1:67" ht="18.75" x14ac:dyDescent="0.3">
      <c r="A1" s="36" t="s">
        <v>977</v>
      </c>
    </row>
    <row r="2" spans="1:67" x14ac:dyDescent="0.25">
      <c r="A2" s="2" t="s">
        <v>667</v>
      </c>
      <c r="AC2" s="73"/>
    </row>
    <row r="3" spans="1:67" x14ac:dyDescent="0.25">
      <c r="A3" s="172"/>
      <c r="AC3" s="73"/>
      <c r="BL3" s="33"/>
    </row>
    <row r="4" spans="1:67" x14ac:dyDescent="0.25">
      <c r="BN4" s="147"/>
      <c r="BO4" s="38"/>
    </row>
    <row r="5" spans="1:67" x14ac:dyDescent="0.25">
      <c r="A5" s="8"/>
      <c r="BN5" s="147"/>
      <c r="BO5" s="38"/>
    </row>
    <row r="6" spans="1:67" x14ac:dyDescent="0.25">
      <c r="E6" s="33"/>
      <c r="BN6" s="38"/>
      <c r="BO6" s="38"/>
    </row>
    <row r="7" spans="1:67" customFormat="1" x14ac:dyDescent="0.25">
      <c r="A7" s="181" t="s">
        <v>952</v>
      </c>
      <c r="E7" s="104"/>
    </row>
    <row r="8" spans="1:67" customFormat="1" x14ac:dyDescent="0.25"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4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</row>
    <row r="9" spans="1:67" customFormat="1" x14ac:dyDescent="0.25">
      <c r="B9" s="155">
        <v>43831</v>
      </c>
      <c r="C9" s="2"/>
      <c r="D9" s="2"/>
      <c r="E9" s="2"/>
      <c r="F9" s="2"/>
      <c r="G9" s="155">
        <v>43862</v>
      </c>
      <c r="H9" s="155"/>
      <c r="I9" s="155"/>
      <c r="J9" s="2"/>
      <c r="K9" s="2"/>
      <c r="L9" s="155">
        <v>43891</v>
      </c>
      <c r="M9" s="155"/>
      <c r="N9" s="155"/>
      <c r="O9" s="2"/>
      <c r="P9" s="2"/>
      <c r="Q9" s="155">
        <v>43556</v>
      </c>
      <c r="R9" s="155"/>
      <c r="S9" s="155"/>
      <c r="T9" s="2"/>
      <c r="U9" s="2"/>
      <c r="V9" s="155">
        <v>43586</v>
      </c>
      <c r="W9" s="155"/>
      <c r="X9" s="155"/>
      <c r="Y9" s="2"/>
      <c r="Z9" s="2"/>
      <c r="AA9" s="155">
        <v>43617</v>
      </c>
      <c r="AB9" s="155"/>
      <c r="AC9" s="155"/>
      <c r="AD9" s="2"/>
      <c r="AE9" s="2"/>
      <c r="AF9" s="155">
        <v>43647</v>
      </c>
      <c r="AG9" s="155"/>
      <c r="AH9" s="155"/>
      <c r="AI9" s="2"/>
      <c r="AJ9" s="2"/>
      <c r="AK9" s="155">
        <v>43678</v>
      </c>
      <c r="AL9" s="155"/>
      <c r="AM9" s="155"/>
      <c r="AN9" s="2"/>
      <c r="AO9" s="2"/>
      <c r="AP9" s="155">
        <v>43709</v>
      </c>
      <c r="AQ9" s="155"/>
      <c r="AR9" s="155"/>
      <c r="AS9" s="2"/>
      <c r="AT9" s="2"/>
      <c r="AU9" s="155">
        <v>43739</v>
      </c>
      <c r="AV9" s="155"/>
      <c r="AW9" s="155"/>
      <c r="AX9" s="2"/>
      <c r="AY9" s="2"/>
      <c r="AZ9" s="155">
        <v>43770</v>
      </c>
      <c r="BA9" s="155"/>
      <c r="BB9" s="155"/>
      <c r="BC9" s="2"/>
      <c r="BD9" s="2"/>
      <c r="BE9" s="155">
        <v>43800</v>
      </c>
      <c r="BF9" s="155"/>
      <c r="BG9" s="155"/>
      <c r="BH9" s="2"/>
      <c r="BI9" s="2"/>
      <c r="BJ9" s="105" t="s">
        <v>1</v>
      </c>
    </row>
    <row r="10" spans="1:67" customFormat="1" x14ac:dyDescent="0.25">
      <c r="A10" s="2"/>
      <c r="B10" s="206" t="s">
        <v>992</v>
      </c>
      <c r="C10" s="198" t="s">
        <v>863</v>
      </c>
      <c r="D10" s="198" t="s">
        <v>864</v>
      </c>
      <c r="E10" s="198" t="s">
        <v>582</v>
      </c>
      <c r="F10" s="156"/>
      <c r="G10" s="206" t="s">
        <v>992</v>
      </c>
      <c r="H10" s="198" t="s">
        <v>863</v>
      </c>
      <c r="I10" s="198" t="s">
        <v>864</v>
      </c>
      <c r="J10" s="198" t="s">
        <v>582</v>
      </c>
      <c r="K10" s="156"/>
      <c r="L10" s="206" t="s">
        <v>992</v>
      </c>
      <c r="M10" s="198" t="s">
        <v>863</v>
      </c>
      <c r="N10" s="198" t="s">
        <v>864</v>
      </c>
      <c r="O10" s="198" t="s">
        <v>582</v>
      </c>
      <c r="P10" s="156"/>
      <c r="Q10" s="206" t="s">
        <v>992</v>
      </c>
      <c r="R10" s="198" t="s">
        <v>863</v>
      </c>
      <c r="S10" s="198" t="s">
        <v>864</v>
      </c>
      <c r="T10" s="198" t="s">
        <v>582</v>
      </c>
      <c r="U10" s="156"/>
      <c r="V10" s="206" t="s">
        <v>992</v>
      </c>
      <c r="W10" s="198" t="s">
        <v>863</v>
      </c>
      <c r="X10" s="198" t="s">
        <v>864</v>
      </c>
      <c r="Y10" s="198" t="s">
        <v>582</v>
      </c>
      <c r="Z10" s="156"/>
      <c r="AB10" s="198" t="s">
        <v>863</v>
      </c>
      <c r="AC10" s="198" t="s">
        <v>864</v>
      </c>
      <c r="AD10" s="198" t="s">
        <v>582</v>
      </c>
      <c r="AE10" s="156"/>
      <c r="AG10" s="198" t="s">
        <v>863</v>
      </c>
      <c r="AH10" s="198" t="s">
        <v>864</v>
      </c>
      <c r="AI10" s="198" t="s">
        <v>582</v>
      </c>
      <c r="AJ10" s="156"/>
      <c r="AL10" s="198" t="s">
        <v>863</v>
      </c>
      <c r="AM10" s="198" t="s">
        <v>864</v>
      </c>
      <c r="AN10" s="198" t="s">
        <v>582</v>
      </c>
      <c r="AO10" s="156"/>
      <c r="AQ10" s="198" t="s">
        <v>863</v>
      </c>
      <c r="AR10" s="198" t="s">
        <v>864</v>
      </c>
      <c r="AS10" s="198" t="s">
        <v>582</v>
      </c>
      <c r="AT10" s="156"/>
      <c r="AV10" s="198" t="s">
        <v>863</v>
      </c>
      <c r="AW10" s="198" t="s">
        <v>864</v>
      </c>
      <c r="AX10" s="198" t="s">
        <v>582</v>
      </c>
      <c r="AY10" s="156"/>
      <c r="BA10" s="198" t="s">
        <v>863</v>
      </c>
      <c r="BB10" s="198" t="s">
        <v>864</v>
      </c>
      <c r="BC10" s="198" t="s">
        <v>582</v>
      </c>
      <c r="BD10" s="156"/>
      <c r="BF10" s="198" t="s">
        <v>863</v>
      </c>
      <c r="BG10" s="198" t="s">
        <v>864</v>
      </c>
      <c r="BH10" s="198" t="s">
        <v>582</v>
      </c>
      <c r="BK10" s="198" t="s">
        <v>863</v>
      </c>
      <c r="BL10" s="198" t="s">
        <v>582</v>
      </c>
    </row>
    <row r="11" spans="1:67" customFormat="1" x14ac:dyDescent="0.25">
      <c r="A11" s="156"/>
      <c r="B11" s="157" t="s">
        <v>12</v>
      </c>
      <c r="C11" s="148">
        <v>312017</v>
      </c>
      <c r="D11" s="150">
        <v>6.55</v>
      </c>
      <c r="E11" s="150">
        <f t="shared" ref="E11:E13" si="0">C11*D11</f>
        <v>2043711.3499999999</v>
      </c>
      <c r="F11" s="156"/>
      <c r="G11" s="157" t="s">
        <v>12</v>
      </c>
      <c r="H11" s="148">
        <v>288291</v>
      </c>
      <c r="I11" s="150">
        <v>6.55</v>
      </c>
      <c r="J11" s="150">
        <f t="shared" ref="J11:J13" si="1">H11*I11</f>
        <v>1888306.05</v>
      </c>
      <c r="K11" s="156"/>
      <c r="L11" s="157" t="s">
        <v>12</v>
      </c>
      <c r="M11" s="148">
        <v>226927</v>
      </c>
      <c r="N11" s="150">
        <v>6.55</v>
      </c>
      <c r="O11" s="150">
        <f t="shared" ref="O11:O13" si="2">M11*N11</f>
        <v>1486371.8499999999</v>
      </c>
      <c r="P11" s="156"/>
      <c r="Q11" s="157" t="s">
        <v>12</v>
      </c>
      <c r="R11" s="148">
        <v>215297</v>
      </c>
      <c r="S11" s="150">
        <v>6.55</v>
      </c>
      <c r="T11" s="150">
        <f t="shared" ref="T11:T13" si="3">R11*S11</f>
        <v>1410195.3499999999</v>
      </c>
      <c r="U11" s="156"/>
      <c r="V11" s="157" t="s">
        <v>12</v>
      </c>
      <c r="W11" s="148">
        <v>187325</v>
      </c>
      <c r="X11" s="150">
        <v>6.55</v>
      </c>
      <c r="Y11" s="150">
        <f t="shared" ref="Y11:Y13" si="4">W11*X11</f>
        <v>1226978.75</v>
      </c>
      <c r="Z11" s="156"/>
      <c r="AA11" s="157" t="s">
        <v>12</v>
      </c>
      <c r="AB11" s="148">
        <v>195881</v>
      </c>
      <c r="AC11" s="150">
        <v>6.55</v>
      </c>
      <c r="AD11" s="150">
        <f t="shared" ref="AD11:AD13" si="5">AB11*AC11</f>
        <v>1283020.55</v>
      </c>
      <c r="AE11" s="156"/>
      <c r="AF11" s="157" t="s">
        <v>12</v>
      </c>
      <c r="AG11" s="148">
        <v>215058</v>
      </c>
      <c r="AH11" s="150">
        <v>6.55</v>
      </c>
      <c r="AI11" s="150">
        <f t="shared" ref="AI11:AI13" si="6">AG11*AH11</f>
        <v>1408629.9</v>
      </c>
      <c r="AJ11" s="156"/>
      <c r="AK11" s="157" t="s">
        <v>12</v>
      </c>
      <c r="AL11" s="148">
        <v>217731</v>
      </c>
      <c r="AM11" s="150">
        <v>6.55</v>
      </c>
      <c r="AN11" s="150">
        <f t="shared" ref="AN11:AN13" si="7">AL11*AM11</f>
        <v>1426138.05</v>
      </c>
      <c r="AO11" s="156"/>
      <c r="AP11" s="157" t="s">
        <v>12</v>
      </c>
      <c r="AQ11" s="148">
        <v>209295</v>
      </c>
      <c r="AR11" s="150">
        <v>6.55</v>
      </c>
      <c r="AS11" s="150">
        <f t="shared" ref="AS11:AS13" si="8">AQ11*AR11</f>
        <v>1370882.25</v>
      </c>
      <c r="AT11" s="156"/>
      <c r="AU11" s="157" t="s">
        <v>12</v>
      </c>
      <c r="AV11" s="148">
        <v>200885</v>
      </c>
      <c r="AW11" s="150">
        <v>6.55</v>
      </c>
      <c r="AX11" s="150">
        <f t="shared" ref="AX11:AX13" si="9">AV11*AW11</f>
        <v>1315796.75</v>
      </c>
      <c r="AY11" s="156"/>
      <c r="AZ11" s="157" t="s">
        <v>12</v>
      </c>
      <c r="BA11" s="148">
        <v>309013</v>
      </c>
      <c r="BB11" s="150">
        <v>6.55</v>
      </c>
      <c r="BC11" s="150">
        <f t="shared" ref="BC11:BC13" si="10">BA11*BB11</f>
        <v>2024035.15</v>
      </c>
      <c r="BD11" s="156"/>
      <c r="BE11" s="157" t="s">
        <v>12</v>
      </c>
      <c r="BF11" s="148">
        <v>295455</v>
      </c>
      <c r="BG11" s="150">
        <v>6.55</v>
      </c>
      <c r="BH11" s="150">
        <f t="shared" ref="BH11:BH13" si="11">BF11*BG11</f>
        <v>1935230.25</v>
      </c>
      <c r="BJ11" s="157" t="s">
        <v>12</v>
      </c>
      <c r="BK11" s="148">
        <f>C11+H11+M11+R11+W11+AB11+AG11+AL11+AQ11+AV11+BA11+BF11</f>
        <v>2873175</v>
      </c>
      <c r="BL11" s="216">
        <f>E11+J11+O11+T11+Y11+AD11+AI11+AN11+AS11+AX11+BC11+BH11</f>
        <v>18819296.25</v>
      </c>
    </row>
    <row r="12" spans="1:67" customFormat="1" x14ac:dyDescent="0.25">
      <c r="A12" s="156"/>
      <c r="B12" s="157" t="s">
        <v>859</v>
      </c>
      <c r="C12" s="148">
        <v>51705725</v>
      </c>
      <c r="D12" s="151">
        <v>5.1527000000000003E-2</v>
      </c>
      <c r="E12" s="150">
        <f t="shared" si="0"/>
        <v>2664240.8920750003</v>
      </c>
      <c r="F12" s="156"/>
      <c r="G12" s="157" t="s">
        <v>859</v>
      </c>
      <c r="H12" s="148">
        <v>49228281</v>
      </c>
      <c r="I12" s="151">
        <v>5.1527000000000003E-2</v>
      </c>
      <c r="J12" s="150">
        <f t="shared" si="1"/>
        <v>2536585.6350870002</v>
      </c>
      <c r="K12" s="156"/>
      <c r="L12" s="157" t="s">
        <v>859</v>
      </c>
      <c r="M12" s="148">
        <v>39349206</v>
      </c>
      <c r="N12" s="151">
        <v>5.1527000000000003E-2</v>
      </c>
      <c r="O12" s="150">
        <f t="shared" si="2"/>
        <v>2027546.5375620001</v>
      </c>
      <c r="P12" s="156"/>
      <c r="Q12" s="157" t="s">
        <v>859</v>
      </c>
      <c r="R12" s="148">
        <v>32217214</v>
      </c>
      <c r="S12" s="151">
        <v>5.1527000000000003E-2</v>
      </c>
      <c r="T12" s="150">
        <f t="shared" si="3"/>
        <v>1660056.3857780001</v>
      </c>
      <c r="U12" s="156"/>
      <c r="V12" s="157" t="s">
        <v>859</v>
      </c>
      <c r="W12" s="148">
        <v>47672325</v>
      </c>
      <c r="X12" s="151">
        <v>5.1527000000000003E-2</v>
      </c>
      <c r="Y12" s="150">
        <f t="shared" si="4"/>
        <v>2456411.8902750001</v>
      </c>
      <c r="Z12" s="156"/>
      <c r="AA12" s="157" t="s">
        <v>859</v>
      </c>
      <c r="AB12" s="148">
        <v>50877370</v>
      </c>
      <c r="AC12" s="151">
        <v>5.1527000000000003E-2</v>
      </c>
      <c r="AD12" s="150">
        <f t="shared" si="5"/>
        <v>2621558.2439900003</v>
      </c>
      <c r="AE12" s="156"/>
      <c r="AF12" s="157" t="s">
        <v>859</v>
      </c>
      <c r="AG12" s="148">
        <v>63350630</v>
      </c>
      <c r="AH12" s="151">
        <v>5.1527000000000003E-2</v>
      </c>
      <c r="AI12" s="150">
        <f t="shared" si="6"/>
        <v>3264267.9120100001</v>
      </c>
      <c r="AJ12" s="156"/>
      <c r="AK12" s="157" t="s">
        <v>859</v>
      </c>
      <c r="AL12" s="148">
        <v>61046161</v>
      </c>
      <c r="AM12" s="151">
        <v>5.1527000000000003E-2</v>
      </c>
      <c r="AN12" s="150">
        <f t="shared" si="7"/>
        <v>3145525.5378470002</v>
      </c>
      <c r="AO12" s="156"/>
      <c r="AP12" s="157" t="s">
        <v>859</v>
      </c>
      <c r="AQ12" s="148">
        <v>57520468</v>
      </c>
      <c r="AR12" s="151">
        <v>5.1527000000000003E-2</v>
      </c>
      <c r="AS12" s="150">
        <f t="shared" si="8"/>
        <v>2963857.1546360003</v>
      </c>
      <c r="AT12" s="156"/>
      <c r="AU12" s="157" t="s">
        <v>859</v>
      </c>
      <c r="AV12" s="148">
        <v>34386854</v>
      </c>
      <c r="AW12" s="151">
        <v>5.1527000000000003E-2</v>
      </c>
      <c r="AX12" s="150">
        <f t="shared" si="9"/>
        <v>1771851.4260580002</v>
      </c>
      <c r="AY12" s="156"/>
      <c r="AZ12" s="157" t="s">
        <v>859</v>
      </c>
      <c r="BA12" s="148">
        <v>45828875</v>
      </c>
      <c r="BB12" s="151">
        <v>5.1527000000000003E-2</v>
      </c>
      <c r="BC12" s="150">
        <f t="shared" si="10"/>
        <v>2361424.4421250001</v>
      </c>
      <c r="BD12" s="156"/>
      <c r="BE12" s="157" t="s">
        <v>859</v>
      </c>
      <c r="BF12" s="148">
        <v>49233740</v>
      </c>
      <c r="BG12" s="151">
        <v>5.1527000000000003E-2</v>
      </c>
      <c r="BH12" s="150">
        <f t="shared" si="11"/>
        <v>2536866.9209799999</v>
      </c>
      <c r="BJ12" s="157" t="s">
        <v>859</v>
      </c>
      <c r="BK12" s="148">
        <f t="shared" ref="BK12:BK117" si="12">C12+H12+M12+R12+W12+AB12+AG12+AL12+AQ12+AV12+BA12+BF12</f>
        <v>582416849</v>
      </c>
      <c r="BL12" s="216">
        <f t="shared" ref="BL12:BL121" si="13">E12+J12+O12+T12+Y12+AD12+AI12+AN12+AS12+AX12+BC12+BH12</f>
        <v>30010192.978423003</v>
      </c>
      <c r="BM12" s="176">
        <f>BK12/BN13</f>
        <v>0.51174579642776696</v>
      </c>
    </row>
    <row r="13" spans="1:67" customFormat="1" x14ac:dyDescent="0.25">
      <c r="B13" s="157" t="s">
        <v>860</v>
      </c>
      <c r="C13" s="159">
        <v>65260430</v>
      </c>
      <c r="D13" s="160">
        <v>4.2802E-2</v>
      </c>
      <c r="E13" s="150">
        <f t="shared" si="0"/>
        <v>2793276.9248600001</v>
      </c>
      <c r="G13" s="157" t="s">
        <v>860</v>
      </c>
      <c r="H13" s="159">
        <v>62954551</v>
      </c>
      <c r="I13" s="160">
        <v>4.2802E-2</v>
      </c>
      <c r="J13" s="150">
        <f t="shared" si="1"/>
        <v>2694580.691902</v>
      </c>
      <c r="L13" s="157" t="s">
        <v>860</v>
      </c>
      <c r="M13" s="159">
        <v>48846019</v>
      </c>
      <c r="N13" s="160">
        <v>4.2802E-2</v>
      </c>
      <c r="O13" s="150">
        <f t="shared" si="2"/>
        <v>2090707.3052379999</v>
      </c>
      <c r="Q13" s="157" t="s">
        <v>860</v>
      </c>
      <c r="R13" s="159">
        <v>38933772</v>
      </c>
      <c r="S13" s="160">
        <v>4.2802E-2</v>
      </c>
      <c r="T13" s="150">
        <f t="shared" si="3"/>
        <v>1666443.3091440001</v>
      </c>
      <c r="V13" s="157" t="s">
        <v>860</v>
      </c>
      <c r="W13" s="159">
        <v>32710547</v>
      </c>
      <c r="X13" s="160">
        <v>4.2802E-2</v>
      </c>
      <c r="Y13" s="150">
        <f t="shared" si="4"/>
        <v>1400076.8326940001</v>
      </c>
      <c r="AA13" s="157" t="s">
        <v>860</v>
      </c>
      <c r="AB13" s="159">
        <v>33118002</v>
      </c>
      <c r="AC13" s="160">
        <v>4.2802E-2</v>
      </c>
      <c r="AD13" s="150">
        <f t="shared" si="5"/>
        <v>1417516.7216040001</v>
      </c>
      <c r="AF13" s="157" t="s">
        <v>860</v>
      </c>
      <c r="AG13" s="159">
        <v>39786319</v>
      </c>
      <c r="AH13" s="160">
        <v>4.2802E-2</v>
      </c>
      <c r="AI13" s="150">
        <f t="shared" si="6"/>
        <v>1702934.025838</v>
      </c>
      <c r="AK13" s="157" t="s">
        <v>860</v>
      </c>
      <c r="AL13" s="159">
        <v>37970877</v>
      </c>
      <c r="AM13" s="160">
        <v>4.2802E-2</v>
      </c>
      <c r="AN13" s="150">
        <f t="shared" si="7"/>
        <v>1625229.4773540001</v>
      </c>
      <c r="AP13" s="157" t="s">
        <v>860</v>
      </c>
      <c r="AQ13" s="159">
        <v>34666304</v>
      </c>
      <c r="AR13" s="160">
        <v>4.2802E-2</v>
      </c>
      <c r="AS13" s="150">
        <f t="shared" si="8"/>
        <v>1483787.143808</v>
      </c>
      <c r="AU13" s="157" t="s">
        <v>860</v>
      </c>
      <c r="AV13" s="159">
        <v>41011387</v>
      </c>
      <c r="AW13" s="160">
        <v>4.2802E-2</v>
      </c>
      <c r="AX13" s="150">
        <f t="shared" si="9"/>
        <v>1755369.386374</v>
      </c>
      <c r="AZ13" s="157" t="s">
        <v>860</v>
      </c>
      <c r="BA13" s="159">
        <v>58944489</v>
      </c>
      <c r="BB13" s="160">
        <v>4.2802E-2</v>
      </c>
      <c r="BC13" s="150">
        <f t="shared" si="10"/>
        <v>2522942.0181780001</v>
      </c>
      <c r="BE13" s="157" t="s">
        <v>860</v>
      </c>
      <c r="BF13" s="159">
        <v>61478418</v>
      </c>
      <c r="BG13" s="160">
        <v>4.2802E-2</v>
      </c>
      <c r="BH13" s="150">
        <f t="shared" si="11"/>
        <v>2631399.2472359999</v>
      </c>
      <c r="BJ13" s="157" t="s">
        <v>860</v>
      </c>
      <c r="BK13" s="148">
        <f t="shared" si="12"/>
        <v>555681115</v>
      </c>
      <c r="BL13" s="217">
        <f t="shared" si="13"/>
        <v>23784263.084230002</v>
      </c>
      <c r="BM13" s="227">
        <f>1-BM12</f>
        <v>0.48825420357223304</v>
      </c>
      <c r="BN13" s="167">
        <f>BK12+BK13</f>
        <v>1138097964</v>
      </c>
    </row>
    <row r="14" spans="1:67" customFormat="1" x14ac:dyDescent="0.25">
      <c r="B14" s="157"/>
      <c r="C14" s="159"/>
      <c r="D14" s="160"/>
      <c r="E14" s="150"/>
      <c r="G14" s="157"/>
      <c r="H14" s="159"/>
      <c r="I14" s="160"/>
      <c r="J14" s="150"/>
      <c r="L14" s="157"/>
      <c r="M14" s="159"/>
      <c r="N14" s="160"/>
      <c r="O14" s="150"/>
      <c r="Q14" s="157"/>
      <c r="R14" s="159"/>
      <c r="S14" s="160"/>
      <c r="T14" s="150"/>
      <c r="V14" s="157"/>
      <c r="W14" s="159"/>
      <c r="X14" s="160"/>
      <c r="Y14" s="150"/>
      <c r="AA14" s="157"/>
      <c r="AB14" s="159"/>
      <c r="AC14" s="160"/>
      <c r="AD14" s="150"/>
      <c r="AF14" s="157"/>
      <c r="AG14" s="159"/>
      <c r="AH14" s="160"/>
      <c r="AI14" s="150"/>
      <c r="AK14" s="157"/>
      <c r="AL14" s="159"/>
      <c r="AM14" s="160"/>
      <c r="AN14" s="150"/>
      <c r="AP14" s="157"/>
      <c r="AQ14" s="159"/>
      <c r="AR14" s="160"/>
      <c r="AS14" s="150"/>
      <c r="AU14" s="157"/>
      <c r="AV14" s="159"/>
      <c r="AW14" s="160"/>
      <c r="AX14" s="150"/>
      <c r="AZ14" s="157"/>
      <c r="BA14" s="159"/>
      <c r="BB14" s="160"/>
      <c r="BC14" s="150"/>
      <c r="BE14" s="157"/>
      <c r="BF14" s="159"/>
      <c r="BG14" s="160"/>
      <c r="BH14" s="150"/>
      <c r="BJ14" s="157"/>
      <c r="BK14" s="148"/>
      <c r="BL14" s="216">
        <f>SUM(BL11:BL13)</f>
        <v>72613752.312653005</v>
      </c>
    </row>
    <row r="15" spans="1:67" customFormat="1" x14ac:dyDescent="0.25">
      <c r="A15" s="2"/>
      <c r="B15" s="206" t="s">
        <v>993</v>
      </c>
      <c r="C15" s="159"/>
      <c r="D15" s="160"/>
      <c r="E15" s="150"/>
      <c r="G15" s="206" t="s">
        <v>993</v>
      </c>
      <c r="H15" s="159"/>
      <c r="I15" s="160"/>
      <c r="J15" s="150"/>
      <c r="L15" s="206" t="s">
        <v>993</v>
      </c>
      <c r="M15" s="159"/>
      <c r="N15" s="160"/>
      <c r="O15" s="150"/>
      <c r="Q15" s="206" t="s">
        <v>993</v>
      </c>
      <c r="R15" s="159"/>
      <c r="S15" s="160"/>
      <c r="T15" s="150"/>
      <c r="V15" s="206" t="s">
        <v>993</v>
      </c>
      <c r="W15" s="159"/>
      <c r="X15" s="160"/>
      <c r="Y15" s="150"/>
      <c r="AA15" s="206" t="s">
        <v>993</v>
      </c>
      <c r="AB15" s="159"/>
      <c r="AC15" s="160"/>
      <c r="AD15" s="150"/>
      <c r="AF15" s="206" t="s">
        <v>993</v>
      </c>
      <c r="AG15" s="159"/>
      <c r="AH15" s="160"/>
      <c r="AI15" s="150"/>
      <c r="AK15" s="206" t="s">
        <v>993</v>
      </c>
      <c r="AL15" s="159"/>
      <c r="AM15" s="160"/>
      <c r="AN15" s="150"/>
      <c r="AP15" s="206" t="s">
        <v>993</v>
      </c>
      <c r="AQ15" s="159"/>
      <c r="AR15" s="160"/>
      <c r="AS15" s="150"/>
      <c r="AU15" s="206" t="s">
        <v>993</v>
      </c>
      <c r="AV15" s="159"/>
      <c r="AW15" s="160"/>
      <c r="AX15" s="150"/>
      <c r="AZ15" s="206" t="s">
        <v>993</v>
      </c>
      <c r="BA15" s="159"/>
      <c r="BB15" s="160"/>
      <c r="BC15" s="150"/>
      <c r="BE15" s="206" t="s">
        <v>993</v>
      </c>
      <c r="BF15" s="159"/>
      <c r="BG15" s="160"/>
      <c r="BH15" s="150"/>
      <c r="BJ15" s="206" t="s">
        <v>993</v>
      </c>
      <c r="BK15" s="148"/>
      <c r="BL15" s="216"/>
    </row>
    <row r="16" spans="1:67" customFormat="1" x14ac:dyDescent="0.25">
      <c r="A16" s="8" t="s">
        <v>1031</v>
      </c>
      <c r="B16" s="206"/>
      <c r="C16" s="159"/>
      <c r="D16" s="160"/>
      <c r="E16" s="150"/>
      <c r="F16" s="8" t="s">
        <v>1031</v>
      </c>
      <c r="G16" s="206"/>
      <c r="H16" s="159"/>
      <c r="I16" s="160"/>
      <c r="J16" s="150"/>
      <c r="K16" s="8" t="s">
        <v>1031</v>
      </c>
      <c r="L16" s="206"/>
      <c r="M16" s="159"/>
      <c r="N16" s="160"/>
      <c r="O16" s="150"/>
      <c r="P16" s="8" t="s">
        <v>1031</v>
      </c>
      <c r="Q16" s="206"/>
      <c r="R16" s="159"/>
      <c r="S16" s="160"/>
      <c r="T16" s="150"/>
      <c r="U16" s="8" t="s">
        <v>1031</v>
      </c>
      <c r="V16" s="206"/>
      <c r="W16" s="159"/>
      <c r="X16" s="160"/>
      <c r="Y16" s="150"/>
      <c r="Z16" s="8" t="s">
        <v>1031</v>
      </c>
      <c r="AA16" s="206"/>
      <c r="AB16" s="159"/>
      <c r="AC16" s="160"/>
      <c r="AD16" s="150"/>
      <c r="AE16" s="8" t="s">
        <v>1031</v>
      </c>
      <c r="AF16" s="206"/>
      <c r="AG16" s="159"/>
      <c r="AH16" s="160"/>
      <c r="AI16" s="150"/>
      <c r="AJ16" s="8" t="s">
        <v>1031</v>
      </c>
      <c r="AK16" s="206"/>
      <c r="AL16" s="159"/>
      <c r="AM16" s="160"/>
      <c r="AN16" s="150"/>
      <c r="AO16" s="8" t="s">
        <v>1031</v>
      </c>
      <c r="AP16" s="206"/>
      <c r="AQ16" s="159"/>
      <c r="AR16" s="160"/>
      <c r="AS16" s="150"/>
      <c r="AT16" s="8" t="s">
        <v>1031</v>
      </c>
      <c r="AU16" s="206"/>
      <c r="AV16" s="159"/>
      <c r="AW16" s="160"/>
      <c r="AX16" s="150"/>
      <c r="AY16" s="8" t="s">
        <v>1031</v>
      </c>
      <c r="AZ16" s="206"/>
      <c r="BA16" s="159"/>
      <c r="BB16" s="160"/>
      <c r="BC16" s="150"/>
      <c r="BD16" s="8" t="s">
        <v>1031</v>
      </c>
      <c r="BE16" s="206"/>
      <c r="BF16" s="159"/>
      <c r="BG16" s="160"/>
      <c r="BH16" s="150"/>
      <c r="BI16" s="8" t="s">
        <v>1031</v>
      </c>
      <c r="BJ16" s="206"/>
      <c r="BK16" s="159"/>
      <c r="BL16" s="160"/>
      <c r="BM16" s="150"/>
    </row>
    <row r="17" spans="1:65" customFormat="1" x14ac:dyDescent="0.25">
      <c r="A17" s="2"/>
      <c r="B17" s="157" t="s">
        <v>978</v>
      </c>
      <c r="C17" s="159">
        <v>2700</v>
      </c>
      <c r="D17" s="158">
        <v>7.49</v>
      </c>
      <c r="E17" s="150">
        <f>C17*D17</f>
        <v>20223</v>
      </c>
      <c r="F17" s="2"/>
      <c r="G17" s="157" t="s">
        <v>978</v>
      </c>
      <c r="H17" s="159">
        <v>2700</v>
      </c>
      <c r="I17" s="158">
        <v>7.49</v>
      </c>
      <c r="J17" s="150">
        <f>H17*I17</f>
        <v>20223</v>
      </c>
      <c r="K17" s="2"/>
      <c r="L17" s="157" t="s">
        <v>978</v>
      </c>
      <c r="M17" s="159">
        <v>2700</v>
      </c>
      <c r="N17" s="158">
        <v>7.49</v>
      </c>
      <c r="O17" s="150">
        <f>M17*N17</f>
        <v>20223</v>
      </c>
      <c r="P17" s="2"/>
      <c r="Q17" s="157" t="s">
        <v>978</v>
      </c>
      <c r="R17" s="159">
        <v>2700</v>
      </c>
      <c r="S17" s="158">
        <v>7.49</v>
      </c>
      <c r="T17" s="150">
        <f>R17*S17</f>
        <v>20223</v>
      </c>
      <c r="U17" s="2"/>
      <c r="V17" s="157" t="s">
        <v>978</v>
      </c>
      <c r="W17" s="159">
        <v>2700</v>
      </c>
      <c r="X17" s="158">
        <v>7.49</v>
      </c>
      <c r="Y17" s="150">
        <f>W17*X17</f>
        <v>20223</v>
      </c>
      <c r="Z17" s="2"/>
      <c r="AA17" s="157" t="s">
        <v>978</v>
      </c>
      <c r="AB17" s="159">
        <v>2700</v>
      </c>
      <c r="AC17" s="158">
        <v>7.49</v>
      </c>
      <c r="AD17" s="150">
        <f>AB17*AC17</f>
        <v>20223</v>
      </c>
      <c r="AE17" s="2"/>
      <c r="AF17" s="157" t="s">
        <v>978</v>
      </c>
      <c r="AG17" s="159">
        <v>2700</v>
      </c>
      <c r="AH17" s="158">
        <v>7.49</v>
      </c>
      <c r="AI17" s="150">
        <f>AG17*AH17</f>
        <v>20223</v>
      </c>
      <c r="AJ17" s="2"/>
      <c r="AK17" s="157" t="s">
        <v>978</v>
      </c>
      <c r="AL17" s="159">
        <v>2700</v>
      </c>
      <c r="AM17" s="158">
        <v>7.49</v>
      </c>
      <c r="AN17" s="150">
        <f>AL17*AM17</f>
        <v>20223</v>
      </c>
      <c r="AO17" s="2"/>
      <c r="AP17" s="157" t="s">
        <v>978</v>
      </c>
      <c r="AQ17" s="159">
        <v>2700</v>
      </c>
      <c r="AR17" s="158">
        <v>7.49</v>
      </c>
      <c r="AS17" s="150">
        <f>AQ17*AR17</f>
        <v>20223</v>
      </c>
      <c r="AT17" s="2"/>
      <c r="AU17" s="157" t="s">
        <v>978</v>
      </c>
      <c r="AV17" s="159">
        <v>2700</v>
      </c>
      <c r="AW17" s="158">
        <v>7.49</v>
      </c>
      <c r="AX17" s="150">
        <f>AV17*AW17</f>
        <v>20223</v>
      </c>
      <c r="AY17" s="2"/>
      <c r="AZ17" s="157" t="s">
        <v>978</v>
      </c>
      <c r="BA17" s="159">
        <v>2700</v>
      </c>
      <c r="BB17" s="158">
        <v>7.49</v>
      </c>
      <c r="BC17" s="150">
        <f>BA17*BB17</f>
        <v>20223</v>
      </c>
      <c r="BD17" s="2"/>
      <c r="BE17" s="157" t="s">
        <v>978</v>
      </c>
      <c r="BF17" s="159">
        <v>2700</v>
      </c>
      <c r="BG17" s="158">
        <v>7.49</v>
      </c>
      <c r="BH17" s="150">
        <f>BF17*BG17</f>
        <v>20223</v>
      </c>
      <c r="BI17" s="2"/>
      <c r="BJ17" s="157" t="s">
        <v>978</v>
      </c>
      <c r="BK17" s="148">
        <f>C17+H17+M17+R17+W17+AB17+AG17+AL17+AQ17+AV17+BA17+BF17</f>
        <v>32400</v>
      </c>
      <c r="BL17" s="216">
        <f>E17+J17+O17+T17+Y17+AD17+AI17+AN17+AS17+AX17+BC17+BH17</f>
        <v>242676</v>
      </c>
      <c r="BM17" s="150"/>
    </row>
    <row r="18" spans="1:65" customFormat="1" x14ac:dyDescent="0.25">
      <c r="A18" s="2"/>
      <c r="B18" s="157" t="s">
        <v>979</v>
      </c>
      <c r="C18" s="159">
        <f>2936-C17</f>
        <v>236</v>
      </c>
      <c r="D18" s="158">
        <v>9.98</v>
      </c>
      <c r="E18" s="150">
        <f t="shared" ref="E18:E20" si="14">C18*D18</f>
        <v>2355.2800000000002</v>
      </c>
      <c r="F18" s="2"/>
      <c r="G18" s="157" t="s">
        <v>979</v>
      </c>
      <c r="H18" s="159">
        <f>2700-H17</f>
        <v>0</v>
      </c>
      <c r="I18" s="158">
        <v>9.98</v>
      </c>
      <c r="J18" s="150">
        <f t="shared" ref="J18:J20" si="15">H18*I18</f>
        <v>0</v>
      </c>
      <c r="K18" s="2"/>
      <c r="L18" s="157" t="s">
        <v>979</v>
      </c>
      <c r="M18" s="159">
        <f>2700-M17</f>
        <v>0</v>
      </c>
      <c r="N18" s="158">
        <v>9.98</v>
      </c>
      <c r="O18" s="150">
        <f t="shared" ref="O18:O20" si="16">M18*N18</f>
        <v>0</v>
      </c>
      <c r="P18" s="2"/>
      <c r="Q18" s="157" t="s">
        <v>979</v>
      </c>
      <c r="R18" s="159">
        <f>2700-R17</f>
        <v>0</v>
      </c>
      <c r="S18" s="158">
        <v>9.98</v>
      </c>
      <c r="T18" s="150">
        <f t="shared" ref="T18:T20" si="17">R18*S18</f>
        <v>0</v>
      </c>
      <c r="U18" s="2"/>
      <c r="V18" s="157" t="s">
        <v>979</v>
      </c>
      <c r="W18" s="159">
        <f>2700-W17</f>
        <v>0</v>
      </c>
      <c r="X18" s="158">
        <v>9.98</v>
      </c>
      <c r="Y18" s="150">
        <f t="shared" ref="Y18:Y20" si="18">W18*X18</f>
        <v>0</v>
      </c>
      <c r="Z18" s="2"/>
      <c r="AA18" s="157" t="s">
        <v>979</v>
      </c>
      <c r="AB18" s="159">
        <f>2700-AB17</f>
        <v>0</v>
      </c>
      <c r="AC18" s="158">
        <v>9.98</v>
      </c>
      <c r="AD18" s="150">
        <f t="shared" ref="AD18:AD20" si="19">AB18*AC18</f>
        <v>0</v>
      </c>
      <c r="AE18" s="2"/>
      <c r="AF18" s="157" t="s">
        <v>979</v>
      </c>
      <c r="AG18" s="159">
        <f>2868-AG17</f>
        <v>168</v>
      </c>
      <c r="AH18" s="158">
        <v>9.98</v>
      </c>
      <c r="AI18" s="150">
        <f t="shared" ref="AI18:AI20" si="20">AG18*AH18</f>
        <v>1676.64</v>
      </c>
      <c r="AJ18" s="2"/>
      <c r="AK18" s="157" t="s">
        <v>979</v>
      </c>
      <c r="AL18" s="159">
        <f>2700-AL17</f>
        <v>0</v>
      </c>
      <c r="AM18" s="158">
        <v>9.98</v>
      </c>
      <c r="AN18" s="150">
        <f t="shared" ref="AN18:AN20" si="21">AL18*AM18</f>
        <v>0</v>
      </c>
      <c r="AO18" s="2"/>
      <c r="AP18" s="157" t="s">
        <v>979</v>
      </c>
      <c r="AQ18" s="159">
        <f>2700-AQ17</f>
        <v>0</v>
      </c>
      <c r="AR18" s="158">
        <v>9.98</v>
      </c>
      <c r="AS18" s="150">
        <f t="shared" ref="AS18:AS20" si="22">AQ18*AR18</f>
        <v>0</v>
      </c>
      <c r="AT18" s="2"/>
      <c r="AU18" s="157" t="s">
        <v>979</v>
      </c>
      <c r="AV18" s="159">
        <f>2701-AV17</f>
        <v>1</v>
      </c>
      <c r="AW18" s="158">
        <v>9.98</v>
      </c>
      <c r="AX18" s="150">
        <f t="shared" ref="AX18:AX20" si="23">AV18*AW18</f>
        <v>9.98</v>
      </c>
      <c r="AY18" s="2"/>
      <c r="AZ18" s="157" t="s">
        <v>979</v>
      </c>
      <c r="BA18" s="159">
        <f>2904-BA17</f>
        <v>204</v>
      </c>
      <c r="BB18" s="158">
        <v>9.98</v>
      </c>
      <c r="BC18" s="150">
        <f t="shared" ref="BC18:BC20" si="24">BA18*BB18</f>
        <v>2035.92</v>
      </c>
      <c r="BD18" s="2"/>
      <c r="BE18" s="157" t="s">
        <v>979</v>
      </c>
      <c r="BF18" s="159">
        <f>2700-BF17</f>
        <v>0</v>
      </c>
      <c r="BG18" s="158">
        <v>9.98</v>
      </c>
      <c r="BH18" s="150">
        <f t="shared" ref="BH18:BH20" si="25">BF18*BG18</f>
        <v>0</v>
      </c>
      <c r="BI18" s="2"/>
      <c r="BJ18" s="157" t="s">
        <v>979</v>
      </c>
      <c r="BK18" s="148">
        <f t="shared" ref="BK18:BK20" si="26">C18+H18+M18+R18+W18+AB18+AG18+AL18+AQ18+AV18+BA18+BF18</f>
        <v>609</v>
      </c>
      <c r="BL18" s="216">
        <f t="shared" ref="BL18:BL21" si="27">E18+J18+O18+T18+Y18+AD18+AI18+AN18+AS18+AX18+BC18+BH18</f>
        <v>6077.82</v>
      </c>
      <c r="BM18" s="150"/>
    </row>
    <row r="19" spans="1:65" customFormat="1" x14ac:dyDescent="0.25">
      <c r="A19" s="2"/>
      <c r="B19" s="157" t="s">
        <v>995</v>
      </c>
      <c r="C19" s="159">
        <v>1228987</v>
      </c>
      <c r="D19" s="160">
        <v>3.9884000000000003E-2</v>
      </c>
      <c r="E19" s="150">
        <f t="shared" si="14"/>
        <v>49016.917508000006</v>
      </c>
      <c r="F19" s="2"/>
      <c r="G19" s="157" t="s">
        <v>995</v>
      </c>
      <c r="H19" s="159">
        <v>1064229</v>
      </c>
      <c r="I19" s="160">
        <v>3.9884000000000003E-2</v>
      </c>
      <c r="J19" s="150">
        <f t="shared" si="15"/>
        <v>42445.709436000005</v>
      </c>
      <c r="K19" s="2"/>
      <c r="L19" s="157" t="s">
        <v>995</v>
      </c>
      <c r="M19" s="159">
        <v>1063154</v>
      </c>
      <c r="N19" s="160">
        <v>3.9884000000000003E-2</v>
      </c>
      <c r="O19" s="150">
        <f t="shared" si="16"/>
        <v>42402.834136000005</v>
      </c>
      <c r="P19" s="2"/>
      <c r="Q19" s="157" t="s">
        <v>995</v>
      </c>
      <c r="R19" s="159">
        <v>1220194</v>
      </c>
      <c r="S19" s="160">
        <v>3.9884000000000003E-2</v>
      </c>
      <c r="T19" s="150">
        <f t="shared" si="17"/>
        <v>48666.217496000005</v>
      </c>
      <c r="U19" s="2"/>
      <c r="V19" s="157" t="s">
        <v>995</v>
      </c>
      <c r="W19" s="159">
        <v>1346079</v>
      </c>
      <c r="X19" s="160">
        <v>3.9884000000000003E-2</v>
      </c>
      <c r="Y19" s="150">
        <f t="shared" si="18"/>
        <v>53687.014836000002</v>
      </c>
      <c r="Z19" s="2"/>
      <c r="AA19" s="157" t="s">
        <v>995</v>
      </c>
      <c r="AB19" s="159">
        <v>1308760</v>
      </c>
      <c r="AC19" s="160">
        <v>3.9884000000000003E-2</v>
      </c>
      <c r="AD19" s="150">
        <f t="shared" si="19"/>
        <v>52198.583840000007</v>
      </c>
      <c r="AE19" s="2"/>
      <c r="AF19" s="157" t="s">
        <v>995</v>
      </c>
      <c r="AG19" s="159">
        <v>1198972</v>
      </c>
      <c r="AH19" s="160">
        <v>3.9884000000000003E-2</v>
      </c>
      <c r="AI19" s="150">
        <f t="shared" si="20"/>
        <v>47819.799248000003</v>
      </c>
      <c r="AJ19" s="2"/>
      <c r="AK19" s="157" t="s">
        <v>995</v>
      </c>
      <c r="AL19" s="159">
        <v>1360457</v>
      </c>
      <c r="AM19" s="160">
        <v>3.9884000000000003E-2</v>
      </c>
      <c r="AN19" s="150">
        <f t="shared" si="21"/>
        <v>54260.466988000007</v>
      </c>
      <c r="AO19" s="2"/>
      <c r="AP19" s="157" t="s">
        <v>995</v>
      </c>
      <c r="AQ19" s="159">
        <v>1279445</v>
      </c>
      <c r="AR19" s="160">
        <v>3.9884000000000003E-2</v>
      </c>
      <c r="AS19" s="150">
        <f t="shared" si="22"/>
        <v>51029.384380000003</v>
      </c>
      <c r="AT19" s="2"/>
      <c r="AU19" s="157" t="s">
        <v>995</v>
      </c>
      <c r="AV19" s="159">
        <v>1387252</v>
      </c>
      <c r="AW19" s="160">
        <v>3.9884000000000003E-2</v>
      </c>
      <c r="AX19" s="150">
        <f t="shared" si="23"/>
        <v>55329.158768000001</v>
      </c>
      <c r="AY19" s="2"/>
      <c r="AZ19" s="157" t="s">
        <v>995</v>
      </c>
      <c r="BA19" s="159">
        <v>1196549</v>
      </c>
      <c r="BB19" s="160">
        <v>3.9884000000000003E-2</v>
      </c>
      <c r="BC19" s="150">
        <f t="shared" si="24"/>
        <v>47723.160316000001</v>
      </c>
      <c r="BD19" s="2"/>
      <c r="BE19" s="157" t="s">
        <v>995</v>
      </c>
      <c r="BF19" s="159">
        <v>1036595</v>
      </c>
      <c r="BG19" s="160">
        <v>3.9884000000000003E-2</v>
      </c>
      <c r="BH19" s="150">
        <f t="shared" si="25"/>
        <v>41343.554980000001</v>
      </c>
      <c r="BI19" s="2"/>
      <c r="BJ19" s="157" t="s">
        <v>995</v>
      </c>
      <c r="BK19" s="148">
        <f t="shared" si="26"/>
        <v>14690673</v>
      </c>
      <c r="BL19" s="216">
        <f t="shared" si="27"/>
        <v>585922.80193200021</v>
      </c>
      <c r="BM19" s="150"/>
    </row>
    <row r="20" spans="1:65" customFormat="1" x14ac:dyDescent="0.25">
      <c r="A20" s="2"/>
      <c r="B20" s="157" t="s">
        <v>996</v>
      </c>
      <c r="C20" s="159"/>
      <c r="D20" s="160">
        <f>D19-0.02624</f>
        <v>1.3644000000000003E-2</v>
      </c>
      <c r="E20" s="150">
        <f t="shared" si="14"/>
        <v>0</v>
      </c>
      <c r="F20" s="2"/>
      <c r="G20" s="157" t="s">
        <v>996</v>
      </c>
      <c r="H20" s="159">
        <f>1080000-H19</f>
        <v>15771</v>
      </c>
      <c r="I20" s="160">
        <f>I19-0.02624</f>
        <v>1.3644000000000003E-2</v>
      </c>
      <c r="J20" s="150">
        <f t="shared" si="15"/>
        <v>215.17952400000004</v>
      </c>
      <c r="K20" s="2"/>
      <c r="L20" s="157" t="s">
        <v>996</v>
      </c>
      <c r="M20" s="159">
        <f>1080000-M19</f>
        <v>16846</v>
      </c>
      <c r="N20" s="160">
        <f>N19-0.02624</f>
        <v>1.3644000000000003E-2</v>
      </c>
      <c r="O20" s="150">
        <f t="shared" si="16"/>
        <v>229.84682400000005</v>
      </c>
      <c r="P20" s="2"/>
      <c r="Q20" s="157" t="s">
        <v>996</v>
      </c>
      <c r="R20" s="159">
        <f>1220194-R19</f>
        <v>0</v>
      </c>
      <c r="S20" s="160">
        <f>S19-0.02624</f>
        <v>1.3644000000000003E-2</v>
      </c>
      <c r="T20" s="150">
        <f t="shared" si="17"/>
        <v>0</v>
      </c>
      <c r="U20" s="2"/>
      <c r="V20" s="157" t="s">
        <v>996</v>
      </c>
      <c r="W20" s="159">
        <f>1346079-W19</f>
        <v>0</v>
      </c>
      <c r="X20" s="160">
        <f>X19-0.02624</f>
        <v>1.3644000000000003E-2</v>
      </c>
      <c r="Y20" s="150">
        <f t="shared" si="18"/>
        <v>0</v>
      </c>
      <c r="Z20" s="2"/>
      <c r="AA20" s="157" t="s">
        <v>996</v>
      </c>
      <c r="AB20" s="159">
        <f>1308760-AB19</f>
        <v>0</v>
      </c>
      <c r="AC20" s="160">
        <f>AC19-0.02624</f>
        <v>1.3644000000000003E-2</v>
      </c>
      <c r="AD20" s="150">
        <f t="shared" si="19"/>
        <v>0</v>
      </c>
      <c r="AE20" s="2"/>
      <c r="AF20" s="157" t="s">
        <v>996</v>
      </c>
      <c r="AG20" s="159">
        <f>1198972-AG19</f>
        <v>0</v>
      </c>
      <c r="AH20" s="160">
        <f>AH19-0.02624</f>
        <v>1.3644000000000003E-2</v>
      </c>
      <c r="AI20" s="150">
        <f t="shared" si="20"/>
        <v>0</v>
      </c>
      <c r="AJ20" s="2"/>
      <c r="AK20" s="157" t="s">
        <v>996</v>
      </c>
      <c r="AL20" s="159">
        <f>1360457-AL19</f>
        <v>0</v>
      </c>
      <c r="AM20" s="160">
        <f>AM19-0.02624</f>
        <v>1.3644000000000003E-2</v>
      </c>
      <c r="AN20" s="150">
        <f t="shared" si="21"/>
        <v>0</v>
      </c>
      <c r="AO20" s="2"/>
      <c r="AP20" s="157" t="s">
        <v>996</v>
      </c>
      <c r="AQ20" s="159">
        <f>1279445-AQ19</f>
        <v>0</v>
      </c>
      <c r="AR20" s="160">
        <f>AR19-0.02624</f>
        <v>1.3644000000000003E-2</v>
      </c>
      <c r="AS20" s="150">
        <f t="shared" si="22"/>
        <v>0</v>
      </c>
      <c r="AT20" s="2"/>
      <c r="AU20" s="157" t="s">
        <v>996</v>
      </c>
      <c r="AV20" s="159">
        <f>1387252-AV19</f>
        <v>0</v>
      </c>
      <c r="AW20" s="160">
        <f>AW19-0.02624</f>
        <v>1.3644000000000003E-2</v>
      </c>
      <c r="AX20" s="150">
        <f t="shared" si="23"/>
        <v>0</v>
      </c>
      <c r="AY20" s="2"/>
      <c r="AZ20" s="157" t="s">
        <v>996</v>
      </c>
      <c r="BA20" s="159">
        <f>1196549-BA19</f>
        <v>0</v>
      </c>
      <c r="BB20" s="160">
        <f>BB19-0.02624</f>
        <v>1.3644000000000003E-2</v>
      </c>
      <c r="BC20" s="150">
        <f t="shared" si="24"/>
        <v>0</v>
      </c>
      <c r="BD20" s="2"/>
      <c r="BE20" s="157" t="s">
        <v>996</v>
      </c>
      <c r="BF20" s="159">
        <f>1080000-BF19</f>
        <v>43405</v>
      </c>
      <c r="BG20" s="160">
        <f>BG19-0.02624</f>
        <v>1.3644000000000003E-2</v>
      </c>
      <c r="BH20" s="150">
        <f t="shared" si="25"/>
        <v>592.21782000000019</v>
      </c>
      <c r="BI20" s="2"/>
      <c r="BJ20" s="157" t="s">
        <v>996</v>
      </c>
      <c r="BK20" s="148">
        <f t="shared" si="26"/>
        <v>76022</v>
      </c>
      <c r="BL20" s="216">
        <f t="shared" si="27"/>
        <v>1037.2441680000002</v>
      </c>
      <c r="BM20" s="150"/>
    </row>
    <row r="21" spans="1:65" customFormat="1" x14ac:dyDescent="0.25">
      <c r="A21" s="2"/>
      <c r="B21" s="157" t="s">
        <v>984</v>
      </c>
      <c r="C21" s="159"/>
      <c r="D21" s="160"/>
      <c r="E21" s="150">
        <f>-6280+(0.00152*C19)</f>
        <v>-4411.9397600000002</v>
      </c>
      <c r="F21" s="2"/>
      <c r="G21" s="157" t="s">
        <v>984</v>
      </c>
      <c r="H21" s="159"/>
      <c r="I21" s="160"/>
      <c r="J21" s="150">
        <v>-6960</v>
      </c>
      <c r="K21" s="2"/>
      <c r="L21" s="157" t="s">
        <v>984</v>
      </c>
      <c r="M21" s="159"/>
      <c r="N21" s="160"/>
      <c r="O21" s="150">
        <v>-8303</v>
      </c>
      <c r="P21" s="2"/>
      <c r="Q21" s="157" t="s">
        <v>984</v>
      </c>
      <c r="R21" s="159"/>
      <c r="S21" s="160"/>
      <c r="T21" s="150">
        <f>-2038+(0.00152*(R19+R20))</f>
        <v>-183.30511999999999</v>
      </c>
      <c r="U21" s="2"/>
      <c r="V21" s="157" t="s">
        <v>984</v>
      </c>
      <c r="W21" s="159"/>
      <c r="X21" s="160"/>
      <c r="Y21" s="150">
        <f>-5061+(0.00152*(W19+W20))</f>
        <v>-3014.9599199999998</v>
      </c>
      <c r="Z21" s="2"/>
      <c r="AA21" s="157" t="s">
        <v>984</v>
      </c>
      <c r="AB21" s="159"/>
      <c r="AC21" s="160"/>
      <c r="AD21" s="150">
        <f>-4568+(0.00152*(AB19+AB20))</f>
        <v>-2578.6848</v>
      </c>
      <c r="AE21" s="2"/>
      <c r="AF21" s="157" t="s">
        <v>984</v>
      </c>
      <c r="AG21" s="159"/>
      <c r="AH21" s="160"/>
      <c r="AI21" s="150">
        <f>-5791+(0.00152*(AG19+AG20))</f>
        <v>-3968.5625599999998</v>
      </c>
      <c r="AJ21" s="2"/>
      <c r="AK21" s="157" t="s">
        <v>984</v>
      </c>
      <c r="AL21" s="159"/>
      <c r="AM21" s="160"/>
      <c r="AN21" s="150">
        <f>-7115+(0.00152*(AL19+AL20))</f>
        <v>-5047.1053599999996</v>
      </c>
      <c r="AO21" s="2"/>
      <c r="AP21" s="157" t="s">
        <v>984</v>
      </c>
      <c r="AQ21" s="159"/>
      <c r="AR21" s="160"/>
      <c r="AS21" s="150">
        <f>-7830+(0.00152*(AQ19+AQ20))</f>
        <v>-5885.2435999999998</v>
      </c>
      <c r="AT21" s="2"/>
      <c r="AU21" s="157" t="s">
        <v>984</v>
      </c>
      <c r="AV21" s="159"/>
      <c r="AW21" s="160"/>
      <c r="AX21" s="150">
        <f>-7824+(0.00152*(AV19+AV20))</f>
        <v>-5715.3769599999996</v>
      </c>
      <c r="AY21" s="2"/>
      <c r="AZ21" s="157" t="s">
        <v>984</v>
      </c>
      <c r="BA21" s="159"/>
      <c r="BB21" s="160"/>
      <c r="BC21" s="150">
        <f>-7885+(0.00152*(BA19+BA20))</f>
        <v>-6066.2455200000004</v>
      </c>
      <c r="BD21" s="2"/>
      <c r="BE21" s="157" t="s">
        <v>984</v>
      </c>
      <c r="BF21" s="159"/>
      <c r="BG21" s="160"/>
      <c r="BH21" s="150">
        <f>-1234+(0.00152*(BF19+BF20))</f>
        <v>407.60000000000014</v>
      </c>
      <c r="BI21" s="2"/>
      <c r="BJ21" s="157" t="s">
        <v>984</v>
      </c>
      <c r="BK21" s="148"/>
      <c r="BL21" s="216">
        <f t="shared" si="27"/>
        <v>-51726.823600000011</v>
      </c>
      <c r="BM21" s="150"/>
    </row>
    <row r="22" spans="1:65" customFormat="1" x14ac:dyDescent="0.25">
      <c r="A22" s="2"/>
      <c r="B22" s="206"/>
      <c r="C22" s="159"/>
      <c r="D22" s="160"/>
      <c r="E22" s="150"/>
      <c r="F22" s="2"/>
      <c r="G22" s="206"/>
      <c r="H22" s="159"/>
      <c r="I22" s="160"/>
      <c r="J22" s="150"/>
      <c r="K22" s="2"/>
      <c r="L22" s="206"/>
      <c r="M22" s="159"/>
      <c r="N22" s="160"/>
      <c r="O22" s="150"/>
      <c r="P22" s="2"/>
      <c r="Q22" s="206"/>
      <c r="R22" s="159"/>
      <c r="S22" s="160"/>
      <c r="T22" s="150"/>
      <c r="U22" s="2"/>
      <c r="V22" s="206"/>
      <c r="W22" s="159"/>
      <c r="X22" s="160"/>
      <c r="Y22" s="150"/>
      <c r="Z22" s="2"/>
      <c r="AA22" s="206"/>
      <c r="AB22" s="159"/>
      <c r="AC22" s="160"/>
      <c r="AD22" s="150"/>
      <c r="AE22" s="2"/>
      <c r="AF22" s="206"/>
      <c r="AG22" s="159"/>
      <c r="AH22" s="160"/>
      <c r="AI22" s="150"/>
      <c r="AJ22" s="2"/>
      <c r="AK22" s="206"/>
      <c r="AL22" s="159"/>
      <c r="AM22" s="160"/>
      <c r="AN22" s="150"/>
      <c r="AO22" s="2"/>
      <c r="AP22" s="206"/>
      <c r="AQ22" s="159"/>
      <c r="AR22" s="160"/>
      <c r="AS22" s="150"/>
      <c r="AT22" s="2"/>
      <c r="AU22" s="206"/>
      <c r="AV22" s="159"/>
      <c r="AW22" s="160"/>
      <c r="AX22" s="150"/>
      <c r="AY22" s="2"/>
      <c r="AZ22" s="206"/>
      <c r="BA22" s="159"/>
      <c r="BB22" s="160"/>
      <c r="BC22" s="150"/>
      <c r="BD22" s="2"/>
      <c r="BE22" s="206"/>
      <c r="BF22" s="159"/>
      <c r="BG22" s="160"/>
      <c r="BH22" s="150"/>
      <c r="BI22" s="2"/>
      <c r="BJ22" s="206"/>
      <c r="BK22" s="159"/>
      <c r="BL22" s="160"/>
      <c r="BM22" s="150"/>
    </row>
    <row r="23" spans="1:65" customFormat="1" x14ac:dyDescent="0.25">
      <c r="A23" s="8" t="s">
        <v>1032</v>
      </c>
      <c r="B23" s="206"/>
      <c r="C23" s="159"/>
      <c r="D23" s="160"/>
      <c r="E23" s="150"/>
      <c r="F23" s="8" t="s">
        <v>1032</v>
      </c>
      <c r="G23" s="206"/>
      <c r="H23" s="159"/>
      <c r="I23" s="160"/>
      <c r="J23" s="150"/>
      <c r="K23" s="8" t="s">
        <v>1032</v>
      </c>
      <c r="L23" s="206"/>
      <c r="M23" s="159"/>
      <c r="N23" s="160"/>
      <c r="O23" s="150"/>
      <c r="P23" s="8" t="s">
        <v>1032</v>
      </c>
      <c r="Q23" s="206"/>
      <c r="R23" s="159"/>
      <c r="S23" s="160"/>
      <c r="T23" s="150"/>
      <c r="U23" s="8" t="s">
        <v>1032</v>
      </c>
      <c r="V23" s="206"/>
      <c r="W23" s="159"/>
      <c r="X23" s="160"/>
      <c r="Y23" s="150"/>
      <c r="Z23" s="8" t="s">
        <v>1032</v>
      </c>
      <c r="AA23" s="206"/>
      <c r="AB23" s="159"/>
      <c r="AC23" s="160"/>
      <c r="AD23" s="150"/>
      <c r="AE23" s="8" t="s">
        <v>1032</v>
      </c>
      <c r="AF23" s="206"/>
      <c r="AG23" s="159"/>
      <c r="AH23" s="160"/>
      <c r="AI23" s="150"/>
      <c r="AJ23" s="8" t="s">
        <v>1032</v>
      </c>
      <c r="AK23" s="206"/>
      <c r="AL23" s="159"/>
      <c r="AM23" s="160"/>
      <c r="AN23" s="150"/>
      <c r="AO23" s="8" t="s">
        <v>1032</v>
      </c>
      <c r="AP23" s="206"/>
      <c r="AQ23" s="159"/>
      <c r="AR23" s="160"/>
      <c r="AS23" s="150"/>
      <c r="AT23" s="8" t="s">
        <v>1032</v>
      </c>
      <c r="AU23" s="206"/>
      <c r="AV23" s="159"/>
      <c r="AW23" s="160"/>
      <c r="AX23" s="150"/>
      <c r="AY23" s="8" t="s">
        <v>1032</v>
      </c>
      <c r="AZ23" s="206"/>
      <c r="BA23" s="159"/>
      <c r="BB23" s="160"/>
      <c r="BC23" s="150"/>
      <c r="BD23" s="8" t="s">
        <v>1032</v>
      </c>
      <c r="BE23" s="206"/>
      <c r="BF23" s="159"/>
      <c r="BG23" s="160"/>
      <c r="BH23" s="150"/>
      <c r="BI23" s="8" t="s">
        <v>1032</v>
      </c>
      <c r="BJ23" s="206"/>
      <c r="BK23" s="159"/>
      <c r="BL23" s="160"/>
      <c r="BM23" s="150"/>
    </row>
    <row r="24" spans="1:65" customFormat="1" x14ac:dyDescent="0.25">
      <c r="A24" s="2"/>
      <c r="B24" s="157" t="s">
        <v>978</v>
      </c>
      <c r="C24" s="159">
        <v>800</v>
      </c>
      <c r="D24" s="158">
        <v>7.49</v>
      </c>
      <c r="E24" s="150">
        <f>C24*D24</f>
        <v>5992</v>
      </c>
      <c r="F24" s="2"/>
      <c r="G24" s="157" t="s">
        <v>978</v>
      </c>
      <c r="H24" s="159">
        <v>800</v>
      </c>
      <c r="I24" s="158">
        <v>7.49</v>
      </c>
      <c r="J24" s="150">
        <f>H24*I24</f>
        <v>5992</v>
      </c>
      <c r="K24" s="2"/>
      <c r="L24" s="157" t="s">
        <v>978</v>
      </c>
      <c r="M24" s="159">
        <v>800</v>
      </c>
      <c r="N24" s="158">
        <v>7.49</v>
      </c>
      <c r="O24" s="150">
        <f>M24*N24</f>
        <v>5992</v>
      </c>
      <c r="P24" s="2"/>
      <c r="Q24" s="157" t="s">
        <v>978</v>
      </c>
      <c r="R24" s="159">
        <v>800</v>
      </c>
      <c r="S24" s="158">
        <v>7.49</v>
      </c>
      <c r="T24" s="150">
        <f>R24*S24</f>
        <v>5992</v>
      </c>
      <c r="U24" s="2"/>
      <c r="V24" s="157" t="s">
        <v>978</v>
      </c>
      <c r="W24" s="159">
        <v>800</v>
      </c>
      <c r="X24" s="158">
        <v>7.49</v>
      </c>
      <c r="Y24" s="150">
        <f>W24*X24</f>
        <v>5992</v>
      </c>
      <c r="Z24" s="2"/>
      <c r="AA24" s="157" t="s">
        <v>978</v>
      </c>
      <c r="AB24" s="159">
        <v>800</v>
      </c>
      <c r="AC24" s="158">
        <v>7.49</v>
      </c>
      <c r="AD24" s="150">
        <f>AB24*AC24</f>
        <v>5992</v>
      </c>
      <c r="AE24" s="2"/>
      <c r="AF24" s="157" t="s">
        <v>978</v>
      </c>
      <c r="AG24" s="159">
        <v>800</v>
      </c>
      <c r="AH24" s="158">
        <v>7.49</v>
      </c>
      <c r="AI24" s="150">
        <f>AG24*AH24</f>
        <v>5992</v>
      </c>
      <c r="AJ24" s="2"/>
      <c r="AK24" s="157" t="s">
        <v>978</v>
      </c>
      <c r="AL24" s="159">
        <v>800</v>
      </c>
      <c r="AM24" s="158">
        <v>7.49</v>
      </c>
      <c r="AN24" s="150">
        <f>AL24*AM24</f>
        <v>5992</v>
      </c>
      <c r="AO24" s="2"/>
      <c r="AP24" s="157" t="s">
        <v>978</v>
      </c>
      <c r="AQ24" s="159">
        <v>800</v>
      </c>
      <c r="AR24" s="158">
        <v>7.49</v>
      </c>
      <c r="AS24" s="150">
        <f>AQ24*AR24</f>
        <v>5992</v>
      </c>
      <c r="AT24" s="2"/>
      <c r="AU24" s="157" t="s">
        <v>978</v>
      </c>
      <c r="AV24" s="159">
        <v>800</v>
      </c>
      <c r="AW24" s="158">
        <v>7.49</v>
      </c>
      <c r="AX24" s="150">
        <f>AV24*AW24</f>
        <v>5992</v>
      </c>
      <c r="AY24" s="2"/>
      <c r="AZ24" s="157" t="s">
        <v>978</v>
      </c>
      <c r="BA24" s="159">
        <v>800</v>
      </c>
      <c r="BB24" s="158">
        <v>7.49</v>
      </c>
      <c r="BC24" s="150">
        <f>BA24*BB24</f>
        <v>5992</v>
      </c>
      <c r="BD24" s="2"/>
      <c r="BE24" s="157" t="s">
        <v>978</v>
      </c>
      <c r="BF24" s="159">
        <v>800</v>
      </c>
      <c r="BG24" s="158">
        <v>7.49</v>
      </c>
      <c r="BH24" s="150">
        <f>BF24*BG24</f>
        <v>5992</v>
      </c>
      <c r="BI24" s="2"/>
      <c r="BJ24" s="157" t="s">
        <v>978</v>
      </c>
      <c r="BK24" s="148">
        <f t="shared" ref="BK24:BK27" si="28">C24+H24+M24+R24+W24+AB24+AG24+AL24+AQ24+AV24+BA24+BF24</f>
        <v>9600</v>
      </c>
      <c r="BL24" s="216">
        <f t="shared" ref="BL24:BL28" si="29">E24+J24+O24+T24+Y24+AD24+AI24+AN24+AS24+AX24+BC24+BH24</f>
        <v>71904</v>
      </c>
      <c r="BM24" s="150"/>
    </row>
    <row r="25" spans="1:65" customFormat="1" x14ac:dyDescent="0.25">
      <c r="A25" s="2"/>
      <c r="B25" s="157" t="s">
        <v>979</v>
      </c>
      <c r="C25" s="159">
        <f>893-C24</f>
        <v>93</v>
      </c>
      <c r="D25" s="158">
        <v>9.98</v>
      </c>
      <c r="E25" s="150">
        <f t="shared" ref="E25:E27" si="30">C25*D25</f>
        <v>928.14</v>
      </c>
      <c r="F25" s="2"/>
      <c r="G25" s="157" t="s">
        <v>979</v>
      </c>
      <c r="H25" s="159">
        <f>800-H24</f>
        <v>0</v>
      </c>
      <c r="I25" s="158">
        <v>9.98</v>
      </c>
      <c r="J25" s="150">
        <f t="shared" ref="J25:J27" si="31">H25*I25</f>
        <v>0</v>
      </c>
      <c r="K25" s="2"/>
      <c r="L25" s="157" t="s">
        <v>979</v>
      </c>
      <c r="M25" s="159">
        <f>800-M24</f>
        <v>0</v>
      </c>
      <c r="N25" s="158">
        <v>9.98</v>
      </c>
      <c r="O25" s="150">
        <f t="shared" ref="O25:O27" si="32">M25*N25</f>
        <v>0</v>
      </c>
      <c r="P25" s="2"/>
      <c r="Q25" s="157" t="s">
        <v>979</v>
      </c>
      <c r="R25" s="159">
        <f>800-R24</f>
        <v>0</v>
      </c>
      <c r="S25" s="158">
        <v>9.98</v>
      </c>
      <c r="T25" s="150">
        <f t="shared" ref="T25:T27" si="33">R25*S25</f>
        <v>0</v>
      </c>
      <c r="U25" s="2"/>
      <c r="V25" s="157" t="s">
        <v>979</v>
      </c>
      <c r="W25" s="159">
        <f>800-W24</f>
        <v>0</v>
      </c>
      <c r="X25" s="158">
        <v>9.98</v>
      </c>
      <c r="Y25" s="150">
        <f t="shared" ref="Y25:Y27" si="34">W25*X25</f>
        <v>0</v>
      </c>
      <c r="Z25" s="2"/>
      <c r="AA25" s="157" t="s">
        <v>979</v>
      </c>
      <c r="AB25" s="159">
        <f>800-AB24</f>
        <v>0</v>
      </c>
      <c r="AC25" s="158">
        <v>9.98</v>
      </c>
      <c r="AD25" s="150">
        <f t="shared" ref="AD25:AD27" si="35">AB25*AC25</f>
        <v>0</v>
      </c>
      <c r="AE25" s="2"/>
      <c r="AF25" s="157" t="s">
        <v>979</v>
      </c>
      <c r="AG25" s="159">
        <f>800-AG24</f>
        <v>0</v>
      </c>
      <c r="AH25" s="158">
        <v>9.98</v>
      </c>
      <c r="AI25" s="150">
        <f t="shared" ref="AI25:AI27" si="36">AG25*AH25</f>
        <v>0</v>
      </c>
      <c r="AJ25" s="2"/>
      <c r="AK25" s="157" t="s">
        <v>979</v>
      </c>
      <c r="AL25" s="159">
        <f>800-AL24</f>
        <v>0</v>
      </c>
      <c r="AM25" s="158">
        <v>9.98</v>
      </c>
      <c r="AN25" s="150">
        <f t="shared" ref="AN25:AN27" si="37">AL25*AM25</f>
        <v>0</v>
      </c>
      <c r="AO25" s="2"/>
      <c r="AP25" s="157" t="s">
        <v>979</v>
      </c>
      <c r="AQ25" s="159">
        <f>800-AQ24</f>
        <v>0</v>
      </c>
      <c r="AR25" s="158">
        <v>9.98</v>
      </c>
      <c r="AS25" s="150">
        <f t="shared" ref="AS25:AS27" si="38">AQ25*AR25</f>
        <v>0</v>
      </c>
      <c r="AT25" s="2"/>
      <c r="AU25" s="157" t="s">
        <v>979</v>
      </c>
      <c r="AV25" s="159">
        <f>800-AV24</f>
        <v>0</v>
      </c>
      <c r="AW25" s="158">
        <v>9.98</v>
      </c>
      <c r="AX25" s="150">
        <f t="shared" ref="AX25:AX27" si="39">AV25*AW25</f>
        <v>0</v>
      </c>
      <c r="AY25" s="2"/>
      <c r="AZ25" s="157" t="s">
        <v>979</v>
      </c>
      <c r="BA25" s="159">
        <f>800-BA24</f>
        <v>0</v>
      </c>
      <c r="BB25" s="158">
        <v>9.98</v>
      </c>
      <c r="BC25" s="150">
        <f t="shared" ref="BC25:BC27" si="40">BA25*BB25</f>
        <v>0</v>
      </c>
      <c r="BD25" s="2"/>
      <c r="BE25" s="157" t="s">
        <v>979</v>
      </c>
      <c r="BF25" s="159">
        <f>818-BF24</f>
        <v>18</v>
      </c>
      <c r="BG25" s="158">
        <v>9.98</v>
      </c>
      <c r="BH25" s="150">
        <f t="shared" ref="BH25:BH27" si="41">BF25*BG25</f>
        <v>179.64000000000001</v>
      </c>
      <c r="BI25" s="2"/>
      <c r="BJ25" s="157" t="s">
        <v>979</v>
      </c>
      <c r="BK25" s="148">
        <f t="shared" si="28"/>
        <v>111</v>
      </c>
      <c r="BL25" s="216">
        <f t="shared" si="29"/>
        <v>1107.78</v>
      </c>
      <c r="BM25" s="150"/>
    </row>
    <row r="26" spans="1:65" customFormat="1" x14ac:dyDescent="0.25">
      <c r="A26" s="2"/>
      <c r="B26" s="157" t="s">
        <v>995</v>
      </c>
      <c r="C26" s="159">
        <v>373269</v>
      </c>
      <c r="D26" s="160">
        <v>3.9884000000000003E-2</v>
      </c>
      <c r="E26" s="150">
        <f t="shared" si="30"/>
        <v>14887.460796000001</v>
      </c>
      <c r="F26" s="2"/>
      <c r="G26" s="157" t="s">
        <v>995</v>
      </c>
      <c r="H26" s="159">
        <v>352165</v>
      </c>
      <c r="I26" s="160">
        <v>3.9884000000000003E-2</v>
      </c>
      <c r="J26" s="150">
        <f t="shared" si="31"/>
        <v>14045.748860000002</v>
      </c>
      <c r="K26" s="2"/>
      <c r="L26" s="157" t="s">
        <v>995</v>
      </c>
      <c r="M26" s="159">
        <v>325830</v>
      </c>
      <c r="N26" s="160">
        <v>3.9884000000000003E-2</v>
      </c>
      <c r="O26" s="150">
        <f t="shared" si="32"/>
        <v>12995.40372</v>
      </c>
      <c r="P26" s="2"/>
      <c r="Q26" s="157" t="s">
        <v>995</v>
      </c>
      <c r="R26" s="159">
        <v>303633</v>
      </c>
      <c r="S26" s="160">
        <v>3.9884000000000003E-2</v>
      </c>
      <c r="T26" s="150">
        <f t="shared" si="33"/>
        <v>12110.098572000001</v>
      </c>
      <c r="U26" s="2"/>
      <c r="V26" s="157" t="s">
        <v>995</v>
      </c>
      <c r="W26" s="159">
        <v>330142</v>
      </c>
      <c r="X26" s="160">
        <v>3.9884000000000003E-2</v>
      </c>
      <c r="Y26" s="150">
        <f t="shared" si="34"/>
        <v>13167.383528</v>
      </c>
      <c r="Z26" s="2"/>
      <c r="AA26" s="157" t="s">
        <v>995</v>
      </c>
      <c r="AB26" s="159">
        <v>326424</v>
      </c>
      <c r="AC26" s="160">
        <v>3.9884000000000003E-2</v>
      </c>
      <c r="AD26" s="150">
        <f t="shared" si="35"/>
        <v>13019.094816000001</v>
      </c>
      <c r="AE26" s="2"/>
      <c r="AF26" s="157" t="s">
        <v>995</v>
      </c>
      <c r="AG26" s="159">
        <v>363550</v>
      </c>
      <c r="AH26" s="160">
        <v>3.9884000000000003E-2</v>
      </c>
      <c r="AI26" s="150">
        <f t="shared" si="36"/>
        <v>14499.828200000002</v>
      </c>
      <c r="AJ26" s="2"/>
      <c r="AK26" s="157" t="s">
        <v>995</v>
      </c>
      <c r="AL26" s="159">
        <v>349749</v>
      </c>
      <c r="AM26" s="160">
        <v>3.9884000000000003E-2</v>
      </c>
      <c r="AN26" s="150">
        <f t="shared" si="37"/>
        <v>13949.389116</v>
      </c>
      <c r="AO26" s="2"/>
      <c r="AP26" s="157" t="s">
        <v>995</v>
      </c>
      <c r="AQ26" s="159">
        <v>329014</v>
      </c>
      <c r="AR26" s="160">
        <v>3.9884000000000003E-2</v>
      </c>
      <c r="AS26" s="150">
        <f t="shared" si="38"/>
        <v>13122.394376</v>
      </c>
      <c r="AT26" s="2"/>
      <c r="AU26" s="157" t="s">
        <v>995</v>
      </c>
      <c r="AV26" s="159">
        <v>317517</v>
      </c>
      <c r="AW26" s="160">
        <v>3.9884000000000003E-2</v>
      </c>
      <c r="AX26" s="150">
        <f t="shared" si="39"/>
        <v>12663.848028</v>
      </c>
      <c r="AY26" s="2"/>
      <c r="AZ26" s="157" t="s">
        <v>995</v>
      </c>
      <c r="BA26" s="159">
        <v>362774</v>
      </c>
      <c r="BB26" s="160">
        <v>3.9884000000000003E-2</v>
      </c>
      <c r="BC26" s="150">
        <f t="shared" si="40"/>
        <v>14468.878216000001</v>
      </c>
      <c r="BD26" s="2"/>
      <c r="BE26" s="157" t="s">
        <v>995</v>
      </c>
      <c r="BF26" s="159">
        <v>366878</v>
      </c>
      <c r="BG26" s="160">
        <v>3.9884000000000003E-2</v>
      </c>
      <c r="BH26" s="150">
        <f t="shared" si="41"/>
        <v>14632.562152</v>
      </c>
      <c r="BI26" s="2"/>
      <c r="BJ26" s="157" t="s">
        <v>995</v>
      </c>
      <c r="BK26" s="148">
        <f t="shared" si="28"/>
        <v>4100945</v>
      </c>
      <c r="BL26" s="216">
        <f t="shared" si="29"/>
        <v>163562.09038000001</v>
      </c>
      <c r="BM26" s="150"/>
    </row>
    <row r="27" spans="1:65" customFormat="1" x14ac:dyDescent="0.25">
      <c r="A27" s="2"/>
      <c r="B27" s="157" t="s">
        <v>996</v>
      </c>
      <c r="C27" s="159"/>
      <c r="D27" s="160">
        <f>D26-0.02624</f>
        <v>1.3644000000000003E-2</v>
      </c>
      <c r="E27" s="150">
        <f t="shared" si="30"/>
        <v>0</v>
      </c>
      <c r="F27" s="2"/>
      <c r="G27" s="157" t="s">
        <v>996</v>
      </c>
      <c r="H27" s="159"/>
      <c r="I27" s="160">
        <f>I26-0.02624</f>
        <v>1.3644000000000003E-2</v>
      </c>
      <c r="J27" s="150">
        <f t="shared" si="31"/>
        <v>0</v>
      </c>
      <c r="K27" s="2"/>
      <c r="L27" s="157" t="s">
        <v>996</v>
      </c>
      <c r="M27" s="159"/>
      <c r="N27" s="160">
        <f>N26-0.02624</f>
        <v>1.3644000000000003E-2</v>
      </c>
      <c r="O27" s="150">
        <f t="shared" si="32"/>
        <v>0</v>
      </c>
      <c r="P27" s="2"/>
      <c r="Q27" s="157" t="s">
        <v>996</v>
      </c>
      <c r="R27" s="159">
        <f>320000-R26</f>
        <v>16367</v>
      </c>
      <c r="S27" s="160">
        <f>S26-0.02624</f>
        <v>1.3644000000000003E-2</v>
      </c>
      <c r="T27" s="150">
        <f t="shared" si="33"/>
        <v>223.31134800000007</v>
      </c>
      <c r="U27" s="2"/>
      <c r="V27" s="157" t="s">
        <v>996</v>
      </c>
      <c r="W27" s="159">
        <f>330142-W26</f>
        <v>0</v>
      </c>
      <c r="X27" s="160">
        <f>X26-0.02624</f>
        <v>1.3644000000000003E-2</v>
      </c>
      <c r="Y27" s="150">
        <f t="shared" si="34"/>
        <v>0</v>
      </c>
      <c r="Z27" s="2"/>
      <c r="AA27" s="157" t="s">
        <v>996</v>
      </c>
      <c r="AB27" s="159">
        <f>326424-AB26</f>
        <v>0</v>
      </c>
      <c r="AC27" s="160">
        <f>AC26-0.02624</f>
        <v>1.3644000000000003E-2</v>
      </c>
      <c r="AD27" s="150">
        <f t="shared" si="35"/>
        <v>0</v>
      </c>
      <c r="AE27" s="2"/>
      <c r="AF27" s="157" t="s">
        <v>996</v>
      </c>
      <c r="AG27" s="159">
        <f>363550-AG26</f>
        <v>0</v>
      </c>
      <c r="AH27" s="160">
        <f>AH26-0.02624</f>
        <v>1.3644000000000003E-2</v>
      </c>
      <c r="AI27" s="150">
        <f t="shared" si="36"/>
        <v>0</v>
      </c>
      <c r="AJ27" s="2"/>
      <c r="AK27" s="157" t="s">
        <v>996</v>
      </c>
      <c r="AL27" s="159">
        <f>349749-AL26</f>
        <v>0</v>
      </c>
      <c r="AM27" s="160">
        <f>AM26-0.02624</f>
        <v>1.3644000000000003E-2</v>
      </c>
      <c r="AN27" s="150">
        <f t="shared" si="37"/>
        <v>0</v>
      </c>
      <c r="AO27" s="2"/>
      <c r="AP27" s="157" t="s">
        <v>996</v>
      </c>
      <c r="AQ27" s="159">
        <f>329014-AQ26</f>
        <v>0</v>
      </c>
      <c r="AR27" s="160">
        <f>AR26-0.02624</f>
        <v>1.3644000000000003E-2</v>
      </c>
      <c r="AS27" s="150">
        <f t="shared" si="38"/>
        <v>0</v>
      </c>
      <c r="AT27" s="2"/>
      <c r="AU27" s="157" t="s">
        <v>996</v>
      </c>
      <c r="AV27" s="159">
        <f>320000-AV26</f>
        <v>2483</v>
      </c>
      <c r="AW27" s="160">
        <f>AW26-0.02624</f>
        <v>1.3644000000000003E-2</v>
      </c>
      <c r="AX27" s="150">
        <f t="shared" si="39"/>
        <v>33.878052000000011</v>
      </c>
      <c r="AY27" s="2"/>
      <c r="AZ27" s="157" t="s">
        <v>996</v>
      </c>
      <c r="BA27" s="159">
        <f>362774-BA26</f>
        <v>0</v>
      </c>
      <c r="BB27" s="160">
        <f>BB26-0.02624</f>
        <v>1.3644000000000003E-2</v>
      </c>
      <c r="BC27" s="150">
        <f t="shared" si="40"/>
        <v>0</v>
      </c>
      <c r="BD27" s="2"/>
      <c r="BE27" s="157" t="s">
        <v>996</v>
      </c>
      <c r="BF27" s="159">
        <f>366878-BF26</f>
        <v>0</v>
      </c>
      <c r="BG27" s="160">
        <f>BG26-0.02624</f>
        <v>1.3644000000000003E-2</v>
      </c>
      <c r="BH27" s="150">
        <f t="shared" si="41"/>
        <v>0</v>
      </c>
      <c r="BI27" s="2"/>
      <c r="BJ27" s="157" t="s">
        <v>996</v>
      </c>
      <c r="BK27" s="148">
        <f t="shared" si="28"/>
        <v>18850</v>
      </c>
      <c r="BL27" s="216">
        <f t="shared" si="29"/>
        <v>257.18940000000009</v>
      </c>
      <c r="BM27" s="150"/>
    </row>
    <row r="28" spans="1:65" customFormat="1" x14ac:dyDescent="0.25">
      <c r="A28" s="2"/>
      <c r="B28" s="157" t="s">
        <v>984</v>
      </c>
      <c r="C28" s="159"/>
      <c r="D28" s="160"/>
      <c r="E28" s="150">
        <f>-1907+(0.00152*C26)</f>
        <v>-1339.63112</v>
      </c>
      <c r="F28" s="2"/>
      <c r="G28" s="157" t="s">
        <v>984</v>
      </c>
      <c r="H28" s="159"/>
      <c r="I28" s="160"/>
      <c r="J28" s="150">
        <v>-2303</v>
      </c>
      <c r="K28" s="2"/>
      <c r="L28" s="157" t="s">
        <v>984</v>
      </c>
      <c r="M28" s="159"/>
      <c r="N28" s="160"/>
      <c r="O28" s="150">
        <v>-2545</v>
      </c>
      <c r="P28" s="2"/>
      <c r="Q28" s="157" t="s">
        <v>984</v>
      </c>
      <c r="R28" s="159"/>
      <c r="S28" s="160"/>
      <c r="T28" s="150">
        <f>-507+(0.00152*(R26+R27))</f>
        <v>-20.599999999999966</v>
      </c>
      <c r="U28" s="2"/>
      <c r="V28" s="157" t="s">
        <v>984</v>
      </c>
      <c r="W28" s="159"/>
      <c r="X28" s="160"/>
      <c r="Y28" s="150">
        <f>-1241+(0.00152*(W26+W27))</f>
        <v>-739.18416000000002</v>
      </c>
      <c r="Z28" s="2"/>
      <c r="AA28" s="157" t="s">
        <v>984</v>
      </c>
      <c r="AB28" s="159"/>
      <c r="AC28" s="160"/>
      <c r="AD28" s="150">
        <f>-1139+(0.00152*(AB26+AB27))</f>
        <v>-642.83551999999997</v>
      </c>
      <c r="AE28" s="2"/>
      <c r="AF28" s="157" t="s">
        <v>984</v>
      </c>
      <c r="AG28" s="159"/>
      <c r="AH28" s="160"/>
      <c r="AI28" s="150">
        <f>-1756+(0.00152*(AG26+AG27))</f>
        <v>-1203.404</v>
      </c>
      <c r="AJ28" s="2"/>
      <c r="AK28" s="157" t="s">
        <v>984</v>
      </c>
      <c r="AL28" s="159"/>
      <c r="AM28" s="160"/>
      <c r="AN28" s="150">
        <f>-1829+0.00152*(AL26+AL27)</f>
        <v>-1297.3815199999999</v>
      </c>
      <c r="AO28" s="2"/>
      <c r="AP28" s="157" t="s">
        <v>984</v>
      </c>
      <c r="AQ28" s="159"/>
      <c r="AR28" s="160"/>
      <c r="AS28" s="150">
        <f>-2014+(0.00152*(AQ26+AQ27))</f>
        <v>-1513.8987199999999</v>
      </c>
      <c r="AT28" s="2"/>
      <c r="AU28" s="157" t="s">
        <v>984</v>
      </c>
      <c r="AV28" s="159"/>
      <c r="AW28" s="160"/>
      <c r="AX28" s="150">
        <f>-1791+(0.00152*(AV26+AV27))</f>
        <v>-1304.5999999999999</v>
      </c>
      <c r="AY28" s="2"/>
      <c r="AZ28" s="157" t="s">
        <v>984</v>
      </c>
      <c r="BA28" s="159"/>
      <c r="BB28" s="160"/>
      <c r="BC28" s="150">
        <f>-2391+(0.00152*(BA26+BA27))</f>
        <v>-1839.5835200000001</v>
      </c>
      <c r="BD28" s="2"/>
      <c r="BE28" s="157" t="s">
        <v>984</v>
      </c>
      <c r="BF28" s="159"/>
      <c r="BG28" s="160"/>
      <c r="BH28" s="150">
        <f>-437+(0.00152*(BF26+BF27))</f>
        <v>120.65456000000006</v>
      </c>
      <c r="BI28" s="2"/>
      <c r="BJ28" s="157" t="s">
        <v>984</v>
      </c>
      <c r="BK28" s="148"/>
      <c r="BL28" s="216">
        <f t="shared" si="29"/>
        <v>-14628.463999999998</v>
      </c>
      <c r="BM28" s="150"/>
    </row>
    <row r="29" spans="1:65" customFormat="1" x14ac:dyDescent="0.25">
      <c r="A29" s="2"/>
      <c r="B29" s="157"/>
      <c r="C29" s="159"/>
      <c r="D29" s="160"/>
      <c r="E29" s="150"/>
      <c r="F29" s="2"/>
      <c r="G29" s="157"/>
      <c r="H29" s="159"/>
      <c r="I29" s="160"/>
      <c r="J29" s="150"/>
      <c r="K29" s="2"/>
      <c r="L29" s="157"/>
      <c r="M29" s="159"/>
      <c r="N29" s="160"/>
      <c r="O29" s="150"/>
      <c r="P29" s="2"/>
      <c r="Q29" s="157"/>
      <c r="R29" s="159"/>
      <c r="S29" s="160"/>
      <c r="T29" s="150"/>
      <c r="U29" s="2"/>
      <c r="V29" s="157"/>
      <c r="W29" s="159"/>
      <c r="X29" s="160"/>
      <c r="Y29" s="150"/>
      <c r="Z29" s="2"/>
      <c r="AA29" s="157"/>
      <c r="AB29" s="159"/>
      <c r="AC29" s="160"/>
      <c r="AD29" s="150"/>
      <c r="AE29" s="2"/>
      <c r="AF29" s="157"/>
      <c r="AG29" s="159"/>
      <c r="AH29" s="160"/>
      <c r="AI29" s="150"/>
      <c r="AJ29" s="2"/>
      <c r="AK29" s="157"/>
      <c r="AL29" s="159"/>
      <c r="AM29" s="160"/>
      <c r="AN29" s="150"/>
      <c r="AO29" s="2"/>
      <c r="AP29" s="157"/>
      <c r="AQ29" s="159"/>
      <c r="AR29" s="160"/>
      <c r="AS29" s="150"/>
      <c r="AT29" s="2"/>
      <c r="AU29" s="157"/>
      <c r="AV29" s="159"/>
      <c r="AW29" s="160"/>
      <c r="AX29" s="150"/>
      <c r="AY29" s="2"/>
      <c r="AZ29" s="157"/>
      <c r="BA29" s="159"/>
      <c r="BB29" s="160"/>
      <c r="BC29" s="150"/>
      <c r="BD29" s="2"/>
      <c r="BE29" s="157"/>
      <c r="BF29" s="159"/>
      <c r="BG29" s="160"/>
      <c r="BH29" s="150"/>
      <c r="BI29" s="2"/>
      <c r="BJ29" s="157"/>
      <c r="BK29" s="159"/>
      <c r="BL29" s="160"/>
      <c r="BM29" s="150"/>
    </row>
    <row r="30" spans="1:65" customFormat="1" x14ac:dyDescent="0.25">
      <c r="A30" s="8" t="s">
        <v>1033</v>
      </c>
      <c r="B30" s="206"/>
      <c r="C30" s="159"/>
      <c r="D30" s="160"/>
      <c r="E30" s="150"/>
      <c r="F30" s="8" t="s">
        <v>1033</v>
      </c>
      <c r="G30" s="206"/>
      <c r="H30" s="159"/>
      <c r="I30" s="160"/>
      <c r="J30" s="150"/>
      <c r="K30" s="8" t="s">
        <v>1033</v>
      </c>
      <c r="L30" s="206"/>
      <c r="M30" s="159"/>
      <c r="N30" s="160"/>
      <c r="O30" s="150"/>
      <c r="P30" s="8" t="s">
        <v>1033</v>
      </c>
      <c r="Q30" s="206"/>
      <c r="R30" s="159"/>
      <c r="S30" s="160"/>
      <c r="T30" s="150"/>
      <c r="U30" s="8" t="s">
        <v>1033</v>
      </c>
      <c r="V30" s="206"/>
      <c r="W30" s="159"/>
      <c r="X30" s="160"/>
      <c r="Y30" s="150"/>
      <c r="Z30" s="8" t="s">
        <v>1033</v>
      </c>
      <c r="AA30" s="206"/>
      <c r="AB30" s="159"/>
      <c r="AC30" s="160"/>
      <c r="AD30" s="150"/>
      <c r="AE30" s="8" t="s">
        <v>1033</v>
      </c>
      <c r="AF30" s="206"/>
      <c r="AG30" s="159"/>
      <c r="AH30" s="160"/>
      <c r="AI30" s="150"/>
      <c r="AJ30" s="8" t="s">
        <v>1033</v>
      </c>
      <c r="AK30" s="206"/>
      <c r="AL30" s="159"/>
      <c r="AM30" s="160"/>
      <c r="AN30" s="150"/>
      <c r="AO30" s="8" t="s">
        <v>1033</v>
      </c>
      <c r="AP30" s="206"/>
      <c r="AQ30" s="159"/>
      <c r="AR30" s="160"/>
      <c r="AS30" s="150"/>
      <c r="AT30" s="8" t="s">
        <v>1033</v>
      </c>
      <c r="AU30" s="206"/>
      <c r="AV30" s="159"/>
      <c r="AW30" s="160"/>
      <c r="AX30" s="150"/>
      <c r="AY30" s="8" t="s">
        <v>1033</v>
      </c>
      <c r="AZ30" s="206"/>
      <c r="BA30" s="159"/>
      <c r="BB30" s="160"/>
      <c r="BC30" s="150"/>
      <c r="BD30" s="8" t="s">
        <v>1033</v>
      </c>
      <c r="BE30" s="206"/>
      <c r="BF30" s="159"/>
      <c r="BG30" s="160"/>
      <c r="BH30" s="150"/>
      <c r="BI30" s="8" t="s">
        <v>1033</v>
      </c>
      <c r="BJ30" s="206"/>
      <c r="BK30" s="159"/>
      <c r="BL30" s="160"/>
      <c r="BM30" s="150"/>
    </row>
    <row r="31" spans="1:65" customFormat="1" x14ac:dyDescent="0.25">
      <c r="A31" s="2"/>
      <c r="B31" s="157" t="s">
        <v>978</v>
      </c>
      <c r="C31" s="159">
        <v>2270</v>
      </c>
      <c r="D31" s="158">
        <v>7.49</v>
      </c>
      <c r="E31" s="150">
        <f>C31*D31</f>
        <v>17002.3</v>
      </c>
      <c r="F31" s="2"/>
      <c r="G31" s="157" t="s">
        <v>978</v>
      </c>
      <c r="H31" s="159">
        <v>2270</v>
      </c>
      <c r="I31" s="158">
        <v>7.49</v>
      </c>
      <c r="J31" s="150">
        <f>H31*I31</f>
        <v>17002.3</v>
      </c>
      <c r="K31" s="2"/>
      <c r="L31" s="157" t="s">
        <v>978</v>
      </c>
      <c r="M31" s="159">
        <v>2270</v>
      </c>
      <c r="N31" s="158">
        <v>7.49</v>
      </c>
      <c r="O31" s="150">
        <f>M31*N31</f>
        <v>17002.3</v>
      </c>
      <c r="P31" s="2"/>
      <c r="Q31" s="157" t="s">
        <v>978</v>
      </c>
      <c r="R31" s="159">
        <v>2270</v>
      </c>
      <c r="S31" s="158">
        <v>7.49</v>
      </c>
      <c r="T31" s="150">
        <f>R31*S31</f>
        <v>17002.3</v>
      </c>
      <c r="U31" s="2"/>
      <c r="V31" s="157" t="s">
        <v>978</v>
      </c>
      <c r="W31" s="159">
        <v>2270</v>
      </c>
      <c r="X31" s="158">
        <v>7.49</v>
      </c>
      <c r="Y31" s="150">
        <f>W31*X31</f>
        <v>17002.3</v>
      </c>
      <c r="Z31" s="2"/>
      <c r="AA31" s="157" t="s">
        <v>978</v>
      </c>
      <c r="AB31" s="159">
        <v>2270</v>
      </c>
      <c r="AC31" s="158">
        <v>7.49</v>
      </c>
      <c r="AD31" s="150">
        <f>AB31*AC31</f>
        <v>17002.3</v>
      </c>
      <c r="AE31" s="2"/>
      <c r="AF31" s="157" t="s">
        <v>978</v>
      </c>
      <c r="AG31" s="159">
        <v>2270</v>
      </c>
      <c r="AH31" s="158">
        <v>7.49</v>
      </c>
      <c r="AI31" s="150">
        <f>AG31*AH31</f>
        <v>17002.3</v>
      </c>
      <c r="AJ31" s="2"/>
      <c r="AK31" s="157" t="s">
        <v>978</v>
      </c>
      <c r="AL31" s="159">
        <v>2270</v>
      </c>
      <c r="AM31" s="158">
        <v>7.49</v>
      </c>
      <c r="AN31" s="150">
        <f>AL31*AM31</f>
        <v>17002.3</v>
      </c>
      <c r="AO31" s="2"/>
      <c r="AP31" s="157" t="s">
        <v>978</v>
      </c>
      <c r="AQ31" s="159">
        <v>2270</v>
      </c>
      <c r="AR31" s="158">
        <v>7.49</v>
      </c>
      <c r="AS31" s="150">
        <f>AQ31*AR31</f>
        <v>17002.3</v>
      </c>
      <c r="AT31" s="2"/>
      <c r="AU31" s="157" t="s">
        <v>978</v>
      </c>
      <c r="AV31" s="159">
        <v>2270</v>
      </c>
      <c r="AW31" s="158">
        <v>7.49</v>
      </c>
      <c r="AX31" s="150">
        <f>AV31*AW31</f>
        <v>17002.3</v>
      </c>
      <c r="AY31" s="2"/>
      <c r="AZ31" s="157" t="s">
        <v>978</v>
      </c>
      <c r="BA31" s="159">
        <v>2270</v>
      </c>
      <c r="BB31" s="158">
        <v>7.49</v>
      </c>
      <c r="BC31" s="150">
        <f>BA31*BB31</f>
        <v>17002.3</v>
      </c>
      <c r="BD31" s="2"/>
      <c r="BE31" s="157" t="s">
        <v>978</v>
      </c>
      <c r="BF31" s="159">
        <v>2270</v>
      </c>
      <c r="BG31" s="158">
        <v>7.49</v>
      </c>
      <c r="BH31" s="150">
        <f>BF31*BG31</f>
        <v>17002.3</v>
      </c>
      <c r="BI31" s="2"/>
      <c r="BJ31" s="157" t="s">
        <v>978</v>
      </c>
      <c r="BK31" s="148">
        <f t="shared" ref="BK31:BK34" si="42">C31+H31+M31+R31+W31+AB31+AG31+AL31+AQ31+AV31+BA31+BF31</f>
        <v>27240</v>
      </c>
      <c r="BL31" s="216">
        <f t="shared" ref="BL31:BL35" si="43">E31+J31+O31+T31+Y31+AD31+AI31+AN31+AS31+AX31+BC31+BH31</f>
        <v>204027.59999999995</v>
      </c>
      <c r="BM31" s="150"/>
    </row>
    <row r="32" spans="1:65" customFormat="1" x14ac:dyDescent="0.25">
      <c r="A32" s="2"/>
      <c r="B32" s="157" t="s">
        <v>979</v>
      </c>
      <c r="C32" s="159">
        <v>0</v>
      </c>
      <c r="D32" s="158">
        <v>9.98</v>
      </c>
      <c r="E32" s="150">
        <f t="shared" ref="E32:E34" si="44">C32*D32</f>
        <v>0</v>
      </c>
      <c r="F32" s="2"/>
      <c r="G32" s="157" t="s">
        <v>979</v>
      </c>
      <c r="H32" s="159">
        <v>0</v>
      </c>
      <c r="I32" s="158">
        <v>9.98</v>
      </c>
      <c r="J32" s="150">
        <f t="shared" ref="J32:J34" si="45">H32*I32</f>
        <v>0</v>
      </c>
      <c r="K32" s="2"/>
      <c r="L32" s="157" t="s">
        <v>979</v>
      </c>
      <c r="M32" s="159">
        <v>0</v>
      </c>
      <c r="N32" s="158">
        <v>9.98</v>
      </c>
      <c r="O32" s="150">
        <f t="shared" ref="O32:O34" si="46">M32*N32</f>
        <v>0</v>
      </c>
      <c r="P32" s="2"/>
      <c r="Q32" s="157" t="s">
        <v>979</v>
      </c>
      <c r="R32" s="159">
        <v>0</v>
      </c>
      <c r="S32" s="158">
        <v>9.98</v>
      </c>
      <c r="T32" s="150">
        <f t="shared" ref="T32:T34" si="47">R32*S32</f>
        <v>0</v>
      </c>
      <c r="U32" s="2"/>
      <c r="V32" s="157" t="s">
        <v>979</v>
      </c>
      <c r="W32" s="159">
        <v>0</v>
      </c>
      <c r="X32" s="158">
        <v>9.98</v>
      </c>
      <c r="Y32" s="150">
        <f t="shared" ref="Y32:Y34" si="48">W32*X32</f>
        <v>0</v>
      </c>
      <c r="Z32" s="2"/>
      <c r="AA32" s="157" t="s">
        <v>979</v>
      </c>
      <c r="AB32" s="159">
        <v>0</v>
      </c>
      <c r="AC32" s="158">
        <v>9.98</v>
      </c>
      <c r="AD32" s="150">
        <f t="shared" ref="AD32:AD34" si="49">AB32*AC32</f>
        <v>0</v>
      </c>
      <c r="AE32" s="2"/>
      <c r="AF32" s="157" t="s">
        <v>979</v>
      </c>
      <c r="AG32" s="159">
        <v>0</v>
      </c>
      <c r="AH32" s="158">
        <v>9.98</v>
      </c>
      <c r="AI32" s="150">
        <f t="shared" ref="AI32:AI34" si="50">AG32*AH32</f>
        <v>0</v>
      </c>
      <c r="AJ32" s="2"/>
      <c r="AK32" s="157" t="s">
        <v>979</v>
      </c>
      <c r="AL32" s="159">
        <v>0</v>
      </c>
      <c r="AM32" s="158">
        <v>9.98</v>
      </c>
      <c r="AN32" s="150">
        <f t="shared" ref="AN32:AN34" si="51">AL32*AM32</f>
        <v>0</v>
      </c>
      <c r="AO32" s="2"/>
      <c r="AP32" s="157" t="s">
        <v>979</v>
      </c>
      <c r="AQ32" s="159">
        <v>0</v>
      </c>
      <c r="AR32" s="158">
        <v>9.98</v>
      </c>
      <c r="AS32" s="150">
        <f t="shared" ref="AS32:AS34" si="52">AQ32*AR32</f>
        <v>0</v>
      </c>
      <c r="AT32" s="2"/>
      <c r="AU32" s="157" t="s">
        <v>979</v>
      </c>
      <c r="AV32" s="159">
        <v>0</v>
      </c>
      <c r="AW32" s="158">
        <v>9.98</v>
      </c>
      <c r="AX32" s="150">
        <f t="shared" ref="AX32:AX34" si="53">AV32*AW32</f>
        <v>0</v>
      </c>
      <c r="AY32" s="2"/>
      <c r="AZ32" s="157" t="s">
        <v>979</v>
      </c>
      <c r="BA32" s="159">
        <v>0</v>
      </c>
      <c r="BB32" s="158">
        <v>9.98</v>
      </c>
      <c r="BC32" s="150">
        <f t="shared" ref="BC32:BC34" si="54">BA32*BB32</f>
        <v>0</v>
      </c>
      <c r="BD32" s="2"/>
      <c r="BE32" s="157" t="s">
        <v>979</v>
      </c>
      <c r="BF32" s="159">
        <v>0</v>
      </c>
      <c r="BG32" s="158">
        <v>9.98</v>
      </c>
      <c r="BH32" s="150">
        <f t="shared" ref="BH32:BH34" si="55">BF32*BG32</f>
        <v>0</v>
      </c>
      <c r="BI32" s="2"/>
      <c r="BJ32" s="157" t="s">
        <v>979</v>
      </c>
      <c r="BK32" s="148">
        <f t="shared" si="42"/>
        <v>0</v>
      </c>
      <c r="BL32" s="216">
        <f t="shared" si="43"/>
        <v>0</v>
      </c>
      <c r="BM32" s="150"/>
    </row>
    <row r="33" spans="1:65" customFormat="1" x14ac:dyDescent="0.25">
      <c r="A33" s="2"/>
      <c r="B33" s="157" t="s">
        <v>995</v>
      </c>
      <c r="C33" s="159">
        <v>1042569</v>
      </c>
      <c r="D33" s="160">
        <v>3.9884000000000003E-2</v>
      </c>
      <c r="E33" s="150">
        <f t="shared" si="44"/>
        <v>41581.821996000006</v>
      </c>
      <c r="F33" s="2"/>
      <c r="G33" s="157" t="s">
        <v>995</v>
      </c>
      <c r="H33" s="159">
        <v>977690</v>
      </c>
      <c r="I33" s="160">
        <v>3.9884000000000003E-2</v>
      </c>
      <c r="J33" s="150">
        <f t="shared" si="45"/>
        <v>38994.187960000003</v>
      </c>
      <c r="K33" s="2"/>
      <c r="L33" s="157" t="s">
        <v>995</v>
      </c>
      <c r="M33" s="159">
        <v>1040177</v>
      </c>
      <c r="N33" s="160">
        <v>3.9884000000000003E-2</v>
      </c>
      <c r="O33" s="150">
        <f t="shared" si="46"/>
        <v>41486.419468</v>
      </c>
      <c r="P33" s="2"/>
      <c r="Q33" s="157" t="s">
        <v>995</v>
      </c>
      <c r="R33" s="159">
        <v>1071541</v>
      </c>
      <c r="S33" s="160">
        <v>3.9884000000000003E-2</v>
      </c>
      <c r="T33" s="150">
        <f t="shared" si="47"/>
        <v>42737.341244000003</v>
      </c>
      <c r="U33" s="2"/>
      <c r="V33" s="157" t="s">
        <v>995</v>
      </c>
      <c r="W33" s="159">
        <v>1073846</v>
      </c>
      <c r="X33" s="160">
        <v>3.9884000000000003E-2</v>
      </c>
      <c r="Y33" s="150">
        <f t="shared" si="48"/>
        <v>42829.273864000003</v>
      </c>
      <c r="Z33" s="2"/>
      <c r="AA33" s="157" t="s">
        <v>995</v>
      </c>
      <c r="AB33" s="159">
        <v>1008970</v>
      </c>
      <c r="AC33" s="160">
        <v>3.9884000000000003E-2</v>
      </c>
      <c r="AD33" s="150">
        <f t="shared" si="49"/>
        <v>40241.759480000001</v>
      </c>
      <c r="AE33" s="2"/>
      <c r="AF33" s="157" t="s">
        <v>995</v>
      </c>
      <c r="AG33" s="159">
        <v>1055054</v>
      </c>
      <c r="AH33" s="160">
        <v>3.9884000000000003E-2</v>
      </c>
      <c r="AI33" s="150">
        <f t="shared" si="50"/>
        <v>42079.773736000003</v>
      </c>
      <c r="AJ33" s="2"/>
      <c r="AK33" s="157" t="s">
        <v>995</v>
      </c>
      <c r="AL33" s="159">
        <v>1058106</v>
      </c>
      <c r="AM33" s="160">
        <v>3.9884000000000003E-2</v>
      </c>
      <c r="AN33" s="150">
        <f t="shared" si="51"/>
        <v>42201.499704000002</v>
      </c>
      <c r="AO33" s="2"/>
      <c r="AP33" s="157" t="s">
        <v>995</v>
      </c>
      <c r="AQ33" s="159">
        <v>966682</v>
      </c>
      <c r="AR33" s="160">
        <v>3.9884000000000003E-2</v>
      </c>
      <c r="AS33" s="150">
        <f t="shared" si="52"/>
        <v>38555.144888000003</v>
      </c>
      <c r="AT33" s="2"/>
      <c r="AU33" s="157" t="s">
        <v>995</v>
      </c>
      <c r="AV33" s="159">
        <v>1094204</v>
      </c>
      <c r="AW33" s="160">
        <v>3.9884000000000003E-2</v>
      </c>
      <c r="AX33" s="150">
        <f t="shared" si="53"/>
        <v>43641.232336000001</v>
      </c>
      <c r="AY33" s="2"/>
      <c r="AZ33" s="157" t="s">
        <v>995</v>
      </c>
      <c r="BA33" s="159">
        <v>883805</v>
      </c>
      <c r="BB33" s="160">
        <v>3.9884000000000003E-2</v>
      </c>
      <c r="BC33" s="150">
        <f t="shared" si="54"/>
        <v>35249.678620000006</v>
      </c>
      <c r="BD33" s="2"/>
      <c r="BE33" s="157" t="s">
        <v>995</v>
      </c>
      <c r="BF33" s="159">
        <v>924954</v>
      </c>
      <c r="BG33" s="160">
        <v>3.9884000000000003E-2</v>
      </c>
      <c r="BH33" s="150">
        <f t="shared" si="55"/>
        <v>36890.865336000003</v>
      </c>
      <c r="BI33" s="2"/>
      <c r="BJ33" s="157" t="s">
        <v>995</v>
      </c>
      <c r="BK33" s="148">
        <f t="shared" si="42"/>
        <v>12197598</v>
      </c>
      <c r="BL33" s="216">
        <f t="shared" si="43"/>
        <v>486488.99863200006</v>
      </c>
      <c r="BM33" s="150"/>
    </row>
    <row r="34" spans="1:65" customFormat="1" x14ac:dyDescent="0.25">
      <c r="A34" s="2"/>
      <c r="B34" s="157" t="s">
        <v>996</v>
      </c>
      <c r="C34" s="159"/>
      <c r="D34" s="160">
        <f>D33-0.02624</f>
        <v>1.3644000000000003E-2</v>
      </c>
      <c r="E34" s="150">
        <f t="shared" si="44"/>
        <v>0</v>
      </c>
      <c r="F34" s="2"/>
      <c r="G34" s="157" t="s">
        <v>996</v>
      </c>
      <c r="H34" s="159"/>
      <c r="I34" s="160">
        <f>I33-0.02624</f>
        <v>1.3644000000000003E-2</v>
      </c>
      <c r="J34" s="150">
        <f t="shared" si="45"/>
        <v>0</v>
      </c>
      <c r="K34" s="2"/>
      <c r="L34" s="157" t="s">
        <v>996</v>
      </c>
      <c r="M34" s="159"/>
      <c r="N34" s="160">
        <f>N33-0.02624</f>
        <v>1.3644000000000003E-2</v>
      </c>
      <c r="O34" s="150">
        <f t="shared" si="46"/>
        <v>0</v>
      </c>
      <c r="P34" s="2"/>
      <c r="Q34" s="157" t="s">
        <v>996</v>
      </c>
      <c r="R34" s="159"/>
      <c r="S34" s="160">
        <f>S33-0.02624</f>
        <v>1.3644000000000003E-2</v>
      </c>
      <c r="T34" s="150">
        <f t="shared" si="47"/>
        <v>0</v>
      </c>
      <c r="U34" s="2"/>
      <c r="V34" s="157" t="s">
        <v>996</v>
      </c>
      <c r="W34" s="159"/>
      <c r="X34" s="160">
        <f>X33-0.02624</f>
        <v>1.3644000000000003E-2</v>
      </c>
      <c r="Y34" s="150">
        <f t="shared" si="48"/>
        <v>0</v>
      </c>
      <c r="Z34" s="2"/>
      <c r="AA34" s="157" t="s">
        <v>996</v>
      </c>
      <c r="AB34" s="159"/>
      <c r="AC34" s="160">
        <f>AC33-0.02624</f>
        <v>1.3644000000000003E-2</v>
      </c>
      <c r="AD34" s="150">
        <f t="shared" si="49"/>
        <v>0</v>
      </c>
      <c r="AE34" s="2"/>
      <c r="AF34" s="157" t="s">
        <v>996</v>
      </c>
      <c r="AG34" s="159"/>
      <c r="AH34" s="160">
        <f>AH33-0.02624</f>
        <v>1.3644000000000003E-2</v>
      </c>
      <c r="AI34" s="150">
        <f t="shared" si="50"/>
        <v>0</v>
      </c>
      <c r="AJ34" s="2"/>
      <c r="AK34" s="157" t="s">
        <v>996</v>
      </c>
      <c r="AL34" s="159"/>
      <c r="AM34" s="160">
        <f>AM33-0.02624</f>
        <v>1.3644000000000003E-2</v>
      </c>
      <c r="AN34" s="150">
        <f t="shared" si="51"/>
        <v>0</v>
      </c>
      <c r="AO34" s="2"/>
      <c r="AP34" s="157" t="s">
        <v>996</v>
      </c>
      <c r="AQ34" s="159"/>
      <c r="AR34" s="160">
        <f>AR33-0.02624</f>
        <v>1.3644000000000003E-2</v>
      </c>
      <c r="AS34" s="150">
        <f t="shared" si="52"/>
        <v>0</v>
      </c>
      <c r="AT34" s="2"/>
      <c r="AU34" s="157" t="s">
        <v>996</v>
      </c>
      <c r="AV34" s="159"/>
      <c r="AW34" s="160">
        <f>AW33-0.02624</f>
        <v>1.3644000000000003E-2</v>
      </c>
      <c r="AX34" s="150">
        <f t="shared" si="53"/>
        <v>0</v>
      </c>
      <c r="AY34" s="2"/>
      <c r="AZ34" s="157" t="s">
        <v>996</v>
      </c>
      <c r="BA34" s="159">
        <f>908000-BA33</f>
        <v>24195</v>
      </c>
      <c r="BB34" s="160">
        <f>BB33-0.02624</f>
        <v>1.3644000000000003E-2</v>
      </c>
      <c r="BC34" s="150">
        <f t="shared" si="54"/>
        <v>330.11658000000006</v>
      </c>
      <c r="BD34" s="2"/>
      <c r="BE34" s="157" t="s">
        <v>996</v>
      </c>
      <c r="BF34" s="159">
        <f>924954-BF33</f>
        <v>0</v>
      </c>
      <c r="BG34" s="160">
        <f>BG33-0.02624</f>
        <v>1.3644000000000003E-2</v>
      </c>
      <c r="BH34" s="150">
        <f t="shared" si="55"/>
        <v>0</v>
      </c>
      <c r="BI34" s="2"/>
      <c r="BJ34" s="157" t="s">
        <v>996</v>
      </c>
      <c r="BK34" s="148">
        <f t="shared" si="42"/>
        <v>24195</v>
      </c>
      <c r="BL34" s="216">
        <f t="shared" si="43"/>
        <v>330.11658000000006</v>
      </c>
      <c r="BM34" s="150"/>
    </row>
    <row r="35" spans="1:65" customFormat="1" x14ac:dyDescent="0.25">
      <c r="A35" s="2"/>
      <c r="B35" s="157" t="s">
        <v>984</v>
      </c>
      <c r="C35" s="159"/>
      <c r="D35" s="160"/>
      <c r="E35" s="150">
        <f>-5328+(0.00152*C33)</f>
        <v>-3743.2951199999998</v>
      </c>
      <c r="F35" s="2"/>
      <c r="G35" s="157" t="s">
        <v>984</v>
      </c>
      <c r="H35" s="159"/>
      <c r="I35" s="160"/>
      <c r="J35" s="150">
        <v>-6394</v>
      </c>
      <c r="K35" s="2"/>
      <c r="L35" s="157" t="s">
        <v>984</v>
      </c>
      <c r="M35" s="159"/>
      <c r="N35" s="160"/>
      <c r="O35" s="150">
        <v>-8124</v>
      </c>
      <c r="P35" s="2"/>
      <c r="Q35" s="157" t="s">
        <v>984</v>
      </c>
      <c r="R35" s="159"/>
      <c r="S35" s="160"/>
      <c r="T35" s="150">
        <f>-1789+(0.00152*(R33+R34))</f>
        <v>-160.25767999999994</v>
      </c>
      <c r="U35" s="2"/>
      <c r="V35" s="157" t="s">
        <v>984</v>
      </c>
      <c r="W35" s="159"/>
      <c r="X35" s="160"/>
      <c r="Y35" s="150">
        <f>-4038+(0.00152*(W33+W34))</f>
        <v>-2405.7540799999997</v>
      </c>
      <c r="Z35" s="2"/>
      <c r="AA35" s="157" t="s">
        <v>984</v>
      </c>
      <c r="AB35" s="159"/>
      <c r="AC35" s="160"/>
      <c r="AD35" s="150">
        <f>-3521+(0.00152*(AB33+AB34))</f>
        <v>-1987.3655999999999</v>
      </c>
      <c r="AE35" s="2"/>
      <c r="AF35" s="157" t="s">
        <v>984</v>
      </c>
      <c r="AG35" s="159"/>
      <c r="AH35" s="160"/>
      <c r="AI35" s="150">
        <f>-5096+(0.00152*(AG33+AG34))</f>
        <v>-3492.31792</v>
      </c>
      <c r="AJ35" s="2"/>
      <c r="AK35" s="157" t="s">
        <v>984</v>
      </c>
      <c r="AL35" s="159"/>
      <c r="AM35" s="160"/>
      <c r="AN35" s="150">
        <f>-5534+(0.00152*(AL33+AL34))</f>
        <v>-3925.6788799999999</v>
      </c>
      <c r="AO35" s="2"/>
      <c r="AP35" s="157" t="s">
        <v>984</v>
      </c>
      <c r="AQ35" s="159"/>
      <c r="AR35" s="160"/>
      <c r="AS35" s="150">
        <f>-5916+(0.00152*(AQ33+AQ34))</f>
        <v>-4446.64336</v>
      </c>
      <c r="AT35" s="2"/>
      <c r="AU35" s="157" t="s">
        <v>984</v>
      </c>
      <c r="AV35" s="159"/>
      <c r="AW35" s="160"/>
      <c r="AX35" s="150">
        <f>-5171+(0.00152*(AV33+AV34))</f>
        <v>-3507.8099199999997</v>
      </c>
      <c r="AY35" s="2"/>
      <c r="AZ35" s="157" t="s">
        <v>984</v>
      </c>
      <c r="BA35" s="159"/>
      <c r="BB35" s="160"/>
      <c r="BC35" s="150">
        <f>-5824+(0.00152*(BA33+BA34))</f>
        <v>-4443.84</v>
      </c>
      <c r="BD35" s="2"/>
      <c r="BE35" s="157" t="s">
        <v>984</v>
      </c>
      <c r="BF35" s="159"/>
      <c r="BG35" s="160"/>
      <c r="BH35" s="150">
        <f>-1101+(0.00152*(BF33+BF34))</f>
        <v>304.93008000000009</v>
      </c>
      <c r="BI35" s="2"/>
      <c r="BJ35" s="157" t="s">
        <v>984</v>
      </c>
      <c r="BK35" s="148"/>
      <c r="BL35" s="216">
        <f t="shared" si="43"/>
        <v>-42326.032480000002</v>
      </c>
      <c r="BM35" s="150"/>
    </row>
    <row r="36" spans="1:65" customFormat="1" x14ac:dyDescent="0.25">
      <c r="A36" s="2"/>
      <c r="B36" s="157"/>
      <c r="C36" s="159"/>
      <c r="D36" s="160"/>
      <c r="E36" s="150"/>
      <c r="F36" s="2"/>
      <c r="G36" s="157"/>
      <c r="H36" s="159"/>
      <c r="I36" s="160"/>
      <c r="J36" s="150"/>
      <c r="K36" s="2"/>
      <c r="L36" s="157"/>
      <c r="M36" s="159"/>
      <c r="N36" s="160"/>
      <c r="O36" s="150"/>
      <c r="P36" s="2"/>
      <c r="Q36" s="157"/>
      <c r="R36" s="159"/>
      <c r="S36" s="160"/>
      <c r="T36" s="150"/>
      <c r="U36" s="2"/>
      <c r="V36" s="157"/>
      <c r="W36" s="159"/>
      <c r="X36" s="160"/>
      <c r="Y36" s="150"/>
      <c r="Z36" s="2"/>
      <c r="AA36" s="157"/>
      <c r="AB36" s="159"/>
      <c r="AC36" s="160"/>
      <c r="AD36" s="150"/>
      <c r="AE36" s="2"/>
      <c r="AF36" s="157"/>
      <c r="AG36" s="159"/>
      <c r="AH36" s="160"/>
      <c r="AI36" s="150"/>
      <c r="AJ36" s="2"/>
      <c r="AK36" s="157"/>
      <c r="AL36" s="159"/>
      <c r="AM36" s="160"/>
      <c r="AN36" s="150"/>
      <c r="AO36" s="2"/>
      <c r="AP36" s="157"/>
      <c r="AQ36" s="159"/>
      <c r="AR36" s="160"/>
      <c r="AS36" s="150"/>
      <c r="AT36" s="2"/>
      <c r="AU36" s="157"/>
      <c r="AV36" s="159"/>
      <c r="AW36" s="160"/>
      <c r="AX36" s="150"/>
      <c r="AY36" s="2"/>
      <c r="AZ36" s="157"/>
      <c r="BA36" s="159"/>
      <c r="BB36" s="160"/>
      <c r="BC36" s="150"/>
      <c r="BD36" s="2"/>
      <c r="BE36" s="157"/>
      <c r="BF36" s="159"/>
      <c r="BG36" s="160"/>
      <c r="BH36" s="150"/>
      <c r="BI36" s="2"/>
      <c r="BJ36" s="157"/>
      <c r="BK36" s="159"/>
      <c r="BL36" s="160"/>
      <c r="BM36" s="150"/>
    </row>
    <row r="37" spans="1:65" customFormat="1" x14ac:dyDescent="0.25">
      <c r="A37" s="8" t="s">
        <v>1034</v>
      </c>
      <c r="B37" s="206"/>
      <c r="C37" s="159"/>
      <c r="D37" s="160"/>
      <c r="E37" s="150"/>
      <c r="F37" s="8" t="s">
        <v>1034</v>
      </c>
      <c r="G37" s="206"/>
      <c r="H37" s="159"/>
      <c r="I37" s="160"/>
      <c r="J37" s="150"/>
      <c r="K37" s="8" t="s">
        <v>1034</v>
      </c>
      <c r="L37" s="206"/>
      <c r="M37" s="159"/>
      <c r="N37" s="160"/>
      <c r="O37" s="150"/>
      <c r="P37" s="8" t="s">
        <v>1034</v>
      </c>
      <c r="Q37" s="206"/>
      <c r="R37" s="159"/>
      <c r="S37" s="160"/>
      <c r="T37" s="150"/>
      <c r="U37" s="8" t="s">
        <v>1034</v>
      </c>
      <c r="V37" s="206"/>
      <c r="W37" s="159"/>
      <c r="X37" s="160"/>
      <c r="Y37" s="150"/>
      <c r="Z37" s="8" t="s">
        <v>1034</v>
      </c>
      <c r="AA37" s="206"/>
      <c r="AB37" s="159"/>
      <c r="AC37" s="160"/>
      <c r="AD37" s="150"/>
      <c r="AE37" s="8" t="s">
        <v>1034</v>
      </c>
      <c r="AF37" s="206"/>
      <c r="AG37" s="159"/>
      <c r="AH37" s="160"/>
      <c r="AI37" s="150"/>
      <c r="AJ37" s="8" t="s">
        <v>1034</v>
      </c>
      <c r="AK37" s="206"/>
      <c r="AL37" s="159"/>
      <c r="AM37" s="160"/>
      <c r="AN37" s="150"/>
      <c r="AO37" s="8" t="s">
        <v>1034</v>
      </c>
      <c r="AP37" s="206"/>
      <c r="AQ37" s="159"/>
      <c r="AR37" s="160"/>
      <c r="AS37" s="150"/>
      <c r="AT37" s="8" t="s">
        <v>1034</v>
      </c>
      <c r="AU37" s="206"/>
      <c r="AV37" s="159"/>
      <c r="AW37" s="160"/>
      <c r="AX37" s="150"/>
      <c r="AY37" s="8" t="s">
        <v>1034</v>
      </c>
      <c r="AZ37" s="206"/>
      <c r="BA37" s="159"/>
      <c r="BB37" s="160"/>
      <c r="BC37" s="150"/>
      <c r="BD37" s="8" t="s">
        <v>1034</v>
      </c>
      <c r="BE37" s="206"/>
      <c r="BF37" s="159"/>
      <c r="BG37" s="160"/>
      <c r="BH37" s="150"/>
      <c r="BI37" s="8" t="s">
        <v>1034</v>
      </c>
      <c r="BJ37" s="206"/>
      <c r="BK37" s="159"/>
      <c r="BL37" s="160"/>
      <c r="BM37" s="150"/>
    </row>
    <row r="38" spans="1:65" customFormat="1" x14ac:dyDescent="0.25">
      <c r="A38" s="2"/>
      <c r="B38" s="157" t="s">
        <v>978</v>
      </c>
      <c r="C38" s="159">
        <v>1450</v>
      </c>
      <c r="D38" s="158">
        <v>7.49</v>
      </c>
      <c r="E38" s="150">
        <f>C38*D38</f>
        <v>10860.5</v>
      </c>
      <c r="F38" s="2"/>
      <c r="G38" s="157" t="s">
        <v>978</v>
      </c>
      <c r="H38" s="159">
        <v>1450</v>
      </c>
      <c r="I38" s="158">
        <v>7.49</v>
      </c>
      <c r="J38" s="150">
        <f>H38*I38</f>
        <v>10860.5</v>
      </c>
      <c r="K38" s="2"/>
      <c r="L38" s="157" t="s">
        <v>978</v>
      </c>
      <c r="M38" s="159">
        <v>1450</v>
      </c>
      <c r="N38" s="158">
        <v>7.49</v>
      </c>
      <c r="O38" s="150">
        <f>M38*N38</f>
        <v>10860.5</v>
      </c>
      <c r="P38" s="2"/>
      <c r="Q38" s="157" t="s">
        <v>978</v>
      </c>
      <c r="R38" s="159">
        <v>1450</v>
      </c>
      <c r="S38" s="158">
        <v>7.49</v>
      </c>
      <c r="T38" s="150">
        <f>R38*S38</f>
        <v>10860.5</v>
      </c>
      <c r="U38" s="2"/>
      <c r="V38" s="157" t="s">
        <v>978</v>
      </c>
      <c r="W38" s="159">
        <v>1450</v>
      </c>
      <c r="X38" s="158">
        <v>7.49</v>
      </c>
      <c r="Y38" s="150">
        <f>W38*X38</f>
        <v>10860.5</v>
      </c>
      <c r="Z38" s="2"/>
      <c r="AA38" s="157" t="s">
        <v>978</v>
      </c>
      <c r="AB38" s="159">
        <v>1450</v>
      </c>
      <c r="AC38" s="158">
        <v>7.49</v>
      </c>
      <c r="AD38" s="150">
        <f>AB38*AC38</f>
        <v>10860.5</v>
      </c>
      <c r="AE38" s="2"/>
      <c r="AF38" s="157" t="s">
        <v>978</v>
      </c>
      <c r="AG38" s="159">
        <v>1450</v>
      </c>
      <c r="AH38" s="158">
        <v>7.49</v>
      </c>
      <c r="AI38" s="150">
        <f>AG38*AH38</f>
        <v>10860.5</v>
      </c>
      <c r="AJ38" s="2"/>
      <c r="AK38" s="157" t="s">
        <v>978</v>
      </c>
      <c r="AL38" s="159">
        <v>1450</v>
      </c>
      <c r="AM38" s="158">
        <v>7.49</v>
      </c>
      <c r="AN38" s="150">
        <f>AL38*AM38</f>
        <v>10860.5</v>
      </c>
      <c r="AO38" s="2"/>
      <c r="AP38" s="157" t="s">
        <v>978</v>
      </c>
      <c r="AQ38" s="159">
        <v>1450</v>
      </c>
      <c r="AR38" s="158">
        <v>7.49</v>
      </c>
      <c r="AS38" s="150">
        <f>AQ38*AR38</f>
        <v>10860.5</v>
      </c>
      <c r="AT38" s="2"/>
      <c r="AU38" s="157" t="s">
        <v>978</v>
      </c>
      <c r="AV38" s="159">
        <v>1450</v>
      </c>
      <c r="AW38" s="158">
        <v>7.49</v>
      </c>
      <c r="AX38" s="150">
        <f>AV38*AW38</f>
        <v>10860.5</v>
      </c>
      <c r="AY38" s="2"/>
      <c r="AZ38" s="157" t="s">
        <v>978</v>
      </c>
      <c r="BA38" s="159">
        <v>1450</v>
      </c>
      <c r="BB38" s="158">
        <v>7.49</v>
      </c>
      <c r="BC38" s="150">
        <f>BA38*BB38</f>
        <v>10860.5</v>
      </c>
      <c r="BD38" s="2"/>
      <c r="BE38" s="157" t="s">
        <v>978</v>
      </c>
      <c r="BF38" s="159">
        <v>1450</v>
      </c>
      <c r="BG38" s="158">
        <v>7.49</v>
      </c>
      <c r="BH38" s="150">
        <f>BF38*BG38</f>
        <v>10860.5</v>
      </c>
      <c r="BI38" s="2"/>
      <c r="BJ38" s="157" t="s">
        <v>978</v>
      </c>
      <c r="BK38" s="148">
        <f t="shared" ref="BK38:BK41" si="56">C38+H38+M38+R38+W38+AB38+AG38+AL38+AQ38+AV38+BA38+BF38</f>
        <v>17400</v>
      </c>
      <c r="BL38" s="216">
        <f t="shared" ref="BL38:BL42" si="57">E38+J38+O38+T38+Y38+AD38+AI38+AN38+AS38+AX38+BC38+BH38</f>
        <v>130326</v>
      </c>
      <c r="BM38" s="150"/>
    </row>
    <row r="39" spans="1:65" customFormat="1" x14ac:dyDescent="0.25">
      <c r="A39" s="2"/>
      <c r="B39" s="157" t="s">
        <v>979</v>
      </c>
      <c r="C39" s="159">
        <f>1836-C38</f>
        <v>386</v>
      </c>
      <c r="D39" s="158">
        <v>9.98</v>
      </c>
      <c r="E39" s="150">
        <f t="shared" ref="E39:E41" si="58">C39*D39</f>
        <v>3852.28</v>
      </c>
      <c r="F39" s="2"/>
      <c r="G39" s="157" t="s">
        <v>979</v>
      </c>
      <c r="H39" s="159">
        <f>1450-H38</f>
        <v>0</v>
      </c>
      <c r="I39" s="158">
        <v>9.98</v>
      </c>
      <c r="J39" s="150">
        <f t="shared" ref="J39:J41" si="59">H39*I39</f>
        <v>0</v>
      </c>
      <c r="K39" s="2"/>
      <c r="L39" s="157" t="s">
        <v>979</v>
      </c>
      <c r="M39" s="159">
        <f>1450-M38</f>
        <v>0</v>
      </c>
      <c r="N39" s="158">
        <v>9.98</v>
      </c>
      <c r="O39" s="150">
        <f t="shared" ref="O39:O41" si="60">M39*N39</f>
        <v>0</v>
      </c>
      <c r="P39" s="2"/>
      <c r="Q39" s="157" t="s">
        <v>979</v>
      </c>
      <c r="R39" s="159">
        <f>1631-R38</f>
        <v>181</v>
      </c>
      <c r="S39" s="158">
        <v>9.98</v>
      </c>
      <c r="T39" s="150">
        <f t="shared" ref="T39:T41" si="61">R39*S39</f>
        <v>1806.38</v>
      </c>
      <c r="U39" s="2"/>
      <c r="V39" s="157" t="s">
        <v>979</v>
      </c>
      <c r="W39" s="159">
        <f>1631-W38</f>
        <v>181</v>
      </c>
      <c r="X39" s="158">
        <v>9.98</v>
      </c>
      <c r="Y39" s="150">
        <f t="shared" ref="Y39:Y41" si="62">W39*X39</f>
        <v>1806.38</v>
      </c>
      <c r="Z39" s="2"/>
      <c r="AA39" s="157" t="s">
        <v>979</v>
      </c>
      <c r="AB39" s="159">
        <f>1450-AB38</f>
        <v>0</v>
      </c>
      <c r="AC39" s="158">
        <v>9.98</v>
      </c>
      <c r="AD39" s="150">
        <f t="shared" ref="AD39:AD41" si="63">AB39*AC39</f>
        <v>0</v>
      </c>
      <c r="AE39" s="2"/>
      <c r="AF39" s="157" t="s">
        <v>979</v>
      </c>
      <c r="AG39" s="159">
        <f>1474-AG38</f>
        <v>24</v>
      </c>
      <c r="AH39" s="158">
        <v>9.98</v>
      </c>
      <c r="AI39" s="150">
        <f t="shared" ref="AI39:AI41" si="64">AG39*AH39</f>
        <v>239.52</v>
      </c>
      <c r="AJ39" s="2"/>
      <c r="AK39" s="157" t="s">
        <v>979</v>
      </c>
      <c r="AL39" s="159">
        <f>1676-AL38</f>
        <v>226</v>
      </c>
      <c r="AM39" s="158">
        <v>9.98</v>
      </c>
      <c r="AN39" s="150">
        <f t="shared" ref="AN39:AN41" si="65">AL39*AM39</f>
        <v>2255.48</v>
      </c>
      <c r="AO39" s="2"/>
      <c r="AP39" s="157" t="s">
        <v>979</v>
      </c>
      <c r="AQ39" s="159">
        <f>1835-AQ38</f>
        <v>385</v>
      </c>
      <c r="AR39" s="158">
        <v>9.98</v>
      </c>
      <c r="AS39" s="150">
        <f t="shared" ref="AS39:AS41" si="66">AQ39*AR39</f>
        <v>3842.3</v>
      </c>
      <c r="AT39" s="2"/>
      <c r="AU39" s="157" t="s">
        <v>979</v>
      </c>
      <c r="AV39" s="159">
        <f>1694-AV38</f>
        <v>244</v>
      </c>
      <c r="AW39" s="158">
        <v>9.98</v>
      </c>
      <c r="AX39" s="150">
        <f t="shared" ref="AX39:AX41" si="67">AV39*AW39</f>
        <v>2435.12</v>
      </c>
      <c r="AY39" s="2"/>
      <c r="AZ39" s="157" t="s">
        <v>979</v>
      </c>
      <c r="BA39" s="159">
        <f>1450-BA38</f>
        <v>0</v>
      </c>
      <c r="BB39" s="158">
        <v>9.98</v>
      </c>
      <c r="BC39" s="150">
        <f t="shared" ref="BC39:BC41" si="68">BA39*BB39</f>
        <v>0</v>
      </c>
      <c r="BD39" s="2"/>
      <c r="BE39" s="157" t="s">
        <v>979</v>
      </c>
      <c r="BF39" s="159">
        <f>1450-BF38</f>
        <v>0</v>
      </c>
      <c r="BG39" s="158">
        <v>9.98</v>
      </c>
      <c r="BH39" s="150">
        <f t="shared" ref="BH39:BH41" si="69">BF39*BG39</f>
        <v>0</v>
      </c>
      <c r="BI39" s="2"/>
      <c r="BJ39" s="157" t="s">
        <v>979</v>
      </c>
      <c r="BK39" s="148">
        <f t="shared" si="56"/>
        <v>1627</v>
      </c>
      <c r="BL39" s="216">
        <f t="shared" si="57"/>
        <v>16237.46</v>
      </c>
      <c r="BM39" s="150"/>
    </row>
    <row r="40" spans="1:65" customFormat="1" x14ac:dyDescent="0.25">
      <c r="A40" s="2"/>
      <c r="B40" s="157" t="s">
        <v>995</v>
      </c>
      <c r="C40" s="159">
        <v>998762</v>
      </c>
      <c r="D40" s="160">
        <v>3.9884000000000003E-2</v>
      </c>
      <c r="E40" s="150">
        <f t="shared" si="58"/>
        <v>39834.623608000002</v>
      </c>
      <c r="F40" s="2"/>
      <c r="G40" s="157" t="s">
        <v>995</v>
      </c>
      <c r="H40" s="159">
        <v>908204</v>
      </c>
      <c r="I40" s="160">
        <v>3.9884000000000003E-2</v>
      </c>
      <c r="J40" s="150">
        <f t="shared" si="59"/>
        <v>36222.808336000002</v>
      </c>
      <c r="K40" s="2"/>
      <c r="L40" s="157" t="s">
        <v>995</v>
      </c>
      <c r="M40" s="159">
        <v>1007468</v>
      </c>
      <c r="N40" s="160">
        <v>3.9884000000000003E-2</v>
      </c>
      <c r="O40" s="150">
        <f t="shared" si="60"/>
        <v>40181.853712000004</v>
      </c>
      <c r="P40" s="2"/>
      <c r="Q40" s="157" t="s">
        <v>995</v>
      </c>
      <c r="R40" s="159">
        <v>912042</v>
      </c>
      <c r="S40" s="160">
        <v>3.9884000000000003E-2</v>
      </c>
      <c r="T40" s="150">
        <f t="shared" si="61"/>
        <v>36375.883128000001</v>
      </c>
      <c r="U40" s="2"/>
      <c r="V40" s="157" t="s">
        <v>995</v>
      </c>
      <c r="W40" s="159">
        <v>978775</v>
      </c>
      <c r="X40" s="160">
        <v>3.9884000000000003E-2</v>
      </c>
      <c r="Y40" s="150">
        <f t="shared" si="62"/>
        <v>39037.462100000004</v>
      </c>
      <c r="Z40" s="2"/>
      <c r="AA40" s="157" t="s">
        <v>995</v>
      </c>
      <c r="AB40" s="159">
        <v>950324</v>
      </c>
      <c r="AC40" s="160">
        <v>3.9884000000000003E-2</v>
      </c>
      <c r="AD40" s="150">
        <f t="shared" si="63"/>
        <v>37902.722416000004</v>
      </c>
      <c r="AE40" s="2"/>
      <c r="AF40" s="157" t="s">
        <v>995</v>
      </c>
      <c r="AG40" s="159">
        <v>873214</v>
      </c>
      <c r="AH40" s="160">
        <v>3.9884000000000003E-2</v>
      </c>
      <c r="AI40" s="150">
        <f t="shared" si="64"/>
        <v>34827.267176000001</v>
      </c>
      <c r="AJ40" s="2"/>
      <c r="AK40" s="157" t="s">
        <v>995</v>
      </c>
      <c r="AL40" s="159">
        <v>1037096</v>
      </c>
      <c r="AM40" s="160">
        <v>3.9884000000000003E-2</v>
      </c>
      <c r="AN40" s="150">
        <f t="shared" si="65"/>
        <v>41363.536864000002</v>
      </c>
      <c r="AO40" s="2"/>
      <c r="AP40" s="157" t="s">
        <v>995</v>
      </c>
      <c r="AQ40" s="159">
        <v>942898</v>
      </c>
      <c r="AR40" s="160">
        <v>3.9884000000000003E-2</v>
      </c>
      <c r="AS40" s="150">
        <f t="shared" si="66"/>
        <v>37606.543832000003</v>
      </c>
      <c r="AT40" s="2"/>
      <c r="AU40" s="157" t="s">
        <v>995</v>
      </c>
      <c r="AV40" s="159">
        <v>998828</v>
      </c>
      <c r="AW40" s="160">
        <v>3.9884000000000003E-2</v>
      </c>
      <c r="AX40" s="150">
        <f t="shared" si="67"/>
        <v>39837.255952</v>
      </c>
      <c r="AY40" s="2"/>
      <c r="AZ40" s="157" t="s">
        <v>995</v>
      </c>
      <c r="BA40" s="159">
        <v>827998</v>
      </c>
      <c r="BB40" s="160">
        <v>3.9884000000000003E-2</v>
      </c>
      <c r="BC40" s="150">
        <f t="shared" si="68"/>
        <v>33023.872232000002</v>
      </c>
      <c r="BD40" s="2"/>
      <c r="BE40" s="157" t="s">
        <v>995</v>
      </c>
      <c r="BF40" s="159">
        <v>886184</v>
      </c>
      <c r="BG40" s="160">
        <v>3.9884000000000003E-2</v>
      </c>
      <c r="BH40" s="150">
        <f t="shared" si="69"/>
        <v>35344.562656000002</v>
      </c>
      <c r="BI40" s="2"/>
      <c r="BJ40" s="157" t="s">
        <v>995</v>
      </c>
      <c r="BK40" s="148">
        <f t="shared" si="56"/>
        <v>11321793</v>
      </c>
      <c r="BL40" s="216">
        <f t="shared" si="57"/>
        <v>451558.39201200008</v>
      </c>
      <c r="BM40" s="150"/>
    </row>
    <row r="41" spans="1:65" customFormat="1" x14ac:dyDescent="0.25">
      <c r="A41" s="2"/>
      <c r="B41" s="157" t="s">
        <v>996</v>
      </c>
      <c r="C41" s="159"/>
      <c r="D41" s="160">
        <f>D40-0.02624</f>
        <v>1.3644000000000003E-2</v>
      </c>
      <c r="E41" s="150">
        <f t="shared" si="58"/>
        <v>0</v>
      </c>
      <c r="F41" s="2"/>
      <c r="G41" s="157" t="s">
        <v>996</v>
      </c>
      <c r="H41" s="159"/>
      <c r="I41" s="160">
        <f>I40-0.02624</f>
        <v>1.3644000000000003E-2</v>
      </c>
      <c r="J41" s="150">
        <f t="shared" si="59"/>
        <v>0</v>
      </c>
      <c r="K41" s="2"/>
      <c r="L41" s="157" t="s">
        <v>996</v>
      </c>
      <c r="M41" s="159"/>
      <c r="N41" s="160">
        <f>N40-0.02624</f>
        <v>1.3644000000000003E-2</v>
      </c>
      <c r="O41" s="150">
        <f t="shared" si="60"/>
        <v>0</v>
      </c>
      <c r="P41" s="2"/>
      <c r="Q41" s="157" t="s">
        <v>996</v>
      </c>
      <c r="R41" s="159"/>
      <c r="S41" s="160">
        <f>S40-0.02624</f>
        <v>1.3644000000000003E-2</v>
      </c>
      <c r="T41" s="150">
        <f t="shared" si="61"/>
        <v>0</v>
      </c>
      <c r="U41" s="2"/>
      <c r="V41" s="157" t="s">
        <v>996</v>
      </c>
      <c r="W41" s="159"/>
      <c r="X41" s="160">
        <f>X40-0.02624</f>
        <v>1.3644000000000003E-2</v>
      </c>
      <c r="Y41" s="150">
        <f t="shared" si="62"/>
        <v>0</v>
      </c>
      <c r="Z41" s="2"/>
      <c r="AA41" s="157" t="s">
        <v>996</v>
      </c>
      <c r="AB41" s="159"/>
      <c r="AC41" s="160">
        <f>AC40-0.02624</f>
        <v>1.3644000000000003E-2</v>
      </c>
      <c r="AD41" s="150">
        <f t="shared" si="63"/>
        <v>0</v>
      </c>
      <c r="AE41" s="2"/>
      <c r="AF41" s="157" t="s">
        <v>996</v>
      </c>
      <c r="AG41" s="159"/>
      <c r="AH41" s="160">
        <f>AH40-0.02624</f>
        <v>1.3644000000000003E-2</v>
      </c>
      <c r="AI41" s="150">
        <f t="shared" si="64"/>
        <v>0</v>
      </c>
      <c r="AJ41" s="2"/>
      <c r="AK41" s="157" t="s">
        <v>996</v>
      </c>
      <c r="AL41" s="159"/>
      <c r="AM41" s="160">
        <f>AM40-0.02624</f>
        <v>1.3644000000000003E-2</v>
      </c>
      <c r="AN41" s="150">
        <f t="shared" si="65"/>
        <v>0</v>
      </c>
      <c r="AO41" s="2"/>
      <c r="AP41" s="157" t="s">
        <v>996</v>
      </c>
      <c r="AQ41" s="159"/>
      <c r="AR41" s="160">
        <f>AR40-0.02624</f>
        <v>1.3644000000000003E-2</v>
      </c>
      <c r="AS41" s="150">
        <f t="shared" si="66"/>
        <v>0</v>
      </c>
      <c r="AT41" s="2"/>
      <c r="AU41" s="157" t="s">
        <v>996</v>
      </c>
      <c r="AV41" s="159"/>
      <c r="AW41" s="160">
        <f>AW40-0.02624</f>
        <v>1.3644000000000003E-2</v>
      </c>
      <c r="AX41" s="150">
        <f t="shared" si="67"/>
        <v>0</v>
      </c>
      <c r="AY41" s="2"/>
      <c r="AZ41" s="157" t="s">
        <v>996</v>
      </c>
      <c r="BA41" s="159"/>
      <c r="BB41" s="160">
        <f>BB40-0.02624</f>
        <v>1.3644000000000003E-2</v>
      </c>
      <c r="BC41" s="150">
        <f t="shared" si="68"/>
        <v>0</v>
      </c>
      <c r="BD41" s="2"/>
      <c r="BE41" s="157" t="s">
        <v>996</v>
      </c>
      <c r="BF41" s="159"/>
      <c r="BG41" s="160">
        <f>BG40-0.02624</f>
        <v>1.3644000000000003E-2</v>
      </c>
      <c r="BH41" s="150">
        <f t="shared" si="69"/>
        <v>0</v>
      </c>
      <c r="BI41" s="2"/>
      <c r="BJ41" s="157" t="s">
        <v>996</v>
      </c>
      <c r="BK41" s="148">
        <f t="shared" si="56"/>
        <v>0</v>
      </c>
      <c r="BL41" s="216">
        <f t="shared" si="57"/>
        <v>0</v>
      </c>
      <c r="BM41" s="150"/>
    </row>
    <row r="42" spans="1:65" customFormat="1" x14ac:dyDescent="0.25">
      <c r="A42" s="2"/>
      <c r="B42" s="157" t="s">
        <v>984</v>
      </c>
      <c r="C42" s="159"/>
      <c r="D42" s="160"/>
      <c r="E42" s="150">
        <f>-5104+(0.00152*C40)</f>
        <v>-3585.8817600000002</v>
      </c>
      <c r="F42" s="2"/>
      <c r="G42" s="157" t="s">
        <v>984</v>
      </c>
      <c r="H42" s="159"/>
      <c r="I42" s="160"/>
      <c r="J42" s="150">
        <v>-5940</v>
      </c>
      <c r="K42" s="2"/>
      <c r="L42" s="157" t="s">
        <v>984</v>
      </c>
      <c r="M42" s="159"/>
      <c r="N42" s="160"/>
      <c r="O42" s="150">
        <v>-7868</v>
      </c>
      <c r="P42" s="2"/>
      <c r="Q42" s="157" t="s">
        <v>984</v>
      </c>
      <c r="R42" s="159"/>
      <c r="S42" s="160"/>
      <c r="T42" s="150">
        <f>-1523+(0.00152*(R40+R41))</f>
        <v>-136.69615999999996</v>
      </c>
      <c r="U42" s="2"/>
      <c r="V42" s="157" t="s">
        <v>984</v>
      </c>
      <c r="W42" s="159"/>
      <c r="X42" s="160"/>
      <c r="Y42" s="150">
        <f>-3680+(0.00152*(W40+W41))</f>
        <v>-2192.2619999999997</v>
      </c>
      <c r="Z42" s="2"/>
      <c r="AA42" s="157" t="s">
        <v>984</v>
      </c>
      <c r="AB42" s="159"/>
      <c r="AC42" s="160"/>
      <c r="AD42" s="150">
        <f>-3317+(0.00152*(AB40+AB41))</f>
        <v>-1872.5075199999999</v>
      </c>
      <c r="AE42" s="2"/>
      <c r="AF42" s="157" t="s">
        <v>984</v>
      </c>
      <c r="AG42" s="159"/>
      <c r="AH42" s="160"/>
      <c r="AI42" s="150">
        <f>-4218+(0.00152*(AG40+AG41))</f>
        <v>-2890.7147199999999</v>
      </c>
      <c r="AJ42" s="2"/>
      <c r="AK42" s="157" t="s">
        <v>984</v>
      </c>
      <c r="AL42" s="159"/>
      <c r="AM42" s="160"/>
      <c r="AN42" s="150">
        <f>-5424+(0.00152*(AL40+AL41))</f>
        <v>-3847.6140799999998</v>
      </c>
      <c r="AO42" s="2"/>
      <c r="AP42" s="157" t="s">
        <v>984</v>
      </c>
      <c r="AQ42" s="159"/>
      <c r="AR42" s="160"/>
      <c r="AS42" s="150">
        <f>-5771+(0.00152*(AQ40+AQ41))</f>
        <v>-4337.79504</v>
      </c>
      <c r="AT42" s="2"/>
      <c r="AU42" s="157" t="s">
        <v>984</v>
      </c>
      <c r="AV42" s="159"/>
      <c r="AW42" s="160"/>
      <c r="AX42" s="150">
        <f>-5633+(0.00152*(AV40+AV41))</f>
        <v>-4114.7814399999997</v>
      </c>
      <c r="AY42" s="2"/>
      <c r="AZ42" s="157" t="s">
        <v>984</v>
      </c>
      <c r="BA42" s="159"/>
      <c r="BB42" s="160"/>
      <c r="BC42" s="150">
        <f>-5457+(0.00152*(BA40+BA41))</f>
        <v>-4198.4430400000001</v>
      </c>
      <c r="BD42" s="2"/>
      <c r="BE42" s="157" t="s">
        <v>984</v>
      </c>
      <c r="BF42" s="159"/>
      <c r="BG42" s="160"/>
      <c r="BH42" s="150">
        <f>-1055+(0.00152*(BF40+BF41))</f>
        <v>291.99968000000013</v>
      </c>
      <c r="BI42" s="2"/>
      <c r="BJ42" s="157" t="s">
        <v>984</v>
      </c>
      <c r="BK42" s="148"/>
      <c r="BL42" s="216">
        <f t="shared" si="57"/>
        <v>-40692.696079999994</v>
      </c>
      <c r="BM42" s="150"/>
    </row>
    <row r="43" spans="1:65" customFormat="1" x14ac:dyDescent="0.25">
      <c r="A43" s="2"/>
      <c r="B43" s="157"/>
      <c r="C43" s="159"/>
      <c r="D43" s="160"/>
      <c r="E43" s="150"/>
      <c r="F43" s="2"/>
      <c r="G43" s="157"/>
      <c r="H43" s="159"/>
      <c r="I43" s="160"/>
      <c r="J43" s="150"/>
      <c r="K43" s="2"/>
      <c r="L43" s="157"/>
      <c r="M43" s="159"/>
      <c r="N43" s="160"/>
      <c r="O43" s="150"/>
      <c r="P43" s="2"/>
      <c r="Q43" s="157"/>
      <c r="R43" s="159"/>
      <c r="S43" s="160"/>
      <c r="T43" s="150"/>
      <c r="U43" s="2"/>
      <c r="V43" s="157"/>
      <c r="W43" s="159"/>
      <c r="X43" s="160"/>
      <c r="Y43" s="150"/>
      <c r="Z43" s="2"/>
      <c r="AA43" s="157"/>
      <c r="AB43" s="159"/>
      <c r="AC43" s="160"/>
      <c r="AD43" s="150"/>
      <c r="AE43" s="2"/>
      <c r="AF43" s="157"/>
      <c r="AG43" s="159"/>
      <c r="AH43" s="160"/>
      <c r="AI43" s="150"/>
      <c r="AJ43" s="2"/>
      <c r="AK43" s="157"/>
      <c r="AL43" s="159"/>
      <c r="AM43" s="160"/>
      <c r="AN43" s="150"/>
      <c r="AO43" s="2"/>
      <c r="AP43" s="157"/>
      <c r="AQ43" s="159"/>
      <c r="AR43" s="160"/>
      <c r="AS43" s="150"/>
      <c r="AT43" s="2"/>
      <c r="AU43" s="157"/>
      <c r="AV43" s="159"/>
      <c r="AW43" s="160"/>
      <c r="AX43" s="150"/>
      <c r="AY43" s="2"/>
      <c r="AZ43" s="157"/>
      <c r="BA43" s="159"/>
      <c r="BB43" s="160"/>
      <c r="BC43" s="150"/>
      <c r="BD43" s="2"/>
      <c r="BE43" s="157"/>
      <c r="BF43" s="159"/>
      <c r="BG43" s="160"/>
      <c r="BH43" s="150"/>
      <c r="BI43" s="2"/>
      <c r="BJ43" s="157"/>
      <c r="BK43" s="159"/>
      <c r="BL43" s="160"/>
      <c r="BM43" s="150"/>
    </row>
    <row r="44" spans="1:65" customFormat="1" x14ac:dyDescent="0.25">
      <c r="A44" s="8" t="s">
        <v>1035</v>
      </c>
      <c r="B44" s="206"/>
      <c r="C44" s="159"/>
      <c r="D44" s="160"/>
      <c r="E44" s="150"/>
      <c r="F44" s="8" t="s">
        <v>1035</v>
      </c>
      <c r="G44" s="206"/>
      <c r="H44" s="159"/>
      <c r="I44" s="160"/>
      <c r="J44" s="150"/>
      <c r="K44" s="8" t="s">
        <v>1035</v>
      </c>
      <c r="L44" s="206"/>
      <c r="M44" s="159"/>
      <c r="N44" s="160"/>
      <c r="O44" s="150"/>
      <c r="P44" s="8" t="s">
        <v>1035</v>
      </c>
      <c r="Q44" s="206"/>
      <c r="R44" s="159"/>
      <c r="S44" s="160"/>
      <c r="T44" s="150"/>
      <c r="U44" s="8" t="s">
        <v>1035</v>
      </c>
      <c r="V44" s="206"/>
      <c r="W44" s="159"/>
      <c r="X44" s="160"/>
      <c r="Y44" s="150"/>
      <c r="Z44" s="8" t="s">
        <v>1035</v>
      </c>
      <c r="AA44" s="206"/>
      <c r="AB44" s="159"/>
      <c r="AC44" s="160"/>
      <c r="AD44" s="150"/>
      <c r="AE44" s="8" t="s">
        <v>1035</v>
      </c>
      <c r="AF44" s="206"/>
      <c r="AG44" s="159"/>
      <c r="AH44" s="160"/>
      <c r="AI44" s="150"/>
      <c r="AJ44" s="8" t="s">
        <v>1035</v>
      </c>
      <c r="AK44" s="206"/>
      <c r="AL44" s="159"/>
      <c r="AM44" s="160"/>
      <c r="AN44" s="150"/>
      <c r="AO44" s="8" t="s">
        <v>1035</v>
      </c>
      <c r="AP44" s="206"/>
      <c r="AQ44" s="159"/>
      <c r="AR44" s="160"/>
      <c r="AS44" s="150"/>
      <c r="AT44" s="8" t="s">
        <v>1035</v>
      </c>
      <c r="AU44" s="206"/>
      <c r="AV44" s="159"/>
      <c r="AW44" s="160"/>
      <c r="AX44" s="150"/>
      <c r="AY44" s="8" t="s">
        <v>1035</v>
      </c>
      <c r="AZ44" s="206"/>
      <c r="BA44" s="159"/>
      <c r="BB44" s="160"/>
      <c r="BC44" s="150"/>
      <c r="BD44" s="8" t="s">
        <v>1035</v>
      </c>
      <c r="BE44" s="206"/>
      <c r="BF44" s="159"/>
      <c r="BG44" s="160"/>
      <c r="BH44" s="150"/>
      <c r="BI44" s="8" t="s">
        <v>1035</v>
      </c>
      <c r="BJ44" s="206"/>
      <c r="BK44" s="159"/>
      <c r="BL44" s="160"/>
      <c r="BM44" s="150"/>
    </row>
    <row r="45" spans="1:65" customFormat="1" x14ac:dyDescent="0.25">
      <c r="A45" s="2"/>
      <c r="B45" s="157" t="s">
        <v>978</v>
      </c>
      <c r="C45" s="159">
        <v>525</v>
      </c>
      <c r="D45" s="158">
        <v>7.49</v>
      </c>
      <c r="E45" s="150">
        <f>C45*D45</f>
        <v>3932.25</v>
      </c>
      <c r="F45" s="2"/>
      <c r="G45" s="157" t="s">
        <v>978</v>
      </c>
      <c r="H45" s="159">
        <v>525</v>
      </c>
      <c r="I45" s="158">
        <v>7.49</v>
      </c>
      <c r="J45" s="150">
        <f>H45*I45</f>
        <v>3932.25</v>
      </c>
      <c r="K45" s="2"/>
      <c r="L45" s="157" t="s">
        <v>978</v>
      </c>
      <c r="M45" s="159">
        <v>525</v>
      </c>
      <c r="N45" s="158">
        <v>7.49</v>
      </c>
      <c r="O45" s="150">
        <f>M45*N45</f>
        <v>3932.25</v>
      </c>
      <c r="P45" s="2"/>
      <c r="Q45" s="157" t="s">
        <v>978</v>
      </c>
      <c r="R45" s="159">
        <v>525</v>
      </c>
      <c r="S45" s="158">
        <v>7.49</v>
      </c>
      <c r="T45" s="150">
        <f>R45*S45</f>
        <v>3932.25</v>
      </c>
      <c r="U45" s="2"/>
      <c r="V45" s="157" t="s">
        <v>978</v>
      </c>
      <c r="W45" s="159">
        <v>525</v>
      </c>
      <c r="X45" s="158">
        <v>7.49</v>
      </c>
      <c r="Y45" s="150">
        <f>W45*X45</f>
        <v>3932.25</v>
      </c>
      <c r="Z45" s="2"/>
      <c r="AA45" s="157" t="s">
        <v>978</v>
      </c>
      <c r="AB45" s="159">
        <v>525</v>
      </c>
      <c r="AC45" s="158">
        <v>7.49</v>
      </c>
      <c r="AD45" s="150">
        <f>AB45*AC45</f>
        <v>3932.25</v>
      </c>
      <c r="AE45" s="2"/>
      <c r="AF45" s="157" t="s">
        <v>978</v>
      </c>
      <c r="AG45" s="159">
        <v>525</v>
      </c>
      <c r="AH45" s="158">
        <v>7.49</v>
      </c>
      <c r="AI45" s="150">
        <f>AG45*AH45</f>
        <v>3932.25</v>
      </c>
      <c r="AJ45" s="2"/>
      <c r="AK45" s="157" t="s">
        <v>978</v>
      </c>
      <c r="AL45" s="159">
        <v>525</v>
      </c>
      <c r="AM45" s="158">
        <v>7.49</v>
      </c>
      <c r="AN45" s="150">
        <f>AL45*AM45</f>
        <v>3932.25</v>
      </c>
      <c r="AO45" s="2"/>
      <c r="AP45" s="157" t="s">
        <v>978</v>
      </c>
      <c r="AQ45" s="159">
        <v>525</v>
      </c>
      <c r="AR45" s="158">
        <v>7.49</v>
      </c>
      <c r="AS45" s="150">
        <f>AQ45*AR45</f>
        <v>3932.25</v>
      </c>
      <c r="AT45" s="2"/>
      <c r="AU45" s="157" t="s">
        <v>978</v>
      </c>
      <c r="AV45" s="159">
        <v>525</v>
      </c>
      <c r="AW45" s="158">
        <v>7.49</v>
      </c>
      <c r="AX45" s="150">
        <f>AV45*AW45</f>
        <v>3932.25</v>
      </c>
      <c r="AY45" s="2"/>
      <c r="AZ45" s="157" t="s">
        <v>978</v>
      </c>
      <c r="BA45" s="159">
        <v>525</v>
      </c>
      <c r="BB45" s="158">
        <v>7.49</v>
      </c>
      <c r="BC45" s="150">
        <f>BA45*BB45</f>
        <v>3932.25</v>
      </c>
      <c r="BD45" s="2"/>
      <c r="BE45" s="157" t="s">
        <v>978</v>
      </c>
      <c r="BF45" s="159">
        <v>525</v>
      </c>
      <c r="BG45" s="158">
        <v>7.49</v>
      </c>
      <c r="BH45" s="150">
        <f>BF45*BG45</f>
        <v>3932.25</v>
      </c>
      <c r="BI45" s="2"/>
      <c r="BJ45" s="157" t="s">
        <v>978</v>
      </c>
      <c r="BK45" s="148">
        <f t="shared" ref="BK45:BK48" si="70">C45+H45+M45+R45+W45+AB45+AG45+AL45+AQ45+AV45+BA45+BF45</f>
        <v>6300</v>
      </c>
      <c r="BL45" s="216">
        <f t="shared" ref="BL45:BL49" si="71">E45+J45+O45+T45+Y45+AD45+AI45+AN45+AS45+AX45+BC45+BH45</f>
        <v>47187</v>
      </c>
      <c r="BM45" s="150"/>
    </row>
    <row r="46" spans="1:65" customFormat="1" x14ac:dyDescent="0.25">
      <c r="A46" s="2"/>
      <c r="B46" s="157" t="s">
        <v>979</v>
      </c>
      <c r="C46" s="159">
        <v>0</v>
      </c>
      <c r="D46" s="158">
        <v>9.98</v>
      </c>
      <c r="E46" s="150">
        <f t="shared" ref="E46:E48" si="72">C46*D46</f>
        <v>0</v>
      </c>
      <c r="F46" s="2"/>
      <c r="G46" s="157" t="s">
        <v>979</v>
      </c>
      <c r="H46" s="159">
        <v>0</v>
      </c>
      <c r="I46" s="158">
        <v>9.98</v>
      </c>
      <c r="J46" s="150">
        <f t="shared" ref="J46:J48" si="73">H46*I46</f>
        <v>0</v>
      </c>
      <c r="K46" s="2"/>
      <c r="L46" s="157" t="s">
        <v>979</v>
      </c>
      <c r="M46" s="159">
        <v>0</v>
      </c>
      <c r="N46" s="158">
        <v>9.98</v>
      </c>
      <c r="O46" s="150">
        <f t="shared" ref="O46:O48" si="74">M46*N46</f>
        <v>0</v>
      </c>
      <c r="P46" s="2"/>
      <c r="Q46" s="157" t="s">
        <v>979</v>
      </c>
      <c r="R46" s="159">
        <v>0</v>
      </c>
      <c r="S46" s="158">
        <v>9.98</v>
      </c>
      <c r="T46" s="150">
        <f t="shared" ref="T46:T48" si="75">R46*S46</f>
        <v>0</v>
      </c>
      <c r="U46" s="2"/>
      <c r="V46" s="157" t="s">
        <v>979</v>
      </c>
      <c r="W46" s="159">
        <v>0</v>
      </c>
      <c r="X46" s="158">
        <v>9.98</v>
      </c>
      <c r="Y46" s="150">
        <f t="shared" ref="Y46:Y48" si="76">W46*X46</f>
        <v>0</v>
      </c>
      <c r="Z46" s="2"/>
      <c r="AA46" s="157" t="s">
        <v>979</v>
      </c>
      <c r="AB46" s="159">
        <v>0</v>
      </c>
      <c r="AC46" s="158">
        <v>9.98</v>
      </c>
      <c r="AD46" s="150">
        <f t="shared" ref="AD46:AD48" si="77">AB46*AC46</f>
        <v>0</v>
      </c>
      <c r="AE46" s="2"/>
      <c r="AF46" s="157" t="s">
        <v>979</v>
      </c>
      <c r="AG46" s="159">
        <v>0</v>
      </c>
      <c r="AH46" s="158">
        <v>9.98</v>
      </c>
      <c r="AI46" s="150">
        <f t="shared" ref="AI46:AI48" si="78">AG46*AH46</f>
        <v>0</v>
      </c>
      <c r="AJ46" s="2"/>
      <c r="AK46" s="157" t="s">
        <v>979</v>
      </c>
      <c r="AL46" s="159">
        <v>0</v>
      </c>
      <c r="AM46" s="158">
        <v>9.98</v>
      </c>
      <c r="AN46" s="150">
        <f t="shared" ref="AN46:AN48" si="79">AL46*AM46</f>
        <v>0</v>
      </c>
      <c r="AO46" s="2"/>
      <c r="AP46" s="157" t="s">
        <v>979</v>
      </c>
      <c r="AQ46" s="159">
        <v>0</v>
      </c>
      <c r="AR46" s="158">
        <v>9.98</v>
      </c>
      <c r="AS46" s="150">
        <f t="shared" ref="AS46:AS48" si="80">AQ46*AR46</f>
        <v>0</v>
      </c>
      <c r="AT46" s="2"/>
      <c r="AU46" s="157" t="s">
        <v>979</v>
      </c>
      <c r="AV46" s="159">
        <v>0</v>
      </c>
      <c r="AW46" s="158">
        <v>9.98</v>
      </c>
      <c r="AX46" s="150">
        <f t="shared" ref="AX46:AX48" si="81">AV46*AW46</f>
        <v>0</v>
      </c>
      <c r="AY46" s="2"/>
      <c r="AZ46" s="157" t="s">
        <v>979</v>
      </c>
      <c r="BA46" s="159">
        <v>0</v>
      </c>
      <c r="BB46" s="158">
        <v>9.98</v>
      </c>
      <c r="BC46" s="150">
        <f t="shared" ref="BC46:BC48" si="82">BA46*BB46</f>
        <v>0</v>
      </c>
      <c r="BD46" s="2"/>
      <c r="BE46" s="157" t="s">
        <v>979</v>
      </c>
      <c r="BF46" s="159">
        <v>0</v>
      </c>
      <c r="BG46" s="158">
        <v>9.98</v>
      </c>
      <c r="BH46" s="150">
        <f t="shared" ref="BH46:BH48" si="83">BF46*BG46</f>
        <v>0</v>
      </c>
      <c r="BI46" s="2"/>
      <c r="BJ46" s="157" t="s">
        <v>979</v>
      </c>
      <c r="BK46" s="148">
        <f t="shared" si="70"/>
        <v>0</v>
      </c>
      <c r="BL46" s="216">
        <f t="shared" si="71"/>
        <v>0</v>
      </c>
      <c r="BM46" s="150"/>
    </row>
    <row r="47" spans="1:65" customFormat="1" x14ac:dyDescent="0.25">
      <c r="A47" s="2"/>
      <c r="B47" s="157" t="s">
        <v>995</v>
      </c>
      <c r="C47" s="159">
        <v>225327</v>
      </c>
      <c r="D47" s="160">
        <v>3.9884000000000003E-2</v>
      </c>
      <c r="E47" s="150">
        <f t="shared" si="72"/>
        <v>8986.9420680000003</v>
      </c>
      <c r="F47" s="2"/>
      <c r="G47" s="157" t="s">
        <v>995</v>
      </c>
      <c r="H47" s="159">
        <v>212670</v>
      </c>
      <c r="I47" s="160">
        <v>3.9884000000000003E-2</v>
      </c>
      <c r="J47" s="150">
        <f t="shared" si="73"/>
        <v>8482.1302800000012</v>
      </c>
      <c r="K47" s="2"/>
      <c r="L47" s="157" t="s">
        <v>995</v>
      </c>
      <c r="M47" s="159">
        <v>263014</v>
      </c>
      <c r="N47" s="160">
        <v>3.9884000000000003E-2</v>
      </c>
      <c r="O47" s="150">
        <f t="shared" si="74"/>
        <v>10490.050376000001</v>
      </c>
      <c r="P47" s="2"/>
      <c r="Q47" s="157" t="s">
        <v>995</v>
      </c>
      <c r="R47" s="159">
        <v>221057</v>
      </c>
      <c r="S47" s="160">
        <v>3.9884000000000003E-2</v>
      </c>
      <c r="T47" s="150">
        <f t="shared" si="75"/>
        <v>8816.637388000001</v>
      </c>
      <c r="U47" s="2"/>
      <c r="V47" s="157" t="s">
        <v>995</v>
      </c>
      <c r="W47" s="159">
        <v>219886</v>
      </c>
      <c r="X47" s="160">
        <v>3.9884000000000003E-2</v>
      </c>
      <c r="Y47" s="150">
        <f t="shared" si="76"/>
        <v>8769.9332240000003</v>
      </c>
      <c r="Z47" s="2"/>
      <c r="AA47" s="157" t="s">
        <v>995</v>
      </c>
      <c r="AB47" s="159">
        <v>249501</v>
      </c>
      <c r="AC47" s="160">
        <v>3.9884000000000003E-2</v>
      </c>
      <c r="AD47" s="150">
        <f t="shared" si="77"/>
        <v>9951.0978840000007</v>
      </c>
      <c r="AE47" s="2"/>
      <c r="AF47" s="157" t="s">
        <v>995</v>
      </c>
      <c r="AG47" s="159">
        <v>291112</v>
      </c>
      <c r="AH47" s="160">
        <v>3.9884000000000003E-2</v>
      </c>
      <c r="AI47" s="150">
        <f t="shared" si="78"/>
        <v>11610.711008</v>
      </c>
      <c r="AJ47" s="2"/>
      <c r="AK47" s="157" t="s">
        <v>995</v>
      </c>
      <c r="AL47" s="159">
        <v>268925</v>
      </c>
      <c r="AM47" s="160">
        <v>3.9884000000000003E-2</v>
      </c>
      <c r="AN47" s="150">
        <f t="shared" si="79"/>
        <v>10725.804700000001</v>
      </c>
      <c r="AO47" s="2"/>
      <c r="AP47" s="157" t="s">
        <v>995</v>
      </c>
      <c r="AQ47" s="159">
        <v>262092</v>
      </c>
      <c r="AR47" s="160">
        <v>3.9884000000000003E-2</v>
      </c>
      <c r="AS47" s="150">
        <f t="shared" si="80"/>
        <v>10453.277328</v>
      </c>
      <c r="AT47" s="2"/>
      <c r="AU47" s="157" t="s">
        <v>995</v>
      </c>
      <c r="AV47" s="159">
        <v>258555</v>
      </c>
      <c r="AW47" s="160">
        <v>3.9884000000000003E-2</v>
      </c>
      <c r="AX47" s="150">
        <f t="shared" si="81"/>
        <v>10312.207620000001</v>
      </c>
      <c r="AY47" s="2"/>
      <c r="AZ47" s="157" t="s">
        <v>995</v>
      </c>
      <c r="BA47" s="159">
        <v>230131</v>
      </c>
      <c r="BB47" s="160">
        <v>3.9884000000000003E-2</v>
      </c>
      <c r="BC47" s="150">
        <f t="shared" si="82"/>
        <v>9178.544804000001</v>
      </c>
      <c r="BD47" s="2"/>
      <c r="BE47" s="157" t="s">
        <v>995</v>
      </c>
      <c r="BF47" s="159">
        <v>232148</v>
      </c>
      <c r="BG47" s="160">
        <v>3.9884000000000003E-2</v>
      </c>
      <c r="BH47" s="150">
        <f t="shared" si="83"/>
        <v>9258.9908320000013</v>
      </c>
      <c r="BI47" s="2"/>
      <c r="BJ47" s="157" t="s">
        <v>995</v>
      </c>
      <c r="BK47" s="148">
        <f t="shared" si="70"/>
        <v>2934418</v>
      </c>
      <c r="BL47" s="216">
        <f t="shared" si="71"/>
        <v>117036.327512</v>
      </c>
      <c r="BM47" s="150"/>
    </row>
    <row r="48" spans="1:65" customFormat="1" x14ac:dyDescent="0.25">
      <c r="A48" s="2"/>
      <c r="B48" s="157" t="s">
        <v>996</v>
      </c>
      <c r="C48" s="159"/>
      <c r="D48" s="160">
        <f>D47-0.02624</f>
        <v>1.3644000000000003E-2</v>
      </c>
      <c r="E48" s="150">
        <f t="shared" si="72"/>
        <v>0</v>
      </c>
      <c r="F48" s="2"/>
      <c r="G48" s="157" t="s">
        <v>996</v>
      </c>
      <c r="H48" s="159"/>
      <c r="I48" s="160">
        <f>I47-0.02624</f>
        <v>1.3644000000000003E-2</v>
      </c>
      <c r="J48" s="150">
        <f t="shared" si="73"/>
        <v>0</v>
      </c>
      <c r="K48" s="2"/>
      <c r="L48" s="157" t="s">
        <v>996</v>
      </c>
      <c r="M48" s="159"/>
      <c r="N48" s="160">
        <f>N47-0.02624</f>
        <v>1.3644000000000003E-2</v>
      </c>
      <c r="O48" s="150">
        <f t="shared" si="74"/>
        <v>0</v>
      </c>
      <c r="P48" s="2"/>
      <c r="Q48" s="157" t="s">
        <v>996</v>
      </c>
      <c r="R48" s="159"/>
      <c r="S48" s="160">
        <f>S47-0.02624</f>
        <v>1.3644000000000003E-2</v>
      </c>
      <c r="T48" s="150">
        <f t="shared" si="75"/>
        <v>0</v>
      </c>
      <c r="U48" s="2"/>
      <c r="V48" s="157" t="s">
        <v>996</v>
      </c>
      <c r="W48" s="159"/>
      <c r="X48" s="160">
        <f>X47-0.02624</f>
        <v>1.3644000000000003E-2</v>
      </c>
      <c r="Y48" s="150">
        <f t="shared" si="76"/>
        <v>0</v>
      </c>
      <c r="Z48" s="2"/>
      <c r="AA48" s="157" t="s">
        <v>996</v>
      </c>
      <c r="AB48" s="159"/>
      <c r="AC48" s="160">
        <f>AC47-0.02624</f>
        <v>1.3644000000000003E-2</v>
      </c>
      <c r="AD48" s="150">
        <f t="shared" si="77"/>
        <v>0</v>
      </c>
      <c r="AE48" s="2"/>
      <c r="AF48" s="157" t="s">
        <v>996</v>
      </c>
      <c r="AG48" s="159"/>
      <c r="AH48" s="160">
        <f>AH47-0.02624</f>
        <v>1.3644000000000003E-2</v>
      </c>
      <c r="AI48" s="150">
        <f t="shared" si="78"/>
        <v>0</v>
      </c>
      <c r="AJ48" s="2"/>
      <c r="AK48" s="157" t="s">
        <v>996</v>
      </c>
      <c r="AL48" s="159"/>
      <c r="AM48" s="160">
        <f>AM47-0.02624</f>
        <v>1.3644000000000003E-2</v>
      </c>
      <c r="AN48" s="150">
        <f t="shared" si="79"/>
        <v>0</v>
      </c>
      <c r="AO48" s="2"/>
      <c r="AP48" s="157" t="s">
        <v>996</v>
      </c>
      <c r="AQ48" s="159"/>
      <c r="AR48" s="160">
        <f>AR47-0.02624</f>
        <v>1.3644000000000003E-2</v>
      </c>
      <c r="AS48" s="150">
        <f t="shared" si="80"/>
        <v>0</v>
      </c>
      <c r="AT48" s="2"/>
      <c r="AU48" s="157" t="s">
        <v>996</v>
      </c>
      <c r="AV48" s="159"/>
      <c r="AW48" s="160">
        <f>AW47-0.02624</f>
        <v>1.3644000000000003E-2</v>
      </c>
      <c r="AX48" s="150">
        <f t="shared" si="81"/>
        <v>0</v>
      </c>
      <c r="AY48" s="2"/>
      <c r="AZ48" s="157" t="s">
        <v>996</v>
      </c>
      <c r="BA48" s="159"/>
      <c r="BB48" s="160">
        <f>BB47-0.02624</f>
        <v>1.3644000000000003E-2</v>
      </c>
      <c r="BC48" s="150">
        <f t="shared" si="82"/>
        <v>0</v>
      </c>
      <c r="BD48" s="2"/>
      <c r="BE48" s="157" t="s">
        <v>996</v>
      </c>
      <c r="BF48" s="159"/>
      <c r="BG48" s="160">
        <f>BG47-0.02624</f>
        <v>1.3644000000000003E-2</v>
      </c>
      <c r="BH48" s="150">
        <f t="shared" si="83"/>
        <v>0</v>
      </c>
      <c r="BI48" s="2"/>
      <c r="BJ48" s="157" t="s">
        <v>996</v>
      </c>
      <c r="BK48" s="148">
        <f t="shared" si="70"/>
        <v>0</v>
      </c>
      <c r="BL48" s="216">
        <f t="shared" si="71"/>
        <v>0</v>
      </c>
      <c r="BM48" s="150"/>
    </row>
    <row r="49" spans="1:65" customFormat="1" x14ac:dyDescent="0.25">
      <c r="A49" s="2"/>
      <c r="B49" s="157" t="s">
        <v>984</v>
      </c>
      <c r="C49" s="159"/>
      <c r="D49" s="160"/>
      <c r="E49" s="150">
        <f>-1151+(0.00152*C47)</f>
        <v>-808.50296000000003</v>
      </c>
      <c r="F49" s="2"/>
      <c r="G49" s="157" t="s">
        <v>984</v>
      </c>
      <c r="H49" s="159"/>
      <c r="I49" s="160"/>
      <c r="J49" s="150">
        <v>-1391</v>
      </c>
      <c r="K49" s="2"/>
      <c r="L49" s="157" t="s">
        <v>984</v>
      </c>
      <c r="M49" s="159"/>
      <c r="N49" s="160"/>
      <c r="O49" s="150">
        <v>-2054</v>
      </c>
      <c r="P49" s="2"/>
      <c r="Q49" s="157" t="s">
        <v>984</v>
      </c>
      <c r="R49" s="159"/>
      <c r="S49" s="160"/>
      <c r="T49" s="150">
        <f>-369+(0.00152*(R47+R48))</f>
        <v>-32.993359999999996</v>
      </c>
      <c r="U49" s="2"/>
      <c r="V49" s="157" t="s">
        <v>984</v>
      </c>
      <c r="W49" s="159"/>
      <c r="X49" s="160"/>
      <c r="Y49" s="150">
        <f>-827+(0.00152*(W47+W48))</f>
        <v>-492.77328</v>
      </c>
      <c r="Z49" s="2"/>
      <c r="AA49" s="157" t="s">
        <v>984</v>
      </c>
      <c r="AB49" s="159"/>
      <c r="AC49" s="160"/>
      <c r="AD49" s="150">
        <f>-871+(0.00152*(AB47+AB48))</f>
        <v>-491.75847999999996</v>
      </c>
      <c r="AE49" s="2"/>
      <c r="AF49" s="157" t="s">
        <v>984</v>
      </c>
      <c r="AG49" s="159"/>
      <c r="AH49" s="160"/>
      <c r="AI49" s="150">
        <f>-1406+(0.00152*(AG47+AG48))</f>
        <v>-963.50975999999991</v>
      </c>
      <c r="AJ49" s="2"/>
      <c r="AK49" s="157" t="s">
        <v>984</v>
      </c>
      <c r="AL49" s="159"/>
      <c r="AM49" s="160"/>
      <c r="AN49" s="150">
        <f>-1406+(0.00152*(AL47+AL48))</f>
        <v>-997.23399999999992</v>
      </c>
      <c r="AO49" s="2"/>
      <c r="AP49" s="157" t="s">
        <v>984</v>
      </c>
      <c r="AQ49" s="159"/>
      <c r="AR49" s="160"/>
      <c r="AS49" s="150">
        <f>-1604+(0.00152*(AQ47+AQ48))</f>
        <v>-1205.6201599999999</v>
      </c>
      <c r="AT49" s="2"/>
      <c r="AU49" s="157" t="s">
        <v>984</v>
      </c>
      <c r="AV49" s="159"/>
      <c r="AW49" s="160"/>
      <c r="AX49" s="150">
        <f>-1458+(0.00152*(AV47+AV48))</f>
        <v>-1064.9964</v>
      </c>
      <c r="AY49" s="2"/>
      <c r="AZ49" s="157" t="s">
        <v>984</v>
      </c>
      <c r="BA49" s="159"/>
      <c r="BB49" s="160"/>
      <c r="BC49" s="150">
        <f>-1517+(0.00152*(BA47+BA48))</f>
        <v>-1167.2008799999999</v>
      </c>
      <c r="BD49" s="2"/>
      <c r="BE49" s="157" t="s">
        <v>984</v>
      </c>
      <c r="BF49" s="159"/>
      <c r="BG49" s="160"/>
      <c r="BH49" s="150">
        <f>-276+(0.00152*(BF47+BF48))</f>
        <v>76.864959999999996</v>
      </c>
      <c r="BI49" s="2"/>
      <c r="BJ49" s="157" t="s">
        <v>984</v>
      </c>
      <c r="BK49" s="148"/>
      <c r="BL49" s="216">
        <f t="shared" si="71"/>
        <v>-10592.724319999999</v>
      </c>
      <c r="BM49" s="150"/>
    </row>
    <row r="50" spans="1:65" customFormat="1" x14ac:dyDescent="0.25">
      <c r="A50" s="2"/>
      <c r="B50" s="157"/>
      <c r="C50" s="159"/>
      <c r="D50" s="160"/>
      <c r="E50" s="150"/>
      <c r="F50" s="2"/>
      <c r="G50" s="157"/>
      <c r="H50" s="159"/>
      <c r="I50" s="160"/>
      <c r="J50" s="150"/>
      <c r="K50" s="2"/>
      <c r="L50" s="157"/>
      <c r="M50" s="159"/>
      <c r="N50" s="160"/>
      <c r="O50" s="150"/>
      <c r="P50" s="2"/>
      <c r="Q50" s="157"/>
      <c r="R50" s="159"/>
      <c r="S50" s="160"/>
      <c r="T50" s="150"/>
      <c r="U50" s="2"/>
      <c r="V50" s="157"/>
      <c r="W50" s="159"/>
      <c r="X50" s="160"/>
      <c r="Y50" s="150"/>
      <c r="Z50" s="2"/>
      <c r="AA50" s="157"/>
      <c r="AB50" s="159"/>
      <c r="AC50" s="160"/>
      <c r="AD50" s="150"/>
      <c r="AE50" s="2"/>
      <c r="AF50" s="157"/>
      <c r="AG50" s="159"/>
      <c r="AH50" s="160"/>
      <c r="AI50" s="150"/>
      <c r="AJ50" s="2"/>
      <c r="AK50" s="157"/>
      <c r="AL50" s="159"/>
      <c r="AM50" s="160"/>
      <c r="AN50" s="150"/>
      <c r="AO50" s="2"/>
      <c r="AP50" s="157"/>
      <c r="AQ50" s="159"/>
      <c r="AR50" s="160"/>
      <c r="AS50" s="150"/>
      <c r="AT50" s="2"/>
      <c r="AU50" s="157"/>
      <c r="AV50" s="159"/>
      <c r="AW50" s="160"/>
      <c r="AX50" s="150"/>
      <c r="AY50" s="2"/>
      <c r="AZ50" s="157"/>
      <c r="BA50" s="159"/>
      <c r="BB50" s="160"/>
      <c r="BC50" s="150"/>
      <c r="BD50" s="2"/>
      <c r="BE50" s="157"/>
      <c r="BF50" s="159"/>
      <c r="BG50" s="160"/>
      <c r="BH50" s="150"/>
      <c r="BI50" s="2"/>
      <c r="BJ50" s="157"/>
      <c r="BK50" s="159"/>
      <c r="BL50" s="160"/>
      <c r="BM50" s="150"/>
    </row>
    <row r="51" spans="1:65" customFormat="1" x14ac:dyDescent="0.25">
      <c r="A51" s="8" t="s">
        <v>1036</v>
      </c>
      <c r="B51" s="157"/>
      <c r="C51" s="159"/>
      <c r="D51" s="160"/>
      <c r="E51" s="150"/>
      <c r="F51" s="8" t="s">
        <v>1036</v>
      </c>
      <c r="G51" s="157"/>
      <c r="H51" s="159"/>
      <c r="I51" s="160"/>
      <c r="J51" s="150"/>
      <c r="K51" s="8" t="s">
        <v>1036</v>
      </c>
      <c r="L51" s="157"/>
      <c r="M51" s="159"/>
      <c r="N51" s="160"/>
      <c r="O51" s="150"/>
      <c r="P51" s="8" t="s">
        <v>1036</v>
      </c>
      <c r="Q51" s="157"/>
      <c r="R51" s="159"/>
      <c r="S51" s="160"/>
      <c r="T51" s="150"/>
      <c r="U51" s="8" t="s">
        <v>1036</v>
      </c>
      <c r="V51" s="157"/>
      <c r="W51" s="159"/>
      <c r="X51" s="160"/>
      <c r="Y51" s="150"/>
      <c r="Z51" s="8" t="s">
        <v>1036</v>
      </c>
      <c r="AA51" s="157"/>
      <c r="AB51" s="159"/>
      <c r="AC51" s="160"/>
      <c r="AD51" s="150"/>
      <c r="AE51" s="8" t="s">
        <v>1036</v>
      </c>
      <c r="AF51" s="157"/>
      <c r="AG51" s="159"/>
      <c r="AH51" s="160"/>
      <c r="AI51" s="150"/>
      <c r="AJ51" s="8" t="s">
        <v>1036</v>
      </c>
      <c r="AK51" s="157"/>
      <c r="AL51" s="159"/>
      <c r="AM51" s="160"/>
      <c r="AN51" s="150"/>
      <c r="AO51" s="8" t="s">
        <v>1036</v>
      </c>
      <c r="AP51" s="157"/>
      <c r="AQ51" s="159"/>
      <c r="AR51" s="160"/>
      <c r="AS51" s="150"/>
      <c r="AT51" s="8" t="s">
        <v>1036</v>
      </c>
      <c r="AU51" s="157"/>
      <c r="AV51" s="159"/>
      <c r="AW51" s="160"/>
      <c r="AX51" s="150"/>
      <c r="AY51" s="8" t="s">
        <v>1036</v>
      </c>
      <c r="AZ51" s="157"/>
      <c r="BA51" s="159"/>
      <c r="BB51" s="160"/>
      <c r="BC51" s="150"/>
      <c r="BD51" s="8" t="s">
        <v>1036</v>
      </c>
      <c r="BE51" s="157"/>
      <c r="BF51" s="159"/>
      <c r="BG51" s="160"/>
      <c r="BH51" s="150"/>
      <c r="BI51" s="8" t="s">
        <v>1036</v>
      </c>
      <c r="BJ51" s="157"/>
      <c r="BK51" s="159"/>
      <c r="BL51" s="160"/>
      <c r="BM51" s="150"/>
    </row>
    <row r="52" spans="1:65" customFormat="1" x14ac:dyDescent="0.25">
      <c r="A52" s="165"/>
      <c r="B52" s="157" t="s">
        <v>978</v>
      </c>
      <c r="C52" s="159">
        <v>500</v>
      </c>
      <c r="D52" s="158">
        <v>7.49</v>
      </c>
      <c r="E52" s="150">
        <f>C52*D52</f>
        <v>3745</v>
      </c>
      <c r="F52" s="165"/>
      <c r="G52" s="157" t="s">
        <v>978</v>
      </c>
      <c r="H52" s="159">
        <v>500</v>
      </c>
      <c r="I52" s="158">
        <v>7.49</v>
      </c>
      <c r="J52" s="150">
        <f>H52*I52</f>
        <v>3745</v>
      </c>
      <c r="K52" s="165"/>
      <c r="L52" s="157" t="s">
        <v>978</v>
      </c>
      <c r="M52" s="159">
        <v>500</v>
      </c>
      <c r="N52" s="158">
        <v>7.49</v>
      </c>
      <c r="O52" s="150">
        <f>M52*N52</f>
        <v>3745</v>
      </c>
      <c r="P52" s="165"/>
      <c r="Q52" s="157" t="s">
        <v>978</v>
      </c>
      <c r="R52" s="159">
        <v>500</v>
      </c>
      <c r="S52" s="158">
        <v>7.49</v>
      </c>
      <c r="T52" s="150">
        <f>R52*S52</f>
        <v>3745</v>
      </c>
      <c r="U52" s="165"/>
      <c r="V52" s="157" t="s">
        <v>978</v>
      </c>
      <c r="W52" s="159">
        <v>500</v>
      </c>
      <c r="X52" s="158">
        <v>7.49</v>
      </c>
      <c r="Y52" s="150">
        <f>W52*X52</f>
        <v>3745</v>
      </c>
      <c r="Z52" s="165"/>
      <c r="AA52" s="157" t="s">
        <v>978</v>
      </c>
      <c r="AB52" s="159">
        <v>500</v>
      </c>
      <c r="AC52" s="158">
        <v>7.49</v>
      </c>
      <c r="AD52" s="150">
        <f>AB52*AC52</f>
        <v>3745</v>
      </c>
      <c r="AE52" s="165"/>
      <c r="AF52" s="157" t="s">
        <v>978</v>
      </c>
      <c r="AG52" s="159">
        <v>500</v>
      </c>
      <c r="AH52" s="158">
        <v>7.49</v>
      </c>
      <c r="AI52" s="150">
        <f>AG52*AH52</f>
        <v>3745</v>
      </c>
      <c r="AJ52" s="165"/>
      <c r="AK52" s="157" t="s">
        <v>978</v>
      </c>
      <c r="AL52" s="159">
        <v>500</v>
      </c>
      <c r="AM52" s="158">
        <v>7.49</v>
      </c>
      <c r="AN52" s="150">
        <f>AL52*AM52</f>
        <v>3745</v>
      </c>
      <c r="AO52" s="165"/>
      <c r="AP52" s="157" t="s">
        <v>978</v>
      </c>
      <c r="AQ52" s="159">
        <v>500</v>
      </c>
      <c r="AR52" s="158">
        <v>7.49</v>
      </c>
      <c r="AS52" s="150">
        <f>AQ52*AR52</f>
        <v>3745</v>
      </c>
      <c r="AT52" s="165"/>
      <c r="AU52" s="157" t="s">
        <v>978</v>
      </c>
      <c r="AV52" s="159">
        <v>500</v>
      </c>
      <c r="AW52" s="158">
        <v>7.49</v>
      </c>
      <c r="AX52" s="150">
        <f>AV52*AW52</f>
        <v>3745</v>
      </c>
      <c r="AY52" s="165"/>
      <c r="AZ52" s="157" t="s">
        <v>978</v>
      </c>
      <c r="BA52" s="159">
        <v>500</v>
      </c>
      <c r="BB52" s="158">
        <v>7.49</v>
      </c>
      <c r="BC52" s="150">
        <f>BA52*BB52</f>
        <v>3745</v>
      </c>
      <c r="BD52" s="165"/>
      <c r="BE52" s="157" t="s">
        <v>978</v>
      </c>
      <c r="BF52" s="159">
        <v>500</v>
      </c>
      <c r="BG52" s="158">
        <v>7.49</v>
      </c>
      <c r="BH52" s="150">
        <f>BF52*BG52</f>
        <v>3745</v>
      </c>
      <c r="BI52" s="165"/>
      <c r="BJ52" s="157" t="s">
        <v>978</v>
      </c>
      <c r="BK52" s="148">
        <f t="shared" ref="BK52:BK56" si="84">C52+H52+M52+R52+W52+AB52+AG52+AL52+AQ52+AV52+BA52+BF52</f>
        <v>6000</v>
      </c>
      <c r="BL52" s="216">
        <f t="shared" ref="BL52:BL57" si="85">E52+J52+O52+T52+Y52+AD52+AI52+AN52+AS52+AX52+BC52+BH52</f>
        <v>44940</v>
      </c>
      <c r="BM52" s="150"/>
    </row>
    <row r="53" spans="1:65" customFormat="1" x14ac:dyDescent="0.25">
      <c r="A53" s="165"/>
      <c r="B53" s="157" t="s">
        <v>979</v>
      </c>
      <c r="C53" s="159">
        <v>0</v>
      </c>
      <c r="D53" s="158">
        <v>9.98</v>
      </c>
      <c r="E53" s="150">
        <f t="shared" ref="E53" si="86">C53*D53</f>
        <v>0</v>
      </c>
      <c r="F53" s="165"/>
      <c r="G53" s="157" t="s">
        <v>979</v>
      </c>
      <c r="H53" s="159">
        <v>0</v>
      </c>
      <c r="I53" s="158">
        <v>9.98</v>
      </c>
      <c r="J53" s="150">
        <f t="shared" ref="J53" si="87">H53*I53</f>
        <v>0</v>
      </c>
      <c r="K53" s="165"/>
      <c r="L53" s="157" t="s">
        <v>979</v>
      </c>
      <c r="M53" s="159">
        <v>0</v>
      </c>
      <c r="N53" s="158">
        <v>9.98</v>
      </c>
      <c r="O53" s="150">
        <f t="shared" ref="O53" si="88">M53*N53</f>
        <v>0</v>
      </c>
      <c r="P53" s="165"/>
      <c r="Q53" s="157" t="s">
        <v>979</v>
      </c>
      <c r="R53" s="159">
        <v>0</v>
      </c>
      <c r="S53" s="158">
        <v>9.98</v>
      </c>
      <c r="T53" s="150">
        <f t="shared" ref="T53" si="89">R53*S53</f>
        <v>0</v>
      </c>
      <c r="U53" s="165"/>
      <c r="V53" s="157" t="s">
        <v>979</v>
      </c>
      <c r="W53" s="159">
        <f>565-W52</f>
        <v>65</v>
      </c>
      <c r="X53" s="158">
        <v>9.98</v>
      </c>
      <c r="Y53" s="150">
        <f t="shared" ref="Y53" si="90">W53*X53</f>
        <v>648.70000000000005</v>
      </c>
      <c r="Z53" s="165"/>
      <c r="AA53" s="157" t="s">
        <v>979</v>
      </c>
      <c r="AB53" s="159">
        <f>605-AB52</f>
        <v>105</v>
      </c>
      <c r="AC53" s="158">
        <v>9.98</v>
      </c>
      <c r="AD53" s="150">
        <f t="shared" ref="AD53" si="91">AB53*AC53</f>
        <v>1047.9000000000001</v>
      </c>
      <c r="AE53" s="165"/>
      <c r="AF53" s="157" t="s">
        <v>979</v>
      </c>
      <c r="AG53" s="159">
        <f>595-AG52</f>
        <v>95</v>
      </c>
      <c r="AH53" s="158">
        <v>9.98</v>
      </c>
      <c r="AI53" s="150">
        <f t="shared" ref="AI53" si="92">AG53*AH53</f>
        <v>948.1</v>
      </c>
      <c r="AJ53" s="165"/>
      <c r="AK53" s="157" t="s">
        <v>979</v>
      </c>
      <c r="AL53" s="159">
        <f>597-AL52</f>
        <v>97</v>
      </c>
      <c r="AM53" s="158">
        <v>9.98</v>
      </c>
      <c r="AN53" s="150">
        <f t="shared" ref="AN53" si="93">AL53*AM53</f>
        <v>968.06000000000006</v>
      </c>
      <c r="AO53" s="165"/>
      <c r="AP53" s="157" t="s">
        <v>979</v>
      </c>
      <c r="AQ53" s="159">
        <f>562-AQ52</f>
        <v>62</v>
      </c>
      <c r="AR53" s="158">
        <v>9.98</v>
      </c>
      <c r="AS53" s="150">
        <f t="shared" ref="AS53" si="94">AQ53*AR53</f>
        <v>618.76</v>
      </c>
      <c r="AT53" s="165"/>
      <c r="AU53" s="157" t="s">
        <v>979</v>
      </c>
      <c r="AV53" s="159">
        <f>536-AV52</f>
        <v>36</v>
      </c>
      <c r="AW53" s="158">
        <v>9.98</v>
      </c>
      <c r="AX53" s="150">
        <f t="shared" ref="AX53" si="95">AV53*AW53</f>
        <v>359.28000000000003</v>
      </c>
      <c r="AY53" s="165"/>
      <c r="AZ53" s="157" t="s">
        <v>979</v>
      </c>
      <c r="BA53" s="159">
        <f>500-BA52</f>
        <v>0</v>
      </c>
      <c r="BB53" s="158">
        <v>9.98</v>
      </c>
      <c r="BC53" s="150">
        <f t="shared" ref="BC53" si="96">BA53*BB53</f>
        <v>0</v>
      </c>
      <c r="BD53" s="165"/>
      <c r="BE53" s="157" t="s">
        <v>979</v>
      </c>
      <c r="BF53" s="159">
        <f>500-BF52</f>
        <v>0</v>
      </c>
      <c r="BG53" s="158">
        <v>9.98</v>
      </c>
      <c r="BH53" s="150">
        <f t="shared" ref="BH53" si="97">BF53*BG53</f>
        <v>0</v>
      </c>
      <c r="BI53" s="165"/>
      <c r="BJ53" s="157" t="s">
        <v>979</v>
      </c>
      <c r="BK53" s="148">
        <f t="shared" si="84"/>
        <v>460</v>
      </c>
      <c r="BL53" s="216">
        <f t="shared" si="85"/>
        <v>4590.8</v>
      </c>
      <c r="BM53" s="150"/>
    </row>
    <row r="54" spans="1:65" customFormat="1" x14ac:dyDescent="0.25">
      <c r="A54" s="165"/>
      <c r="B54" s="157" t="s">
        <v>997</v>
      </c>
      <c r="C54" s="159"/>
      <c r="D54" s="160">
        <v>0</v>
      </c>
      <c r="E54" s="150">
        <v>-717</v>
      </c>
      <c r="F54" s="165"/>
      <c r="G54" s="157" t="s">
        <v>997</v>
      </c>
      <c r="H54" s="159"/>
      <c r="I54" s="160">
        <v>0</v>
      </c>
      <c r="J54" s="150">
        <v>-717</v>
      </c>
      <c r="K54" s="165"/>
      <c r="L54" s="157" t="s">
        <v>997</v>
      </c>
      <c r="M54" s="159"/>
      <c r="N54" s="160">
        <v>0</v>
      </c>
      <c r="O54" s="150">
        <v>-717</v>
      </c>
      <c r="P54" s="165"/>
      <c r="Q54" s="157" t="s">
        <v>997</v>
      </c>
      <c r="R54" s="159"/>
      <c r="S54" s="160">
        <v>0</v>
      </c>
      <c r="T54" s="150">
        <v>-1076</v>
      </c>
      <c r="U54" s="165"/>
      <c r="V54" s="157" t="s">
        <v>997</v>
      </c>
      <c r="W54" s="159"/>
      <c r="X54" s="160">
        <v>0</v>
      </c>
      <c r="Y54" s="150">
        <v>-1271</v>
      </c>
      <c r="Z54" s="165"/>
      <c r="AA54" s="157" t="s">
        <v>997</v>
      </c>
      <c r="AB54" s="159"/>
      <c r="AC54" s="160">
        <v>0</v>
      </c>
      <c r="AD54" s="150">
        <v>-1390</v>
      </c>
      <c r="AE54" s="165"/>
      <c r="AF54" s="157" t="s">
        <v>997</v>
      </c>
      <c r="AG54" s="159"/>
      <c r="AH54" s="160">
        <v>0</v>
      </c>
      <c r="AI54" s="150">
        <v>-1360</v>
      </c>
      <c r="AJ54" s="165"/>
      <c r="AK54" s="157" t="s">
        <v>997</v>
      </c>
      <c r="AL54" s="159"/>
      <c r="AM54" s="160">
        <v>0</v>
      </c>
      <c r="AN54" s="150">
        <v>-1366</v>
      </c>
      <c r="AO54" s="165"/>
      <c r="AP54" s="157" t="s">
        <v>997</v>
      </c>
      <c r="AQ54" s="159"/>
      <c r="AR54" s="160">
        <v>0</v>
      </c>
      <c r="AS54" s="150">
        <v>-1262</v>
      </c>
      <c r="AT54" s="165"/>
      <c r="AU54" s="157" t="s">
        <v>997</v>
      </c>
      <c r="AV54" s="159"/>
      <c r="AW54" s="160">
        <v>0</v>
      </c>
      <c r="AX54" s="150">
        <v>-1184</v>
      </c>
      <c r="AY54" s="165"/>
      <c r="AZ54" s="157" t="s">
        <v>997</v>
      </c>
      <c r="BA54" s="159"/>
      <c r="BB54" s="160">
        <v>0</v>
      </c>
      <c r="BC54" s="150">
        <v>-1076</v>
      </c>
      <c r="BD54" s="165"/>
      <c r="BE54" s="157" t="s">
        <v>997</v>
      </c>
      <c r="BF54" s="159"/>
      <c r="BG54" s="160">
        <v>0</v>
      </c>
      <c r="BH54" s="150">
        <v>-717</v>
      </c>
      <c r="BI54" s="165"/>
      <c r="BJ54" s="157" t="s">
        <v>997</v>
      </c>
      <c r="BK54" s="148">
        <f t="shared" si="84"/>
        <v>0</v>
      </c>
      <c r="BL54" s="216">
        <f t="shared" si="85"/>
        <v>-12853</v>
      </c>
      <c r="BM54" s="150"/>
    </row>
    <row r="55" spans="1:65" customFormat="1" x14ac:dyDescent="0.25">
      <c r="A55" s="165"/>
      <c r="B55" s="157" t="s">
        <v>995</v>
      </c>
      <c r="C55" s="159">
        <v>250186</v>
      </c>
      <c r="D55" s="160">
        <v>3.9884000000000003E-2</v>
      </c>
      <c r="E55" s="150">
        <f t="shared" ref="E55:E56" si="98">C55*D55</f>
        <v>9978.4184240000013</v>
      </c>
      <c r="F55" s="165"/>
      <c r="G55" s="157" t="s">
        <v>995</v>
      </c>
      <c r="H55" s="159">
        <v>234128</v>
      </c>
      <c r="I55" s="160">
        <v>3.9884000000000003E-2</v>
      </c>
      <c r="J55" s="150">
        <f t="shared" ref="J55:J56" si="99">H55*I55</f>
        <v>9337.9611519999999</v>
      </c>
      <c r="K55" s="165"/>
      <c r="L55" s="157" t="s">
        <v>995</v>
      </c>
      <c r="M55" s="159">
        <v>267411</v>
      </c>
      <c r="N55" s="160">
        <v>3.9884000000000003E-2</v>
      </c>
      <c r="O55" s="150">
        <f t="shared" ref="O55:O56" si="100">M55*N55</f>
        <v>10665.420324000001</v>
      </c>
      <c r="P55" s="165"/>
      <c r="Q55" s="157" t="s">
        <v>995</v>
      </c>
      <c r="R55" s="159">
        <v>274069</v>
      </c>
      <c r="S55" s="160">
        <v>3.9884000000000003E-2</v>
      </c>
      <c r="T55" s="150">
        <f t="shared" ref="T55:T56" si="101">R55*S55</f>
        <v>10930.967996000001</v>
      </c>
      <c r="U55" s="165"/>
      <c r="V55" s="157" t="s">
        <v>995</v>
      </c>
      <c r="W55" s="159">
        <v>316625</v>
      </c>
      <c r="X55" s="160">
        <v>3.9884000000000003E-2</v>
      </c>
      <c r="Y55" s="150">
        <f t="shared" ref="Y55:Y56" si="102">W55*X55</f>
        <v>12628.271500000001</v>
      </c>
      <c r="Z55" s="165"/>
      <c r="AA55" s="157" t="s">
        <v>995</v>
      </c>
      <c r="AB55" s="159">
        <v>335004</v>
      </c>
      <c r="AC55" s="160">
        <v>3.9884000000000003E-2</v>
      </c>
      <c r="AD55" s="150">
        <f t="shared" ref="AD55:AD56" si="103">AB55*AC55</f>
        <v>13361.299536</v>
      </c>
      <c r="AE55" s="165"/>
      <c r="AF55" s="157" t="s">
        <v>995</v>
      </c>
      <c r="AG55" s="159">
        <v>368777</v>
      </c>
      <c r="AH55" s="160">
        <v>3.9884000000000003E-2</v>
      </c>
      <c r="AI55" s="150">
        <f t="shared" ref="AI55:AI56" si="104">AG55*AH55</f>
        <v>14708.301868</v>
      </c>
      <c r="AJ55" s="165"/>
      <c r="AK55" s="157" t="s">
        <v>995</v>
      </c>
      <c r="AL55" s="159">
        <v>355210</v>
      </c>
      <c r="AM55" s="160">
        <v>3.9884000000000003E-2</v>
      </c>
      <c r="AN55" s="150">
        <f t="shared" ref="AN55:AN56" si="105">AL55*AM55</f>
        <v>14167.195640000002</v>
      </c>
      <c r="AO55" s="165"/>
      <c r="AP55" s="157" t="s">
        <v>995</v>
      </c>
      <c r="AQ55" s="159">
        <v>337238</v>
      </c>
      <c r="AR55" s="160">
        <v>3.9884000000000003E-2</v>
      </c>
      <c r="AS55" s="150">
        <f t="shared" ref="AS55:AS56" si="106">AQ55*AR55</f>
        <v>13450.400392000001</v>
      </c>
      <c r="AT55" s="165"/>
      <c r="AU55" s="157" t="s">
        <v>995</v>
      </c>
      <c r="AV55" s="159">
        <v>294959</v>
      </c>
      <c r="AW55" s="160">
        <v>3.9884000000000003E-2</v>
      </c>
      <c r="AX55" s="150">
        <f t="shared" ref="AX55:AX56" si="107">AV55*AW55</f>
        <v>11764.144756000002</v>
      </c>
      <c r="AY55" s="165"/>
      <c r="AZ55" s="157" t="s">
        <v>995</v>
      </c>
      <c r="BA55" s="159">
        <v>243374</v>
      </c>
      <c r="BB55" s="160">
        <v>3.9884000000000003E-2</v>
      </c>
      <c r="BC55" s="150">
        <f t="shared" ref="BC55:BC56" si="108">BA55*BB55</f>
        <v>9706.7286160000003</v>
      </c>
      <c r="BD55" s="165"/>
      <c r="BE55" s="157" t="s">
        <v>995</v>
      </c>
      <c r="BF55" s="159">
        <v>250383</v>
      </c>
      <c r="BG55" s="160">
        <v>3.9884000000000003E-2</v>
      </c>
      <c r="BH55" s="150">
        <f t="shared" ref="BH55:BH56" si="109">BF55*BG55</f>
        <v>9986.2755720000005</v>
      </c>
      <c r="BI55" s="165"/>
      <c r="BJ55" s="157" t="s">
        <v>995</v>
      </c>
      <c r="BK55" s="148">
        <f t="shared" si="84"/>
        <v>3527364</v>
      </c>
      <c r="BL55" s="216">
        <f t="shared" si="85"/>
        <v>140685.38577600001</v>
      </c>
      <c r="BM55" s="150"/>
    </row>
    <row r="56" spans="1:65" customFormat="1" x14ac:dyDescent="0.25">
      <c r="A56" s="165"/>
      <c r="B56" s="157" t="s">
        <v>996</v>
      </c>
      <c r="C56" s="159">
        <v>0</v>
      </c>
      <c r="D56" s="160">
        <f>D55-0.02624</f>
        <v>1.3644000000000003E-2</v>
      </c>
      <c r="E56" s="150">
        <f t="shared" si="98"/>
        <v>0</v>
      </c>
      <c r="F56" s="165"/>
      <c r="G56" s="157" t="s">
        <v>996</v>
      </c>
      <c r="H56" s="159">
        <v>0</v>
      </c>
      <c r="I56" s="160">
        <f>I55-0.02624</f>
        <v>1.3644000000000003E-2</v>
      </c>
      <c r="J56" s="150">
        <f t="shared" si="99"/>
        <v>0</v>
      </c>
      <c r="K56" s="165"/>
      <c r="L56" s="157" t="s">
        <v>996</v>
      </c>
      <c r="M56" s="159">
        <v>0</v>
      </c>
      <c r="N56" s="160">
        <f>N55-0.02624</f>
        <v>1.3644000000000003E-2</v>
      </c>
      <c r="O56" s="150">
        <f t="shared" si="100"/>
        <v>0</v>
      </c>
      <c r="P56" s="165"/>
      <c r="Q56" s="157" t="s">
        <v>996</v>
      </c>
      <c r="R56" s="159">
        <v>0</v>
      </c>
      <c r="S56" s="160">
        <f>S55-0.02624</f>
        <v>1.3644000000000003E-2</v>
      </c>
      <c r="T56" s="150">
        <f t="shared" si="101"/>
        <v>0</v>
      </c>
      <c r="U56" s="165"/>
      <c r="V56" s="157" t="s">
        <v>996</v>
      </c>
      <c r="W56" s="159">
        <v>0</v>
      </c>
      <c r="X56" s="160">
        <f>X55-0.02624</f>
        <v>1.3644000000000003E-2</v>
      </c>
      <c r="Y56" s="150">
        <f t="shared" si="102"/>
        <v>0</v>
      </c>
      <c r="Z56" s="165"/>
      <c r="AA56" s="157" t="s">
        <v>996</v>
      </c>
      <c r="AB56" s="159">
        <v>0</v>
      </c>
      <c r="AC56" s="160">
        <f>AC55-0.02624</f>
        <v>1.3644000000000003E-2</v>
      </c>
      <c r="AD56" s="150">
        <f t="shared" si="103"/>
        <v>0</v>
      </c>
      <c r="AE56" s="165"/>
      <c r="AF56" s="157" t="s">
        <v>996</v>
      </c>
      <c r="AG56" s="159">
        <v>0</v>
      </c>
      <c r="AH56" s="160">
        <f>AH55-0.02624</f>
        <v>1.3644000000000003E-2</v>
      </c>
      <c r="AI56" s="150">
        <f t="shared" si="104"/>
        <v>0</v>
      </c>
      <c r="AJ56" s="165"/>
      <c r="AK56" s="157" t="s">
        <v>996</v>
      </c>
      <c r="AL56" s="159">
        <v>0</v>
      </c>
      <c r="AM56" s="160">
        <f>AM55-0.02624</f>
        <v>1.3644000000000003E-2</v>
      </c>
      <c r="AN56" s="150">
        <f t="shared" si="105"/>
        <v>0</v>
      </c>
      <c r="AO56" s="165"/>
      <c r="AP56" s="157" t="s">
        <v>996</v>
      </c>
      <c r="AQ56" s="159">
        <v>0</v>
      </c>
      <c r="AR56" s="160">
        <f>AR55-0.02624</f>
        <v>1.3644000000000003E-2</v>
      </c>
      <c r="AS56" s="150">
        <f t="shared" si="106"/>
        <v>0</v>
      </c>
      <c r="AT56" s="165"/>
      <c r="AU56" s="157" t="s">
        <v>996</v>
      </c>
      <c r="AV56" s="159">
        <v>0</v>
      </c>
      <c r="AW56" s="160">
        <f>AW55-0.02624</f>
        <v>1.3644000000000003E-2</v>
      </c>
      <c r="AX56" s="150">
        <f t="shared" si="107"/>
        <v>0</v>
      </c>
      <c r="AY56" s="165"/>
      <c r="AZ56" s="157" t="s">
        <v>996</v>
      </c>
      <c r="BA56" s="159">
        <v>0</v>
      </c>
      <c r="BB56" s="160">
        <f>BB55-0.02624</f>
        <v>1.3644000000000003E-2</v>
      </c>
      <c r="BC56" s="150">
        <f t="shared" si="108"/>
        <v>0</v>
      </c>
      <c r="BD56" s="165"/>
      <c r="BE56" s="157" t="s">
        <v>996</v>
      </c>
      <c r="BF56" s="159">
        <v>0</v>
      </c>
      <c r="BG56" s="160">
        <f>BG55-0.02624</f>
        <v>1.3644000000000003E-2</v>
      </c>
      <c r="BH56" s="150">
        <f t="shared" si="109"/>
        <v>0</v>
      </c>
      <c r="BI56" s="165"/>
      <c r="BJ56" s="157" t="s">
        <v>996</v>
      </c>
      <c r="BK56" s="148">
        <f t="shared" si="84"/>
        <v>0</v>
      </c>
      <c r="BL56" s="216">
        <f t="shared" si="85"/>
        <v>0</v>
      </c>
      <c r="BM56" s="150"/>
    </row>
    <row r="57" spans="1:65" customFormat="1" x14ac:dyDescent="0.25">
      <c r="A57" s="165"/>
      <c r="B57" s="157" t="s">
        <v>984</v>
      </c>
      <c r="C57" s="159"/>
      <c r="D57" s="160"/>
      <c r="E57" s="150">
        <f>-1278+(0.00152*C55)</f>
        <v>-897.71727999999996</v>
      </c>
      <c r="F57" s="165"/>
      <c r="G57" s="157" t="s">
        <v>984</v>
      </c>
      <c r="H57" s="159"/>
      <c r="I57" s="160"/>
      <c r="J57" s="150">
        <v>-1531</v>
      </c>
      <c r="K57" s="165"/>
      <c r="L57" s="157" t="s">
        <v>984</v>
      </c>
      <c r="M57" s="159"/>
      <c r="N57" s="160"/>
      <c r="O57" s="150">
        <v>-2088</v>
      </c>
      <c r="P57" s="165"/>
      <c r="Q57" s="157" t="s">
        <v>984</v>
      </c>
      <c r="R57" s="159"/>
      <c r="S57" s="160"/>
      <c r="T57" s="150">
        <f>-458+(0.00152*(R55+R56))</f>
        <v>-41.415120000000002</v>
      </c>
      <c r="U57" s="165"/>
      <c r="V57" s="157" t="s">
        <v>984</v>
      </c>
      <c r="W57" s="159"/>
      <c r="X57" s="160"/>
      <c r="Y57" s="150">
        <f>-1191+(0.00152*(W55+W56))</f>
        <v>-709.73</v>
      </c>
      <c r="Z57" s="165"/>
      <c r="AA57" s="157" t="s">
        <v>984</v>
      </c>
      <c r="AB57" s="159"/>
      <c r="AC57" s="160"/>
      <c r="AD57" s="150">
        <f>-1169+(0.00152*(AB55+AB56))</f>
        <v>-659.79391999999996</v>
      </c>
      <c r="AE57" s="165"/>
      <c r="AF57" s="157" t="s">
        <v>984</v>
      </c>
      <c r="AG57" s="159"/>
      <c r="AH57" s="160"/>
      <c r="AI57" s="150">
        <f>-1781+(0.00152*(AG55+AG56))</f>
        <v>-1220.4589599999999</v>
      </c>
      <c r="AJ57" s="165"/>
      <c r="AK57" s="157" t="s">
        <v>984</v>
      </c>
      <c r="AL57" s="159"/>
      <c r="AM57" s="160"/>
      <c r="AN57" s="150">
        <f>-1858+(0.00152*(AL55+AL56))</f>
        <v>-1318.0808</v>
      </c>
      <c r="AO57" s="165"/>
      <c r="AP57" s="157" t="s">
        <v>984</v>
      </c>
      <c r="AQ57" s="159"/>
      <c r="AR57" s="160"/>
      <c r="AS57" s="150">
        <f>-2064+(0.00152*(AQ55+AQ56))</f>
        <v>-1551.39824</v>
      </c>
      <c r="AT57" s="165"/>
      <c r="AU57" s="157" t="s">
        <v>984</v>
      </c>
      <c r="AV57" s="159"/>
      <c r="AW57" s="160"/>
      <c r="AX57" s="150">
        <f>-1664+(0.00152*(AV55+AV56))</f>
        <v>-1215.6623199999999</v>
      </c>
      <c r="AY57" s="165"/>
      <c r="AZ57" s="157" t="s">
        <v>984</v>
      </c>
      <c r="BA57" s="159"/>
      <c r="BB57" s="160"/>
      <c r="BC57" s="150">
        <f>-1604+(0.00152*(BA55+BA56))</f>
        <v>-1234.07152</v>
      </c>
      <c r="BD57" s="165"/>
      <c r="BE57" s="157" t="s">
        <v>984</v>
      </c>
      <c r="BF57" s="159"/>
      <c r="BG57" s="160"/>
      <c r="BH57" s="150">
        <f>-298+(0.00152*(BF55+BF56))</f>
        <v>82.582160000000044</v>
      </c>
      <c r="BI57" s="165"/>
      <c r="BJ57" s="157" t="s">
        <v>984</v>
      </c>
      <c r="BK57" s="148"/>
      <c r="BL57" s="216">
        <f t="shared" si="85"/>
        <v>-12384.745999999999</v>
      </c>
      <c r="BM57" s="150"/>
    </row>
    <row r="58" spans="1:65" customFormat="1" x14ac:dyDescent="0.25">
      <c r="A58" s="165"/>
      <c r="B58" s="157"/>
      <c r="C58" s="159"/>
      <c r="D58" s="160"/>
      <c r="E58" s="150"/>
      <c r="F58" s="165"/>
      <c r="G58" s="157"/>
      <c r="H58" s="159"/>
      <c r="I58" s="160"/>
      <c r="J58" s="150"/>
      <c r="K58" s="165"/>
      <c r="L58" s="157"/>
      <c r="M58" s="159"/>
      <c r="N58" s="160"/>
      <c r="O58" s="150"/>
      <c r="P58" s="165"/>
      <c r="Q58" s="157"/>
      <c r="R58" s="159"/>
      <c r="S58" s="160"/>
      <c r="T58" s="150"/>
      <c r="U58" s="165"/>
      <c r="V58" s="157"/>
      <c r="W58" s="159"/>
      <c r="X58" s="160"/>
      <c r="Y58" s="150"/>
      <c r="Z58" s="165"/>
      <c r="AA58" s="157"/>
      <c r="AB58" s="159"/>
      <c r="AC58" s="160"/>
      <c r="AD58" s="150"/>
      <c r="AE58" s="165"/>
      <c r="AF58" s="157"/>
      <c r="AG58" s="159"/>
      <c r="AH58" s="160"/>
      <c r="AI58" s="150"/>
      <c r="AJ58" s="165"/>
      <c r="AK58" s="157"/>
      <c r="AL58" s="159"/>
      <c r="AM58" s="160"/>
      <c r="AN58" s="150"/>
      <c r="AO58" s="165"/>
      <c r="AP58" s="157"/>
      <c r="AQ58" s="159"/>
      <c r="AR58" s="160"/>
      <c r="AS58" s="150"/>
      <c r="AT58" s="165"/>
      <c r="AU58" s="157"/>
      <c r="AV58" s="159"/>
      <c r="AW58" s="160"/>
      <c r="AX58" s="150"/>
      <c r="AY58" s="165"/>
      <c r="AZ58" s="157"/>
      <c r="BA58" s="159"/>
      <c r="BB58" s="160"/>
      <c r="BC58" s="150"/>
      <c r="BD58" s="165"/>
      <c r="BE58" s="157"/>
      <c r="BF58" s="159"/>
      <c r="BG58" s="160"/>
      <c r="BH58" s="150"/>
      <c r="BI58" s="165"/>
      <c r="BJ58" s="157"/>
      <c r="BK58" s="159"/>
      <c r="BL58" s="160"/>
      <c r="BM58" s="150"/>
    </row>
    <row r="59" spans="1:65" customFormat="1" x14ac:dyDescent="0.25">
      <c r="A59" s="8" t="s">
        <v>1037</v>
      </c>
      <c r="B59" s="206"/>
      <c r="C59" s="159"/>
      <c r="D59" s="160"/>
      <c r="E59" s="150"/>
      <c r="F59" s="8" t="s">
        <v>1037</v>
      </c>
      <c r="G59" s="206"/>
      <c r="H59" s="159"/>
      <c r="I59" s="160"/>
      <c r="J59" s="150"/>
      <c r="K59" s="8" t="s">
        <v>1037</v>
      </c>
      <c r="L59" s="206"/>
      <c r="M59" s="159"/>
      <c r="N59" s="160"/>
      <c r="O59" s="150"/>
      <c r="P59" s="8" t="s">
        <v>1037</v>
      </c>
      <c r="Q59" s="206"/>
      <c r="R59" s="159"/>
      <c r="S59" s="160"/>
      <c r="T59" s="150"/>
      <c r="U59" s="8" t="s">
        <v>1037</v>
      </c>
      <c r="V59" s="206"/>
      <c r="W59" s="159"/>
      <c r="X59" s="160"/>
      <c r="Y59" s="150"/>
      <c r="Z59" s="8" t="s">
        <v>1037</v>
      </c>
      <c r="AA59" s="206"/>
      <c r="AB59" s="159"/>
      <c r="AC59" s="160"/>
      <c r="AD59" s="150"/>
      <c r="AE59" s="8" t="s">
        <v>1037</v>
      </c>
      <c r="AF59" s="206"/>
      <c r="AG59" s="159"/>
      <c r="AH59" s="160"/>
      <c r="AI59" s="150"/>
      <c r="AJ59" s="8" t="s">
        <v>1037</v>
      </c>
      <c r="AK59" s="206"/>
      <c r="AL59" s="159"/>
      <c r="AM59" s="160"/>
      <c r="AN59" s="150"/>
      <c r="AO59" s="8" t="s">
        <v>1037</v>
      </c>
      <c r="AP59" s="206"/>
      <c r="AQ59" s="159"/>
      <c r="AR59" s="160"/>
      <c r="AS59" s="150"/>
      <c r="AT59" s="8" t="s">
        <v>1037</v>
      </c>
      <c r="AU59" s="206"/>
      <c r="AV59" s="159"/>
      <c r="AW59" s="160"/>
      <c r="AX59" s="150"/>
      <c r="AY59" s="8" t="s">
        <v>1037</v>
      </c>
      <c r="AZ59" s="206"/>
      <c r="BA59" s="159"/>
      <c r="BB59" s="160"/>
      <c r="BC59" s="150"/>
      <c r="BD59" s="8" t="s">
        <v>1037</v>
      </c>
      <c r="BE59" s="206"/>
      <c r="BF59" s="159"/>
      <c r="BG59" s="160"/>
      <c r="BH59" s="150"/>
      <c r="BI59" s="8" t="s">
        <v>1037</v>
      </c>
      <c r="BJ59" s="206"/>
      <c r="BK59" s="159"/>
      <c r="BL59" s="160"/>
      <c r="BM59" s="150"/>
    </row>
    <row r="60" spans="1:65" customFormat="1" x14ac:dyDescent="0.25">
      <c r="A60" s="2"/>
      <c r="B60" s="157" t="s">
        <v>978</v>
      </c>
      <c r="C60" s="159">
        <v>1650</v>
      </c>
      <c r="D60" s="158">
        <v>7.49</v>
      </c>
      <c r="E60" s="150">
        <f>C60*D60</f>
        <v>12358.5</v>
      </c>
      <c r="F60" s="2"/>
      <c r="G60" s="157" t="s">
        <v>978</v>
      </c>
      <c r="H60" s="159">
        <v>1650</v>
      </c>
      <c r="I60" s="158">
        <v>7.49</v>
      </c>
      <c r="J60" s="150">
        <f>H60*I60</f>
        <v>12358.5</v>
      </c>
      <c r="K60" s="2"/>
      <c r="L60" s="157" t="s">
        <v>978</v>
      </c>
      <c r="M60" s="159">
        <v>1650</v>
      </c>
      <c r="N60" s="158">
        <v>7.49</v>
      </c>
      <c r="O60" s="150">
        <f>M60*N60</f>
        <v>12358.5</v>
      </c>
      <c r="P60" s="2"/>
      <c r="Q60" s="157" t="s">
        <v>978</v>
      </c>
      <c r="R60" s="159">
        <v>1800</v>
      </c>
      <c r="S60" s="158">
        <v>7.49</v>
      </c>
      <c r="T60" s="150">
        <f>R60*S60</f>
        <v>13482</v>
      </c>
      <c r="U60" s="2"/>
      <c r="V60" s="157" t="s">
        <v>978</v>
      </c>
      <c r="W60" s="159">
        <v>1800</v>
      </c>
      <c r="X60" s="158">
        <v>7.49</v>
      </c>
      <c r="Y60" s="150">
        <f>W60*X60</f>
        <v>13482</v>
      </c>
      <c r="Z60" s="2"/>
      <c r="AA60" s="157" t="s">
        <v>978</v>
      </c>
      <c r="AB60" s="159">
        <v>1800</v>
      </c>
      <c r="AC60" s="158">
        <v>7.49</v>
      </c>
      <c r="AD60" s="150">
        <f>AB60*AC60</f>
        <v>13482</v>
      </c>
      <c r="AE60" s="2"/>
      <c r="AF60" s="157" t="s">
        <v>978</v>
      </c>
      <c r="AG60" s="159">
        <v>1800</v>
      </c>
      <c r="AH60" s="158">
        <v>7.49</v>
      </c>
      <c r="AI60" s="150">
        <f>AG60*AH60</f>
        <v>13482</v>
      </c>
      <c r="AJ60" s="2"/>
      <c r="AK60" s="157" t="s">
        <v>978</v>
      </c>
      <c r="AL60" s="159">
        <v>1800</v>
      </c>
      <c r="AM60" s="158">
        <v>7.49</v>
      </c>
      <c r="AN60" s="150">
        <f>AL60*AM60</f>
        <v>13482</v>
      </c>
      <c r="AO60" s="2"/>
      <c r="AP60" s="157" t="s">
        <v>978</v>
      </c>
      <c r="AQ60" s="159">
        <v>1800</v>
      </c>
      <c r="AR60" s="158">
        <v>7.49</v>
      </c>
      <c r="AS60" s="150">
        <f>AQ60*AR60</f>
        <v>13482</v>
      </c>
      <c r="AT60" s="2"/>
      <c r="AU60" s="157" t="s">
        <v>978</v>
      </c>
      <c r="AV60" s="159">
        <v>1650</v>
      </c>
      <c r="AW60" s="158">
        <v>7.49</v>
      </c>
      <c r="AX60" s="150">
        <f>AV60*AW60</f>
        <v>12358.5</v>
      </c>
      <c r="AY60" s="2"/>
      <c r="AZ60" s="157" t="s">
        <v>978</v>
      </c>
      <c r="BA60" s="159">
        <v>1650</v>
      </c>
      <c r="BB60" s="158">
        <v>7.49</v>
      </c>
      <c r="BC60" s="150">
        <f>BA60*BB60</f>
        <v>12358.5</v>
      </c>
      <c r="BD60" s="2"/>
      <c r="BE60" s="157" t="s">
        <v>978</v>
      </c>
      <c r="BF60" s="159">
        <v>1650</v>
      </c>
      <c r="BG60" s="158">
        <v>7.49</v>
      </c>
      <c r="BH60" s="150">
        <f>BF60*BG60</f>
        <v>12358.5</v>
      </c>
      <c r="BI60" s="2"/>
      <c r="BJ60" s="157" t="s">
        <v>978</v>
      </c>
      <c r="BK60" s="148">
        <f t="shared" ref="BK60:BK63" si="110">C60+H60+M60+R60+W60+AB60+AG60+AL60+AQ60+AV60+BA60+BF60</f>
        <v>20700</v>
      </c>
      <c r="BL60" s="216">
        <f t="shared" ref="BL60:BL64" si="111">E60+J60+O60+T60+Y60+AD60+AI60+AN60+AS60+AX60+BC60+BH60</f>
        <v>155043</v>
      </c>
      <c r="BM60" s="150"/>
    </row>
    <row r="61" spans="1:65" customFormat="1" x14ac:dyDescent="0.25">
      <c r="A61" s="2"/>
      <c r="B61" s="157" t="s">
        <v>979</v>
      </c>
      <c r="C61" s="159">
        <v>0</v>
      </c>
      <c r="D61" s="158">
        <v>9.98</v>
      </c>
      <c r="E61" s="150">
        <f t="shared" ref="E61:E63" si="112">C61*D61</f>
        <v>0</v>
      </c>
      <c r="F61" s="2"/>
      <c r="G61" s="157" t="s">
        <v>979</v>
      </c>
      <c r="H61" s="159">
        <v>0</v>
      </c>
      <c r="I61" s="158">
        <v>9.98</v>
      </c>
      <c r="J61" s="150">
        <f t="shared" ref="J61:J63" si="113">H61*I61</f>
        <v>0</v>
      </c>
      <c r="K61" s="2"/>
      <c r="L61" s="157" t="s">
        <v>979</v>
      </c>
      <c r="M61" s="159">
        <v>0</v>
      </c>
      <c r="N61" s="158">
        <v>9.98</v>
      </c>
      <c r="O61" s="150">
        <f t="shared" ref="O61:O63" si="114">M61*N61</f>
        <v>0</v>
      </c>
      <c r="P61" s="2"/>
      <c r="Q61" s="157" t="s">
        <v>979</v>
      </c>
      <c r="R61" s="159">
        <v>0</v>
      </c>
      <c r="S61" s="158">
        <v>9.98</v>
      </c>
      <c r="T61" s="150">
        <f t="shared" ref="T61:T63" si="115">R61*S61</f>
        <v>0</v>
      </c>
      <c r="U61" s="2"/>
      <c r="V61" s="157" t="s">
        <v>979</v>
      </c>
      <c r="W61" s="159">
        <v>0</v>
      </c>
      <c r="X61" s="158">
        <v>9.98</v>
      </c>
      <c r="Y61" s="150">
        <f t="shared" ref="Y61:Y63" si="116">W61*X61</f>
        <v>0</v>
      </c>
      <c r="Z61" s="2"/>
      <c r="AA61" s="157" t="s">
        <v>979</v>
      </c>
      <c r="AB61" s="159">
        <v>0</v>
      </c>
      <c r="AC61" s="158">
        <v>9.98</v>
      </c>
      <c r="AD61" s="150">
        <f t="shared" ref="AD61:AD63" si="117">AB61*AC61</f>
        <v>0</v>
      </c>
      <c r="AE61" s="2"/>
      <c r="AF61" s="157" t="s">
        <v>979</v>
      </c>
      <c r="AG61" s="159">
        <v>0</v>
      </c>
      <c r="AH61" s="158">
        <v>9.98</v>
      </c>
      <c r="AI61" s="150">
        <f t="shared" ref="AI61:AI63" si="118">AG61*AH61</f>
        <v>0</v>
      </c>
      <c r="AJ61" s="2"/>
      <c r="AK61" s="157" t="s">
        <v>979</v>
      </c>
      <c r="AL61" s="159">
        <v>0</v>
      </c>
      <c r="AM61" s="158">
        <v>9.98</v>
      </c>
      <c r="AN61" s="150">
        <f t="shared" ref="AN61:AN63" si="119">AL61*AM61</f>
        <v>0</v>
      </c>
      <c r="AO61" s="2"/>
      <c r="AP61" s="157" t="s">
        <v>979</v>
      </c>
      <c r="AQ61" s="159">
        <v>0</v>
      </c>
      <c r="AR61" s="158">
        <v>9.98</v>
      </c>
      <c r="AS61" s="150">
        <f t="shared" ref="AS61:AS63" si="120">AQ61*AR61</f>
        <v>0</v>
      </c>
      <c r="AT61" s="2"/>
      <c r="AU61" s="157" t="s">
        <v>979</v>
      </c>
      <c r="AV61" s="159">
        <v>0</v>
      </c>
      <c r="AW61" s="158">
        <v>9.98</v>
      </c>
      <c r="AX61" s="150">
        <f t="shared" ref="AX61:AX63" si="121">AV61*AW61</f>
        <v>0</v>
      </c>
      <c r="AY61" s="2"/>
      <c r="AZ61" s="157" t="s">
        <v>979</v>
      </c>
      <c r="BA61" s="159">
        <v>0</v>
      </c>
      <c r="BB61" s="158">
        <v>9.98</v>
      </c>
      <c r="BC61" s="150">
        <f t="shared" ref="BC61:BC63" si="122">BA61*BB61</f>
        <v>0</v>
      </c>
      <c r="BD61" s="2"/>
      <c r="BE61" s="157" t="s">
        <v>979</v>
      </c>
      <c r="BF61" s="159">
        <v>0</v>
      </c>
      <c r="BG61" s="158">
        <v>9.98</v>
      </c>
      <c r="BH61" s="150">
        <f t="shared" ref="BH61:BH63" si="123">BF61*BG61</f>
        <v>0</v>
      </c>
      <c r="BI61" s="2"/>
      <c r="BJ61" s="157" t="s">
        <v>979</v>
      </c>
      <c r="BK61" s="148">
        <f t="shared" si="110"/>
        <v>0</v>
      </c>
      <c r="BL61" s="216">
        <f t="shared" si="111"/>
        <v>0</v>
      </c>
      <c r="BM61" s="150"/>
    </row>
    <row r="62" spans="1:65" customFormat="1" x14ac:dyDescent="0.25">
      <c r="A62" s="2"/>
      <c r="B62" s="157" t="s">
        <v>995</v>
      </c>
      <c r="C62" s="159">
        <v>889249</v>
      </c>
      <c r="D62" s="160">
        <v>3.9884000000000003E-2</v>
      </c>
      <c r="E62" s="150">
        <f t="shared" si="112"/>
        <v>35466.807116000004</v>
      </c>
      <c r="F62" s="2"/>
      <c r="G62" s="157" t="s">
        <v>995</v>
      </c>
      <c r="H62" s="159">
        <v>1000612</v>
      </c>
      <c r="I62" s="160">
        <v>3.9884000000000003E-2</v>
      </c>
      <c r="J62" s="150">
        <f t="shared" si="113"/>
        <v>39908.409008000002</v>
      </c>
      <c r="K62" s="2"/>
      <c r="L62" s="157" t="s">
        <v>995</v>
      </c>
      <c r="M62" s="159">
        <v>931723</v>
      </c>
      <c r="N62" s="160">
        <v>3.9884000000000003E-2</v>
      </c>
      <c r="O62" s="150">
        <f t="shared" si="114"/>
        <v>37160.840132000005</v>
      </c>
      <c r="P62" s="2"/>
      <c r="Q62" s="157" t="s">
        <v>995</v>
      </c>
      <c r="R62" s="159">
        <v>1002016</v>
      </c>
      <c r="S62" s="160">
        <v>3.9884000000000003E-2</v>
      </c>
      <c r="T62" s="150">
        <f t="shared" si="115"/>
        <v>39964.406144</v>
      </c>
      <c r="U62" s="2"/>
      <c r="V62" s="157" t="s">
        <v>995</v>
      </c>
      <c r="W62" s="159">
        <v>1006283</v>
      </c>
      <c r="X62" s="160">
        <v>3.9884000000000003E-2</v>
      </c>
      <c r="Y62" s="150">
        <f t="shared" si="116"/>
        <v>40134.591172</v>
      </c>
      <c r="Z62" s="2"/>
      <c r="AA62" s="157" t="s">
        <v>995</v>
      </c>
      <c r="AB62" s="159">
        <v>983599</v>
      </c>
      <c r="AC62" s="160">
        <v>3.9884000000000003E-2</v>
      </c>
      <c r="AD62" s="150">
        <f t="shared" si="117"/>
        <v>39229.862516000001</v>
      </c>
      <c r="AE62" s="2"/>
      <c r="AF62" s="157" t="s">
        <v>995</v>
      </c>
      <c r="AG62" s="159">
        <v>996911</v>
      </c>
      <c r="AH62" s="160">
        <v>3.9884000000000003E-2</v>
      </c>
      <c r="AI62" s="150">
        <f t="shared" si="118"/>
        <v>39760.798324000003</v>
      </c>
      <c r="AJ62" s="2"/>
      <c r="AK62" s="157" t="s">
        <v>995</v>
      </c>
      <c r="AL62" s="159">
        <v>966717</v>
      </c>
      <c r="AM62" s="160">
        <v>3.9884000000000003E-2</v>
      </c>
      <c r="AN62" s="150">
        <f t="shared" si="119"/>
        <v>38556.540828000005</v>
      </c>
      <c r="AO62" s="2"/>
      <c r="AP62" s="157" t="s">
        <v>995</v>
      </c>
      <c r="AQ62" s="159">
        <v>908345</v>
      </c>
      <c r="AR62" s="160">
        <v>3.9884000000000003E-2</v>
      </c>
      <c r="AS62" s="150">
        <f t="shared" si="120"/>
        <v>36228.431980000001</v>
      </c>
      <c r="AT62" s="2"/>
      <c r="AU62" s="157" t="s">
        <v>995</v>
      </c>
      <c r="AV62" s="159">
        <v>1001474</v>
      </c>
      <c r="AW62" s="160">
        <v>3.9884000000000003E-2</v>
      </c>
      <c r="AX62" s="150">
        <f t="shared" si="121"/>
        <v>39942.789016000002</v>
      </c>
      <c r="AY62" s="2"/>
      <c r="AZ62" s="157" t="s">
        <v>995</v>
      </c>
      <c r="BA62" s="159">
        <v>918985</v>
      </c>
      <c r="BB62" s="160">
        <v>3.9884000000000003E-2</v>
      </c>
      <c r="BC62" s="150">
        <f t="shared" si="122"/>
        <v>36652.797740000002</v>
      </c>
      <c r="BD62" s="2"/>
      <c r="BE62" s="157" t="s">
        <v>995</v>
      </c>
      <c r="BF62" s="159">
        <v>881124</v>
      </c>
      <c r="BG62" s="160">
        <v>3.9884000000000003E-2</v>
      </c>
      <c r="BH62" s="150">
        <f t="shared" si="123"/>
        <v>35142.749616000001</v>
      </c>
      <c r="BI62" s="2"/>
      <c r="BJ62" s="157" t="s">
        <v>995</v>
      </c>
      <c r="BK62" s="148">
        <f t="shared" si="110"/>
        <v>11487038</v>
      </c>
      <c r="BL62" s="216">
        <f t="shared" si="111"/>
        <v>458149.02359200001</v>
      </c>
      <c r="BM62" s="150"/>
    </row>
    <row r="63" spans="1:65" customFormat="1" x14ac:dyDescent="0.25">
      <c r="A63" s="2"/>
      <c r="B63" s="157" t="s">
        <v>996</v>
      </c>
      <c r="C63" s="159"/>
      <c r="D63" s="160">
        <f>D62-0.02624</f>
        <v>1.3644000000000003E-2</v>
      </c>
      <c r="E63" s="150">
        <f t="shared" si="112"/>
        <v>0</v>
      </c>
      <c r="F63" s="2"/>
      <c r="G63" s="157" t="s">
        <v>996</v>
      </c>
      <c r="H63" s="159"/>
      <c r="I63" s="160">
        <f>I62-0.02624</f>
        <v>1.3644000000000003E-2</v>
      </c>
      <c r="J63" s="150">
        <f t="shared" si="113"/>
        <v>0</v>
      </c>
      <c r="K63" s="2"/>
      <c r="L63" s="157" t="s">
        <v>996</v>
      </c>
      <c r="M63" s="159"/>
      <c r="N63" s="160">
        <f>N62-0.02624</f>
        <v>1.3644000000000003E-2</v>
      </c>
      <c r="O63" s="150">
        <f t="shared" si="114"/>
        <v>0</v>
      </c>
      <c r="P63" s="2"/>
      <c r="Q63" s="157" t="s">
        <v>996</v>
      </c>
      <c r="R63" s="159"/>
      <c r="S63" s="160">
        <f>S62-0.02624</f>
        <v>1.3644000000000003E-2</v>
      </c>
      <c r="T63" s="150">
        <f t="shared" si="115"/>
        <v>0</v>
      </c>
      <c r="U63" s="2"/>
      <c r="V63" s="157" t="s">
        <v>996</v>
      </c>
      <c r="W63" s="159"/>
      <c r="X63" s="160">
        <f>X62-0.02624</f>
        <v>1.3644000000000003E-2</v>
      </c>
      <c r="Y63" s="150">
        <f t="shared" si="116"/>
        <v>0</v>
      </c>
      <c r="Z63" s="2"/>
      <c r="AA63" s="157" t="s">
        <v>996</v>
      </c>
      <c r="AB63" s="159"/>
      <c r="AC63" s="160">
        <f>AC62-0.02624</f>
        <v>1.3644000000000003E-2</v>
      </c>
      <c r="AD63" s="150">
        <f t="shared" si="117"/>
        <v>0</v>
      </c>
      <c r="AE63" s="2"/>
      <c r="AF63" s="157" t="s">
        <v>996</v>
      </c>
      <c r="AG63" s="159"/>
      <c r="AH63" s="160">
        <f>AH62-0.02624</f>
        <v>1.3644000000000003E-2</v>
      </c>
      <c r="AI63" s="150">
        <f t="shared" si="118"/>
        <v>0</v>
      </c>
      <c r="AJ63" s="2"/>
      <c r="AK63" s="157" t="s">
        <v>996</v>
      </c>
      <c r="AL63" s="159"/>
      <c r="AM63" s="160">
        <f>AM62-0.02624</f>
        <v>1.3644000000000003E-2</v>
      </c>
      <c r="AN63" s="150">
        <f t="shared" si="119"/>
        <v>0</v>
      </c>
      <c r="AO63" s="2"/>
      <c r="AP63" s="157" t="s">
        <v>996</v>
      </c>
      <c r="AQ63" s="159"/>
      <c r="AR63" s="160">
        <f>AR62-0.02624</f>
        <v>1.3644000000000003E-2</v>
      </c>
      <c r="AS63" s="150">
        <f t="shared" si="120"/>
        <v>0</v>
      </c>
      <c r="AT63" s="2"/>
      <c r="AU63" s="157" t="s">
        <v>996</v>
      </c>
      <c r="AV63" s="159"/>
      <c r="AW63" s="160">
        <f>AW62-0.02624</f>
        <v>1.3644000000000003E-2</v>
      </c>
      <c r="AX63" s="150">
        <f t="shared" si="121"/>
        <v>0</v>
      </c>
      <c r="AY63" s="2"/>
      <c r="AZ63" s="157" t="s">
        <v>996</v>
      </c>
      <c r="BA63" s="159"/>
      <c r="BB63" s="160">
        <f>BB62-0.02624</f>
        <v>1.3644000000000003E-2</v>
      </c>
      <c r="BC63" s="150">
        <f t="shared" si="122"/>
        <v>0</v>
      </c>
      <c r="BD63" s="2"/>
      <c r="BE63" s="157" t="s">
        <v>996</v>
      </c>
      <c r="BF63" s="159"/>
      <c r="BG63" s="160">
        <f>BG62-0.02624</f>
        <v>1.3644000000000003E-2</v>
      </c>
      <c r="BH63" s="150">
        <f t="shared" si="123"/>
        <v>0</v>
      </c>
      <c r="BI63" s="2"/>
      <c r="BJ63" s="157" t="s">
        <v>996</v>
      </c>
      <c r="BK63" s="148">
        <f t="shared" si="110"/>
        <v>0</v>
      </c>
      <c r="BL63" s="216">
        <f t="shared" si="111"/>
        <v>0</v>
      </c>
      <c r="BM63" s="150"/>
    </row>
    <row r="64" spans="1:65" customFormat="1" x14ac:dyDescent="0.25">
      <c r="A64" s="2"/>
      <c r="B64" s="157" t="s">
        <v>984</v>
      </c>
      <c r="C64" s="159"/>
      <c r="D64" s="160"/>
      <c r="E64" s="150">
        <f>-4544+(0.00152*C62)</f>
        <v>-3192.3415199999999</v>
      </c>
      <c r="F64" s="2"/>
      <c r="G64" s="157" t="s">
        <v>984</v>
      </c>
      <c r="H64" s="159"/>
      <c r="I64" s="160"/>
      <c r="J64" s="150">
        <v>-6544</v>
      </c>
      <c r="K64" s="2"/>
      <c r="L64" s="157" t="s">
        <v>984</v>
      </c>
      <c r="M64" s="159"/>
      <c r="N64" s="160"/>
      <c r="O64" s="150">
        <v>-7277</v>
      </c>
      <c r="P64" s="2"/>
      <c r="Q64" s="157" t="s">
        <v>984</v>
      </c>
      <c r="R64" s="159"/>
      <c r="S64" s="160"/>
      <c r="T64" s="150">
        <f>-1673+(0.00152*(R62+R63))</f>
        <v>-149.93567999999982</v>
      </c>
      <c r="U64" s="2"/>
      <c r="V64" s="157" t="s">
        <v>984</v>
      </c>
      <c r="W64" s="159"/>
      <c r="X64" s="160"/>
      <c r="Y64" s="150">
        <f>-3784+(0.00152*(W62+W63))</f>
        <v>-2254.4498400000002</v>
      </c>
      <c r="Z64" s="2"/>
      <c r="AA64" s="157" t="s">
        <v>984</v>
      </c>
      <c r="AB64" s="159"/>
      <c r="AC64" s="160"/>
      <c r="AD64" s="150">
        <f>-3433+(0.00152*(AB62+AB63))</f>
        <v>-1937.9295199999999</v>
      </c>
      <c r="AE64" s="2"/>
      <c r="AF64" s="157" t="s">
        <v>984</v>
      </c>
      <c r="AG64" s="159"/>
      <c r="AH64" s="160"/>
      <c r="AI64" s="150">
        <f>-4815+(0.00152*(AG62+AG63))</f>
        <v>-3299.6952799999999</v>
      </c>
      <c r="AJ64" s="2"/>
      <c r="AK64" s="157" t="s">
        <v>984</v>
      </c>
      <c r="AL64" s="159"/>
      <c r="AM64" s="160"/>
      <c r="AN64" s="150">
        <f>-5056+(0.00152*(AL62+AL63))</f>
        <v>-3586.5901599999997</v>
      </c>
      <c r="AO64" s="2"/>
      <c r="AP64" s="157" t="s">
        <v>984</v>
      </c>
      <c r="AQ64" s="159"/>
      <c r="AR64" s="160"/>
      <c r="AS64" s="150">
        <f>-5559+(0.00152*(AQ62+AQ63))</f>
        <v>-4178.3155999999999</v>
      </c>
      <c r="AT64" s="2"/>
      <c r="AU64" s="157" t="s">
        <v>984</v>
      </c>
      <c r="AV64" s="159"/>
      <c r="AW64" s="160"/>
      <c r="AX64" s="150">
        <f>-5648+(0.00152*(AV62+AV63))</f>
        <v>-4125.7595199999996</v>
      </c>
      <c r="AY64" s="2"/>
      <c r="AZ64" s="157" t="s">
        <v>984</v>
      </c>
      <c r="BA64" s="159"/>
      <c r="BB64" s="160"/>
      <c r="BC64" s="150">
        <f>-6056+(0.00152*(BA62+BA63))</f>
        <v>-4659.1427999999996</v>
      </c>
      <c r="BD64" s="2"/>
      <c r="BE64" s="157" t="s">
        <v>984</v>
      </c>
      <c r="BF64" s="159"/>
      <c r="BG64" s="160"/>
      <c r="BH64" s="150">
        <f>-1049+(0.00152*(BF62+BF63))</f>
        <v>290.30848000000015</v>
      </c>
      <c r="BI64" s="2"/>
      <c r="BJ64" s="157" t="s">
        <v>984</v>
      </c>
      <c r="BK64" s="148"/>
      <c r="BL64" s="216">
        <f t="shared" si="111"/>
        <v>-40914.851440000006</v>
      </c>
      <c r="BM64" s="150"/>
    </row>
    <row r="65" spans="1:65" customFormat="1" x14ac:dyDescent="0.25">
      <c r="A65" s="2"/>
      <c r="B65" s="157"/>
      <c r="C65" s="159"/>
      <c r="D65" s="160"/>
      <c r="E65" s="150"/>
      <c r="F65" s="2"/>
      <c r="G65" s="157"/>
      <c r="H65" s="159"/>
      <c r="I65" s="160"/>
      <c r="J65" s="150"/>
      <c r="K65" s="2"/>
      <c r="L65" s="157"/>
      <c r="M65" s="159"/>
      <c r="N65" s="160"/>
      <c r="O65" s="150"/>
      <c r="P65" s="2"/>
      <c r="Q65" s="157"/>
      <c r="R65" s="159"/>
      <c r="S65" s="160"/>
      <c r="T65" s="150"/>
      <c r="U65" s="2"/>
      <c r="V65" s="157"/>
      <c r="W65" s="159"/>
      <c r="X65" s="160"/>
      <c r="Y65" s="150"/>
      <c r="Z65" s="2"/>
      <c r="AA65" s="157"/>
      <c r="AB65" s="159"/>
      <c r="AC65" s="160"/>
      <c r="AD65" s="150"/>
      <c r="AE65" s="2"/>
      <c r="AF65" s="157"/>
      <c r="AG65" s="159"/>
      <c r="AH65" s="160"/>
      <c r="AI65" s="150"/>
      <c r="AJ65" s="2"/>
      <c r="AK65" s="157"/>
      <c r="AL65" s="159"/>
      <c r="AM65" s="160"/>
      <c r="AN65" s="150"/>
      <c r="AO65" s="2"/>
      <c r="AP65" s="157"/>
      <c r="AQ65" s="159"/>
      <c r="AR65" s="160"/>
      <c r="AS65" s="150"/>
      <c r="AT65" s="2"/>
      <c r="AU65" s="157"/>
      <c r="AV65" s="159"/>
      <c r="AW65" s="160"/>
      <c r="AX65" s="150"/>
      <c r="AY65" s="2"/>
      <c r="AZ65" s="157"/>
      <c r="BA65" s="159"/>
      <c r="BB65" s="160"/>
      <c r="BC65" s="150"/>
      <c r="BD65" s="2"/>
      <c r="BE65" s="157"/>
      <c r="BF65" s="159"/>
      <c r="BG65" s="160"/>
      <c r="BH65" s="150"/>
      <c r="BI65" s="2"/>
      <c r="BJ65" s="157"/>
      <c r="BK65" s="159"/>
      <c r="BL65" s="160"/>
      <c r="BM65" s="150"/>
    </row>
    <row r="66" spans="1:65" customFormat="1" x14ac:dyDescent="0.25">
      <c r="A66" s="8" t="s">
        <v>1038</v>
      </c>
      <c r="B66" s="206"/>
      <c r="C66" s="159"/>
      <c r="D66" s="160"/>
      <c r="E66" s="150"/>
      <c r="F66" s="8" t="s">
        <v>1038</v>
      </c>
      <c r="G66" s="206"/>
      <c r="H66" s="159"/>
      <c r="I66" s="160"/>
      <c r="J66" s="150"/>
      <c r="K66" s="8" t="s">
        <v>1038</v>
      </c>
      <c r="L66" s="206"/>
      <c r="M66" s="159"/>
      <c r="N66" s="160"/>
      <c r="O66" s="150"/>
      <c r="P66" s="8" t="s">
        <v>1038</v>
      </c>
      <c r="Q66" s="206"/>
      <c r="R66" s="159"/>
      <c r="S66" s="160"/>
      <c r="T66" s="150"/>
      <c r="U66" s="8" t="s">
        <v>1038</v>
      </c>
      <c r="V66" s="206"/>
      <c r="W66" s="159"/>
      <c r="X66" s="160"/>
      <c r="Y66" s="150"/>
      <c r="Z66" s="8" t="s">
        <v>1038</v>
      </c>
      <c r="AA66" s="206"/>
      <c r="AB66" s="159"/>
      <c r="AC66" s="160"/>
      <c r="AD66" s="150"/>
      <c r="AE66" s="8" t="s">
        <v>1038</v>
      </c>
      <c r="AF66" s="206"/>
      <c r="AG66" s="159"/>
      <c r="AH66" s="160"/>
      <c r="AI66" s="150"/>
      <c r="AJ66" s="8" t="s">
        <v>1038</v>
      </c>
      <c r="AK66" s="206"/>
      <c r="AL66" s="159"/>
      <c r="AM66" s="160"/>
      <c r="AN66" s="150"/>
      <c r="AO66" s="8" t="s">
        <v>1038</v>
      </c>
      <c r="AP66" s="206"/>
      <c r="AQ66" s="159"/>
      <c r="AR66" s="160"/>
      <c r="AS66" s="150"/>
      <c r="AT66" s="8" t="s">
        <v>1038</v>
      </c>
      <c r="AU66" s="206"/>
      <c r="AV66" s="159"/>
      <c r="AW66" s="160"/>
      <c r="AX66" s="150"/>
      <c r="AY66" s="8" t="s">
        <v>1038</v>
      </c>
      <c r="AZ66" s="206"/>
      <c r="BA66" s="159"/>
      <c r="BB66" s="160"/>
      <c r="BC66" s="150"/>
      <c r="BD66" s="8" t="s">
        <v>1038</v>
      </c>
      <c r="BE66" s="206"/>
      <c r="BF66" s="159"/>
      <c r="BG66" s="160"/>
      <c r="BH66" s="150"/>
      <c r="BI66" s="8" t="s">
        <v>1038</v>
      </c>
      <c r="BJ66" s="206"/>
      <c r="BK66" s="159"/>
      <c r="BL66" s="160"/>
      <c r="BM66" s="150"/>
    </row>
    <row r="67" spans="1:65" customFormat="1" x14ac:dyDescent="0.25">
      <c r="A67" s="2"/>
      <c r="B67" s="157" t="s">
        <v>978</v>
      </c>
      <c r="C67" s="159">
        <v>900</v>
      </c>
      <c r="D67" s="158">
        <v>7.49</v>
      </c>
      <c r="E67" s="150">
        <f>C67*D67</f>
        <v>6741</v>
      </c>
      <c r="F67" s="2"/>
      <c r="G67" s="157" t="s">
        <v>978</v>
      </c>
      <c r="H67" s="159">
        <v>900</v>
      </c>
      <c r="I67" s="158">
        <v>7.49</v>
      </c>
      <c r="J67" s="150">
        <f>H67*I67</f>
        <v>6741</v>
      </c>
      <c r="K67" s="2"/>
      <c r="L67" s="157" t="s">
        <v>978</v>
      </c>
      <c r="M67" s="159">
        <v>900</v>
      </c>
      <c r="N67" s="158">
        <v>7.49</v>
      </c>
      <c r="O67" s="150">
        <f>M67*N67</f>
        <v>6741</v>
      </c>
      <c r="P67" s="2"/>
      <c r="Q67" s="157" t="s">
        <v>978</v>
      </c>
      <c r="R67" s="159">
        <v>600</v>
      </c>
      <c r="S67" s="158">
        <v>7.49</v>
      </c>
      <c r="T67" s="150">
        <f>R67*S67</f>
        <v>4494</v>
      </c>
      <c r="U67" s="2"/>
      <c r="V67" s="157" t="s">
        <v>978</v>
      </c>
      <c r="W67" s="159">
        <v>600</v>
      </c>
      <c r="X67" s="158">
        <v>7.49</v>
      </c>
      <c r="Y67" s="150">
        <f>W67*X67</f>
        <v>4494</v>
      </c>
      <c r="Z67" s="2"/>
      <c r="AA67" s="157" t="s">
        <v>978</v>
      </c>
      <c r="AB67" s="159">
        <v>600</v>
      </c>
      <c r="AC67" s="158">
        <v>7.49</v>
      </c>
      <c r="AD67" s="150">
        <f>AB67*AC67</f>
        <v>4494</v>
      </c>
      <c r="AE67" s="2"/>
      <c r="AF67" s="157" t="s">
        <v>978</v>
      </c>
      <c r="AG67" s="159">
        <v>600</v>
      </c>
      <c r="AH67" s="158">
        <v>7.49</v>
      </c>
      <c r="AI67" s="150">
        <f>AG67*AH67</f>
        <v>4494</v>
      </c>
      <c r="AJ67" s="2"/>
      <c r="AK67" s="157" t="s">
        <v>978</v>
      </c>
      <c r="AL67" s="159">
        <v>600</v>
      </c>
      <c r="AM67" s="158">
        <v>7.49</v>
      </c>
      <c r="AN67" s="150">
        <f>AL67*AM67</f>
        <v>4494</v>
      </c>
      <c r="AO67" s="2"/>
      <c r="AP67" s="157" t="s">
        <v>978</v>
      </c>
      <c r="AQ67" s="159">
        <v>600</v>
      </c>
      <c r="AR67" s="158">
        <v>7.49</v>
      </c>
      <c r="AS67" s="150">
        <f>AQ67*AR67</f>
        <v>4494</v>
      </c>
      <c r="AT67" s="2"/>
      <c r="AU67" s="157" t="s">
        <v>978</v>
      </c>
      <c r="AV67" s="159">
        <v>900</v>
      </c>
      <c r="AW67" s="158">
        <v>7.49</v>
      </c>
      <c r="AX67" s="150">
        <f>AV67*AW67</f>
        <v>6741</v>
      </c>
      <c r="AY67" s="2"/>
      <c r="AZ67" s="157" t="s">
        <v>978</v>
      </c>
      <c r="BA67" s="159">
        <v>900</v>
      </c>
      <c r="BB67" s="158">
        <v>7.49</v>
      </c>
      <c r="BC67" s="150">
        <f>BA67*BB67</f>
        <v>6741</v>
      </c>
      <c r="BD67" s="2"/>
      <c r="BE67" s="157" t="s">
        <v>978</v>
      </c>
      <c r="BF67" s="159">
        <v>900</v>
      </c>
      <c r="BG67" s="158">
        <v>7.49</v>
      </c>
      <c r="BH67" s="150">
        <f>BF67*BG67</f>
        <v>6741</v>
      </c>
      <c r="BI67" s="2"/>
      <c r="BJ67" s="157" t="s">
        <v>978</v>
      </c>
      <c r="BK67" s="148">
        <f t="shared" ref="BK67:BK70" si="124">C67+H67+M67+R67+W67+AB67+AG67+AL67+AQ67+AV67+BA67+BF67</f>
        <v>9000</v>
      </c>
      <c r="BL67" s="216">
        <f t="shared" ref="BL67:BL71" si="125">E67+J67+O67+T67+Y67+AD67+AI67+AN67+AS67+AX67+BC67+BH67</f>
        <v>67410</v>
      </c>
      <c r="BM67" s="150"/>
    </row>
    <row r="68" spans="1:65" customFormat="1" x14ac:dyDescent="0.25">
      <c r="A68" s="2"/>
      <c r="B68" s="157" t="s">
        <v>979</v>
      </c>
      <c r="C68" s="159">
        <f>967-C67</f>
        <v>67</v>
      </c>
      <c r="D68" s="158">
        <v>9.98</v>
      </c>
      <c r="E68" s="150">
        <f t="shared" ref="E68:E70" si="126">C68*D68</f>
        <v>668.66000000000008</v>
      </c>
      <c r="F68" s="2"/>
      <c r="G68" s="157" t="s">
        <v>979</v>
      </c>
      <c r="H68" s="159">
        <f>900-H67</f>
        <v>0</v>
      </c>
      <c r="I68" s="158">
        <v>9.98</v>
      </c>
      <c r="J68" s="150">
        <f t="shared" ref="J68:J70" si="127">H68*I68</f>
        <v>0</v>
      </c>
      <c r="K68" s="2"/>
      <c r="L68" s="157" t="s">
        <v>979</v>
      </c>
      <c r="M68" s="159">
        <f>900-M67</f>
        <v>0</v>
      </c>
      <c r="N68" s="158">
        <v>9.98</v>
      </c>
      <c r="O68" s="150">
        <f t="shared" ref="O68:O70" si="128">M68*N68</f>
        <v>0</v>
      </c>
      <c r="P68" s="2"/>
      <c r="Q68" s="157" t="s">
        <v>979</v>
      </c>
      <c r="R68" s="159">
        <f>922-R67</f>
        <v>322</v>
      </c>
      <c r="S68" s="158">
        <v>9.98</v>
      </c>
      <c r="T68" s="150">
        <f t="shared" ref="T68:T70" si="129">R68*S68</f>
        <v>3213.56</v>
      </c>
      <c r="U68" s="2"/>
      <c r="V68" s="157" t="s">
        <v>979</v>
      </c>
      <c r="W68" s="159">
        <f>867-W67</f>
        <v>267</v>
      </c>
      <c r="X68" s="158">
        <v>9.98</v>
      </c>
      <c r="Y68" s="150">
        <f t="shared" ref="Y68:Y70" si="130">W68*X68</f>
        <v>2664.6600000000003</v>
      </c>
      <c r="Z68" s="2"/>
      <c r="AA68" s="157" t="s">
        <v>979</v>
      </c>
      <c r="AB68" s="159">
        <f>1013-AB67</f>
        <v>413</v>
      </c>
      <c r="AC68" s="158">
        <v>9.98</v>
      </c>
      <c r="AD68" s="150">
        <f t="shared" ref="AD68:AD70" si="131">AB68*AC68</f>
        <v>4121.74</v>
      </c>
      <c r="AE68" s="2"/>
      <c r="AF68" s="157" t="s">
        <v>979</v>
      </c>
      <c r="AG68" s="159">
        <f>976-AG67</f>
        <v>376</v>
      </c>
      <c r="AH68" s="158">
        <v>9.98</v>
      </c>
      <c r="AI68" s="150">
        <f t="shared" ref="AI68:AI70" si="132">AG68*AH68</f>
        <v>3752.48</v>
      </c>
      <c r="AJ68" s="2"/>
      <c r="AK68" s="157" t="s">
        <v>979</v>
      </c>
      <c r="AL68" s="159">
        <f>921-AL67</f>
        <v>321</v>
      </c>
      <c r="AM68" s="158">
        <v>9.98</v>
      </c>
      <c r="AN68" s="150">
        <f t="shared" ref="AN68:AN70" si="133">AL68*AM68</f>
        <v>3203.58</v>
      </c>
      <c r="AO68" s="2"/>
      <c r="AP68" s="157" t="s">
        <v>979</v>
      </c>
      <c r="AQ68" s="159">
        <f>1010-AQ67</f>
        <v>410</v>
      </c>
      <c r="AR68" s="158">
        <v>9.98</v>
      </c>
      <c r="AS68" s="150">
        <f t="shared" ref="AS68:AS70" si="134">AQ68*AR68</f>
        <v>4091.8</v>
      </c>
      <c r="AT68" s="2"/>
      <c r="AU68" s="157" t="s">
        <v>979</v>
      </c>
      <c r="AV68" s="159">
        <f>989-AV67</f>
        <v>89</v>
      </c>
      <c r="AW68" s="158">
        <v>9.98</v>
      </c>
      <c r="AX68" s="150">
        <f t="shared" ref="AX68:AX70" si="135">AV68*AW68</f>
        <v>888.22</v>
      </c>
      <c r="AY68" s="2"/>
      <c r="AZ68" s="157" t="s">
        <v>979</v>
      </c>
      <c r="BA68" s="159">
        <f>992-BA67</f>
        <v>92</v>
      </c>
      <c r="BB68" s="158">
        <v>9.98</v>
      </c>
      <c r="BC68" s="150">
        <f t="shared" ref="BC68:BC70" si="136">BA68*BB68</f>
        <v>918.16000000000008</v>
      </c>
      <c r="BD68" s="2"/>
      <c r="BE68" s="157" t="s">
        <v>979</v>
      </c>
      <c r="BF68" s="159">
        <f>1092-BF67</f>
        <v>192</v>
      </c>
      <c r="BG68" s="158">
        <v>9.98</v>
      </c>
      <c r="BH68" s="150">
        <f t="shared" ref="BH68:BH70" si="137">BF68*BG68</f>
        <v>1916.16</v>
      </c>
      <c r="BI68" s="2"/>
      <c r="BJ68" s="157" t="s">
        <v>979</v>
      </c>
      <c r="BK68" s="148">
        <f t="shared" si="124"/>
        <v>2549</v>
      </c>
      <c r="BL68" s="216">
        <f t="shared" si="125"/>
        <v>25439.02</v>
      </c>
      <c r="BM68" s="150"/>
    </row>
    <row r="69" spans="1:65" customFormat="1" x14ac:dyDescent="0.25">
      <c r="A69" s="2"/>
      <c r="B69" s="157" t="s">
        <v>995</v>
      </c>
      <c r="C69" s="159">
        <v>532780</v>
      </c>
      <c r="D69" s="160">
        <v>3.9884000000000003E-2</v>
      </c>
      <c r="E69" s="150">
        <f t="shared" si="126"/>
        <v>21249.397520000002</v>
      </c>
      <c r="F69" s="2"/>
      <c r="G69" s="157" t="s">
        <v>995</v>
      </c>
      <c r="H69" s="159">
        <v>565485</v>
      </c>
      <c r="I69" s="160">
        <v>3.9884000000000003E-2</v>
      </c>
      <c r="J69" s="150">
        <f t="shared" si="127"/>
        <v>22553.803740000003</v>
      </c>
      <c r="K69" s="2"/>
      <c r="L69" s="157" t="s">
        <v>995</v>
      </c>
      <c r="M69" s="159">
        <v>567120</v>
      </c>
      <c r="N69" s="160">
        <v>3.9884000000000003E-2</v>
      </c>
      <c r="O69" s="150">
        <f t="shared" si="128"/>
        <v>22619.014080000001</v>
      </c>
      <c r="P69" s="2"/>
      <c r="Q69" s="157" t="s">
        <v>995</v>
      </c>
      <c r="R69" s="159">
        <v>560031</v>
      </c>
      <c r="S69" s="160">
        <v>3.9884000000000003E-2</v>
      </c>
      <c r="T69" s="150">
        <f t="shared" si="129"/>
        <v>22336.276404</v>
      </c>
      <c r="U69" s="2"/>
      <c r="V69" s="157" t="s">
        <v>995</v>
      </c>
      <c r="W69" s="159">
        <v>563274</v>
      </c>
      <c r="X69" s="160">
        <v>3.9884000000000003E-2</v>
      </c>
      <c r="Y69" s="150">
        <f t="shared" si="130"/>
        <v>22465.620216000003</v>
      </c>
      <c r="Z69" s="2"/>
      <c r="AA69" s="157" t="s">
        <v>995</v>
      </c>
      <c r="AB69" s="159">
        <v>541829</v>
      </c>
      <c r="AC69" s="160">
        <v>3.9884000000000003E-2</v>
      </c>
      <c r="AD69" s="150">
        <f t="shared" si="131"/>
        <v>21610.307836</v>
      </c>
      <c r="AE69" s="2"/>
      <c r="AF69" s="157" t="s">
        <v>995</v>
      </c>
      <c r="AG69" s="159">
        <v>570271</v>
      </c>
      <c r="AH69" s="160">
        <v>3.9884000000000003E-2</v>
      </c>
      <c r="AI69" s="150">
        <f t="shared" si="132"/>
        <v>22744.688564</v>
      </c>
      <c r="AJ69" s="2"/>
      <c r="AK69" s="157" t="s">
        <v>995</v>
      </c>
      <c r="AL69" s="159">
        <v>547579</v>
      </c>
      <c r="AM69" s="160">
        <v>3.9884000000000003E-2</v>
      </c>
      <c r="AN69" s="150">
        <f t="shared" si="133"/>
        <v>21839.640836000002</v>
      </c>
      <c r="AO69" s="2"/>
      <c r="AP69" s="157" t="s">
        <v>995</v>
      </c>
      <c r="AQ69" s="159">
        <v>515044</v>
      </c>
      <c r="AR69" s="160">
        <v>3.9884000000000003E-2</v>
      </c>
      <c r="AS69" s="150">
        <f t="shared" si="134"/>
        <v>20542.014896000001</v>
      </c>
      <c r="AT69" s="2"/>
      <c r="AU69" s="157" t="s">
        <v>995</v>
      </c>
      <c r="AV69" s="159">
        <v>556126</v>
      </c>
      <c r="AW69" s="160">
        <v>3.9884000000000003E-2</v>
      </c>
      <c r="AX69" s="150">
        <f t="shared" si="135"/>
        <v>22180.529384000001</v>
      </c>
      <c r="AY69" s="2"/>
      <c r="AZ69" s="157" t="s">
        <v>995</v>
      </c>
      <c r="BA69" s="159">
        <v>551256</v>
      </c>
      <c r="BB69" s="160">
        <v>3.9884000000000003E-2</v>
      </c>
      <c r="BC69" s="150">
        <f t="shared" si="136"/>
        <v>21986.294304000003</v>
      </c>
      <c r="BD69" s="2"/>
      <c r="BE69" s="157" t="s">
        <v>995</v>
      </c>
      <c r="BF69" s="159">
        <v>551591</v>
      </c>
      <c r="BG69" s="160">
        <v>3.9884000000000003E-2</v>
      </c>
      <c r="BH69" s="150">
        <f t="shared" si="137"/>
        <v>21999.655444</v>
      </c>
      <c r="BI69" s="2"/>
      <c r="BJ69" s="157" t="s">
        <v>995</v>
      </c>
      <c r="BK69" s="148">
        <f t="shared" si="124"/>
        <v>6622386</v>
      </c>
      <c r="BL69" s="216">
        <f t="shared" si="125"/>
        <v>264127.24322400003</v>
      </c>
      <c r="BM69" s="150"/>
    </row>
    <row r="70" spans="1:65" customFormat="1" x14ac:dyDescent="0.25">
      <c r="A70" s="2"/>
      <c r="B70" s="157" t="s">
        <v>996</v>
      </c>
      <c r="C70" s="159"/>
      <c r="D70" s="160">
        <f>D69-0.02624</f>
        <v>1.3644000000000003E-2</v>
      </c>
      <c r="E70" s="150">
        <f t="shared" si="126"/>
        <v>0</v>
      </c>
      <c r="F70" s="2"/>
      <c r="G70" s="157" t="s">
        <v>996</v>
      </c>
      <c r="H70" s="159"/>
      <c r="I70" s="160">
        <f>I69-0.02624</f>
        <v>1.3644000000000003E-2</v>
      </c>
      <c r="J70" s="150">
        <f t="shared" si="127"/>
        <v>0</v>
      </c>
      <c r="K70" s="2"/>
      <c r="L70" s="157" t="s">
        <v>996</v>
      </c>
      <c r="M70" s="159"/>
      <c r="N70" s="160">
        <f>N69-0.02624</f>
        <v>1.3644000000000003E-2</v>
      </c>
      <c r="O70" s="150">
        <f t="shared" si="128"/>
        <v>0</v>
      </c>
      <c r="P70" s="2"/>
      <c r="Q70" s="157" t="s">
        <v>996</v>
      </c>
      <c r="R70" s="159"/>
      <c r="S70" s="160">
        <f>S69-0.02624</f>
        <v>1.3644000000000003E-2</v>
      </c>
      <c r="T70" s="150">
        <f t="shared" si="129"/>
        <v>0</v>
      </c>
      <c r="U70" s="2"/>
      <c r="V70" s="157" t="s">
        <v>996</v>
      </c>
      <c r="W70" s="159"/>
      <c r="X70" s="160">
        <f>X69-0.02624</f>
        <v>1.3644000000000003E-2</v>
      </c>
      <c r="Y70" s="150">
        <f t="shared" si="130"/>
        <v>0</v>
      </c>
      <c r="Z70" s="2"/>
      <c r="AA70" s="157" t="s">
        <v>996</v>
      </c>
      <c r="AB70" s="159"/>
      <c r="AC70" s="160">
        <f>AC69-0.02624</f>
        <v>1.3644000000000003E-2</v>
      </c>
      <c r="AD70" s="150">
        <f t="shared" si="131"/>
        <v>0</v>
      </c>
      <c r="AE70" s="2"/>
      <c r="AF70" s="157" t="s">
        <v>996</v>
      </c>
      <c r="AG70" s="159"/>
      <c r="AH70" s="160">
        <f>AH69-0.02624</f>
        <v>1.3644000000000003E-2</v>
      </c>
      <c r="AI70" s="150">
        <f t="shared" si="132"/>
        <v>0</v>
      </c>
      <c r="AJ70" s="2"/>
      <c r="AK70" s="157" t="s">
        <v>996</v>
      </c>
      <c r="AL70" s="159"/>
      <c r="AM70" s="160">
        <f>AM69-0.02624</f>
        <v>1.3644000000000003E-2</v>
      </c>
      <c r="AN70" s="150">
        <f t="shared" si="133"/>
        <v>0</v>
      </c>
      <c r="AO70" s="2"/>
      <c r="AP70" s="157" t="s">
        <v>996</v>
      </c>
      <c r="AQ70" s="159"/>
      <c r="AR70" s="160">
        <f>AR69-0.02624</f>
        <v>1.3644000000000003E-2</v>
      </c>
      <c r="AS70" s="150">
        <f t="shared" si="134"/>
        <v>0</v>
      </c>
      <c r="AT70" s="2"/>
      <c r="AU70" s="157" t="s">
        <v>996</v>
      </c>
      <c r="AV70" s="159"/>
      <c r="AW70" s="160">
        <f>AW69-0.02624</f>
        <v>1.3644000000000003E-2</v>
      </c>
      <c r="AX70" s="150">
        <f t="shared" si="135"/>
        <v>0</v>
      </c>
      <c r="AY70" s="2"/>
      <c r="AZ70" s="157" t="s">
        <v>996</v>
      </c>
      <c r="BA70" s="159"/>
      <c r="BB70" s="160">
        <f>BB69-0.02624</f>
        <v>1.3644000000000003E-2</v>
      </c>
      <c r="BC70" s="150">
        <f t="shared" si="136"/>
        <v>0</v>
      </c>
      <c r="BD70" s="2"/>
      <c r="BE70" s="157" t="s">
        <v>996</v>
      </c>
      <c r="BF70" s="159"/>
      <c r="BG70" s="160">
        <f>BG69-0.02624</f>
        <v>1.3644000000000003E-2</v>
      </c>
      <c r="BH70" s="150">
        <f t="shared" si="137"/>
        <v>0</v>
      </c>
      <c r="BI70" s="2"/>
      <c r="BJ70" s="157" t="s">
        <v>996</v>
      </c>
      <c r="BK70" s="148">
        <f t="shared" si="124"/>
        <v>0</v>
      </c>
      <c r="BL70" s="216">
        <f t="shared" si="125"/>
        <v>0</v>
      </c>
      <c r="BM70" s="150"/>
    </row>
    <row r="71" spans="1:65" customFormat="1" x14ac:dyDescent="0.25">
      <c r="A71" s="2"/>
      <c r="B71" s="157" t="s">
        <v>984</v>
      </c>
      <c r="C71" s="159"/>
      <c r="D71" s="160"/>
      <c r="E71" s="150">
        <f>-2723+(C69*0.00152)</f>
        <v>-1913.1743999999999</v>
      </c>
      <c r="F71" s="2"/>
      <c r="G71" s="157" t="s">
        <v>984</v>
      </c>
      <c r="H71" s="159"/>
      <c r="I71" s="160"/>
      <c r="J71" s="150">
        <v>-3698</v>
      </c>
      <c r="K71" s="2"/>
      <c r="L71" s="157" t="s">
        <v>984</v>
      </c>
      <c r="M71" s="159"/>
      <c r="N71" s="160"/>
      <c r="O71" s="150">
        <v>-4429</v>
      </c>
      <c r="P71" s="2"/>
      <c r="Q71" s="157" t="s">
        <v>984</v>
      </c>
      <c r="R71" s="159"/>
      <c r="S71" s="160"/>
      <c r="T71" s="150">
        <f>-935+(0.00152*(R69+R70))</f>
        <v>-83.752880000000005</v>
      </c>
      <c r="U71" s="2"/>
      <c r="V71" s="157" t="s">
        <v>984</v>
      </c>
      <c r="W71" s="159"/>
      <c r="X71" s="160"/>
      <c r="Y71" s="150">
        <f>-2118+(0.00152*(W69+W70))</f>
        <v>-1261.8235199999999</v>
      </c>
      <c r="Z71" s="2"/>
      <c r="AA71" s="157" t="s">
        <v>984</v>
      </c>
      <c r="AB71" s="159"/>
      <c r="AC71" s="160"/>
      <c r="AD71" s="150">
        <f>-1891+(0.00152*(AB69+AB70))</f>
        <v>-1067.4199199999998</v>
      </c>
      <c r="AE71" s="2"/>
      <c r="AF71" s="157" t="s">
        <v>984</v>
      </c>
      <c r="AG71" s="159"/>
      <c r="AH71" s="160"/>
      <c r="AI71" s="150">
        <f>-2754+(0.00152*(AG69+AG70))</f>
        <v>-1887.1880799999999</v>
      </c>
      <c r="AJ71" s="2"/>
      <c r="AK71" s="157" t="s">
        <v>984</v>
      </c>
      <c r="AL71" s="159"/>
      <c r="AM71" s="160"/>
      <c r="AN71" s="150">
        <f>-2864+(0.00152*(AL69+AL70))</f>
        <v>-2031.67992</v>
      </c>
      <c r="AO71" s="2"/>
      <c r="AP71" s="157" t="s">
        <v>984</v>
      </c>
      <c r="AQ71" s="159"/>
      <c r="AR71" s="160"/>
      <c r="AS71" s="150">
        <f>-3152+(0.00152*(AQ69+AQ70))</f>
        <v>-2369.13312</v>
      </c>
      <c r="AT71" s="2"/>
      <c r="AU71" s="157" t="s">
        <v>984</v>
      </c>
      <c r="AV71" s="159"/>
      <c r="AW71" s="160"/>
      <c r="AX71" s="150">
        <f>-3137+(0.00152*(AV69+AV70))</f>
        <v>-2291.6884799999998</v>
      </c>
      <c r="AY71" s="2"/>
      <c r="AZ71" s="157" t="s">
        <v>984</v>
      </c>
      <c r="BA71" s="159"/>
      <c r="BB71" s="160"/>
      <c r="BC71" s="150">
        <f>-3633+(0.00152*(BA69+BA70))</f>
        <v>-2795.0908799999997</v>
      </c>
      <c r="BD71" s="2"/>
      <c r="BE71" s="157" t="s">
        <v>984</v>
      </c>
      <c r="BF71" s="159"/>
      <c r="BG71" s="160"/>
      <c r="BH71" s="150">
        <f>-656+(0.00152*(BF69+BF70))</f>
        <v>182.41831999999999</v>
      </c>
      <c r="BI71" s="2"/>
      <c r="BJ71" s="157" t="s">
        <v>984</v>
      </c>
      <c r="BK71" s="148"/>
      <c r="BL71" s="216">
        <f t="shared" si="125"/>
        <v>-23645.532879999999</v>
      </c>
      <c r="BM71" s="150"/>
    </row>
    <row r="72" spans="1:65" customFormat="1" x14ac:dyDescent="0.25">
      <c r="A72" s="2"/>
      <c r="B72" s="157"/>
      <c r="C72" s="159"/>
      <c r="D72" s="160"/>
      <c r="E72" s="150"/>
      <c r="G72" s="206"/>
      <c r="H72" s="159"/>
      <c r="I72" s="160"/>
      <c r="J72" s="150"/>
      <c r="L72" s="206"/>
      <c r="M72" s="159"/>
      <c r="N72" s="160"/>
      <c r="O72" s="150"/>
      <c r="Q72" s="206"/>
      <c r="R72" s="159"/>
      <c r="S72" s="160"/>
      <c r="T72" s="150"/>
      <c r="V72" s="206"/>
      <c r="W72" s="159"/>
      <c r="X72" s="160"/>
      <c r="Y72" s="150"/>
      <c r="AA72" s="206"/>
      <c r="AB72" s="159"/>
      <c r="AC72" s="160"/>
      <c r="AD72" s="150"/>
      <c r="AF72" s="206"/>
      <c r="AG72" s="159"/>
      <c r="AH72" s="160"/>
      <c r="AI72" s="150"/>
      <c r="AK72" s="206"/>
      <c r="AL72" s="159"/>
      <c r="AM72" s="160"/>
      <c r="AN72" s="150"/>
      <c r="AP72" s="206"/>
      <c r="AQ72" s="159"/>
      <c r="AR72" s="160"/>
      <c r="AS72" s="150"/>
      <c r="AU72" s="206"/>
      <c r="AV72" s="159"/>
      <c r="AW72" s="160"/>
      <c r="AX72" s="150"/>
      <c r="AZ72" s="206"/>
      <c r="BA72" s="159"/>
      <c r="BB72" s="160"/>
      <c r="BC72" s="150"/>
      <c r="BE72" s="206"/>
      <c r="BF72" s="159"/>
      <c r="BG72" s="160"/>
      <c r="BH72" s="150"/>
      <c r="BJ72" s="206"/>
      <c r="BK72" s="159"/>
      <c r="BL72" s="160"/>
      <c r="BM72" s="150"/>
    </row>
    <row r="73" spans="1:65" customFormat="1" x14ac:dyDescent="0.25">
      <c r="A73" s="165"/>
      <c r="B73" s="157" t="s">
        <v>978</v>
      </c>
      <c r="C73" s="159">
        <f>C17+C24+C31+C38+C45+C52+C60+C67</f>
        <v>10795</v>
      </c>
      <c r="D73" s="158"/>
      <c r="E73" s="158">
        <f>E17+E24+E31+E38+E45+E52+E60+E67</f>
        <v>80854.55</v>
      </c>
      <c r="G73" s="157" t="s">
        <v>978</v>
      </c>
      <c r="H73" s="159">
        <f>H17+H24+H31+H38+H45+H52+H60+H67</f>
        <v>10795</v>
      </c>
      <c r="I73" s="158"/>
      <c r="J73" s="158">
        <f>J17+J24+J31+J38+J45+J52+J60+J67</f>
        <v>80854.55</v>
      </c>
      <c r="L73" s="157" t="s">
        <v>978</v>
      </c>
      <c r="M73" s="159">
        <f>M17+M24+M31+M38+M45+M52+M60+M67</f>
        <v>10795</v>
      </c>
      <c r="N73" s="158"/>
      <c r="O73" s="158">
        <f>O17+O24+O31+O38+O45+O52+O60+O67</f>
        <v>80854.55</v>
      </c>
      <c r="Q73" s="157" t="s">
        <v>978</v>
      </c>
      <c r="R73" s="159">
        <f>R17+R24+R31+R38+R45+R52+R60+R67</f>
        <v>10645</v>
      </c>
      <c r="S73" s="158"/>
      <c r="T73" s="158">
        <f>T17+T24+T31+T38+T45+T52+T60+T67</f>
        <v>79731.05</v>
      </c>
      <c r="V73" s="157" t="s">
        <v>978</v>
      </c>
      <c r="W73" s="159">
        <f>W17+W24+W31+W38+W45+W52+W60+W67</f>
        <v>10645</v>
      </c>
      <c r="X73" s="158"/>
      <c r="Y73" s="158">
        <f>Y17+Y24+Y31+Y38+Y45+Y52+Y60+Y67</f>
        <v>79731.05</v>
      </c>
      <c r="AA73" s="157" t="s">
        <v>978</v>
      </c>
      <c r="AB73" s="159">
        <f>AB17+AB24+AB31+AB38+AB45+AB52+AB60+AB67</f>
        <v>10645</v>
      </c>
      <c r="AC73" s="158"/>
      <c r="AD73" s="158">
        <f>AD17+AD24+AD31+AD38+AD45+AD52+AD60+AD67</f>
        <v>79731.05</v>
      </c>
      <c r="AF73" s="157" t="s">
        <v>978</v>
      </c>
      <c r="AG73" s="159">
        <f>AG17+AG24+AG31+AG38+AG45+AG52+AG60+AG67</f>
        <v>10645</v>
      </c>
      <c r="AH73" s="158"/>
      <c r="AI73" s="158">
        <f>AI17+AI24+AI31+AI38+AI45+AI52+AI60+AI67</f>
        <v>79731.05</v>
      </c>
      <c r="AK73" s="157" t="s">
        <v>978</v>
      </c>
      <c r="AL73" s="159">
        <f>AL17+AL24+AL31+AL38+AL45+AL52+AL60+AL67</f>
        <v>10645</v>
      </c>
      <c r="AM73" s="158"/>
      <c r="AN73" s="158">
        <f>AN17+AN24+AN31+AN38+AN45+AN52+AN60+AN67</f>
        <v>79731.05</v>
      </c>
      <c r="AP73" s="157" t="s">
        <v>978</v>
      </c>
      <c r="AQ73" s="159">
        <f>AQ17+AQ24+AQ31+AQ38+AQ45+AQ52+AQ60+AQ67</f>
        <v>10645</v>
      </c>
      <c r="AR73" s="158"/>
      <c r="AS73" s="158">
        <f>AS17+AS24+AS31+AS38+AS45+AS52+AS60+AS67</f>
        <v>79731.05</v>
      </c>
      <c r="AU73" s="157" t="s">
        <v>978</v>
      </c>
      <c r="AV73" s="159">
        <f>AV17+AV24+AV31+AV38+AV45+AV52+AV60+AV67</f>
        <v>10795</v>
      </c>
      <c r="AW73" s="158"/>
      <c r="AX73" s="158">
        <f>AX17+AX24+AX31+AX38+AX45+AX52+AX60+AX67</f>
        <v>80854.55</v>
      </c>
      <c r="AZ73" s="157" t="s">
        <v>978</v>
      </c>
      <c r="BA73" s="159">
        <f>BA17+BA24+BA31+BA38+BA45+BA52+BA60+BA67</f>
        <v>10795</v>
      </c>
      <c r="BB73" s="158"/>
      <c r="BC73" s="158">
        <f>BC17+BC24+BC31+BC38+BC45+BC52+BC60+BC67</f>
        <v>80854.55</v>
      </c>
      <c r="BE73" s="157" t="s">
        <v>978</v>
      </c>
      <c r="BF73" s="159">
        <f>BF17+BF24+BF31+BF38+BF45+BF52+BF60+BF67</f>
        <v>10795</v>
      </c>
      <c r="BG73" s="158"/>
      <c r="BH73" s="158">
        <f>BH17+BH24+BH31+BH38+BH45+BH52+BH60+BH67</f>
        <v>80854.55</v>
      </c>
      <c r="BJ73" s="157" t="s">
        <v>978</v>
      </c>
      <c r="BK73" s="148">
        <f t="shared" si="12"/>
        <v>128640</v>
      </c>
      <c r="BL73" s="216">
        <f t="shared" si="13"/>
        <v>963513.60000000021</v>
      </c>
    </row>
    <row r="74" spans="1:65" customFormat="1" x14ac:dyDescent="0.25">
      <c r="A74" s="165"/>
      <c r="B74" s="157" t="s">
        <v>979</v>
      </c>
      <c r="C74" s="159">
        <f>C18+C25+C32+C39+C46+C53+C61+C68</f>
        <v>782</v>
      </c>
      <c r="D74" s="158"/>
      <c r="E74" s="158">
        <f>E18+E25+E32+E39+E46+E53+E61+E68</f>
        <v>7804.3600000000006</v>
      </c>
      <c r="G74" s="157" t="s">
        <v>979</v>
      </c>
      <c r="H74" s="159">
        <f t="shared" ref="H74" si="138">H18+H25+H32+H39+H46+H53+H61+H68</f>
        <v>0</v>
      </c>
      <c r="I74" s="158"/>
      <c r="J74" s="158">
        <f t="shared" ref="J74" si="139">J18+J25+J32+J39+J46+J53+J61+J68</f>
        <v>0</v>
      </c>
      <c r="L74" s="157" t="s">
        <v>979</v>
      </c>
      <c r="M74" s="159">
        <f t="shared" ref="M74" si="140">M18+M25+M32+M39+M46+M53+M61+M68</f>
        <v>0</v>
      </c>
      <c r="N74" s="158"/>
      <c r="O74" s="158">
        <f t="shared" ref="O74" si="141">O18+O25+O32+O39+O46+O53+O61+O68</f>
        <v>0</v>
      </c>
      <c r="Q74" s="157" t="s">
        <v>979</v>
      </c>
      <c r="R74" s="159">
        <f t="shared" ref="R74" si="142">R18+R25+R32+R39+R46+R53+R61+R68</f>
        <v>503</v>
      </c>
      <c r="S74" s="158"/>
      <c r="T74" s="158">
        <f t="shared" ref="T74" si="143">T18+T25+T32+T39+T46+T53+T61+T68</f>
        <v>5019.9400000000005</v>
      </c>
      <c r="V74" s="157" t="s">
        <v>979</v>
      </c>
      <c r="W74" s="159">
        <f t="shared" ref="W74" si="144">W18+W25+W32+W39+W46+W53+W61+W68</f>
        <v>513</v>
      </c>
      <c r="X74" s="158"/>
      <c r="Y74" s="158">
        <f t="shared" ref="Y74" si="145">Y18+Y25+Y32+Y39+Y46+Y53+Y61+Y68</f>
        <v>5119.74</v>
      </c>
      <c r="AA74" s="157" t="s">
        <v>979</v>
      </c>
      <c r="AB74" s="159">
        <f t="shared" ref="AB74" si="146">AB18+AB25+AB32+AB39+AB46+AB53+AB61+AB68</f>
        <v>518</v>
      </c>
      <c r="AC74" s="158"/>
      <c r="AD74" s="158">
        <f t="shared" ref="AD74" si="147">AD18+AD25+AD32+AD39+AD46+AD53+AD61+AD68</f>
        <v>5169.6399999999994</v>
      </c>
      <c r="AF74" s="157" t="s">
        <v>979</v>
      </c>
      <c r="AG74" s="159">
        <f t="shared" ref="AG74" si="148">AG18+AG25+AG32+AG39+AG46+AG53+AG61+AG68</f>
        <v>663</v>
      </c>
      <c r="AH74" s="158"/>
      <c r="AI74" s="158">
        <f t="shared" ref="AI74" si="149">AI18+AI25+AI32+AI39+AI46+AI53+AI61+AI68</f>
        <v>6616.74</v>
      </c>
      <c r="AK74" s="157" t="s">
        <v>979</v>
      </c>
      <c r="AL74" s="159">
        <f t="shared" ref="AL74" si="150">AL18+AL25+AL32+AL39+AL46+AL53+AL61+AL68</f>
        <v>644</v>
      </c>
      <c r="AM74" s="158"/>
      <c r="AN74" s="158">
        <f t="shared" ref="AN74" si="151">AN18+AN25+AN32+AN39+AN46+AN53+AN61+AN68</f>
        <v>6427.12</v>
      </c>
      <c r="AP74" s="157" t="s">
        <v>979</v>
      </c>
      <c r="AQ74" s="159">
        <f t="shared" ref="AQ74" si="152">AQ18+AQ25+AQ32+AQ39+AQ46+AQ53+AQ61+AQ68</f>
        <v>857</v>
      </c>
      <c r="AR74" s="158"/>
      <c r="AS74" s="158">
        <f t="shared" ref="AS74" si="153">AS18+AS25+AS32+AS39+AS46+AS53+AS61+AS68</f>
        <v>8552.86</v>
      </c>
      <c r="AU74" s="157" t="s">
        <v>979</v>
      </c>
      <c r="AV74" s="159">
        <f t="shared" ref="AV74" si="154">AV18+AV25+AV32+AV39+AV46+AV53+AV61+AV68</f>
        <v>370</v>
      </c>
      <c r="AW74" s="158"/>
      <c r="AX74" s="158">
        <f t="shared" ref="AX74" si="155">AX18+AX25+AX32+AX39+AX46+AX53+AX61+AX68</f>
        <v>3692.6000000000004</v>
      </c>
      <c r="AZ74" s="157" t="s">
        <v>979</v>
      </c>
      <c r="BA74" s="159">
        <f t="shared" ref="BA74" si="156">BA18+BA25+BA32+BA39+BA46+BA53+BA61+BA68</f>
        <v>296</v>
      </c>
      <c r="BB74" s="158"/>
      <c r="BC74" s="158">
        <f t="shared" ref="BC74" si="157">BC18+BC25+BC32+BC39+BC46+BC53+BC61+BC68</f>
        <v>2954.08</v>
      </c>
      <c r="BE74" s="157" t="s">
        <v>979</v>
      </c>
      <c r="BF74" s="159">
        <f t="shared" ref="BF74" si="158">BF18+BF25+BF32+BF39+BF46+BF53+BF61+BF68</f>
        <v>210</v>
      </c>
      <c r="BG74" s="158"/>
      <c r="BH74" s="158">
        <f t="shared" ref="BH74" si="159">BH18+BH25+BH32+BH39+BH46+BH53+BH61+BH68</f>
        <v>2095.8000000000002</v>
      </c>
      <c r="BJ74" s="157" t="s">
        <v>979</v>
      </c>
      <c r="BK74" s="148">
        <f t="shared" si="12"/>
        <v>5356</v>
      </c>
      <c r="BL74" s="216">
        <f t="shared" si="13"/>
        <v>53452.880000000005</v>
      </c>
    </row>
    <row r="75" spans="1:65" customFormat="1" x14ac:dyDescent="0.25">
      <c r="A75" s="165"/>
      <c r="B75" s="157" t="s">
        <v>997</v>
      </c>
      <c r="C75" s="159"/>
      <c r="D75" s="158"/>
      <c r="E75" s="158">
        <f>E54</f>
        <v>-717</v>
      </c>
      <c r="G75" s="157" t="s">
        <v>997</v>
      </c>
      <c r="H75" s="159"/>
      <c r="I75" s="158"/>
      <c r="J75" s="158">
        <f>J54</f>
        <v>-717</v>
      </c>
      <c r="L75" s="157" t="s">
        <v>997</v>
      </c>
      <c r="M75" s="159"/>
      <c r="N75" s="158"/>
      <c r="O75" s="158">
        <f>O54</f>
        <v>-717</v>
      </c>
      <c r="Q75" s="157" t="s">
        <v>997</v>
      </c>
      <c r="R75" s="159"/>
      <c r="S75" s="158"/>
      <c r="T75" s="158">
        <f>T54</f>
        <v>-1076</v>
      </c>
      <c r="V75" s="157" t="s">
        <v>997</v>
      </c>
      <c r="W75" s="159"/>
      <c r="X75" s="158"/>
      <c r="Y75" s="158">
        <f>Y54</f>
        <v>-1271</v>
      </c>
      <c r="AA75" s="157" t="s">
        <v>997</v>
      </c>
      <c r="AB75" s="159"/>
      <c r="AC75" s="158"/>
      <c r="AD75" s="158">
        <f>AD54</f>
        <v>-1390</v>
      </c>
      <c r="AF75" s="157" t="s">
        <v>997</v>
      </c>
      <c r="AG75" s="159"/>
      <c r="AH75" s="158"/>
      <c r="AI75" s="158">
        <f>AI54</f>
        <v>-1360</v>
      </c>
      <c r="AK75" s="157" t="s">
        <v>997</v>
      </c>
      <c r="AL75" s="159"/>
      <c r="AM75" s="158"/>
      <c r="AN75" s="158">
        <f>AN54</f>
        <v>-1366</v>
      </c>
      <c r="AP75" s="157" t="s">
        <v>997</v>
      </c>
      <c r="AQ75" s="159"/>
      <c r="AR75" s="158"/>
      <c r="AS75" s="158">
        <f>AS54</f>
        <v>-1262</v>
      </c>
      <c r="AU75" s="157" t="s">
        <v>997</v>
      </c>
      <c r="AV75" s="159"/>
      <c r="AW75" s="158"/>
      <c r="AX75" s="158">
        <f>AX54</f>
        <v>-1184</v>
      </c>
      <c r="AZ75" s="157" t="s">
        <v>997</v>
      </c>
      <c r="BA75" s="159"/>
      <c r="BB75" s="158"/>
      <c r="BC75" s="158">
        <f>BC54</f>
        <v>-1076</v>
      </c>
      <c r="BE75" s="157" t="s">
        <v>997</v>
      </c>
      <c r="BF75" s="159"/>
      <c r="BG75" s="158"/>
      <c r="BH75" s="158">
        <f>BH54</f>
        <v>-717</v>
      </c>
      <c r="BJ75" s="157" t="s">
        <v>997</v>
      </c>
      <c r="BK75" s="148"/>
      <c r="BL75" s="216">
        <f t="shared" si="13"/>
        <v>-12853</v>
      </c>
    </row>
    <row r="76" spans="1:65" customFormat="1" x14ac:dyDescent="0.25">
      <c r="A76" s="165"/>
      <c r="B76" s="157" t="s">
        <v>995</v>
      </c>
      <c r="C76" s="159">
        <f>C19+C26+C33+C40+C47+C55+C62+C69</f>
        <v>5541129</v>
      </c>
      <c r="D76" s="160"/>
      <c r="E76" s="158">
        <f>E19+E26+E33+E40+E47+E55+E62+E69</f>
        <v>221002.38903600004</v>
      </c>
      <c r="G76" s="157" t="s">
        <v>995</v>
      </c>
      <c r="H76" s="159">
        <f>H19+H26+H33+H40+H47+H55+H62+H69</f>
        <v>5315183</v>
      </c>
      <c r="I76" s="160"/>
      <c r="J76" s="158">
        <f>J19+J26+J33+J40+J47+J55+J62+J69</f>
        <v>211990.75877200003</v>
      </c>
      <c r="L76" s="157" t="s">
        <v>995</v>
      </c>
      <c r="M76" s="159">
        <f>M19+M26+M33+M40+M47+M55+M62+M69</f>
        <v>5465897</v>
      </c>
      <c r="N76" s="160"/>
      <c r="O76" s="158">
        <f>O19+O26+O33+O40+O47+O55+O62+O69</f>
        <v>218001.83594800002</v>
      </c>
      <c r="Q76" s="157" t="s">
        <v>995</v>
      </c>
      <c r="R76" s="159">
        <f>R19+R26+R33+R40+R47+R55+R62+R69</f>
        <v>5564583</v>
      </c>
      <c r="S76" s="160"/>
      <c r="T76" s="158">
        <f>T19+T26+T33+T40+T47+T55+T62+T69</f>
        <v>221937.82837200002</v>
      </c>
      <c r="V76" s="157" t="s">
        <v>995</v>
      </c>
      <c r="W76" s="159">
        <f>W19+W26+W33+W40+W47+W55+W62+W69</f>
        <v>5834910</v>
      </c>
      <c r="X76" s="160"/>
      <c r="Y76" s="158">
        <f>Y19+Y26+Y33+Y40+Y47+Y55+Y62+Y69</f>
        <v>232719.55044000002</v>
      </c>
      <c r="AA76" s="157" t="s">
        <v>995</v>
      </c>
      <c r="AB76" s="159">
        <f>AB19+AB26+AB33+AB40+AB47+AB55+AB62+AB69</f>
        <v>5704411</v>
      </c>
      <c r="AC76" s="160"/>
      <c r="AD76" s="158">
        <f>AD19+AD26+AD33+AD40+AD47+AD55+AD62+AD69</f>
        <v>227514.728324</v>
      </c>
      <c r="AF76" s="157" t="s">
        <v>995</v>
      </c>
      <c r="AG76" s="159">
        <f>AG19+AG26+AG33+AG40+AG47+AG55+AG62+AG69</f>
        <v>5717861</v>
      </c>
      <c r="AH76" s="160"/>
      <c r="AI76" s="158">
        <f>AI19+AI26+AI33+AI40+AI47+AI55+AI62+AI69</f>
        <v>228051.16812400005</v>
      </c>
      <c r="AK76" s="157" t="s">
        <v>995</v>
      </c>
      <c r="AL76" s="159">
        <f>AL19+AL26+AL33+AL40+AL47+AL55+AL62+AL69</f>
        <v>5943839</v>
      </c>
      <c r="AM76" s="160"/>
      <c r="AN76" s="158">
        <f>AN19+AN26+AN33+AN40+AN47+AN55+AN62+AN69</f>
        <v>237064.07467600002</v>
      </c>
      <c r="AP76" s="157" t="s">
        <v>995</v>
      </c>
      <c r="AQ76" s="159">
        <f>AQ19+AQ26+AQ33+AQ40+AQ47+AQ55+AQ62+AQ69</f>
        <v>5540758</v>
      </c>
      <c r="AR76" s="160"/>
      <c r="AS76" s="158">
        <f>AS19+AS26+AS33+AS40+AS47+AS55+AS62+AS69</f>
        <v>220987.592072</v>
      </c>
      <c r="AU76" s="157" t="s">
        <v>995</v>
      </c>
      <c r="AV76" s="159">
        <f>AV19+AV26+AV33+AV40+AV47+AV55+AV62+AV69</f>
        <v>5908915</v>
      </c>
      <c r="AW76" s="160"/>
      <c r="AX76" s="158">
        <f>AX19+AX26+AX33+AX40+AX47+AX55+AX62+AX69</f>
        <v>235671.16585999998</v>
      </c>
      <c r="AZ76" s="157" t="s">
        <v>995</v>
      </c>
      <c r="BA76" s="159">
        <f>BA19+BA26+BA33+BA40+BA47+BA55+BA62+BA69</f>
        <v>5214872</v>
      </c>
      <c r="BB76" s="160"/>
      <c r="BC76" s="158">
        <f>BC19+BC26+BC33+BC40+BC47+BC55+BC62+BC69</f>
        <v>207989.95484800005</v>
      </c>
      <c r="BE76" s="157" t="s">
        <v>995</v>
      </c>
      <c r="BF76" s="159">
        <f>BF19+BF26+BF33+BF40+BF47+BF55+BF62+BF69</f>
        <v>5129857</v>
      </c>
      <c r="BG76" s="160"/>
      <c r="BH76" s="158">
        <f>BH19+BH26+BH33+BH40+BH47+BH55+BH62+BH69</f>
        <v>204599.21658800004</v>
      </c>
      <c r="BJ76" s="157" t="s">
        <v>995</v>
      </c>
      <c r="BK76" s="148">
        <f t="shared" si="12"/>
        <v>66882215</v>
      </c>
      <c r="BL76" s="216">
        <f t="shared" si="13"/>
        <v>2667530.2630600003</v>
      </c>
    </row>
    <row r="77" spans="1:65" customFormat="1" x14ac:dyDescent="0.25">
      <c r="A77" s="165"/>
      <c r="B77" s="157" t="s">
        <v>996</v>
      </c>
      <c r="C77" s="159">
        <f>C20+C27+C34+C41+C48+C56+C63+C70</f>
        <v>0</v>
      </c>
      <c r="D77" s="160"/>
      <c r="E77" s="158">
        <f>E20+E27+E34+E41+E48+E56+E63+E70</f>
        <v>0</v>
      </c>
      <c r="G77" s="157" t="s">
        <v>996</v>
      </c>
      <c r="H77" s="159">
        <f>H20+H27+H34+H41+H48+H56+H63+H70</f>
        <v>15771</v>
      </c>
      <c r="I77" s="160"/>
      <c r="J77" s="158">
        <f>J20+J27+J34+J41+J48+J56+J63+J70</f>
        <v>215.17952400000004</v>
      </c>
      <c r="L77" s="157" t="s">
        <v>996</v>
      </c>
      <c r="M77" s="159">
        <f>M20+M27+M34+M41+M48+M56+M63+M70</f>
        <v>16846</v>
      </c>
      <c r="N77" s="160"/>
      <c r="O77" s="158">
        <f>O20+O27+O34+O41+O48+O56+O63+O70</f>
        <v>229.84682400000005</v>
      </c>
      <c r="Q77" s="157" t="s">
        <v>996</v>
      </c>
      <c r="R77" s="159">
        <f>R20+R27+R34+R41+R48+R56+R63+R70</f>
        <v>16367</v>
      </c>
      <c r="S77" s="160"/>
      <c r="T77" s="158">
        <f>T20+T27+T34+T41+T48+T56+T63+T70</f>
        <v>223.31134800000007</v>
      </c>
      <c r="V77" s="157" t="s">
        <v>996</v>
      </c>
      <c r="W77" s="159">
        <f>W20+W27+W34+W41+W48+W56+W63+W70</f>
        <v>0</v>
      </c>
      <c r="X77" s="160"/>
      <c r="Y77" s="158">
        <f>Y20+Y27+Y34+Y41+Y48+Y56+Y63+Y70</f>
        <v>0</v>
      </c>
      <c r="AA77" s="157" t="s">
        <v>996</v>
      </c>
      <c r="AB77" s="159">
        <f>AB20+AB27+AB34+AB41+AB48+AB56+AB63+AB70</f>
        <v>0</v>
      </c>
      <c r="AC77" s="160"/>
      <c r="AD77" s="158">
        <f>AD20+AD27+AD34+AD41+AD48+AD56+AD63+AD70</f>
        <v>0</v>
      </c>
      <c r="AF77" s="157" t="s">
        <v>996</v>
      </c>
      <c r="AG77" s="159">
        <f>AG20+AG27+AG34+AG41+AG48+AG56+AG63+AG70</f>
        <v>0</v>
      </c>
      <c r="AH77" s="160"/>
      <c r="AI77" s="158">
        <f>AI20+AI27+AI34+AI41+AI48+AI56+AI63+AI70</f>
        <v>0</v>
      </c>
      <c r="AK77" s="157" t="s">
        <v>996</v>
      </c>
      <c r="AL77" s="159">
        <f>AL20+AL27+AL34+AL41+AL48+AL56+AL63+AL70</f>
        <v>0</v>
      </c>
      <c r="AM77" s="160"/>
      <c r="AN77" s="158">
        <f>AN20+AN27+AN34+AN41+AN48+AN56+AN63+AN70</f>
        <v>0</v>
      </c>
      <c r="AP77" s="157" t="s">
        <v>996</v>
      </c>
      <c r="AQ77" s="159">
        <f>AQ20+AQ27+AQ34+AQ41+AQ48+AQ56+AQ63+AQ70</f>
        <v>0</v>
      </c>
      <c r="AR77" s="160"/>
      <c r="AS77" s="158">
        <f>AS20+AS27+AS34+AS41+AS48+AS56+AS63+AS70</f>
        <v>0</v>
      </c>
      <c r="AU77" s="157" t="s">
        <v>996</v>
      </c>
      <c r="AV77" s="159">
        <f>AV20+AV27+AV34+AV41+AV48+AV56+AV63+AV70</f>
        <v>2483</v>
      </c>
      <c r="AW77" s="160"/>
      <c r="AX77" s="158">
        <f>AX20+AX27+AX34+AX41+AX48+AX56+AX63+AX70</f>
        <v>33.878052000000011</v>
      </c>
      <c r="AZ77" s="157" t="s">
        <v>996</v>
      </c>
      <c r="BA77" s="159">
        <f>BA20+BA27+BA34+BA41+BA48+BA56+BA63+BA70</f>
        <v>24195</v>
      </c>
      <c r="BB77" s="160"/>
      <c r="BC77" s="158">
        <f>BC20+BC27+BC34+BC41+BC48+BC56+BC63+BC70</f>
        <v>330.11658000000006</v>
      </c>
      <c r="BE77" s="157" t="s">
        <v>996</v>
      </c>
      <c r="BF77" s="159">
        <f>BF20+BF27+BF34+BF41+BF48+BF56+BF63+BF70</f>
        <v>43405</v>
      </c>
      <c r="BG77" s="160"/>
      <c r="BH77" s="158">
        <f>BH20+BH27+BH34+BH41+BH48+BH56+BH63+BH70</f>
        <v>592.21782000000019</v>
      </c>
      <c r="BJ77" s="157" t="s">
        <v>996</v>
      </c>
      <c r="BK77" s="148">
        <f t="shared" si="12"/>
        <v>119067</v>
      </c>
      <c r="BL77" s="217">
        <f t="shared" si="13"/>
        <v>1624.5501480000003</v>
      </c>
    </row>
    <row r="78" spans="1:65" customFormat="1" x14ac:dyDescent="0.25">
      <c r="A78" s="165"/>
      <c r="B78" s="157" t="s">
        <v>984</v>
      </c>
      <c r="C78" s="159"/>
      <c r="D78" s="160"/>
      <c r="E78" s="158">
        <f>E71+E64+E57+E49+E42+E35+E28+E21</f>
        <v>-19892.483919999999</v>
      </c>
      <c r="G78" s="157"/>
      <c r="H78" s="159"/>
      <c r="I78" s="160"/>
      <c r="J78" s="158"/>
      <c r="L78" s="157"/>
      <c r="M78" s="159"/>
      <c r="N78" s="160"/>
      <c r="O78" s="158"/>
      <c r="Q78" s="157"/>
      <c r="R78" s="159"/>
      <c r="S78" s="160"/>
      <c r="T78" s="158"/>
      <c r="V78" s="157"/>
      <c r="W78" s="159"/>
      <c r="X78" s="160"/>
      <c r="Y78" s="158"/>
      <c r="AA78" s="157"/>
      <c r="AB78" s="159"/>
      <c r="AC78" s="160"/>
      <c r="AD78" s="158"/>
      <c r="AF78" s="157"/>
      <c r="AG78" s="159"/>
      <c r="AH78" s="160"/>
      <c r="AI78" s="158"/>
      <c r="AK78" s="157"/>
      <c r="AL78" s="159"/>
      <c r="AM78" s="160"/>
      <c r="AN78" s="158"/>
      <c r="AP78" s="157"/>
      <c r="AQ78" s="159"/>
      <c r="AR78" s="160"/>
      <c r="AS78" s="158"/>
      <c r="AU78" s="157"/>
      <c r="AV78" s="159"/>
      <c r="AW78" s="160"/>
      <c r="AX78" s="158"/>
      <c r="AZ78" s="157"/>
      <c r="BA78" s="159"/>
      <c r="BB78" s="160"/>
      <c r="BC78" s="158"/>
      <c r="BE78" s="157"/>
      <c r="BF78" s="159"/>
      <c r="BG78" s="160"/>
      <c r="BH78" s="158"/>
      <c r="BJ78" s="157"/>
      <c r="BK78" s="148"/>
      <c r="BL78" s="216">
        <f>SUM(BL73:BL77)</f>
        <v>3673268.2932080003</v>
      </c>
    </row>
    <row r="79" spans="1:65" customFormat="1" x14ac:dyDescent="0.25">
      <c r="A79" s="165"/>
      <c r="B79" s="157"/>
      <c r="C79" s="159"/>
      <c r="D79" s="160"/>
      <c r="E79" s="150"/>
      <c r="G79" s="157"/>
      <c r="H79" s="159"/>
      <c r="I79" s="160"/>
      <c r="J79" s="150"/>
      <c r="L79" s="157"/>
      <c r="M79" s="159"/>
      <c r="N79" s="160"/>
      <c r="O79" s="150"/>
      <c r="Q79" s="157"/>
      <c r="R79" s="159"/>
      <c r="S79" s="160"/>
      <c r="T79" s="150"/>
      <c r="V79" s="157"/>
      <c r="W79" s="159"/>
      <c r="X79" s="160"/>
      <c r="Y79" s="150"/>
      <c r="AA79" s="157"/>
      <c r="AB79" s="159"/>
      <c r="AC79" s="160"/>
      <c r="AD79" s="150"/>
      <c r="AF79" s="157"/>
      <c r="AG79" s="159"/>
      <c r="AH79" s="160"/>
      <c r="AI79" s="150"/>
      <c r="AK79" s="157"/>
      <c r="AL79" s="159"/>
      <c r="AM79" s="160"/>
      <c r="AN79" s="150"/>
      <c r="AP79" s="157"/>
      <c r="AQ79" s="159"/>
      <c r="AR79" s="160"/>
      <c r="AS79" s="150"/>
      <c r="AU79" s="157"/>
      <c r="AV79" s="159"/>
      <c r="AW79" s="160"/>
      <c r="AX79" s="150"/>
      <c r="AZ79" s="157"/>
      <c r="BA79" s="159"/>
      <c r="BB79" s="160"/>
      <c r="BC79" s="150"/>
      <c r="BE79" s="157"/>
      <c r="BF79" s="159"/>
      <c r="BG79" s="160"/>
      <c r="BH79" s="150"/>
      <c r="BJ79" s="157"/>
      <c r="BK79" s="148"/>
      <c r="BL79" s="216"/>
    </row>
    <row r="80" spans="1:65" customFormat="1" x14ac:dyDescent="0.25">
      <c r="A80" s="2"/>
      <c r="B80" s="206" t="s">
        <v>994</v>
      </c>
      <c r="C80" s="159"/>
      <c r="D80" s="160"/>
      <c r="E80" s="150"/>
      <c r="G80" s="206" t="s">
        <v>994</v>
      </c>
      <c r="H80" s="159"/>
      <c r="I80" s="160"/>
      <c r="J80" s="150"/>
      <c r="L80" s="206" t="s">
        <v>994</v>
      </c>
      <c r="M80" s="159"/>
      <c r="N80" s="160"/>
      <c r="O80" s="150"/>
      <c r="Q80" s="206" t="s">
        <v>994</v>
      </c>
      <c r="R80" s="159"/>
      <c r="S80" s="160"/>
      <c r="T80" s="150"/>
      <c r="V80" s="206" t="s">
        <v>994</v>
      </c>
      <c r="W80" s="159"/>
      <c r="X80" s="160"/>
      <c r="Y80" s="150"/>
      <c r="AA80" s="206" t="s">
        <v>994</v>
      </c>
      <c r="AB80" s="159"/>
      <c r="AC80" s="160"/>
      <c r="AD80" s="150"/>
      <c r="AF80" s="206" t="s">
        <v>994</v>
      </c>
      <c r="AG80" s="159"/>
      <c r="AH80" s="160"/>
      <c r="AI80" s="150"/>
      <c r="AK80" s="206" t="s">
        <v>994</v>
      </c>
      <c r="AL80" s="159"/>
      <c r="AM80" s="160"/>
      <c r="AN80" s="150"/>
      <c r="AP80" s="206" t="s">
        <v>994</v>
      </c>
      <c r="AQ80" s="159"/>
      <c r="AR80" s="160"/>
      <c r="AS80" s="150"/>
      <c r="AU80" s="206" t="s">
        <v>994</v>
      </c>
      <c r="AV80" s="159"/>
      <c r="AW80" s="160"/>
      <c r="AX80" s="150"/>
      <c r="AZ80" s="206" t="s">
        <v>994</v>
      </c>
      <c r="BA80" s="159"/>
      <c r="BB80" s="160"/>
      <c r="BC80" s="150"/>
      <c r="BE80" s="206" t="s">
        <v>994</v>
      </c>
      <c r="BF80" s="159"/>
      <c r="BG80" s="160"/>
      <c r="BH80" s="150"/>
      <c r="BJ80" s="206" t="s">
        <v>994</v>
      </c>
      <c r="BK80" s="148"/>
      <c r="BL80" s="216"/>
    </row>
    <row r="81" spans="1:64" customFormat="1" x14ac:dyDescent="0.25">
      <c r="A81" s="8" t="s">
        <v>1039</v>
      </c>
      <c r="B81" s="206"/>
      <c r="C81" s="159"/>
      <c r="D81" s="160"/>
      <c r="E81" s="150"/>
      <c r="F81" s="8" t="s">
        <v>1039</v>
      </c>
      <c r="G81" s="206"/>
      <c r="H81" s="159"/>
      <c r="I81" s="160"/>
      <c r="J81" s="150"/>
      <c r="K81" s="8" t="s">
        <v>1039</v>
      </c>
      <c r="L81" s="206"/>
      <c r="M81" s="159"/>
      <c r="N81" s="160"/>
      <c r="O81" s="150"/>
      <c r="P81" s="8" t="s">
        <v>1039</v>
      </c>
      <c r="Q81" s="206"/>
      <c r="R81" s="159"/>
      <c r="S81" s="160"/>
      <c r="T81" s="150"/>
      <c r="U81" s="8" t="s">
        <v>1039</v>
      </c>
      <c r="V81" s="206"/>
      <c r="W81" s="159"/>
      <c r="X81" s="160"/>
      <c r="Y81" s="150"/>
      <c r="Z81" s="8" t="s">
        <v>1039</v>
      </c>
      <c r="AA81" s="206"/>
      <c r="AB81" s="159"/>
      <c r="AC81" s="160"/>
      <c r="AD81" s="150"/>
      <c r="AE81" s="8" t="s">
        <v>1039</v>
      </c>
      <c r="AF81" s="206"/>
      <c r="AG81" s="159"/>
      <c r="AH81" s="160"/>
      <c r="AI81" s="150"/>
      <c r="AJ81" s="8" t="s">
        <v>1039</v>
      </c>
      <c r="AK81" s="206"/>
      <c r="AL81" s="159"/>
      <c r="AM81" s="160"/>
      <c r="AN81" s="150"/>
      <c r="AO81" s="8" t="s">
        <v>1039</v>
      </c>
      <c r="AP81" s="206"/>
      <c r="AQ81" s="159"/>
      <c r="AR81" s="160"/>
      <c r="AS81" s="150"/>
      <c r="AT81" s="8" t="s">
        <v>1039</v>
      </c>
      <c r="AU81" s="206"/>
      <c r="AV81" s="159"/>
      <c r="AW81" s="160"/>
      <c r="AX81" s="150"/>
      <c r="AY81" s="8" t="s">
        <v>1039</v>
      </c>
      <c r="AZ81" s="206"/>
      <c r="BA81" s="159"/>
      <c r="BB81" s="160"/>
      <c r="BC81" s="150"/>
      <c r="BD81" s="8" t="s">
        <v>1039</v>
      </c>
      <c r="BE81" s="206"/>
      <c r="BF81" s="159"/>
      <c r="BG81" s="160"/>
      <c r="BH81" s="150"/>
      <c r="BI81" s="8" t="s">
        <v>1039</v>
      </c>
      <c r="BJ81" s="206"/>
      <c r="BK81" s="159"/>
      <c r="BL81" s="216"/>
    </row>
    <row r="82" spans="1:64" customFormat="1" x14ac:dyDescent="0.25">
      <c r="A82" s="2"/>
      <c r="B82" s="157" t="s">
        <v>12</v>
      </c>
      <c r="C82" s="159">
        <v>8073</v>
      </c>
      <c r="D82" s="158">
        <v>7.49</v>
      </c>
      <c r="E82" s="150">
        <f>C82*D82</f>
        <v>60466.770000000004</v>
      </c>
      <c r="F82" s="2"/>
      <c r="G82" s="157" t="s">
        <v>12</v>
      </c>
      <c r="H82" s="159">
        <v>8073</v>
      </c>
      <c r="I82" s="158">
        <v>7.49</v>
      </c>
      <c r="J82" s="150">
        <f>H82*I82</f>
        <v>60466.770000000004</v>
      </c>
      <c r="K82" s="2"/>
      <c r="L82" s="157" t="s">
        <v>12</v>
      </c>
      <c r="M82" s="159">
        <v>8073</v>
      </c>
      <c r="N82" s="158">
        <v>7.49</v>
      </c>
      <c r="O82" s="150">
        <f>M82*N82</f>
        <v>60466.770000000004</v>
      </c>
      <c r="P82" s="2"/>
      <c r="Q82" s="157" t="s">
        <v>12</v>
      </c>
      <c r="R82" s="159">
        <v>7906</v>
      </c>
      <c r="S82" s="158">
        <v>7.49</v>
      </c>
      <c r="T82" s="150">
        <f>R82*S82</f>
        <v>59215.94</v>
      </c>
      <c r="U82" s="2"/>
      <c r="V82" s="157" t="s">
        <v>12</v>
      </c>
      <c r="W82" s="159">
        <v>7906</v>
      </c>
      <c r="X82" s="158">
        <v>7.49</v>
      </c>
      <c r="Y82" s="150">
        <f>W82*X82</f>
        <v>59215.94</v>
      </c>
      <c r="Z82" s="2"/>
      <c r="AA82" s="157" t="s">
        <v>12</v>
      </c>
      <c r="AB82" s="159">
        <v>7906</v>
      </c>
      <c r="AC82" s="158">
        <v>7.49</v>
      </c>
      <c r="AD82" s="150">
        <f>AB82*AC82</f>
        <v>59215.94</v>
      </c>
      <c r="AE82" s="2"/>
      <c r="AF82" s="157" t="s">
        <v>12</v>
      </c>
      <c r="AG82" s="159">
        <v>7906</v>
      </c>
      <c r="AH82" s="158">
        <v>7.49</v>
      </c>
      <c r="AI82" s="150">
        <f>AG82*AH82</f>
        <v>59215.94</v>
      </c>
      <c r="AJ82" s="2"/>
      <c r="AK82" s="157" t="s">
        <v>12</v>
      </c>
      <c r="AL82" s="159">
        <v>7920</v>
      </c>
      <c r="AM82" s="158">
        <v>7.49</v>
      </c>
      <c r="AN82" s="150">
        <f>AL82*AM82</f>
        <v>59320.800000000003</v>
      </c>
      <c r="AO82" s="2"/>
      <c r="AP82" s="157" t="s">
        <v>12</v>
      </c>
      <c r="AQ82" s="159">
        <v>8073</v>
      </c>
      <c r="AR82" s="158">
        <v>7.49</v>
      </c>
      <c r="AS82" s="150">
        <f>AQ82*AR82</f>
        <v>60466.770000000004</v>
      </c>
      <c r="AT82" s="2"/>
      <c r="AU82" s="157" t="s">
        <v>12</v>
      </c>
      <c r="AV82" s="159">
        <v>8073</v>
      </c>
      <c r="AW82" s="158">
        <v>7.49</v>
      </c>
      <c r="AX82" s="150">
        <f>AV82*AW82</f>
        <v>60466.770000000004</v>
      </c>
      <c r="AY82" s="2"/>
      <c r="AZ82" s="157" t="s">
        <v>12</v>
      </c>
      <c r="BA82" s="159">
        <v>8073</v>
      </c>
      <c r="BB82" s="158">
        <v>7.49</v>
      </c>
      <c r="BC82" s="150">
        <f>BA82*BB82</f>
        <v>60466.770000000004</v>
      </c>
      <c r="BD82" s="2"/>
      <c r="BE82" s="157" t="s">
        <v>12</v>
      </c>
      <c r="BF82" s="159">
        <v>8073</v>
      </c>
      <c r="BG82" s="158">
        <v>7.49</v>
      </c>
      <c r="BH82" s="150">
        <f>BF82*BG82</f>
        <v>60466.770000000004</v>
      </c>
      <c r="BI82" s="2"/>
      <c r="BJ82" s="157" t="s">
        <v>12</v>
      </c>
      <c r="BK82" s="148">
        <f t="shared" ref="BK82:BK84" si="160">C82+H82+M82+R82+W82+AB82+AG82+AL82+AQ82+AV82+BA82+BF82</f>
        <v>96055</v>
      </c>
      <c r="BL82" s="216">
        <f t="shared" ref="BL82:BL85" si="161">E82+J82+O82+T82+Y82+AD82+AI82+AN82+AS82+AX82+BC82+BH82</f>
        <v>719451.95000000007</v>
      </c>
    </row>
    <row r="83" spans="1:64" customFormat="1" x14ac:dyDescent="0.25">
      <c r="A83" s="2"/>
      <c r="B83" s="157" t="s">
        <v>995</v>
      </c>
      <c r="C83" s="159">
        <v>2943032</v>
      </c>
      <c r="D83" s="160">
        <v>3.9884000000000003E-2</v>
      </c>
      <c r="E83" s="150">
        <f>C83*D83</f>
        <v>117379.888288</v>
      </c>
      <c r="F83" s="2"/>
      <c r="G83" s="157" t="s">
        <v>995</v>
      </c>
      <c r="H83" s="159">
        <v>2862999</v>
      </c>
      <c r="I83" s="160">
        <v>3.9884000000000003E-2</v>
      </c>
      <c r="J83" s="150">
        <f>H83*I83</f>
        <v>114187.85211600001</v>
      </c>
      <c r="K83" s="2"/>
      <c r="L83" s="157" t="s">
        <v>995</v>
      </c>
      <c r="M83" s="159">
        <v>2385085</v>
      </c>
      <c r="N83" s="160">
        <v>3.9884000000000003E-2</v>
      </c>
      <c r="O83" s="150">
        <f>M83*N83</f>
        <v>95126.73014</v>
      </c>
      <c r="P83" s="2"/>
      <c r="Q83" s="157" t="s">
        <v>995</v>
      </c>
      <c r="R83" s="159">
        <v>3339950</v>
      </c>
      <c r="S83" s="160">
        <v>3.9884000000000003E-2</v>
      </c>
      <c r="T83" s="150">
        <f>R83*S83</f>
        <v>133210.56580000001</v>
      </c>
      <c r="U83" s="2"/>
      <c r="V83" s="157" t="s">
        <v>995</v>
      </c>
      <c r="W83" s="159">
        <v>3792923</v>
      </c>
      <c r="X83" s="160">
        <v>3.9884000000000003E-2</v>
      </c>
      <c r="Y83" s="150">
        <f>W83*X83</f>
        <v>151276.940932</v>
      </c>
      <c r="Z83" s="2"/>
      <c r="AA83" s="157" t="s">
        <v>995</v>
      </c>
      <c r="AB83" s="159">
        <v>3864991</v>
      </c>
      <c r="AC83" s="160">
        <v>3.9884000000000003E-2</v>
      </c>
      <c r="AD83" s="150">
        <f>AB83*AC83</f>
        <v>154151.30104400002</v>
      </c>
      <c r="AE83" s="2"/>
      <c r="AF83" s="157" t="s">
        <v>995</v>
      </c>
      <c r="AG83" s="159">
        <v>3481550</v>
      </c>
      <c r="AH83" s="160">
        <v>3.9884000000000003E-2</v>
      </c>
      <c r="AI83" s="150">
        <f>AG83*AH83</f>
        <v>138858.14020000002</v>
      </c>
      <c r="AJ83" s="2"/>
      <c r="AK83" s="157" t="s">
        <v>995</v>
      </c>
      <c r="AL83" s="159">
        <v>3946565</v>
      </c>
      <c r="AM83" s="160">
        <v>3.9884000000000003E-2</v>
      </c>
      <c r="AN83" s="150">
        <f>AL83*AM83</f>
        <v>157404.79846000002</v>
      </c>
      <c r="AO83" s="2"/>
      <c r="AP83" s="157" t="s">
        <v>995</v>
      </c>
      <c r="AQ83" s="159">
        <v>3562852</v>
      </c>
      <c r="AR83" s="160">
        <v>3.9884000000000003E-2</v>
      </c>
      <c r="AS83" s="150">
        <f>AQ83*AR83</f>
        <v>142100.78916800002</v>
      </c>
      <c r="AT83" s="2"/>
      <c r="AU83" s="157" t="s">
        <v>995</v>
      </c>
      <c r="AV83" s="159">
        <v>3494736</v>
      </c>
      <c r="AW83" s="160">
        <v>3.9884000000000003E-2</v>
      </c>
      <c r="AX83" s="150">
        <f>AV83*AW83</f>
        <v>139384.050624</v>
      </c>
      <c r="AY83" s="2"/>
      <c r="AZ83" s="157" t="s">
        <v>995</v>
      </c>
      <c r="BA83" s="159">
        <v>2913052</v>
      </c>
      <c r="BB83" s="160">
        <v>3.9884000000000003E-2</v>
      </c>
      <c r="BC83" s="150">
        <f>BA83*BB83</f>
        <v>116184.165968</v>
      </c>
      <c r="BD83" s="2"/>
      <c r="BE83" s="157" t="s">
        <v>995</v>
      </c>
      <c r="BF83" s="159">
        <v>2417150</v>
      </c>
      <c r="BG83" s="160">
        <v>3.9884000000000003E-2</v>
      </c>
      <c r="BH83" s="150">
        <f>BF83*BG83</f>
        <v>96405.6106</v>
      </c>
      <c r="BI83" s="2"/>
      <c r="BJ83" s="157" t="s">
        <v>995</v>
      </c>
      <c r="BK83" s="148">
        <f t="shared" si="160"/>
        <v>39004885</v>
      </c>
      <c r="BL83" s="216">
        <f t="shared" si="161"/>
        <v>1555670.8333399999</v>
      </c>
    </row>
    <row r="84" spans="1:64" customFormat="1" x14ac:dyDescent="0.25">
      <c r="A84" s="2"/>
      <c r="B84" s="157" t="s">
        <v>996</v>
      </c>
      <c r="C84" s="159">
        <f>3229200-C83</f>
        <v>286168</v>
      </c>
      <c r="D84" s="160">
        <f>D83-0.02624</f>
        <v>1.3644000000000003E-2</v>
      </c>
      <c r="E84" s="150">
        <f>C84*D84</f>
        <v>3904.476192000001</v>
      </c>
      <c r="F84" s="2"/>
      <c r="G84" s="157" t="s">
        <v>996</v>
      </c>
      <c r="H84" s="159">
        <f>3229200-H83</f>
        <v>366201</v>
      </c>
      <c r="I84" s="160">
        <f>I83-0.02624</f>
        <v>1.3644000000000003E-2</v>
      </c>
      <c r="J84" s="150">
        <f>H84*I84</f>
        <v>4996.4464440000011</v>
      </c>
      <c r="K84" s="2"/>
      <c r="L84" s="157" t="s">
        <v>996</v>
      </c>
      <c r="M84" s="159">
        <f>3229200-M83</f>
        <v>844115</v>
      </c>
      <c r="N84" s="160">
        <f>N83-0.02624</f>
        <v>1.3644000000000003E-2</v>
      </c>
      <c r="O84" s="150">
        <f>M84*N84</f>
        <v>11517.105060000004</v>
      </c>
      <c r="P84" s="2"/>
      <c r="Q84" s="157" t="s">
        <v>996</v>
      </c>
      <c r="R84" s="159">
        <f>3339950-R83</f>
        <v>0</v>
      </c>
      <c r="S84" s="160">
        <f>S83-0.02624</f>
        <v>1.3644000000000003E-2</v>
      </c>
      <c r="T84" s="150">
        <f>R84*S84</f>
        <v>0</v>
      </c>
      <c r="U84" s="2"/>
      <c r="V84" s="157" t="s">
        <v>996</v>
      </c>
      <c r="W84" s="159">
        <f>3792923-W83</f>
        <v>0</v>
      </c>
      <c r="X84" s="160">
        <f>X83-0.02624</f>
        <v>1.3644000000000003E-2</v>
      </c>
      <c r="Y84" s="150">
        <f>W84*X84</f>
        <v>0</v>
      </c>
      <c r="Z84" s="2"/>
      <c r="AA84" s="157" t="s">
        <v>996</v>
      </c>
      <c r="AB84" s="159">
        <f>3864991-AB83</f>
        <v>0</v>
      </c>
      <c r="AC84" s="160">
        <f>AC83-0.02624</f>
        <v>1.3644000000000003E-2</v>
      </c>
      <c r="AD84" s="150">
        <f>AB84*AC84</f>
        <v>0</v>
      </c>
      <c r="AE84" s="2"/>
      <c r="AF84" s="157" t="s">
        <v>996</v>
      </c>
      <c r="AG84" s="159">
        <f>3481550-AG83</f>
        <v>0</v>
      </c>
      <c r="AH84" s="160">
        <f>AH83-0.02624</f>
        <v>1.3644000000000003E-2</v>
      </c>
      <c r="AI84" s="150">
        <f>AG84*AH84</f>
        <v>0</v>
      </c>
      <c r="AJ84" s="2"/>
      <c r="AK84" s="157" t="s">
        <v>996</v>
      </c>
      <c r="AL84" s="159">
        <f>3946565-AL83</f>
        <v>0</v>
      </c>
      <c r="AM84" s="160">
        <f>AM83-0.02624</f>
        <v>1.3644000000000003E-2</v>
      </c>
      <c r="AN84" s="150">
        <f>AL84*AM84</f>
        <v>0</v>
      </c>
      <c r="AO84" s="2"/>
      <c r="AP84" s="157" t="s">
        <v>996</v>
      </c>
      <c r="AQ84" s="159">
        <f>3562852-AQ83</f>
        <v>0</v>
      </c>
      <c r="AR84" s="160">
        <f>AR83-0.02624</f>
        <v>1.3644000000000003E-2</v>
      </c>
      <c r="AS84" s="150">
        <f>AQ84*AR84</f>
        <v>0</v>
      </c>
      <c r="AT84" s="2"/>
      <c r="AU84" s="157" t="s">
        <v>996</v>
      </c>
      <c r="AV84" s="159">
        <f>3494736-AV83</f>
        <v>0</v>
      </c>
      <c r="AW84" s="160">
        <f>AW83-0.02624</f>
        <v>1.3644000000000003E-2</v>
      </c>
      <c r="AX84" s="150">
        <f>AV84*AW84</f>
        <v>0</v>
      </c>
      <c r="AY84" s="2"/>
      <c r="AZ84" s="157" t="s">
        <v>996</v>
      </c>
      <c r="BA84" s="159">
        <f>3229200-BA83</f>
        <v>316148</v>
      </c>
      <c r="BB84" s="160">
        <f>BB83-0.02624</f>
        <v>1.3644000000000003E-2</v>
      </c>
      <c r="BC84" s="150">
        <f>BA84*BB84</f>
        <v>4313.5233120000012</v>
      </c>
      <c r="BD84" s="2"/>
      <c r="BE84" s="157" t="s">
        <v>996</v>
      </c>
      <c r="BF84" s="159">
        <f>3229200-BF83</f>
        <v>812050</v>
      </c>
      <c r="BG84" s="160">
        <f>BG83-0.02624</f>
        <v>1.3644000000000003E-2</v>
      </c>
      <c r="BH84" s="150">
        <f>BF84*BG84</f>
        <v>11079.610200000003</v>
      </c>
      <c r="BI84" s="2"/>
      <c r="BJ84" s="157" t="s">
        <v>996</v>
      </c>
      <c r="BK84" s="148">
        <f t="shared" si="160"/>
        <v>2624682</v>
      </c>
      <c r="BL84" s="216">
        <f t="shared" si="161"/>
        <v>35811.161208000005</v>
      </c>
    </row>
    <row r="85" spans="1:64" customFormat="1" x14ac:dyDescent="0.25">
      <c r="A85" s="2"/>
      <c r="B85" s="157" t="s">
        <v>984</v>
      </c>
      <c r="C85" s="159"/>
      <c r="D85" s="160"/>
      <c r="E85" s="150">
        <f>-15039+(0.00152*(C83+C84))</f>
        <v>-10130.616</v>
      </c>
      <c r="F85" s="2"/>
      <c r="G85" s="157" t="s">
        <v>984</v>
      </c>
      <c r="H85" s="159"/>
      <c r="I85" s="160"/>
      <c r="J85" s="150">
        <v>-18724</v>
      </c>
      <c r="K85" s="2"/>
      <c r="L85" s="157" t="s">
        <v>984</v>
      </c>
      <c r="M85" s="159"/>
      <c r="N85" s="160"/>
      <c r="O85" s="150">
        <v>-18628</v>
      </c>
      <c r="P85" s="2"/>
      <c r="Q85" s="157" t="s">
        <v>984</v>
      </c>
      <c r="R85" s="159"/>
      <c r="S85" s="160"/>
      <c r="T85" s="150">
        <f>-5578+(0.00152*(R83+R84))</f>
        <v>-501.27599999999984</v>
      </c>
      <c r="U85" s="2"/>
      <c r="V85" s="157" t="s">
        <v>984</v>
      </c>
      <c r="W85" s="159"/>
      <c r="X85" s="160"/>
      <c r="Y85" s="150">
        <f>-14261+(0.00152*(W83+W84))</f>
        <v>-8495.7570400000004</v>
      </c>
      <c r="Z85" s="2"/>
      <c r="AA85" s="157" t="s">
        <v>984</v>
      </c>
      <c r="AB85" s="159"/>
      <c r="AC85" s="160"/>
      <c r="AD85" s="150">
        <f>-13489+(0.00152*(AB83+AB84))</f>
        <v>-7614.2136799999998</v>
      </c>
      <c r="AE85" s="2"/>
      <c r="AF85" s="157" t="s">
        <v>984</v>
      </c>
      <c r="AG85" s="159"/>
      <c r="AH85" s="160"/>
      <c r="AI85" s="150">
        <f>-16816+(0.00152*(AG83+AG84))</f>
        <v>-11524.044</v>
      </c>
      <c r="AJ85" s="2"/>
      <c r="AK85" s="157" t="s">
        <v>984</v>
      </c>
      <c r="AL85" s="159"/>
      <c r="AM85" s="160"/>
      <c r="AN85" s="150">
        <f>-20641+(0.00152*(AL83+AL84))</f>
        <v>-14642.2212</v>
      </c>
      <c r="AO85" s="2"/>
      <c r="AP85" s="157" t="s">
        <v>984</v>
      </c>
      <c r="AQ85" s="159"/>
      <c r="AR85" s="160"/>
      <c r="AS85" s="150">
        <f>-21805+(0.00152*(AQ83+AQ84))</f>
        <v>-16389.464959999998</v>
      </c>
      <c r="AT85" s="2"/>
      <c r="AU85" s="157" t="s">
        <v>984</v>
      </c>
      <c r="AV85" s="159"/>
      <c r="AW85" s="160"/>
      <c r="AX85" s="150">
        <f>-19710+(0.00152*(AV83+AV84))</f>
        <v>-14398.00128</v>
      </c>
      <c r="AY85" s="2"/>
      <c r="AZ85" s="157" t="s">
        <v>984</v>
      </c>
      <c r="BA85" s="159"/>
      <c r="BB85" s="160"/>
      <c r="BC85" s="150">
        <f>-19197+(0.00152*(BA83+BA84))</f>
        <v>-14288.616</v>
      </c>
      <c r="BD85" s="2"/>
      <c r="BE85" s="157" t="s">
        <v>984</v>
      </c>
      <c r="BF85" s="159"/>
      <c r="BG85" s="160"/>
      <c r="BH85" s="150">
        <f>-2876+(0.00152*(BF83+BF84))</f>
        <v>2032.384</v>
      </c>
      <c r="BI85" s="2"/>
      <c r="BJ85" s="157" t="s">
        <v>984</v>
      </c>
      <c r="BK85" s="148"/>
      <c r="BL85" s="216">
        <f t="shared" si="161"/>
        <v>-133303.82616</v>
      </c>
    </row>
    <row r="86" spans="1:64" customFormat="1" x14ac:dyDescent="0.25">
      <c r="A86" s="2"/>
      <c r="B86" s="206"/>
      <c r="C86" s="159"/>
      <c r="D86" s="160"/>
      <c r="E86" s="150"/>
      <c r="F86" s="2"/>
      <c r="G86" s="206"/>
      <c r="H86" s="159"/>
      <c r="I86" s="160"/>
      <c r="J86" s="150"/>
      <c r="K86" s="2"/>
      <c r="L86" s="206"/>
      <c r="M86" s="159"/>
      <c r="N86" s="160"/>
      <c r="O86" s="150"/>
      <c r="P86" s="2"/>
      <c r="Q86" s="206"/>
      <c r="R86" s="159"/>
      <c r="S86" s="160"/>
      <c r="T86" s="150"/>
      <c r="U86" s="2"/>
      <c r="V86" s="206"/>
      <c r="W86" s="159"/>
      <c r="X86" s="160"/>
      <c r="Y86" s="150"/>
      <c r="Z86" s="2"/>
      <c r="AA86" s="206"/>
      <c r="AB86" s="159"/>
      <c r="AC86" s="160"/>
      <c r="AD86" s="150"/>
      <c r="AE86" s="2"/>
      <c r="AF86" s="206"/>
      <c r="AG86" s="159"/>
      <c r="AH86" s="160"/>
      <c r="AI86" s="150"/>
      <c r="AJ86" s="2"/>
      <c r="AK86" s="206"/>
      <c r="AL86" s="159"/>
      <c r="AM86" s="160"/>
      <c r="AN86" s="150"/>
      <c r="AO86" s="2"/>
      <c r="AP86" s="206"/>
      <c r="AQ86" s="159"/>
      <c r="AR86" s="160"/>
      <c r="AS86" s="150"/>
      <c r="AT86" s="2"/>
      <c r="AU86" s="206"/>
      <c r="AV86" s="159"/>
      <c r="AW86" s="160"/>
      <c r="AX86" s="150"/>
      <c r="AY86" s="2"/>
      <c r="AZ86" s="206"/>
      <c r="BA86" s="159"/>
      <c r="BB86" s="160"/>
      <c r="BC86" s="150"/>
      <c r="BD86" s="2"/>
      <c r="BE86" s="206"/>
      <c r="BF86" s="159"/>
      <c r="BG86" s="160"/>
      <c r="BH86" s="150"/>
      <c r="BI86" s="2"/>
      <c r="BJ86" s="206"/>
      <c r="BK86" s="159"/>
      <c r="BL86" s="216"/>
    </row>
    <row r="87" spans="1:64" customFormat="1" x14ac:dyDescent="0.25">
      <c r="A87" s="8" t="s">
        <v>1040</v>
      </c>
      <c r="B87" s="206"/>
      <c r="C87" s="159"/>
      <c r="D87" s="160"/>
      <c r="E87" s="150"/>
      <c r="F87" s="8" t="s">
        <v>1040</v>
      </c>
      <c r="G87" s="206"/>
      <c r="H87" s="159"/>
      <c r="I87" s="160"/>
      <c r="J87" s="150"/>
      <c r="K87" s="8" t="s">
        <v>1040</v>
      </c>
      <c r="L87" s="206"/>
      <c r="M87" s="159"/>
      <c r="N87" s="160"/>
      <c r="O87" s="150"/>
      <c r="P87" s="8" t="s">
        <v>1040</v>
      </c>
      <c r="Q87" s="206"/>
      <c r="R87" s="159"/>
      <c r="S87" s="160"/>
      <c r="T87" s="150"/>
      <c r="U87" s="8" t="s">
        <v>1040</v>
      </c>
      <c r="V87" s="206"/>
      <c r="W87" s="159"/>
      <c r="X87" s="160"/>
      <c r="Y87" s="150"/>
      <c r="Z87" s="8" t="s">
        <v>1040</v>
      </c>
      <c r="AA87" s="206"/>
      <c r="AB87" s="159"/>
      <c r="AC87" s="160"/>
      <c r="AD87" s="150"/>
      <c r="AE87" s="8" t="s">
        <v>1040</v>
      </c>
      <c r="AF87" s="206"/>
      <c r="AG87" s="159"/>
      <c r="AH87" s="160"/>
      <c r="AI87" s="150"/>
      <c r="AJ87" s="8" t="s">
        <v>1040</v>
      </c>
      <c r="AK87" s="206"/>
      <c r="AL87" s="159"/>
      <c r="AM87" s="160"/>
      <c r="AN87" s="150"/>
      <c r="AO87" s="8" t="s">
        <v>1040</v>
      </c>
      <c r="AP87" s="206"/>
      <c r="AQ87" s="159"/>
      <c r="AR87" s="160"/>
      <c r="AS87" s="150"/>
      <c r="AT87" s="8" t="s">
        <v>1040</v>
      </c>
      <c r="AU87" s="206"/>
      <c r="AV87" s="159"/>
      <c r="AW87" s="160"/>
      <c r="AX87" s="150"/>
      <c r="AY87" s="8" t="s">
        <v>1040</v>
      </c>
      <c r="AZ87" s="206"/>
      <c r="BA87" s="159"/>
      <c r="BB87" s="160"/>
      <c r="BC87" s="150"/>
      <c r="BD87" s="8" t="s">
        <v>1040</v>
      </c>
      <c r="BE87" s="206"/>
      <c r="BF87" s="159"/>
      <c r="BG87" s="160"/>
      <c r="BH87" s="150"/>
      <c r="BI87" s="8" t="s">
        <v>1040</v>
      </c>
      <c r="BJ87" s="206"/>
      <c r="BK87" s="159"/>
      <c r="BL87" s="216"/>
    </row>
    <row r="88" spans="1:64" customFormat="1" x14ac:dyDescent="0.25">
      <c r="A88" s="2"/>
      <c r="B88" s="157" t="s">
        <v>12</v>
      </c>
      <c r="C88" s="159">
        <v>2300</v>
      </c>
      <c r="D88" s="158">
        <v>7.49</v>
      </c>
      <c r="E88" s="150">
        <f>C88*D88</f>
        <v>17227</v>
      </c>
      <c r="F88" s="2"/>
      <c r="G88" s="157" t="s">
        <v>12</v>
      </c>
      <c r="H88" s="159">
        <v>2300</v>
      </c>
      <c r="I88" s="158">
        <v>7.49</v>
      </c>
      <c r="J88" s="150">
        <f>H88*I88</f>
        <v>17227</v>
      </c>
      <c r="K88" s="2"/>
      <c r="L88" s="157" t="s">
        <v>12</v>
      </c>
      <c r="M88" s="159">
        <v>2300</v>
      </c>
      <c r="N88" s="158">
        <v>7.49</v>
      </c>
      <c r="O88" s="150">
        <f>M88*N88</f>
        <v>17227</v>
      </c>
      <c r="P88" s="2"/>
      <c r="Q88" s="157" t="s">
        <v>12</v>
      </c>
      <c r="R88" s="159">
        <v>2300</v>
      </c>
      <c r="S88" s="158">
        <v>7.49</v>
      </c>
      <c r="T88" s="150">
        <f>R88*S88</f>
        <v>17227</v>
      </c>
      <c r="U88" s="2"/>
      <c r="V88" s="157" t="s">
        <v>12</v>
      </c>
      <c r="W88" s="159">
        <v>2300</v>
      </c>
      <c r="X88" s="158">
        <v>7.49</v>
      </c>
      <c r="Y88" s="150">
        <f>W88*X88</f>
        <v>17227</v>
      </c>
      <c r="Z88" s="2"/>
      <c r="AA88" s="157" t="s">
        <v>12</v>
      </c>
      <c r="AB88" s="159">
        <v>2300</v>
      </c>
      <c r="AC88" s="158">
        <v>7.49</v>
      </c>
      <c r="AD88" s="150">
        <f>AB88*AC88</f>
        <v>17227</v>
      </c>
      <c r="AE88" s="2"/>
      <c r="AF88" s="157" t="s">
        <v>12</v>
      </c>
      <c r="AG88" s="159">
        <v>2300</v>
      </c>
      <c r="AH88" s="158">
        <v>7.49</v>
      </c>
      <c r="AI88" s="150">
        <f>AG88*AH88</f>
        <v>17227</v>
      </c>
      <c r="AJ88" s="2"/>
      <c r="AK88" s="157" t="s">
        <v>12</v>
      </c>
      <c r="AL88" s="159">
        <v>2300</v>
      </c>
      <c r="AM88" s="158">
        <v>7.49</v>
      </c>
      <c r="AN88" s="150">
        <f>AL88*AM88</f>
        <v>17227</v>
      </c>
      <c r="AO88" s="2"/>
      <c r="AP88" s="157" t="s">
        <v>12</v>
      </c>
      <c r="AQ88" s="159">
        <v>2300</v>
      </c>
      <c r="AR88" s="158">
        <v>7.49</v>
      </c>
      <c r="AS88" s="150">
        <f>AQ88*AR88</f>
        <v>17227</v>
      </c>
      <c r="AT88" s="2"/>
      <c r="AU88" s="157" t="s">
        <v>12</v>
      </c>
      <c r="AV88" s="159">
        <v>2300</v>
      </c>
      <c r="AW88" s="158">
        <v>7.49</v>
      </c>
      <c r="AX88" s="150">
        <f>AV88*AW88</f>
        <v>17227</v>
      </c>
      <c r="AY88" s="2"/>
      <c r="AZ88" s="157" t="s">
        <v>12</v>
      </c>
      <c r="BA88" s="159">
        <v>2300</v>
      </c>
      <c r="BB88" s="158">
        <v>7.49</v>
      </c>
      <c r="BC88" s="150">
        <f>BA88*BB88</f>
        <v>17227</v>
      </c>
      <c r="BD88" s="2"/>
      <c r="BE88" s="157" t="s">
        <v>12</v>
      </c>
      <c r="BF88" s="159">
        <v>2300</v>
      </c>
      <c r="BG88" s="158">
        <v>7.49</v>
      </c>
      <c r="BH88" s="150">
        <f>BF88*BG88</f>
        <v>17227</v>
      </c>
      <c r="BI88" s="2"/>
      <c r="BJ88" s="157" t="s">
        <v>12</v>
      </c>
      <c r="BK88" s="148">
        <f t="shared" ref="BK88:BK90" si="162">C88+H88+M88+R88+W88+AB88+AG88+AL88+AQ88+AV88+BA88+BF88</f>
        <v>27600</v>
      </c>
      <c r="BL88" s="216">
        <f t="shared" ref="BL88:BL91" si="163">E88+J88+O88+T88+Y88+AD88+AI88+AN88+AS88+AX88+BC88+BH88</f>
        <v>206724</v>
      </c>
    </row>
    <row r="89" spans="1:64" customFormat="1" x14ac:dyDescent="0.25">
      <c r="A89" s="2"/>
      <c r="B89" s="157" t="s">
        <v>995</v>
      </c>
      <c r="C89" s="159">
        <v>769894</v>
      </c>
      <c r="D89" s="160">
        <v>3.9884000000000003E-2</v>
      </c>
      <c r="E89" s="150">
        <f>C89*D89</f>
        <v>30706.452296000003</v>
      </c>
      <c r="F89" s="2"/>
      <c r="G89" s="157" t="s">
        <v>995</v>
      </c>
      <c r="H89" s="159">
        <v>718579</v>
      </c>
      <c r="I89" s="160">
        <v>3.9884000000000003E-2</v>
      </c>
      <c r="J89" s="150">
        <f>H89*I89</f>
        <v>28659.804836000003</v>
      </c>
      <c r="K89" s="2"/>
      <c r="L89" s="157" t="s">
        <v>995</v>
      </c>
      <c r="M89" s="159">
        <v>748294</v>
      </c>
      <c r="N89" s="160">
        <v>3.9884000000000003E-2</v>
      </c>
      <c r="O89" s="150">
        <f>M89*N89</f>
        <v>29844.957896000004</v>
      </c>
      <c r="P89" s="2"/>
      <c r="Q89" s="157" t="s">
        <v>995</v>
      </c>
      <c r="R89" s="159">
        <v>874429</v>
      </c>
      <c r="S89" s="160">
        <v>3.9884000000000003E-2</v>
      </c>
      <c r="T89" s="150">
        <f>R89*S89</f>
        <v>34875.726236000002</v>
      </c>
      <c r="U89" s="2"/>
      <c r="V89" s="157" t="s">
        <v>995</v>
      </c>
      <c r="W89" s="159">
        <v>1006488</v>
      </c>
      <c r="X89" s="160">
        <v>3.9884000000000003E-2</v>
      </c>
      <c r="Y89" s="150">
        <f>W89*X89</f>
        <v>40142.767392000002</v>
      </c>
      <c r="Z89" s="2"/>
      <c r="AA89" s="157" t="s">
        <v>995</v>
      </c>
      <c r="AB89" s="159">
        <v>1034805</v>
      </c>
      <c r="AC89" s="160">
        <v>3.9884000000000003E-2</v>
      </c>
      <c r="AD89" s="150">
        <f>AB89*AC89</f>
        <v>41272.162620000003</v>
      </c>
      <c r="AE89" s="2"/>
      <c r="AF89" s="157" t="s">
        <v>995</v>
      </c>
      <c r="AG89" s="159">
        <v>1161992</v>
      </c>
      <c r="AH89" s="160">
        <v>3.9884000000000003E-2</v>
      </c>
      <c r="AI89" s="150">
        <f>AG89*AH89</f>
        <v>46344.888928</v>
      </c>
      <c r="AJ89" s="2"/>
      <c r="AK89" s="157" t="s">
        <v>995</v>
      </c>
      <c r="AL89" s="159">
        <v>1135617</v>
      </c>
      <c r="AM89" s="160">
        <v>3.9884000000000003E-2</v>
      </c>
      <c r="AN89" s="150">
        <f>AL89*AM89</f>
        <v>45292.948428000003</v>
      </c>
      <c r="AO89" s="2"/>
      <c r="AP89" s="157" t="s">
        <v>995</v>
      </c>
      <c r="AQ89" s="159">
        <v>1078331</v>
      </c>
      <c r="AR89" s="160">
        <v>3.9884000000000003E-2</v>
      </c>
      <c r="AS89" s="150">
        <f>AQ89*AR89</f>
        <v>43008.153604000006</v>
      </c>
      <c r="AT89" s="2"/>
      <c r="AU89" s="157" t="s">
        <v>995</v>
      </c>
      <c r="AV89" s="159">
        <v>890997</v>
      </c>
      <c r="AW89" s="160">
        <v>3.9884000000000003E-2</v>
      </c>
      <c r="AX89" s="150">
        <f>AV89*AW89</f>
        <v>35536.524347999999</v>
      </c>
      <c r="AY89" s="2"/>
      <c r="AZ89" s="157" t="s">
        <v>995</v>
      </c>
      <c r="BA89" s="159">
        <v>757091</v>
      </c>
      <c r="BB89" s="160">
        <v>3.9884000000000003E-2</v>
      </c>
      <c r="BC89" s="150">
        <f>BA89*BB89</f>
        <v>30195.817444000004</v>
      </c>
      <c r="BD89" s="2"/>
      <c r="BE89" s="157" t="s">
        <v>995</v>
      </c>
      <c r="BF89" s="159">
        <v>738679</v>
      </c>
      <c r="BG89" s="160">
        <v>3.9884000000000003E-2</v>
      </c>
      <c r="BH89" s="150">
        <f>BF89*BG89</f>
        <v>29461.473236000002</v>
      </c>
      <c r="BI89" s="2"/>
      <c r="BJ89" s="157" t="s">
        <v>995</v>
      </c>
      <c r="BK89" s="148">
        <f t="shared" si="162"/>
        <v>10915196</v>
      </c>
      <c r="BL89" s="216">
        <f t="shared" si="163"/>
        <v>435341.677264</v>
      </c>
    </row>
    <row r="90" spans="1:64" customFormat="1" x14ac:dyDescent="0.25">
      <c r="A90" s="2"/>
      <c r="B90" s="157" t="s">
        <v>996</v>
      </c>
      <c r="C90" s="159">
        <f>920000-C89</f>
        <v>150106</v>
      </c>
      <c r="D90" s="160">
        <f>D89-0.02624</f>
        <v>1.3644000000000003E-2</v>
      </c>
      <c r="E90" s="150">
        <f>C90*D90</f>
        <v>2048.0462640000005</v>
      </c>
      <c r="F90" s="2"/>
      <c r="G90" s="157" t="s">
        <v>996</v>
      </c>
      <c r="H90" s="159">
        <f>920000-H89</f>
        <v>201421</v>
      </c>
      <c r="I90" s="160">
        <f>I89-0.02624</f>
        <v>1.3644000000000003E-2</v>
      </c>
      <c r="J90" s="150">
        <f>H90*I90</f>
        <v>2748.1881240000007</v>
      </c>
      <c r="K90" s="2"/>
      <c r="L90" s="157" t="s">
        <v>996</v>
      </c>
      <c r="M90" s="159">
        <f>920000-M89</f>
        <v>171706</v>
      </c>
      <c r="N90" s="160">
        <f>N89-0.02624</f>
        <v>1.3644000000000003E-2</v>
      </c>
      <c r="O90" s="150">
        <f>M90*N90</f>
        <v>2342.7566640000005</v>
      </c>
      <c r="P90" s="2"/>
      <c r="Q90" s="157" t="s">
        <v>996</v>
      </c>
      <c r="R90" s="159">
        <f>920000-R89</f>
        <v>45571</v>
      </c>
      <c r="S90" s="160">
        <f>S89-0.02624</f>
        <v>1.3644000000000003E-2</v>
      </c>
      <c r="T90" s="150">
        <f>R90*S90</f>
        <v>621.7707240000002</v>
      </c>
      <c r="U90" s="2"/>
      <c r="V90" s="157" t="s">
        <v>996</v>
      </c>
      <c r="W90" s="159">
        <f>1006488-W89</f>
        <v>0</v>
      </c>
      <c r="X90" s="160">
        <f>X89-0.02624</f>
        <v>1.3644000000000003E-2</v>
      </c>
      <c r="Y90" s="150">
        <f>W90*X90</f>
        <v>0</v>
      </c>
      <c r="Z90" s="2"/>
      <c r="AA90" s="157" t="s">
        <v>996</v>
      </c>
      <c r="AB90" s="159">
        <f>1034805-AB89</f>
        <v>0</v>
      </c>
      <c r="AC90" s="160">
        <f>AC89-0.02624</f>
        <v>1.3644000000000003E-2</v>
      </c>
      <c r="AD90" s="150">
        <f>AB90*AC90</f>
        <v>0</v>
      </c>
      <c r="AE90" s="2"/>
      <c r="AF90" s="157" t="s">
        <v>996</v>
      </c>
      <c r="AG90" s="159">
        <f>1161992-AG89</f>
        <v>0</v>
      </c>
      <c r="AH90" s="160">
        <f>AH89-0.02624</f>
        <v>1.3644000000000003E-2</v>
      </c>
      <c r="AI90" s="150">
        <f>AG90*AH90</f>
        <v>0</v>
      </c>
      <c r="AJ90" s="2"/>
      <c r="AK90" s="157" t="s">
        <v>996</v>
      </c>
      <c r="AL90" s="159">
        <f>1135617-AL89</f>
        <v>0</v>
      </c>
      <c r="AM90" s="160">
        <f>AM89-0.02624</f>
        <v>1.3644000000000003E-2</v>
      </c>
      <c r="AN90" s="150">
        <f>AL90*AM90</f>
        <v>0</v>
      </c>
      <c r="AO90" s="2"/>
      <c r="AP90" s="157" t="s">
        <v>996</v>
      </c>
      <c r="AQ90" s="159">
        <f>1078331-AQ89</f>
        <v>0</v>
      </c>
      <c r="AR90" s="160">
        <f>AR89-0.02624</f>
        <v>1.3644000000000003E-2</v>
      </c>
      <c r="AS90" s="150">
        <f>AQ90*AR90</f>
        <v>0</v>
      </c>
      <c r="AT90" s="2"/>
      <c r="AU90" s="157" t="s">
        <v>996</v>
      </c>
      <c r="AV90" s="159">
        <f>920000-AV89</f>
        <v>29003</v>
      </c>
      <c r="AW90" s="160">
        <f>AW89-0.02624</f>
        <v>1.3644000000000003E-2</v>
      </c>
      <c r="AX90" s="150">
        <f>AV90*AW90</f>
        <v>395.7169320000001</v>
      </c>
      <c r="AY90" s="2"/>
      <c r="AZ90" s="157" t="s">
        <v>996</v>
      </c>
      <c r="BA90" s="159">
        <f>920000-BA89</f>
        <v>162909</v>
      </c>
      <c r="BB90" s="160">
        <f>BB89-0.02624</f>
        <v>1.3644000000000003E-2</v>
      </c>
      <c r="BC90" s="150">
        <f>BA90*BB90</f>
        <v>2222.7303960000004</v>
      </c>
      <c r="BD90" s="2"/>
      <c r="BE90" s="157" t="s">
        <v>996</v>
      </c>
      <c r="BF90" s="159">
        <f>920000-BF89</f>
        <v>181321</v>
      </c>
      <c r="BG90" s="160">
        <f>BG89-0.02624</f>
        <v>1.3644000000000003E-2</v>
      </c>
      <c r="BH90" s="150">
        <f>BF90*BG90</f>
        <v>2473.9437240000007</v>
      </c>
      <c r="BI90" s="2"/>
      <c r="BJ90" s="157" t="s">
        <v>996</v>
      </c>
      <c r="BK90" s="148">
        <f t="shared" si="162"/>
        <v>942037</v>
      </c>
      <c r="BL90" s="216">
        <f t="shared" si="163"/>
        <v>12853.152828000002</v>
      </c>
    </row>
    <row r="91" spans="1:64" customFormat="1" x14ac:dyDescent="0.25">
      <c r="A91" s="2"/>
      <c r="B91" s="157" t="s">
        <v>984</v>
      </c>
      <c r="C91" s="159"/>
      <c r="D91" s="160"/>
      <c r="E91" s="150">
        <f>-3934+(0.00152*(C89+C90))</f>
        <v>-2535.6</v>
      </c>
      <c r="F91" s="2"/>
      <c r="G91" s="157" t="s">
        <v>984</v>
      </c>
      <c r="H91" s="159"/>
      <c r="I91" s="160"/>
      <c r="J91" s="150">
        <v>-4700</v>
      </c>
      <c r="K91" s="2"/>
      <c r="L91" s="157" t="s">
        <v>984</v>
      </c>
      <c r="M91" s="159"/>
      <c r="N91" s="160"/>
      <c r="O91" s="150">
        <v>-5844</v>
      </c>
      <c r="P91" s="2"/>
      <c r="Q91" s="157" t="s">
        <v>984</v>
      </c>
      <c r="R91" s="159"/>
      <c r="S91" s="160"/>
      <c r="T91" s="150">
        <f>-1460+(0.00152*(R90+R89))</f>
        <v>-61.599999999999909</v>
      </c>
      <c r="U91" s="2"/>
      <c r="V91" s="157" t="s">
        <v>984</v>
      </c>
      <c r="W91" s="159"/>
      <c r="X91" s="160"/>
      <c r="Y91" s="150">
        <f>-3784+(0.00152*(W89+W90))</f>
        <v>-2254.1382400000002</v>
      </c>
      <c r="Z91" s="2"/>
      <c r="AA91" s="157" t="s">
        <v>984</v>
      </c>
      <c r="AB91" s="159"/>
      <c r="AC91" s="160"/>
      <c r="AD91" s="150">
        <f>-3611+(0.00152*(AB89+AB90))</f>
        <v>-2038.0963999999999</v>
      </c>
      <c r="AE91" s="2"/>
      <c r="AF91" s="157" t="s">
        <v>984</v>
      </c>
      <c r="AG91" s="159"/>
      <c r="AH91" s="160"/>
      <c r="AI91" s="150">
        <f>-5612+(0.00152*(AG89+AG90))</f>
        <v>-3845.77216</v>
      </c>
      <c r="AJ91" s="2"/>
      <c r="AK91" s="157" t="s">
        <v>984</v>
      </c>
      <c r="AL91" s="159"/>
      <c r="AM91" s="160"/>
      <c r="AN91" s="150">
        <f>-5939+(0.00152*(AL89+AL90))</f>
        <v>-4212.8621599999997</v>
      </c>
      <c r="AO91" s="2"/>
      <c r="AP91" s="157" t="s">
        <v>984</v>
      </c>
      <c r="AQ91" s="159"/>
      <c r="AR91" s="160"/>
      <c r="AS91" s="150">
        <f>-6599+(0.00152*(AQ89+AQ90))</f>
        <v>-4959.9368800000002</v>
      </c>
      <c r="AT91" s="2"/>
      <c r="AU91" s="157" t="s">
        <v>984</v>
      </c>
      <c r="AV91" s="159"/>
      <c r="AW91" s="160"/>
      <c r="AX91" s="150">
        <f>-5025+(0.00152*(AV89+AV90))</f>
        <v>-3626.6</v>
      </c>
      <c r="AY91" s="2"/>
      <c r="AZ91" s="157" t="s">
        <v>984</v>
      </c>
      <c r="BA91" s="159"/>
      <c r="BB91" s="160"/>
      <c r="BC91" s="150">
        <f>-4989+(0.00152*(BA89+BA90))</f>
        <v>-3590.6</v>
      </c>
      <c r="BD91" s="2"/>
      <c r="BE91" s="157" t="s">
        <v>984</v>
      </c>
      <c r="BF91" s="159"/>
      <c r="BG91" s="160"/>
      <c r="BH91" s="150">
        <f>-879+(0.00152*(BF89+BF90))</f>
        <v>519.40000000000009</v>
      </c>
      <c r="BI91" s="2"/>
      <c r="BJ91" s="157" t="s">
        <v>984</v>
      </c>
      <c r="BK91" s="148"/>
      <c r="BL91" s="216">
        <f t="shared" si="163"/>
        <v>-37149.805840000001</v>
      </c>
    </row>
    <row r="92" spans="1:64" customFormat="1" x14ac:dyDescent="0.25">
      <c r="A92" s="2"/>
      <c r="B92" s="206"/>
      <c r="C92" s="159"/>
      <c r="D92" s="160"/>
      <c r="E92" s="150"/>
      <c r="F92" s="2"/>
      <c r="G92" s="206"/>
      <c r="H92" s="159"/>
      <c r="I92" s="160"/>
      <c r="J92" s="150"/>
      <c r="K92" s="2"/>
      <c r="L92" s="206"/>
      <c r="M92" s="159"/>
      <c r="N92" s="160"/>
      <c r="O92" s="150"/>
      <c r="P92" s="2"/>
      <c r="Q92" s="206"/>
      <c r="R92" s="159"/>
      <c r="S92" s="160"/>
      <c r="T92" s="150"/>
      <c r="U92" s="2"/>
      <c r="V92" s="206"/>
      <c r="W92" s="159"/>
      <c r="X92" s="160"/>
      <c r="Y92" s="150"/>
      <c r="Z92" s="2"/>
      <c r="AA92" s="206"/>
      <c r="AB92" s="159"/>
      <c r="AC92" s="160"/>
      <c r="AD92" s="150"/>
      <c r="AE92" s="2"/>
      <c r="AF92" s="206"/>
      <c r="AG92" s="159"/>
      <c r="AH92" s="160"/>
      <c r="AI92" s="150"/>
      <c r="AJ92" s="2"/>
      <c r="AK92" s="206"/>
      <c r="AL92" s="159"/>
      <c r="AM92" s="160"/>
      <c r="AN92" s="150"/>
      <c r="AO92" s="2"/>
      <c r="AP92" s="206"/>
      <c r="AQ92" s="159"/>
      <c r="AR92" s="160"/>
      <c r="AS92" s="150"/>
      <c r="AT92" s="2"/>
      <c r="AU92" s="206"/>
      <c r="AV92" s="159"/>
      <c r="AW92" s="160"/>
      <c r="AX92" s="150"/>
      <c r="AY92" s="2"/>
      <c r="AZ92" s="206"/>
      <c r="BA92" s="159"/>
      <c r="BB92" s="160"/>
      <c r="BC92" s="150"/>
      <c r="BD92" s="2"/>
      <c r="BE92" s="206"/>
      <c r="BF92" s="159"/>
      <c r="BG92" s="160"/>
      <c r="BH92" s="150"/>
      <c r="BI92" s="2"/>
      <c r="BJ92" s="206"/>
      <c r="BK92" s="159"/>
      <c r="BL92" s="216"/>
    </row>
    <row r="93" spans="1:64" customFormat="1" x14ac:dyDescent="0.25">
      <c r="A93" s="8" t="s">
        <v>1041</v>
      </c>
      <c r="B93" s="206"/>
      <c r="C93" s="159"/>
      <c r="D93" s="160"/>
      <c r="E93" s="150"/>
      <c r="F93" s="8" t="s">
        <v>1041</v>
      </c>
      <c r="G93" s="206"/>
      <c r="H93" s="159"/>
      <c r="I93" s="160"/>
      <c r="J93" s="150"/>
      <c r="K93" s="8" t="s">
        <v>1041</v>
      </c>
      <c r="L93" s="206"/>
      <c r="M93" s="159"/>
      <c r="N93" s="160"/>
      <c r="O93" s="150"/>
      <c r="P93" s="8" t="s">
        <v>1041</v>
      </c>
      <c r="Q93" s="206"/>
      <c r="R93" s="159"/>
      <c r="S93" s="160"/>
      <c r="T93" s="150"/>
      <c r="U93" s="8" t="s">
        <v>1041</v>
      </c>
      <c r="V93" s="206"/>
      <c r="W93" s="159"/>
      <c r="X93" s="160"/>
      <c r="Y93" s="150"/>
      <c r="Z93" s="8" t="s">
        <v>1041</v>
      </c>
      <c r="AA93" s="206"/>
      <c r="AB93" s="159"/>
      <c r="AC93" s="160"/>
      <c r="AD93" s="150"/>
      <c r="AE93" s="8" t="s">
        <v>1041</v>
      </c>
      <c r="AF93" s="206"/>
      <c r="AG93" s="159"/>
      <c r="AH93" s="160"/>
      <c r="AI93" s="150"/>
      <c r="AJ93" s="8" t="s">
        <v>1041</v>
      </c>
      <c r="AK93" s="206"/>
      <c r="AL93" s="159"/>
      <c r="AM93" s="160"/>
      <c r="AN93" s="150"/>
      <c r="AO93" s="8" t="s">
        <v>1041</v>
      </c>
      <c r="AP93" s="206"/>
      <c r="AQ93" s="159"/>
      <c r="AR93" s="160"/>
      <c r="AS93" s="150"/>
      <c r="AT93" s="8" t="s">
        <v>1041</v>
      </c>
      <c r="AU93" s="206"/>
      <c r="AV93" s="159"/>
      <c r="AW93" s="160"/>
      <c r="AX93" s="150"/>
      <c r="AY93" s="8" t="s">
        <v>1041</v>
      </c>
      <c r="AZ93" s="206"/>
      <c r="BA93" s="159"/>
      <c r="BB93" s="160"/>
      <c r="BC93" s="150"/>
      <c r="BD93" s="8" t="s">
        <v>1041</v>
      </c>
      <c r="BE93" s="206"/>
      <c r="BF93" s="159"/>
      <c r="BG93" s="160"/>
      <c r="BH93" s="150"/>
      <c r="BI93" s="8" t="s">
        <v>1041</v>
      </c>
      <c r="BJ93" s="206"/>
      <c r="BK93" s="159"/>
      <c r="BL93" s="216"/>
    </row>
    <row r="94" spans="1:64" customFormat="1" x14ac:dyDescent="0.25">
      <c r="A94" s="2"/>
      <c r="B94" s="157" t="s">
        <v>12</v>
      </c>
      <c r="C94" s="159">
        <v>6183</v>
      </c>
      <c r="D94" s="158">
        <v>7.49</v>
      </c>
      <c r="E94" s="150">
        <f>C94*D94</f>
        <v>46310.67</v>
      </c>
      <c r="F94" s="2"/>
      <c r="G94" s="157" t="s">
        <v>12</v>
      </c>
      <c r="H94" s="159">
        <v>6183</v>
      </c>
      <c r="I94" s="158">
        <v>7.49</v>
      </c>
      <c r="J94" s="150">
        <f>H94*I94</f>
        <v>46310.67</v>
      </c>
      <c r="K94" s="2"/>
      <c r="L94" s="157" t="s">
        <v>12</v>
      </c>
      <c r="M94" s="159">
        <v>6183</v>
      </c>
      <c r="N94" s="158">
        <v>7.49</v>
      </c>
      <c r="O94" s="150">
        <f>M94*N94</f>
        <v>46310.67</v>
      </c>
      <c r="P94" s="2"/>
      <c r="Q94" s="157" t="s">
        <v>12</v>
      </c>
      <c r="R94" s="159">
        <v>6460</v>
      </c>
      <c r="S94" s="158">
        <v>7.49</v>
      </c>
      <c r="T94" s="150">
        <f>R94*S94</f>
        <v>48385.4</v>
      </c>
      <c r="U94" s="2"/>
      <c r="V94" s="157" t="s">
        <v>12</v>
      </c>
      <c r="W94" s="159">
        <v>6460</v>
      </c>
      <c r="X94" s="158">
        <v>7.49</v>
      </c>
      <c r="Y94" s="150">
        <f>W94*X94</f>
        <v>48385.4</v>
      </c>
      <c r="Z94" s="2"/>
      <c r="AA94" s="157" t="s">
        <v>12</v>
      </c>
      <c r="AB94" s="159">
        <v>6460</v>
      </c>
      <c r="AC94" s="158">
        <v>7.49</v>
      </c>
      <c r="AD94" s="150">
        <f>AB94*AC94</f>
        <v>48385.4</v>
      </c>
      <c r="AE94" s="2"/>
      <c r="AF94" s="157" t="s">
        <v>12</v>
      </c>
      <c r="AG94" s="159">
        <v>5897</v>
      </c>
      <c r="AH94" s="158">
        <v>7.49</v>
      </c>
      <c r="AI94" s="150">
        <f>AG94*AH94</f>
        <v>44168.53</v>
      </c>
      <c r="AJ94" s="2"/>
      <c r="AK94" s="157" t="s">
        <v>12</v>
      </c>
      <c r="AL94" s="159">
        <v>5897</v>
      </c>
      <c r="AM94" s="158">
        <v>7.49</v>
      </c>
      <c r="AN94" s="150">
        <f>AL94*AM94</f>
        <v>44168.53</v>
      </c>
      <c r="AO94" s="2"/>
      <c r="AP94" s="157" t="s">
        <v>12</v>
      </c>
      <c r="AQ94" s="159">
        <v>6183</v>
      </c>
      <c r="AR94" s="158">
        <v>7.49</v>
      </c>
      <c r="AS94" s="150">
        <f>AQ94*AR94</f>
        <v>46310.67</v>
      </c>
      <c r="AT94" s="2"/>
      <c r="AU94" s="157" t="s">
        <v>12</v>
      </c>
      <c r="AV94" s="159">
        <v>6183</v>
      </c>
      <c r="AW94" s="158">
        <v>7.49</v>
      </c>
      <c r="AX94" s="150">
        <f>AV94*AW94</f>
        <v>46310.67</v>
      </c>
      <c r="AY94" s="2"/>
      <c r="AZ94" s="157" t="s">
        <v>12</v>
      </c>
      <c r="BA94" s="159">
        <v>6183</v>
      </c>
      <c r="BB94" s="158">
        <v>7.49</v>
      </c>
      <c r="BC94" s="150">
        <f>BA94*BB94</f>
        <v>46310.67</v>
      </c>
      <c r="BD94" s="2"/>
      <c r="BE94" s="157" t="s">
        <v>12</v>
      </c>
      <c r="BF94" s="159">
        <v>6183</v>
      </c>
      <c r="BG94" s="158">
        <v>7.49</v>
      </c>
      <c r="BH94" s="150">
        <f>BF94*BG94</f>
        <v>46310.67</v>
      </c>
      <c r="BI94" s="2"/>
      <c r="BJ94" s="157" t="s">
        <v>12</v>
      </c>
      <c r="BK94" s="148">
        <f t="shared" ref="BK94:BK96" si="164">C94+H94+M94+R94+W94+AB94+AG94+AL94+AQ94+AV94+BA94+BF94</f>
        <v>74455</v>
      </c>
      <c r="BL94" s="216">
        <f t="shared" ref="BL94:BL97" si="165">E94+J94+O94+T94+Y94+AD94+AI94+AN94+AS94+AX94+BC94+BH94</f>
        <v>557667.94999999995</v>
      </c>
    </row>
    <row r="95" spans="1:64" customFormat="1" x14ac:dyDescent="0.25">
      <c r="A95" s="2"/>
      <c r="B95" s="157" t="s">
        <v>995</v>
      </c>
      <c r="C95" s="159">
        <v>3399302</v>
      </c>
      <c r="D95" s="160">
        <v>3.9884000000000003E-2</v>
      </c>
      <c r="E95" s="150">
        <f>C95*D95</f>
        <v>135577.76096800002</v>
      </c>
      <c r="F95" s="2"/>
      <c r="G95" s="157" t="s">
        <v>995</v>
      </c>
      <c r="H95" s="159">
        <v>3265140</v>
      </c>
      <c r="I95" s="160">
        <v>3.9884000000000003E-2</v>
      </c>
      <c r="J95" s="150">
        <f>H95*I95</f>
        <v>130226.84376</v>
      </c>
      <c r="K95" s="2"/>
      <c r="L95" s="157" t="s">
        <v>995</v>
      </c>
      <c r="M95" s="159">
        <v>3586981</v>
      </c>
      <c r="N95" s="160">
        <v>3.9884000000000003E-2</v>
      </c>
      <c r="O95" s="150">
        <f>M95*N95</f>
        <v>143063.15020400001</v>
      </c>
      <c r="P95" s="2"/>
      <c r="Q95" s="157" t="s">
        <v>995</v>
      </c>
      <c r="R95" s="159">
        <v>3527121</v>
      </c>
      <c r="S95" s="160">
        <v>3.9884000000000003E-2</v>
      </c>
      <c r="T95" s="150">
        <f>R95*S95</f>
        <v>140675.69396400001</v>
      </c>
      <c r="U95" s="2"/>
      <c r="V95" s="157" t="s">
        <v>995</v>
      </c>
      <c r="W95" s="159">
        <v>3910860</v>
      </c>
      <c r="X95" s="160">
        <v>3.9884000000000003E-2</v>
      </c>
      <c r="Y95" s="150">
        <f>W95*X95</f>
        <v>155980.74024000001</v>
      </c>
      <c r="Z95" s="2"/>
      <c r="AA95" s="157" t="s">
        <v>995</v>
      </c>
      <c r="AB95" s="159">
        <v>3871695</v>
      </c>
      <c r="AC95" s="160">
        <v>3.9884000000000003E-2</v>
      </c>
      <c r="AD95" s="150">
        <f>AB95*AC95</f>
        <v>154418.68338</v>
      </c>
      <c r="AE95" s="2"/>
      <c r="AF95" s="157" t="s">
        <v>995</v>
      </c>
      <c r="AG95" s="159">
        <v>4283582</v>
      </c>
      <c r="AH95" s="160">
        <v>3.9884000000000003E-2</v>
      </c>
      <c r="AI95" s="150">
        <f>AG95*AH95</f>
        <v>170846.38448800001</v>
      </c>
      <c r="AJ95" s="2"/>
      <c r="AK95" s="157" t="s">
        <v>995</v>
      </c>
      <c r="AL95" s="159">
        <v>4198707</v>
      </c>
      <c r="AM95" s="160">
        <v>3.9884000000000003E-2</v>
      </c>
      <c r="AN95" s="150">
        <f>AL95*AM95</f>
        <v>167461.22998800001</v>
      </c>
      <c r="AO95" s="2"/>
      <c r="AP95" s="157" t="s">
        <v>995</v>
      </c>
      <c r="AQ95" s="159">
        <v>3942676</v>
      </c>
      <c r="AR95" s="160">
        <v>3.9884000000000003E-2</v>
      </c>
      <c r="AS95" s="150">
        <f>AQ95*AR95</f>
        <v>157249.68958400001</v>
      </c>
      <c r="AT95" s="2"/>
      <c r="AU95" s="157" t="s">
        <v>995</v>
      </c>
      <c r="AV95" s="159">
        <v>3899594</v>
      </c>
      <c r="AW95" s="160">
        <v>3.9884000000000003E-2</v>
      </c>
      <c r="AX95" s="150">
        <f>AV95*AW95</f>
        <v>155531.40709600001</v>
      </c>
      <c r="AY95" s="2"/>
      <c r="AZ95" s="157" t="s">
        <v>995</v>
      </c>
      <c r="BA95" s="159">
        <v>3387446</v>
      </c>
      <c r="BB95" s="160">
        <v>3.9884000000000003E-2</v>
      </c>
      <c r="BC95" s="150">
        <f>BA95*BB95</f>
        <v>135104.89626400001</v>
      </c>
      <c r="BD95" s="2"/>
      <c r="BE95" s="157" t="s">
        <v>995</v>
      </c>
      <c r="BF95" s="159">
        <v>3497554</v>
      </c>
      <c r="BG95" s="160">
        <v>3.9884000000000003E-2</v>
      </c>
      <c r="BH95" s="150">
        <f>BF95*BG95</f>
        <v>139496.44373600002</v>
      </c>
      <c r="BI95" s="2"/>
      <c r="BJ95" s="157" t="s">
        <v>995</v>
      </c>
      <c r="BK95" s="148">
        <f t="shared" si="164"/>
        <v>44770658</v>
      </c>
      <c r="BL95" s="216">
        <f t="shared" si="165"/>
        <v>1785632.9236720002</v>
      </c>
    </row>
    <row r="96" spans="1:64" customFormat="1" x14ac:dyDescent="0.25">
      <c r="A96" s="2"/>
      <c r="B96" s="157" t="s">
        <v>996</v>
      </c>
      <c r="C96" s="159">
        <f>3399302-C95</f>
        <v>0</v>
      </c>
      <c r="D96" s="160">
        <f>D95-0.02624</f>
        <v>1.3644000000000003E-2</v>
      </c>
      <c r="E96" s="150">
        <f>C96*D96</f>
        <v>0</v>
      </c>
      <c r="F96" s="2"/>
      <c r="G96" s="157" t="s">
        <v>996</v>
      </c>
      <c r="H96" s="159">
        <f>3265140-H95</f>
        <v>0</v>
      </c>
      <c r="I96" s="160">
        <f>I95-0.02624</f>
        <v>1.3644000000000003E-2</v>
      </c>
      <c r="J96" s="150">
        <f>H96*I96</f>
        <v>0</v>
      </c>
      <c r="K96" s="2"/>
      <c r="L96" s="157" t="s">
        <v>996</v>
      </c>
      <c r="M96" s="159">
        <f>3586981-M95</f>
        <v>0</v>
      </c>
      <c r="N96" s="160">
        <f>N95-0.02624</f>
        <v>1.3644000000000003E-2</v>
      </c>
      <c r="O96" s="150">
        <f>M96*N96</f>
        <v>0</v>
      </c>
      <c r="P96" s="2"/>
      <c r="Q96" s="157" t="s">
        <v>996</v>
      </c>
      <c r="R96" s="159">
        <f>3527121-R95</f>
        <v>0</v>
      </c>
      <c r="S96" s="160">
        <f>S95-0.02624</f>
        <v>1.3644000000000003E-2</v>
      </c>
      <c r="T96" s="150">
        <f>R96*S96</f>
        <v>0</v>
      </c>
      <c r="U96" s="2"/>
      <c r="V96" s="157" t="s">
        <v>996</v>
      </c>
      <c r="W96" s="159">
        <f>3910860-W95</f>
        <v>0</v>
      </c>
      <c r="X96" s="160">
        <f>X95-0.02624</f>
        <v>1.3644000000000003E-2</v>
      </c>
      <c r="Y96" s="150">
        <f>W96*X96</f>
        <v>0</v>
      </c>
      <c r="Z96" s="2"/>
      <c r="AA96" s="157" t="s">
        <v>996</v>
      </c>
      <c r="AB96" s="159">
        <f>3871695-AB95</f>
        <v>0</v>
      </c>
      <c r="AC96" s="160">
        <f>AC95-0.02624</f>
        <v>1.3644000000000003E-2</v>
      </c>
      <c r="AD96" s="150">
        <f>AB96*AC96</f>
        <v>0</v>
      </c>
      <c r="AE96" s="2"/>
      <c r="AF96" s="157" t="s">
        <v>996</v>
      </c>
      <c r="AG96" s="159">
        <f>4283582-AG95</f>
        <v>0</v>
      </c>
      <c r="AH96" s="160">
        <f>AH95-0.02624</f>
        <v>1.3644000000000003E-2</v>
      </c>
      <c r="AI96" s="150">
        <f>AG96*AH96</f>
        <v>0</v>
      </c>
      <c r="AJ96" s="2"/>
      <c r="AK96" s="157" t="s">
        <v>996</v>
      </c>
      <c r="AL96" s="159">
        <f>4198707-AL95</f>
        <v>0</v>
      </c>
      <c r="AM96" s="160">
        <f>AM95-0.02624</f>
        <v>1.3644000000000003E-2</v>
      </c>
      <c r="AN96" s="150">
        <f>AL96*AM96</f>
        <v>0</v>
      </c>
      <c r="AO96" s="2"/>
      <c r="AP96" s="157" t="s">
        <v>996</v>
      </c>
      <c r="AQ96" s="159">
        <f>3942676-AQ95</f>
        <v>0</v>
      </c>
      <c r="AR96" s="160">
        <f>AR95-0.02624</f>
        <v>1.3644000000000003E-2</v>
      </c>
      <c r="AS96" s="150">
        <f>AQ96*AR96</f>
        <v>0</v>
      </c>
      <c r="AT96" s="2"/>
      <c r="AU96" s="157" t="s">
        <v>996</v>
      </c>
      <c r="AV96" s="159">
        <f>3899594-AV95</f>
        <v>0</v>
      </c>
      <c r="AW96" s="160">
        <f>AW95-0.02624</f>
        <v>1.3644000000000003E-2</v>
      </c>
      <c r="AX96" s="150">
        <f>AV96*AW96</f>
        <v>0</v>
      </c>
      <c r="AY96" s="2"/>
      <c r="AZ96" s="157" t="s">
        <v>996</v>
      </c>
      <c r="BA96" s="159">
        <f>3387446-BA95</f>
        <v>0</v>
      </c>
      <c r="BB96" s="160">
        <f>BB95-0.02624</f>
        <v>1.3644000000000003E-2</v>
      </c>
      <c r="BC96" s="150">
        <f>BA96*BB96</f>
        <v>0</v>
      </c>
      <c r="BD96" s="2"/>
      <c r="BE96" s="157" t="s">
        <v>996</v>
      </c>
      <c r="BF96" s="159">
        <f>3497554-BF95</f>
        <v>0</v>
      </c>
      <c r="BG96" s="160">
        <f>BG95-0.02624</f>
        <v>1.3644000000000003E-2</v>
      </c>
      <c r="BH96" s="150">
        <f>BF96*BG96</f>
        <v>0</v>
      </c>
      <c r="BI96" s="2"/>
      <c r="BJ96" s="157" t="s">
        <v>996</v>
      </c>
      <c r="BK96" s="148">
        <f t="shared" si="164"/>
        <v>0</v>
      </c>
      <c r="BL96" s="216">
        <f t="shared" si="165"/>
        <v>0</v>
      </c>
    </row>
    <row r="97" spans="1:67" customFormat="1" x14ac:dyDescent="0.25">
      <c r="A97" s="2"/>
      <c r="B97" s="157" t="s">
        <v>984</v>
      </c>
      <c r="C97" s="159"/>
      <c r="D97" s="160"/>
      <c r="E97" s="150">
        <f>-17370+(0.00152*C95)</f>
        <v>-12203.060959999999</v>
      </c>
      <c r="F97" s="2"/>
      <c r="G97" s="157" t="s">
        <v>984</v>
      </c>
      <c r="H97" s="159"/>
      <c r="I97" s="160"/>
      <c r="J97" s="150">
        <v>-21354</v>
      </c>
      <c r="K97" s="2"/>
      <c r="L97" s="157" t="s">
        <v>984</v>
      </c>
      <c r="M97" s="159"/>
      <c r="N97" s="160"/>
      <c r="O97" s="150">
        <v>-28014</v>
      </c>
      <c r="P97" s="2"/>
      <c r="Q97" s="157" t="s">
        <v>984</v>
      </c>
      <c r="R97" s="159"/>
      <c r="S97" s="160"/>
      <c r="T97" s="150">
        <f>-5890+(0.00152*(R95+R96))</f>
        <v>-528.77607999999964</v>
      </c>
      <c r="U97" s="2"/>
      <c r="V97" s="157" t="s">
        <v>984</v>
      </c>
      <c r="W97" s="159"/>
      <c r="X97" s="160"/>
      <c r="Y97" s="150">
        <f>-14705+(0.00152*(W95+W96))</f>
        <v>-8760.4928</v>
      </c>
      <c r="Z97" s="2"/>
      <c r="AA97" s="157" t="s">
        <v>984</v>
      </c>
      <c r="AB97" s="159"/>
      <c r="AC97" s="160"/>
      <c r="AD97" s="150">
        <f>-13512+(0.00152*(AB95+AB96))</f>
        <v>-7627.0235999999995</v>
      </c>
      <c r="AE97" s="2"/>
      <c r="AF97" s="157" t="s">
        <v>984</v>
      </c>
      <c r="AG97" s="159"/>
      <c r="AH97" s="160"/>
      <c r="AI97" s="150">
        <f>-20690+(0.00152*(AG95+AG96))</f>
        <v>-14178.95536</v>
      </c>
      <c r="AJ97" s="2"/>
      <c r="AK97" s="157" t="s">
        <v>984</v>
      </c>
      <c r="AL97" s="159"/>
      <c r="AM97" s="160"/>
      <c r="AN97" s="150">
        <f>-21959+(0.00152*(AL95+AL96))</f>
        <v>-15576.965359999998</v>
      </c>
      <c r="AO97" s="2"/>
      <c r="AP97" s="157" t="s">
        <v>984</v>
      </c>
      <c r="AQ97" s="159"/>
      <c r="AR97" s="160"/>
      <c r="AS97" s="150">
        <f>-24129+(0.00152*(AQ95+AQ96))</f>
        <v>-18136.13248</v>
      </c>
      <c r="AT97" s="2"/>
      <c r="AU97" s="157" t="s">
        <v>984</v>
      </c>
      <c r="AV97" s="159"/>
      <c r="AW97" s="160"/>
      <c r="AX97" s="150">
        <f>-21994+(0.00152*(AV95+AV96))</f>
        <v>-16066.617119999999</v>
      </c>
      <c r="AY97" s="2"/>
      <c r="AZ97" s="157" t="s">
        <v>984</v>
      </c>
      <c r="BA97" s="159"/>
      <c r="BB97" s="160"/>
      <c r="BC97" s="150">
        <f>-22323+(0.00152*(BA95+BA96))</f>
        <v>-17174.08208</v>
      </c>
      <c r="BD97" s="2"/>
      <c r="BE97" s="157" t="s">
        <v>984</v>
      </c>
      <c r="BF97" s="159"/>
      <c r="BG97" s="160"/>
      <c r="BH97" s="150">
        <f>-4162+(0.00152*(BF95+BF96))</f>
        <v>1154.28208</v>
      </c>
      <c r="BI97" s="2"/>
      <c r="BJ97" s="157" t="s">
        <v>984</v>
      </c>
      <c r="BK97" s="148"/>
      <c r="BL97" s="216">
        <f t="shared" si="165"/>
        <v>-158465.82376</v>
      </c>
    </row>
    <row r="98" spans="1:67" customFormat="1" x14ac:dyDescent="0.25">
      <c r="A98" s="2"/>
      <c r="B98" s="157"/>
      <c r="C98" s="159"/>
      <c r="D98" s="160"/>
      <c r="E98" s="150"/>
      <c r="F98" s="2"/>
      <c r="G98" s="157"/>
      <c r="H98" s="159"/>
      <c r="I98" s="160"/>
      <c r="J98" s="150"/>
      <c r="K98" s="2"/>
      <c r="L98" s="157"/>
      <c r="M98" s="159"/>
      <c r="N98" s="160"/>
      <c r="O98" s="150"/>
      <c r="P98" s="2"/>
      <c r="Q98" s="157"/>
      <c r="R98" s="159"/>
      <c r="S98" s="160"/>
      <c r="T98" s="150"/>
      <c r="U98" s="2"/>
      <c r="V98" s="157"/>
      <c r="W98" s="159"/>
      <c r="X98" s="160"/>
      <c r="Y98" s="150"/>
      <c r="Z98" s="2"/>
      <c r="AA98" s="157"/>
      <c r="AB98" s="159"/>
      <c r="AC98" s="160"/>
      <c r="AD98" s="150"/>
      <c r="AE98" s="2"/>
      <c r="AF98" s="157"/>
      <c r="AG98" s="159"/>
      <c r="AH98" s="160"/>
      <c r="AI98" s="150"/>
      <c r="AJ98" s="2"/>
      <c r="AK98" s="157"/>
      <c r="AL98" s="159"/>
      <c r="AM98" s="160"/>
      <c r="AN98" s="150"/>
      <c r="AO98" s="2"/>
      <c r="AP98" s="157"/>
      <c r="AQ98" s="159"/>
      <c r="AR98" s="160"/>
      <c r="AS98" s="150"/>
      <c r="AT98" s="2"/>
      <c r="AU98" s="157"/>
      <c r="AV98" s="159"/>
      <c r="AW98" s="160"/>
      <c r="AX98" s="150"/>
      <c r="AY98" s="2"/>
      <c r="AZ98" s="157"/>
      <c r="BA98" s="159"/>
      <c r="BB98" s="160"/>
      <c r="BC98" s="150"/>
      <c r="BD98" s="2"/>
      <c r="BE98" s="157"/>
      <c r="BF98" s="159"/>
      <c r="BG98" s="160"/>
      <c r="BH98" s="150"/>
      <c r="BI98" s="2"/>
      <c r="BJ98" s="157"/>
      <c r="BK98" s="148"/>
      <c r="BL98" s="216"/>
    </row>
    <row r="99" spans="1:67" customFormat="1" x14ac:dyDescent="0.25">
      <c r="A99" s="8" t="s">
        <v>1042</v>
      </c>
      <c r="B99" s="206"/>
      <c r="C99" s="159"/>
      <c r="D99" s="160"/>
      <c r="E99" s="150"/>
      <c r="G99" s="206"/>
      <c r="H99" s="159"/>
      <c r="I99" s="160"/>
      <c r="J99" s="150"/>
      <c r="L99" s="206"/>
      <c r="M99" s="159"/>
      <c r="N99" s="160"/>
      <c r="O99" s="150"/>
      <c r="Q99" s="206"/>
      <c r="R99" s="159"/>
      <c r="S99" s="160"/>
      <c r="T99" s="150"/>
      <c r="V99" s="206"/>
      <c r="W99" s="159"/>
      <c r="X99" s="160"/>
      <c r="Y99" s="150"/>
      <c r="AA99" s="206"/>
      <c r="AB99" s="159"/>
      <c r="AC99" s="160"/>
      <c r="AD99" s="150"/>
      <c r="AF99" s="206"/>
      <c r="AG99" s="159"/>
      <c r="AH99" s="160"/>
      <c r="AI99" s="150"/>
      <c r="AK99" s="206"/>
      <c r="AL99" s="159"/>
      <c r="AM99" s="160"/>
      <c r="AN99" s="150"/>
      <c r="AP99" s="206"/>
      <c r="AQ99" s="159"/>
      <c r="AR99" s="160"/>
      <c r="AS99" s="150"/>
      <c r="AU99" s="206"/>
      <c r="AV99" s="159"/>
      <c r="AW99" s="160"/>
      <c r="AX99" s="150"/>
      <c r="AZ99" s="206"/>
      <c r="BA99" s="159"/>
      <c r="BB99" s="160"/>
      <c r="BC99" s="150"/>
      <c r="BE99" s="206"/>
      <c r="BF99" s="159"/>
      <c r="BG99" s="160"/>
      <c r="BH99" s="150"/>
      <c r="BJ99" s="206"/>
      <c r="BK99" s="159"/>
      <c r="BL99" s="216"/>
    </row>
    <row r="100" spans="1:67" customFormat="1" x14ac:dyDescent="0.25">
      <c r="A100" s="165"/>
      <c r="B100" s="157" t="s">
        <v>12</v>
      </c>
      <c r="C100" s="159">
        <f>C82+C88+C94</f>
        <v>16556</v>
      </c>
      <c r="D100" s="158"/>
      <c r="E100" s="150">
        <f>E82+E88+E94</f>
        <v>124004.44</v>
      </c>
      <c r="G100" s="157" t="s">
        <v>12</v>
      </c>
      <c r="H100" s="159">
        <f>H82+H88+H94</f>
        <v>16556</v>
      </c>
      <c r="I100" s="158"/>
      <c r="J100" s="150">
        <f>J82+J88+J94</f>
        <v>124004.44</v>
      </c>
      <c r="L100" s="157" t="s">
        <v>12</v>
      </c>
      <c r="M100" s="159">
        <f>M82+M88+M94</f>
        <v>16556</v>
      </c>
      <c r="N100" s="158"/>
      <c r="O100" s="150">
        <f>O82+O88+O94</f>
        <v>124004.44</v>
      </c>
      <c r="Q100" s="157" t="s">
        <v>12</v>
      </c>
      <c r="R100" s="159">
        <f>R82+R88+R94</f>
        <v>16666</v>
      </c>
      <c r="S100" s="158"/>
      <c r="T100" s="150">
        <f>T82+T88+T94</f>
        <v>124828.34</v>
      </c>
      <c r="V100" s="157" t="s">
        <v>12</v>
      </c>
      <c r="W100" s="159">
        <f>W82+W88+W94</f>
        <v>16666</v>
      </c>
      <c r="X100" s="158"/>
      <c r="Y100" s="150">
        <f>Y82+Y88+Y94</f>
        <v>124828.34</v>
      </c>
      <c r="AA100" s="157" t="s">
        <v>12</v>
      </c>
      <c r="AB100" s="159">
        <f>AB82+AB88+AB94</f>
        <v>16666</v>
      </c>
      <c r="AC100" s="158"/>
      <c r="AD100" s="150">
        <f>AD82+AD88+AD94</f>
        <v>124828.34</v>
      </c>
      <c r="AF100" s="157" t="s">
        <v>12</v>
      </c>
      <c r="AG100" s="159">
        <f>AG82+AG88+AG94</f>
        <v>16103</v>
      </c>
      <c r="AH100" s="158"/>
      <c r="AI100" s="150">
        <f>AI82+AI88+AI94</f>
        <v>120611.47</v>
      </c>
      <c r="AK100" s="157" t="s">
        <v>12</v>
      </c>
      <c r="AL100" s="159">
        <f>AL82+AL88+AL94</f>
        <v>16117</v>
      </c>
      <c r="AM100" s="158"/>
      <c r="AN100" s="150">
        <f>AN82+AN88+AN94</f>
        <v>120716.33</v>
      </c>
      <c r="AP100" s="157" t="s">
        <v>12</v>
      </c>
      <c r="AQ100" s="159">
        <f>AQ82+AQ88+AQ94</f>
        <v>16556</v>
      </c>
      <c r="AR100" s="158"/>
      <c r="AS100" s="150">
        <f>AS82+AS88+AS94</f>
        <v>124004.44</v>
      </c>
      <c r="AU100" s="157" t="s">
        <v>12</v>
      </c>
      <c r="AV100" s="159">
        <f>AV82+AV88+AV94</f>
        <v>16556</v>
      </c>
      <c r="AW100" s="158"/>
      <c r="AX100" s="150">
        <f>AX82+AX88+AX94</f>
        <v>124004.44</v>
      </c>
      <c r="AZ100" s="157" t="s">
        <v>12</v>
      </c>
      <c r="BA100" s="159">
        <f>BA82+BA88+BA94</f>
        <v>16556</v>
      </c>
      <c r="BB100" s="158"/>
      <c r="BC100" s="150">
        <f>BC82+BC88+BC94</f>
        <v>124004.44</v>
      </c>
      <c r="BE100" s="157" t="s">
        <v>12</v>
      </c>
      <c r="BF100" s="159">
        <f>BF82+BF88+BF94</f>
        <v>16556</v>
      </c>
      <c r="BG100" s="158"/>
      <c r="BH100" s="150">
        <f>BH82+BH88+BH94</f>
        <v>124004.44</v>
      </c>
      <c r="BJ100" s="157" t="s">
        <v>12</v>
      </c>
      <c r="BK100" s="148">
        <f t="shared" si="12"/>
        <v>198110</v>
      </c>
      <c r="BL100" s="216">
        <f t="shared" si="13"/>
        <v>1483843.8999999997</v>
      </c>
    </row>
    <row r="101" spans="1:67" customFormat="1" x14ac:dyDescent="0.25">
      <c r="A101" s="165"/>
      <c r="B101" s="157" t="s">
        <v>995</v>
      </c>
      <c r="C101" s="159">
        <f>C83+C89+C95</f>
        <v>7112228</v>
      </c>
      <c r="D101" s="160"/>
      <c r="E101" s="150">
        <f>E83+E89+E95</f>
        <v>283664.10155200004</v>
      </c>
      <c r="G101" s="157" t="s">
        <v>995</v>
      </c>
      <c r="H101" s="159">
        <f>H83+H89+H95</f>
        <v>6846718</v>
      </c>
      <c r="I101" s="160"/>
      <c r="J101" s="150">
        <f>J83+J89+J95</f>
        <v>273074.50071200001</v>
      </c>
      <c r="L101" s="157" t="s">
        <v>995</v>
      </c>
      <c r="M101" s="159">
        <f>M83+M89+M95</f>
        <v>6720360</v>
      </c>
      <c r="N101" s="160"/>
      <c r="O101" s="150">
        <f>O83+O89+O95</f>
        <v>268034.83824000001</v>
      </c>
      <c r="Q101" s="157" t="s">
        <v>995</v>
      </c>
      <c r="R101" s="159">
        <f>R83+R89+R95</f>
        <v>7741500</v>
      </c>
      <c r="S101" s="160"/>
      <c r="T101" s="150">
        <f>T83+T89+T95</f>
        <v>308761.98600000003</v>
      </c>
      <c r="V101" s="157" t="s">
        <v>995</v>
      </c>
      <c r="W101" s="159">
        <f>W83+W89+W95</f>
        <v>8710271</v>
      </c>
      <c r="X101" s="160"/>
      <c r="Y101" s="150">
        <f>Y83+Y89+Y95</f>
        <v>347400.44856400002</v>
      </c>
      <c r="AA101" s="157" t="s">
        <v>995</v>
      </c>
      <c r="AB101" s="159">
        <f>AB83+AB89+AB95</f>
        <v>8771491</v>
      </c>
      <c r="AC101" s="160"/>
      <c r="AD101" s="150">
        <f>AD83+AD89+AD95</f>
        <v>349842.14704400004</v>
      </c>
      <c r="AF101" s="157" t="s">
        <v>995</v>
      </c>
      <c r="AG101" s="159">
        <f>AG83+AG89+AG95</f>
        <v>8927124</v>
      </c>
      <c r="AH101" s="160"/>
      <c r="AI101" s="150">
        <f>AI83+AI89+AI95</f>
        <v>356049.41361600003</v>
      </c>
      <c r="AK101" s="157" t="s">
        <v>995</v>
      </c>
      <c r="AL101" s="159">
        <f>AL83+AL89+AL95</f>
        <v>9280889</v>
      </c>
      <c r="AM101" s="160"/>
      <c r="AN101" s="150">
        <f>AN83+AN89+AN95</f>
        <v>370158.97687600006</v>
      </c>
      <c r="AP101" s="157" t="s">
        <v>995</v>
      </c>
      <c r="AQ101" s="159">
        <f>AQ83+AQ89+AQ95</f>
        <v>8583859</v>
      </c>
      <c r="AR101" s="160"/>
      <c r="AS101" s="150">
        <f>AS83+AS89+AS95</f>
        <v>342358.63235600002</v>
      </c>
      <c r="AU101" s="157" t="s">
        <v>995</v>
      </c>
      <c r="AV101" s="159">
        <f>AV83+AV89+AV95</f>
        <v>8285327</v>
      </c>
      <c r="AW101" s="160"/>
      <c r="AX101" s="150">
        <f>AX83+AX89+AX95</f>
        <v>330451.98206800001</v>
      </c>
      <c r="AZ101" s="157" t="s">
        <v>995</v>
      </c>
      <c r="BA101" s="159">
        <f>BA83+BA89+BA95</f>
        <v>7057589</v>
      </c>
      <c r="BB101" s="160"/>
      <c r="BC101" s="150">
        <f>BC83+BC89+BC95</f>
        <v>281484.87967599998</v>
      </c>
      <c r="BE101" s="157" t="s">
        <v>995</v>
      </c>
      <c r="BF101" s="159">
        <f>BF83+BF89+BF95</f>
        <v>6653383</v>
      </c>
      <c r="BG101" s="160"/>
      <c r="BH101" s="150">
        <f>BH83+BH89+BH95</f>
        <v>265363.52757200005</v>
      </c>
      <c r="BJ101" s="157" t="s">
        <v>995</v>
      </c>
      <c r="BK101" s="148">
        <f t="shared" si="12"/>
        <v>94690739</v>
      </c>
      <c r="BL101" s="216">
        <f t="shared" si="13"/>
        <v>3776645.4342760001</v>
      </c>
    </row>
    <row r="102" spans="1:67" customFormat="1" x14ac:dyDescent="0.25">
      <c r="A102" s="165"/>
      <c r="B102" s="157" t="s">
        <v>996</v>
      </c>
      <c r="C102" s="159">
        <f>C84+C90+C96</f>
        <v>436274</v>
      </c>
      <c r="D102" s="160"/>
      <c r="E102" s="150">
        <f>E84+E90+E96</f>
        <v>5952.5224560000015</v>
      </c>
      <c r="G102" s="157" t="s">
        <v>996</v>
      </c>
      <c r="H102" s="159">
        <f>H84+H90+H96</f>
        <v>567622</v>
      </c>
      <c r="I102" s="160"/>
      <c r="J102" s="150">
        <f>J84+J90+J96</f>
        <v>7744.6345680000013</v>
      </c>
      <c r="L102" s="157" t="s">
        <v>996</v>
      </c>
      <c r="M102" s="159">
        <f>M84+M90+M96</f>
        <v>1015821</v>
      </c>
      <c r="N102" s="160"/>
      <c r="O102" s="150">
        <f>O84+O90+O96</f>
        <v>13859.861724000004</v>
      </c>
      <c r="Q102" s="157" t="s">
        <v>996</v>
      </c>
      <c r="R102" s="159">
        <f>R84+R90+R96</f>
        <v>45571</v>
      </c>
      <c r="S102" s="160"/>
      <c r="T102" s="150">
        <f>T84+T90+T96</f>
        <v>621.7707240000002</v>
      </c>
      <c r="V102" s="157" t="s">
        <v>996</v>
      </c>
      <c r="W102" s="159">
        <f>W84+W90+W96</f>
        <v>0</v>
      </c>
      <c r="X102" s="160"/>
      <c r="Y102" s="150">
        <f>Y84+Y90+Y96</f>
        <v>0</v>
      </c>
      <c r="AA102" s="157" t="s">
        <v>996</v>
      </c>
      <c r="AB102" s="159">
        <f>AB84+AB90+AB96</f>
        <v>0</v>
      </c>
      <c r="AC102" s="160"/>
      <c r="AD102" s="150">
        <f>AD84+AD90+AD96</f>
        <v>0</v>
      </c>
      <c r="AF102" s="157" t="s">
        <v>996</v>
      </c>
      <c r="AG102" s="159">
        <f>AG84+AG90+AG96</f>
        <v>0</v>
      </c>
      <c r="AH102" s="160"/>
      <c r="AI102" s="150">
        <f>AI84+AI90+AI96</f>
        <v>0</v>
      </c>
      <c r="AK102" s="157" t="s">
        <v>996</v>
      </c>
      <c r="AL102" s="159">
        <f>AL84+AL90+AL96</f>
        <v>0</v>
      </c>
      <c r="AM102" s="160"/>
      <c r="AN102" s="150">
        <f>AN84+AN90+AN96</f>
        <v>0</v>
      </c>
      <c r="AP102" s="157" t="s">
        <v>996</v>
      </c>
      <c r="AQ102" s="159">
        <f>AQ84+AQ90+AQ96</f>
        <v>0</v>
      </c>
      <c r="AR102" s="160"/>
      <c r="AS102" s="150">
        <f>AS84+AS90+AS96</f>
        <v>0</v>
      </c>
      <c r="AU102" s="157" t="s">
        <v>996</v>
      </c>
      <c r="AV102" s="159">
        <f>AV84+AV90+AV96</f>
        <v>29003</v>
      </c>
      <c r="AW102" s="160"/>
      <c r="AX102" s="150">
        <f>AX84+AX90+AX96</f>
        <v>395.7169320000001</v>
      </c>
      <c r="AZ102" s="157" t="s">
        <v>996</v>
      </c>
      <c r="BA102" s="159">
        <f>BA84+BA90+BA96</f>
        <v>479057</v>
      </c>
      <c r="BB102" s="160"/>
      <c r="BC102" s="150">
        <f>BC84+BC90+BC96</f>
        <v>6536.253708000002</v>
      </c>
      <c r="BE102" s="157" t="s">
        <v>996</v>
      </c>
      <c r="BF102" s="159">
        <f>BF84+BF90+BF96</f>
        <v>993371</v>
      </c>
      <c r="BG102" s="160"/>
      <c r="BH102" s="150">
        <f>BH84+BH90+BH96</f>
        <v>13553.553924000003</v>
      </c>
      <c r="BJ102" s="157" t="s">
        <v>996</v>
      </c>
      <c r="BK102" s="148">
        <f t="shared" si="12"/>
        <v>3566719</v>
      </c>
      <c r="BL102" s="217">
        <f t="shared" si="13"/>
        <v>48664.314036000011</v>
      </c>
    </row>
    <row r="103" spans="1:67" customFormat="1" x14ac:dyDescent="0.25">
      <c r="A103" s="165"/>
      <c r="B103" s="157" t="s">
        <v>984</v>
      </c>
      <c r="C103" s="159"/>
      <c r="D103" s="160"/>
      <c r="E103" s="150">
        <f>E85+E91+E97</f>
        <v>-24869.276959999999</v>
      </c>
      <c r="G103" s="157"/>
      <c r="H103" s="159"/>
      <c r="I103" s="160"/>
      <c r="J103" s="150"/>
      <c r="L103" s="157"/>
      <c r="M103" s="159"/>
      <c r="N103" s="160"/>
      <c r="O103" s="150"/>
      <c r="Q103" s="157"/>
      <c r="R103" s="159"/>
      <c r="S103" s="160"/>
      <c r="T103" s="150"/>
      <c r="V103" s="157"/>
      <c r="W103" s="159"/>
      <c r="X103" s="160"/>
      <c r="Y103" s="150"/>
      <c r="AA103" s="157"/>
      <c r="AB103" s="159"/>
      <c r="AC103" s="160"/>
      <c r="AD103" s="150"/>
      <c r="AF103" s="157"/>
      <c r="AG103" s="159"/>
      <c r="AH103" s="160"/>
      <c r="AI103" s="150"/>
      <c r="AK103" s="157"/>
      <c r="AL103" s="159"/>
      <c r="AM103" s="160"/>
      <c r="AN103" s="150"/>
      <c r="AP103" s="157"/>
      <c r="AQ103" s="159"/>
      <c r="AR103" s="160"/>
      <c r="AS103" s="150"/>
      <c r="AU103" s="157"/>
      <c r="AV103" s="159"/>
      <c r="AW103" s="160"/>
      <c r="AX103" s="150"/>
      <c r="AZ103" s="157"/>
      <c r="BA103" s="159"/>
      <c r="BB103" s="160"/>
      <c r="BC103" s="150"/>
      <c r="BE103" s="157"/>
      <c r="BF103" s="159"/>
      <c r="BG103" s="160"/>
      <c r="BH103" s="150"/>
      <c r="BJ103" s="157"/>
      <c r="BK103" s="148"/>
      <c r="BL103" s="216">
        <f>SUM(BL100:BL102)</f>
        <v>5309153.6483119996</v>
      </c>
    </row>
    <row r="104" spans="1:67" customFormat="1" x14ac:dyDescent="0.25">
      <c r="A104" s="165"/>
      <c r="B104" s="157"/>
      <c r="C104" s="159"/>
      <c r="D104" s="160"/>
      <c r="E104" s="150"/>
      <c r="G104" s="157"/>
      <c r="H104" s="159"/>
      <c r="I104" s="160"/>
      <c r="J104" s="150"/>
      <c r="L104" s="157"/>
      <c r="M104" s="159"/>
      <c r="N104" s="160"/>
      <c r="O104" s="150"/>
      <c r="Q104" s="157"/>
      <c r="R104" s="159"/>
      <c r="S104" s="160"/>
      <c r="T104" s="150"/>
      <c r="V104" s="157"/>
      <c r="W104" s="159"/>
      <c r="X104" s="160"/>
      <c r="Y104" s="150"/>
      <c r="AA104" s="157"/>
      <c r="AB104" s="159"/>
      <c r="AC104" s="160"/>
      <c r="AD104" s="150"/>
      <c r="AF104" s="157"/>
      <c r="AG104" s="159"/>
      <c r="AH104" s="160"/>
      <c r="AI104" s="150"/>
      <c r="AK104" s="157"/>
      <c r="AL104" s="159"/>
      <c r="AM104" s="160"/>
      <c r="AN104" s="150"/>
      <c r="AP104" s="157"/>
      <c r="AQ104" s="159"/>
      <c r="AR104" s="160"/>
      <c r="AS104" s="150"/>
      <c r="AU104" s="157"/>
      <c r="AV104" s="159"/>
      <c r="AW104" s="160"/>
      <c r="AX104" s="150"/>
      <c r="AZ104" s="157"/>
      <c r="BA104" s="159"/>
      <c r="BB104" s="160"/>
      <c r="BC104" s="150"/>
      <c r="BE104" s="157"/>
      <c r="BF104" s="159"/>
      <c r="BG104" s="160"/>
      <c r="BH104" s="150"/>
      <c r="BJ104" s="157"/>
      <c r="BK104" s="148"/>
      <c r="BL104" s="216"/>
    </row>
    <row r="105" spans="1:67" customFormat="1" x14ac:dyDescent="0.25">
      <c r="A105" s="165"/>
      <c r="B105" s="157" t="s">
        <v>980</v>
      </c>
      <c r="C105" s="20">
        <f>C11+C73+C74+C100</f>
        <v>340150</v>
      </c>
      <c r="D105" s="20"/>
      <c r="E105" s="21">
        <f>E11+E73+E74+E75+E100</f>
        <v>2255657.6999999997</v>
      </c>
      <c r="G105" s="157" t="s">
        <v>980</v>
      </c>
      <c r="H105" s="20">
        <f>H11+H73+H74+H100</f>
        <v>315642</v>
      </c>
      <c r="I105" s="20"/>
      <c r="J105" s="21">
        <f>J11+J73+J74+J75+J100</f>
        <v>2092448.04</v>
      </c>
      <c r="L105" s="157" t="s">
        <v>980</v>
      </c>
      <c r="M105" s="20">
        <f>M11+M73+M74+M100</f>
        <v>254278</v>
      </c>
      <c r="N105" s="20"/>
      <c r="O105" s="21">
        <f>O11+O73+O74+O75+O100</f>
        <v>1690513.8399999999</v>
      </c>
      <c r="Q105" s="157" t="s">
        <v>980</v>
      </c>
      <c r="R105" s="20">
        <f>R11+R73+R74+R100</f>
        <v>243111</v>
      </c>
      <c r="S105" s="20"/>
      <c r="T105" s="21">
        <f>T11+T73+T74+T75+T100</f>
        <v>1618698.68</v>
      </c>
      <c r="V105" s="157" t="s">
        <v>980</v>
      </c>
      <c r="W105" s="20">
        <f>W11+W73+W74+W100</f>
        <v>215149</v>
      </c>
      <c r="X105" s="20"/>
      <c r="Y105" s="21">
        <f>Y11+Y73+Y74+Y75+Y100</f>
        <v>1435386.8800000001</v>
      </c>
      <c r="AA105" s="157" t="s">
        <v>980</v>
      </c>
      <c r="AB105" s="20">
        <f>AB11+AB73+AB74+AB100</f>
        <v>223710</v>
      </c>
      <c r="AC105" s="20"/>
      <c r="AD105" s="21">
        <f>AD11+AD73+AD74+AD75+AD100</f>
        <v>1491359.58</v>
      </c>
      <c r="AF105" s="157" t="s">
        <v>980</v>
      </c>
      <c r="AG105" s="20">
        <f>AG11+AG73+AG74+AG100</f>
        <v>242469</v>
      </c>
      <c r="AH105" s="20"/>
      <c r="AI105" s="21">
        <f>AI11+AI73+AI74+AI75+AI100</f>
        <v>1614229.16</v>
      </c>
      <c r="AK105" s="157" t="s">
        <v>980</v>
      </c>
      <c r="AL105" s="20">
        <f>AL11+AL73+AL74+AL100</f>
        <v>245137</v>
      </c>
      <c r="AM105" s="20"/>
      <c r="AN105" s="21">
        <f>AN11+AN73+AN74+AN75+AN100</f>
        <v>1631646.5500000003</v>
      </c>
      <c r="AP105" s="157" t="s">
        <v>980</v>
      </c>
      <c r="AQ105" s="20">
        <f>AQ11+AQ73+AQ74+AQ100</f>
        <v>237353</v>
      </c>
      <c r="AR105" s="20"/>
      <c r="AS105" s="21">
        <f>AS11+AS73+AS74+AS75+AS100</f>
        <v>1581908.6</v>
      </c>
      <c r="AU105" s="157" t="s">
        <v>980</v>
      </c>
      <c r="AV105" s="20">
        <f>AV11+AV73+AV74+AV100</f>
        <v>228606</v>
      </c>
      <c r="AW105" s="20"/>
      <c r="AX105" s="21">
        <f>AX11+AX73+AX74+AX75+AX100</f>
        <v>1523164.34</v>
      </c>
      <c r="AZ105" s="157" t="s">
        <v>980</v>
      </c>
      <c r="BA105" s="20">
        <f>BA11+BA73+BA74+BA100</f>
        <v>336660</v>
      </c>
      <c r="BB105" s="20"/>
      <c r="BC105" s="21">
        <f>BC11+BC73+BC74+BC75+BC100</f>
        <v>2230772.2199999997</v>
      </c>
      <c r="BE105" s="157" t="s">
        <v>980</v>
      </c>
      <c r="BF105" s="20">
        <f>BF11+BF73+BF74+BF100</f>
        <v>323016</v>
      </c>
      <c r="BG105" s="20"/>
      <c r="BH105" s="21">
        <f>BH11+BH73+BH74+BH75+BH100</f>
        <v>2141468.04</v>
      </c>
      <c r="BJ105" s="157" t="s">
        <v>980</v>
      </c>
      <c r="BK105" s="148">
        <f t="shared" si="12"/>
        <v>3205281</v>
      </c>
      <c r="BL105" s="216">
        <f t="shared" si="13"/>
        <v>21307253.629999999</v>
      </c>
    </row>
    <row r="106" spans="1:67" customFormat="1" x14ac:dyDescent="0.25">
      <c r="A106" s="165"/>
      <c r="B106" s="157" t="s">
        <v>981</v>
      </c>
      <c r="C106" s="148">
        <f>C12+C13+C76+C77+C101+C102</f>
        <v>130055786</v>
      </c>
      <c r="D106" s="150"/>
      <c r="E106" s="150">
        <f>E12+E13+E76+E77+E101+E102</f>
        <v>5968136.8299790006</v>
      </c>
      <c r="G106" s="157" t="s">
        <v>981</v>
      </c>
      <c r="H106" s="148">
        <f>H12+H13+H76+H77+H101+H102</f>
        <v>124928126</v>
      </c>
      <c r="I106" s="150"/>
      <c r="J106" s="150">
        <f>J12+J13+J76+J77+J101+J102</f>
        <v>5724191.4005650003</v>
      </c>
      <c r="L106" s="157" t="s">
        <v>981</v>
      </c>
      <c r="M106" s="148">
        <f>M12+M13+M76+M77+M101+M102</f>
        <v>101414149</v>
      </c>
      <c r="N106" s="150"/>
      <c r="O106" s="150">
        <f>O12+O13+O76+O77+O101+O102</f>
        <v>4618380.225536</v>
      </c>
      <c r="Q106" s="157" t="s">
        <v>981</v>
      </c>
      <c r="R106" s="148">
        <f>R12+R13+R76+R77+R101+R102</f>
        <v>84519007</v>
      </c>
      <c r="S106" s="150"/>
      <c r="T106" s="150">
        <f>T12+T13+T76+T77+T101+T102</f>
        <v>3858044.591366</v>
      </c>
      <c r="V106" s="157" t="s">
        <v>981</v>
      </c>
      <c r="W106" s="148">
        <f>W12+W13+W76+W77+W101+W102</f>
        <v>94928053</v>
      </c>
      <c r="X106" s="150"/>
      <c r="Y106" s="150">
        <f>Y12+Y13+Y76+Y77+Y101+Y102</f>
        <v>4436608.7219730001</v>
      </c>
      <c r="AA106" s="157" t="s">
        <v>981</v>
      </c>
      <c r="AB106" s="148">
        <f>AB12+AB13+AB76+AB77+AB101+AB102</f>
        <v>98471274</v>
      </c>
      <c r="AC106" s="150"/>
      <c r="AD106" s="150">
        <f>AD12+AD13+AD76+AD77+AD101+AD102</f>
        <v>4616431.8409620002</v>
      </c>
      <c r="AF106" s="157" t="s">
        <v>981</v>
      </c>
      <c r="AG106" s="148">
        <f>AG12+AG13+AG76+AG77+AG101+AG102</f>
        <v>117781934</v>
      </c>
      <c r="AH106" s="150"/>
      <c r="AI106" s="150">
        <f>AI12+AI13+AI76+AI77+AI101+AI102</f>
        <v>5551302.5195879992</v>
      </c>
      <c r="AK106" s="157" t="s">
        <v>981</v>
      </c>
      <c r="AL106" s="148">
        <f>AL12+AL13+AL76+AL77+AL101+AL102</f>
        <v>114241766</v>
      </c>
      <c r="AM106" s="150"/>
      <c r="AN106" s="150">
        <f>AN12+AN13+AN76+AN77+AN101+AN102</f>
        <v>5377978.066753</v>
      </c>
      <c r="AP106" s="157" t="s">
        <v>981</v>
      </c>
      <c r="AQ106" s="148">
        <f>AQ12+AQ13+AQ76+AQ77+AQ101+AQ102</f>
        <v>106311389</v>
      </c>
      <c r="AR106" s="150"/>
      <c r="AS106" s="150">
        <f>AS12+AS13+AS76+AS77+AS101+AS102</f>
        <v>5010990.522872</v>
      </c>
      <c r="AU106" s="157" t="s">
        <v>981</v>
      </c>
      <c r="AV106" s="148">
        <f>AV12+AV13+AV76+AV77+AV101+AV102</f>
        <v>89623969</v>
      </c>
      <c r="AW106" s="150"/>
      <c r="AX106" s="150">
        <f>AX12+AX13+AX76+AX77+AX101+AX102</f>
        <v>4093773.5553440005</v>
      </c>
      <c r="AZ106" s="157" t="s">
        <v>981</v>
      </c>
      <c r="BA106" s="148">
        <f>BA12+BA13+BA76+BA77+BA101+BA102</f>
        <v>117549077</v>
      </c>
      <c r="BB106" s="150"/>
      <c r="BC106" s="150">
        <f>BC12+BC13+BC76+BC77+BC101+BC102</f>
        <v>5380707.6651150007</v>
      </c>
      <c r="BE106" s="157" t="s">
        <v>981</v>
      </c>
      <c r="BF106" s="148">
        <f>BF12+BF13+BF76+BF77+BF101+BF102</f>
        <v>123532174</v>
      </c>
      <c r="BG106" s="150"/>
      <c r="BH106" s="150">
        <f>BH12+BH13+BH76+BH77+BH101+BH102</f>
        <v>5652374.6841199994</v>
      </c>
      <c r="BJ106" s="157" t="s">
        <v>981</v>
      </c>
      <c r="BK106" s="148">
        <f t="shared" si="12"/>
        <v>1303356704</v>
      </c>
      <c r="BL106" s="216">
        <f t="shared" si="13"/>
        <v>60288920.624173</v>
      </c>
    </row>
    <row r="107" spans="1:67" customFormat="1" x14ac:dyDescent="0.25">
      <c r="B107" s="157"/>
      <c r="C107" s="159"/>
      <c r="D107" s="160"/>
      <c r="E107" s="150"/>
      <c r="G107" s="157"/>
      <c r="H107" s="159"/>
      <c r="I107" s="160"/>
      <c r="J107" s="150"/>
      <c r="L107" s="157"/>
      <c r="M107" s="159"/>
      <c r="N107" s="160"/>
      <c r="O107" s="150"/>
      <c r="Q107" s="157"/>
      <c r="R107" s="159"/>
      <c r="S107" s="160"/>
      <c r="T107" s="150"/>
      <c r="V107" s="157"/>
      <c r="W107" s="159"/>
      <c r="X107" s="160"/>
      <c r="Y107" s="150"/>
      <c r="AA107" s="157"/>
      <c r="AB107" s="159"/>
      <c r="AC107" s="160"/>
      <c r="AD107" s="150"/>
      <c r="AF107" s="157"/>
      <c r="AG107" s="159"/>
      <c r="AH107" s="160"/>
      <c r="AI107" s="150"/>
      <c r="AK107" s="157"/>
      <c r="AL107" s="159"/>
      <c r="AM107" s="160"/>
      <c r="AN107" s="150"/>
      <c r="AP107" s="157"/>
      <c r="AQ107" s="159"/>
      <c r="AR107" s="160"/>
      <c r="AS107" s="150"/>
      <c r="AU107" s="157"/>
      <c r="AV107" s="159"/>
      <c r="AW107" s="160"/>
      <c r="AX107" s="150"/>
      <c r="AZ107" s="157"/>
      <c r="BA107" s="159"/>
      <c r="BB107" s="160"/>
      <c r="BC107" s="150"/>
      <c r="BE107" s="157"/>
      <c r="BF107" s="159"/>
      <c r="BG107" s="160"/>
      <c r="BH107" s="150"/>
      <c r="BJ107" s="157"/>
      <c r="BK107" s="148"/>
      <c r="BL107" s="216"/>
    </row>
    <row r="108" spans="1:67" customFormat="1" x14ac:dyDescent="0.25">
      <c r="B108" s="157" t="s">
        <v>982</v>
      </c>
      <c r="C108" s="159"/>
      <c r="D108" s="160"/>
      <c r="E108" s="150">
        <v>5760</v>
      </c>
      <c r="G108" s="157" t="s">
        <v>982</v>
      </c>
      <c r="H108" s="159"/>
      <c r="I108" s="160"/>
      <c r="J108" s="150">
        <v>5760</v>
      </c>
      <c r="L108" s="157" t="s">
        <v>982</v>
      </c>
      <c r="M108" s="159"/>
      <c r="N108" s="160"/>
      <c r="O108" s="150">
        <v>5760</v>
      </c>
      <c r="Q108" s="157" t="s">
        <v>982</v>
      </c>
      <c r="R108" s="159"/>
      <c r="S108" s="160"/>
      <c r="T108" s="150">
        <v>5760</v>
      </c>
      <c r="V108" s="157" t="s">
        <v>982</v>
      </c>
      <c r="W108" s="159"/>
      <c r="X108" s="160"/>
      <c r="Y108" s="150">
        <v>5760</v>
      </c>
      <c r="AA108" s="157" t="s">
        <v>982</v>
      </c>
      <c r="AB108" s="159"/>
      <c r="AC108" s="160"/>
      <c r="AD108" s="150">
        <v>5760</v>
      </c>
      <c r="AF108" s="157" t="s">
        <v>982</v>
      </c>
      <c r="AG108" s="159"/>
      <c r="AH108" s="160"/>
      <c r="AI108" s="150">
        <v>5760</v>
      </c>
      <c r="AK108" s="157" t="s">
        <v>982</v>
      </c>
      <c r="AL108" s="159"/>
      <c r="AM108" s="160"/>
      <c r="AN108" s="150">
        <v>5760</v>
      </c>
      <c r="AP108" s="157" t="s">
        <v>982</v>
      </c>
      <c r="AQ108" s="159"/>
      <c r="AR108" s="160"/>
      <c r="AS108" s="150">
        <v>5760</v>
      </c>
      <c r="AU108" s="157" t="s">
        <v>982</v>
      </c>
      <c r="AV108" s="159"/>
      <c r="AW108" s="160"/>
      <c r="AX108" s="150">
        <v>5760</v>
      </c>
      <c r="AZ108" s="157" t="s">
        <v>982</v>
      </c>
      <c r="BA108" s="159"/>
      <c r="BB108" s="160"/>
      <c r="BC108" s="150">
        <v>5760</v>
      </c>
      <c r="BE108" s="157" t="s">
        <v>982</v>
      </c>
      <c r="BF108" s="159"/>
      <c r="BG108" s="160"/>
      <c r="BH108" s="150">
        <v>5760</v>
      </c>
      <c r="BJ108" s="157" t="s">
        <v>982</v>
      </c>
      <c r="BK108" s="148"/>
      <c r="BL108" s="216">
        <f t="shared" si="13"/>
        <v>69120</v>
      </c>
    </row>
    <row r="109" spans="1:67" customFormat="1" x14ac:dyDescent="0.25">
      <c r="B109" s="157" t="s">
        <v>983</v>
      </c>
      <c r="C109" s="159"/>
      <c r="D109" s="162"/>
      <c r="E109" s="150">
        <v>136258</v>
      </c>
      <c r="G109" s="157" t="s">
        <v>983</v>
      </c>
      <c r="H109" s="159"/>
      <c r="I109" s="162"/>
      <c r="J109" s="150">
        <v>136258</v>
      </c>
      <c r="L109" s="157" t="s">
        <v>983</v>
      </c>
      <c r="M109" s="159"/>
      <c r="N109" s="162"/>
      <c r="O109" s="150">
        <v>136258</v>
      </c>
      <c r="Q109" s="157" t="s">
        <v>983</v>
      </c>
      <c r="R109" s="159"/>
      <c r="S109" s="162"/>
      <c r="T109" s="150">
        <v>136258</v>
      </c>
      <c r="V109" s="157" t="s">
        <v>983</v>
      </c>
      <c r="W109" s="159"/>
      <c r="X109" s="162"/>
      <c r="Y109" s="150">
        <v>136258</v>
      </c>
      <c r="AA109" s="157" t="s">
        <v>983</v>
      </c>
      <c r="AB109" s="159"/>
      <c r="AC109" s="162"/>
      <c r="AD109" s="150">
        <v>136258</v>
      </c>
      <c r="AF109" s="157" t="s">
        <v>983</v>
      </c>
      <c r="AG109" s="159"/>
      <c r="AH109" s="162"/>
      <c r="AI109" s="150">
        <v>136258</v>
      </c>
      <c r="AK109" s="157" t="s">
        <v>983</v>
      </c>
      <c r="AL109" s="159"/>
      <c r="AM109" s="162"/>
      <c r="AN109" s="150">
        <v>136258</v>
      </c>
      <c r="AP109" s="157" t="s">
        <v>983</v>
      </c>
      <c r="AQ109" s="159"/>
      <c r="AR109" s="162"/>
      <c r="AS109" s="150">
        <v>136258</v>
      </c>
      <c r="AU109" s="157" t="s">
        <v>983</v>
      </c>
      <c r="AV109" s="159"/>
      <c r="AW109" s="162"/>
      <c r="AX109" s="150">
        <v>136258</v>
      </c>
      <c r="AZ109" s="157" t="s">
        <v>983</v>
      </c>
      <c r="BA109" s="159"/>
      <c r="BB109" s="162"/>
      <c r="BC109" s="150">
        <v>136258</v>
      </c>
      <c r="BE109" s="157" t="s">
        <v>983</v>
      </c>
      <c r="BF109" s="159"/>
      <c r="BG109" s="162"/>
      <c r="BH109" s="150">
        <v>136258</v>
      </c>
      <c r="BJ109" s="157" t="s">
        <v>983</v>
      </c>
      <c r="BK109" s="148"/>
      <c r="BL109" s="216">
        <f t="shared" si="13"/>
        <v>1635096</v>
      </c>
    </row>
    <row r="110" spans="1:67" customFormat="1" x14ac:dyDescent="0.25">
      <c r="B110" s="157" t="s">
        <v>1045</v>
      </c>
      <c r="C110" s="159"/>
      <c r="D110" s="158"/>
      <c r="E110" s="164">
        <f>-662356+(0.00152*C106)</f>
        <v>-464671.20527999999</v>
      </c>
      <c r="G110" s="157" t="s">
        <v>984</v>
      </c>
      <c r="H110" s="159"/>
      <c r="I110" s="158"/>
      <c r="J110" s="164">
        <v>-813213</v>
      </c>
      <c r="K110" s="153"/>
      <c r="L110" s="157" t="s">
        <v>984</v>
      </c>
      <c r="M110" s="159"/>
      <c r="N110" s="158"/>
      <c r="O110" s="164">
        <v>-783978</v>
      </c>
      <c r="Q110" s="157" t="s">
        <v>984</v>
      </c>
      <c r="R110" s="159"/>
      <c r="S110" s="158"/>
      <c r="T110" s="164">
        <f>-141042+(0.00152*R106)</f>
        <v>-12573.109359999988</v>
      </c>
      <c r="U110" s="153"/>
      <c r="V110" s="157" t="s">
        <v>984</v>
      </c>
      <c r="W110" s="159"/>
      <c r="X110" s="158"/>
      <c r="Y110" s="164">
        <f>-356932+(0.00152*W106)</f>
        <v>-212641.35944</v>
      </c>
      <c r="Z110" s="153"/>
      <c r="AA110" s="157" t="s">
        <v>984</v>
      </c>
      <c r="AB110" s="159"/>
      <c r="AC110" s="158"/>
      <c r="AD110" s="164">
        <f>-343666+(0.00152*AB106)</f>
        <v>-193989.66352</v>
      </c>
      <c r="AE110" s="153"/>
      <c r="AF110" s="157" t="s">
        <v>984</v>
      </c>
      <c r="AG110" s="159"/>
      <c r="AH110" s="158"/>
      <c r="AI110" s="164">
        <f>-568885+(0.00152*AG106)</f>
        <v>-389856.46031999995</v>
      </c>
      <c r="AJ110" s="153"/>
      <c r="AK110" s="157" t="s">
        <v>984</v>
      </c>
      <c r="AL110" s="159"/>
      <c r="AM110" s="158"/>
      <c r="AN110" s="164">
        <f>-597484+(0.00152*AL106)</f>
        <v>-423836.51567999995</v>
      </c>
      <c r="AO110" s="153"/>
      <c r="AP110" s="157" t="s">
        <v>984</v>
      </c>
      <c r="AQ110" s="159"/>
      <c r="AR110" s="158"/>
      <c r="AS110" s="164">
        <f>-650627+(0.00152*AQ106)</f>
        <v>-489033.68871999998</v>
      </c>
      <c r="AT110" s="153"/>
      <c r="AU110" s="157" t="s">
        <v>984</v>
      </c>
      <c r="AV110" s="159"/>
      <c r="AW110" s="158"/>
      <c r="AX110" s="164">
        <f>-505299+(0.00152*AV106)</f>
        <v>-369070.56712000002</v>
      </c>
      <c r="AY110" s="153"/>
      <c r="AZ110" s="157" t="s">
        <v>984</v>
      </c>
      <c r="BA110" s="159"/>
      <c r="BB110" s="158"/>
      <c r="BC110" s="164">
        <f>-771332+(0.00152*BA106)</f>
        <v>-592657.40295999998</v>
      </c>
      <c r="BD110" s="153"/>
      <c r="BE110" s="157" t="s">
        <v>984</v>
      </c>
      <c r="BF110" s="159"/>
      <c r="BG110" s="158"/>
      <c r="BH110" s="164">
        <f>-145769+(0.00152*BF106)</f>
        <v>41999.904479999997</v>
      </c>
      <c r="BI110" s="153"/>
      <c r="BJ110" s="157" t="s">
        <v>984</v>
      </c>
      <c r="BK110" s="148"/>
      <c r="BL110" s="216">
        <f t="shared" si="13"/>
        <v>-4703521.0679199994</v>
      </c>
      <c r="BM110" s="153"/>
      <c r="BN110" s="153"/>
      <c r="BO110" s="153"/>
    </row>
    <row r="111" spans="1:67" customFormat="1" x14ac:dyDescent="0.25">
      <c r="B111" s="157" t="s">
        <v>985</v>
      </c>
      <c r="C111" s="159"/>
      <c r="D111" s="158"/>
      <c r="E111" s="161">
        <v>1244880</v>
      </c>
      <c r="G111" s="157" t="s">
        <v>985</v>
      </c>
      <c r="H111" s="159"/>
      <c r="I111" s="158"/>
      <c r="J111" s="161">
        <v>966635</v>
      </c>
      <c r="L111" s="157" t="s">
        <v>985</v>
      </c>
      <c r="M111" s="159"/>
      <c r="N111" s="158"/>
      <c r="O111" s="161">
        <v>810089</v>
      </c>
      <c r="Q111" s="157" t="s">
        <v>985</v>
      </c>
      <c r="R111" s="159"/>
      <c r="S111" s="158"/>
      <c r="T111" s="161">
        <v>809987</v>
      </c>
      <c r="V111" s="157" t="s">
        <v>985</v>
      </c>
      <c r="W111" s="159"/>
      <c r="X111" s="158"/>
      <c r="Y111" s="161">
        <v>868542</v>
      </c>
      <c r="AA111" s="157" t="s">
        <v>985</v>
      </c>
      <c r="AB111" s="159"/>
      <c r="AC111" s="158"/>
      <c r="AD111" s="161">
        <v>1089012</v>
      </c>
      <c r="AF111" s="157" t="s">
        <v>985</v>
      </c>
      <c r="AG111" s="159"/>
      <c r="AH111" s="158"/>
      <c r="AI111" s="161">
        <v>1221549</v>
      </c>
      <c r="AK111" s="157" t="s">
        <v>985</v>
      </c>
      <c r="AL111" s="159"/>
      <c r="AM111" s="158"/>
      <c r="AN111" s="161">
        <v>1158141</v>
      </c>
      <c r="AP111" s="157" t="s">
        <v>985</v>
      </c>
      <c r="AQ111" s="159"/>
      <c r="AR111" s="158"/>
      <c r="AS111" s="161">
        <v>916311</v>
      </c>
      <c r="AU111" s="157" t="s">
        <v>985</v>
      </c>
      <c r="AV111" s="159"/>
      <c r="AW111" s="158"/>
      <c r="AX111" s="161">
        <v>823113</v>
      </c>
      <c r="AZ111" s="157" t="s">
        <v>985</v>
      </c>
      <c r="BA111" s="159"/>
      <c r="BB111" s="158"/>
      <c r="BC111" s="161">
        <v>1188167</v>
      </c>
      <c r="BE111" s="157" t="s">
        <v>985</v>
      </c>
      <c r="BF111" s="159"/>
      <c r="BG111" s="158"/>
      <c r="BH111" s="161">
        <v>1497189</v>
      </c>
      <c r="BJ111" s="157" t="s">
        <v>985</v>
      </c>
      <c r="BK111" s="148"/>
      <c r="BL111" s="217">
        <f t="shared" si="13"/>
        <v>12593615</v>
      </c>
    </row>
    <row r="112" spans="1:67" customFormat="1" x14ac:dyDescent="0.25">
      <c r="B112" s="157"/>
      <c r="C112" s="158"/>
      <c r="D112" s="158"/>
      <c r="E112" s="158"/>
      <c r="G112" s="157"/>
      <c r="H112" s="158"/>
      <c r="I112" s="158"/>
      <c r="J112" s="158"/>
      <c r="L112" s="157"/>
      <c r="M112" s="158"/>
      <c r="N112" s="158"/>
      <c r="O112" s="158"/>
      <c r="Q112" s="157"/>
      <c r="R112" s="158"/>
      <c r="S112" s="158"/>
      <c r="T112" s="158"/>
      <c r="V112" s="157"/>
      <c r="W112" s="158"/>
      <c r="X112" s="158"/>
      <c r="Y112" s="158"/>
      <c r="AA112" s="157"/>
      <c r="AB112" s="158"/>
      <c r="AC112" s="158"/>
      <c r="AD112" s="158"/>
      <c r="AF112" s="157"/>
      <c r="AG112" s="158"/>
      <c r="AH112" s="158"/>
      <c r="AI112" s="158"/>
      <c r="AK112" s="157"/>
      <c r="AL112" s="158"/>
      <c r="AM112" s="158"/>
      <c r="AN112" s="158"/>
      <c r="AP112" s="157"/>
      <c r="AQ112" s="158"/>
      <c r="AR112" s="158"/>
      <c r="AS112" s="158"/>
      <c r="AU112" s="157"/>
      <c r="AV112" s="158"/>
      <c r="AW112" s="158"/>
      <c r="AX112" s="158"/>
      <c r="AZ112" s="157"/>
      <c r="BA112" s="158"/>
      <c r="BB112" s="158"/>
      <c r="BC112" s="158"/>
      <c r="BE112" s="157"/>
      <c r="BF112" s="158"/>
      <c r="BG112" s="158"/>
      <c r="BH112" s="158"/>
      <c r="BJ112" s="157"/>
      <c r="BK112" s="148"/>
      <c r="BL112" s="216"/>
    </row>
    <row r="113" spans="1:64" customFormat="1" x14ac:dyDescent="0.25">
      <c r="B113" s="198" t="s">
        <v>986</v>
      </c>
      <c r="C113" s="158"/>
      <c r="D113" s="158"/>
      <c r="E113" s="158">
        <f>SUM(E105:E111)</f>
        <v>9146021.3246989995</v>
      </c>
      <c r="G113" s="198" t="s">
        <v>986</v>
      </c>
      <c r="H113" s="158"/>
      <c r="I113" s="158"/>
      <c r="J113" s="158">
        <f>SUM(J105:J111)</f>
        <v>8112079.4405650003</v>
      </c>
      <c r="L113" s="198" t="s">
        <v>986</v>
      </c>
      <c r="M113" s="158"/>
      <c r="N113" s="158"/>
      <c r="O113" s="158">
        <f>SUM(O105:O111)</f>
        <v>6477023.0655359998</v>
      </c>
      <c r="Q113" s="198" t="s">
        <v>986</v>
      </c>
      <c r="R113" s="158"/>
      <c r="S113" s="158"/>
      <c r="T113" s="158">
        <f>SUM(T105:T111)</f>
        <v>6416175.1620060001</v>
      </c>
      <c r="V113" s="198" t="s">
        <v>986</v>
      </c>
      <c r="W113" s="158"/>
      <c r="X113" s="158"/>
      <c r="Y113" s="158">
        <f>SUM(Y105:Y111)</f>
        <v>6669914.2425330002</v>
      </c>
      <c r="AA113" s="198" t="s">
        <v>986</v>
      </c>
      <c r="AB113" s="158"/>
      <c r="AC113" s="158"/>
      <c r="AD113" s="158">
        <f>SUM(AD105:AD111)</f>
        <v>7144831.7574420003</v>
      </c>
      <c r="AF113" s="198" t="s">
        <v>986</v>
      </c>
      <c r="AG113" s="158"/>
      <c r="AH113" s="158"/>
      <c r="AI113" s="158">
        <f>SUM(AI105:AI111)</f>
        <v>8139242.2192679998</v>
      </c>
      <c r="AK113" s="198" t="s">
        <v>986</v>
      </c>
      <c r="AL113" s="158"/>
      <c r="AM113" s="158"/>
      <c r="AN113" s="158">
        <f>SUM(AN105:AN111)</f>
        <v>7885947.1010730006</v>
      </c>
      <c r="AP113" s="198" t="s">
        <v>986</v>
      </c>
      <c r="AQ113" s="158"/>
      <c r="AR113" s="158"/>
      <c r="AS113" s="158">
        <f>SUM(AS105:AS111)</f>
        <v>7162194.4341520006</v>
      </c>
      <c r="AU113" s="198" t="s">
        <v>986</v>
      </c>
      <c r="AV113" s="158"/>
      <c r="AW113" s="158"/>
      <c r="AX113" s="158">
        <f>SUM(AX105:AX111)</f>
        <v>6212998.3282240005</v>
      </c>
      <c r="AZ113" s="198" t="s">
        <v>986</v>
      </c>
      <c r="BA113" s="158"/>
      <c r="BB113" s="158"/>
      <c r="BC113" s="158">
        <f>SUM(BC105:BC111)</f>
        <v>8349007.4821550008</v>
      </c>
      <c r="BE113" s="198" t="s">
        <v>986</v>
      </c>
      <c r="BF113" s="158"/>
      <c r="BG113" s="158"/>
      <c r="BH113" s="158">
        <f>SUM(BH105:BH111)</f>
        <v>9475049.6285999995</v>
      </c>
      <c r="BJ113" s="198" t="s">
        <v>986</v>
      </c>
      <c r="BK113" s="148"/>
      <c r="BL113" s="216">
        <f t="shared" si="13"/>
        <v>91190484.186253011</v>
      </c>
    </row>
    <row r="114" spans="1:64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148"/>
      <c r="BL114" s="216"/>
    </row>
    <row r="115" spans="1:64" customFormat="1" x14ac:dyDescent="0.25">
      <c r="B115" s="157" t="s">
        <v>987</v>
      </c>
      <c r="C115" s="201"/>
      <c r="D115" s="158"/>
      <c r="E115" s="158">
        <v>-10782</v>
      </c>
      <c r="G115" s="157" t="s">
        <v>987</v>
      </c>
      <c r="H115" s="201"/>
      <c r="I115" s="158"/>
      <c r="J115" s="158">
        <v>-10770</v>
      </c>
      <c r="L115" s="157" t="s">
        <v>987</v>
      </c>
      <c r="M115" s="201"/>
      <c r="N115" s="158"/>
      <c r="O115" s="158">
        <v>-10761</v>
      </c>
      <c r="Q115" s="157" t="s">
        <v>987</v>
      </c>
      <c r="R115" s="201"/>
      <c r="S115" s="158"/>
      <c r="T115" s="158">
        <v>-10920</v>
      </c>
      <c r="V115" s="157" t="s">
        <v>987</v>
      </c>
      <c r="W115" s="201"/>
      <c r="X115" s="158"/>
      <c r="Y115" s="158">
        <v>-10908</v>
      </c>
      <c r="AA115" s="157" t="s">
        <v>987</v>
      </c>
      <c r="AB115" s="201"/>
      <c r="AC115" s="158"/>
      <c r="AD115" s="158">
        <v>-10908</v>
      </c>
      <c r="AF115" s="157" t="s">
        <v>987</v>
      </c>
      <c r="AG115" s="201"/>
      <c r="AH115" s="158"/>
      <c r="AI115" s="158">
        <v>-10908</v>
      </c>
      <c r="AK115" s="157" t="s">
        <v>987</v>
      </c>
      <c r="AL115" s="201"/>
      <c r="AM115" s="158"/>
      <c r="AN115" s="158">
        <v>-10868</v>
      </c>
      <c r="AP115" s="157" t="s">
        <v>987</v>
      </c>
      <c r="AQ115" s="201"/>
      <c r="AR115" s="158"/>
      <c r="AS115" s="158">
        <v>-10829</v>
      </c>
      <c r="AU115" s="157" t="s">
        <v>987</v>
      </c>
      <c r="AV115" s="201"/>
      <c r="AW115" s="158"/>
      <c r="AX115" s="158">
        <v>-10805</v>
      </c>
      <c r="AZ115" s="157" t="s">
        <v>987</v>
      </c>
      <c r="BA115" s="201"/>
      <c r="BB115" s="158"/>
      <c r="BC115" s="158">
        <v>-10804</v>
      </c>
      <c r="BE115" s="157" t="s">
        <v>987</v>
      </c>
      <c r="BF115" s="201"/>
      <c r="BG115" s="158"/>
      <c r="BH115" s="158">
        <v>-10786</v>
      </c>
      <c r="BJ115" s="157" t="s">
        <v>987</v>
      </c>
      <c r="BK115" s="148"/>
      <c r="BL115" s="216">
        <f t="shared" si="13"/>
        <v>-130049</v>
      </c>
    </row>
    <row r="116" spans="1:64" x14ac:dyDescent="0.25">
      <c r="A116"/>
      <c r="B116" s="157" t="s">
        <v>988</v>
      </c>
      <c r="C116" s="176"/>
      <c r="D116" s="168"/>
      <c r="E116" s="210">
        <v>-1798</v>
      </c>
      <c r="F116" s="210"/>
      <c r="G116" s="163" t="s">
        <v>988</v>
      </c>
      <c r="H116" s="211"/>
      <c r="I116" s="209"/>
      <c r="J116" s="210">
        <v>-1547</v>
      </c>
      <c r="K116" s="210"/>
      <c r="L116" s="163" t="s">
        <v>988</v>
      </c>
      <c r="M116" s="211"/>
      <c r="N116" s="209"/>
      <c r="O116" s="210">
        <v>-1634</v>
      </c>
      <c r="P116" s="21"/>
      <c r="Q116" s="163" t="s">
        <v>988</v>
      </c>
      <c r="R116" s="211"/>
      <c r="S116" s="209"/>
      <c r="T116" s="210">
        <v>-1663</v>
      </c>
      <c r="V116" s="163" t="s">
        <v>988</v>
      </c>
      <c r="W116" s="211"/>
      <c r="X116" s="209"/>
      <c r="Y116" s="210">
        <v>-1720</v>
      </c>
      <c r="AA116" s="163" t="s">
        <v>988</v>
      </c>
      <c r="AB116" s="211"/>
      <c r="AC116" s="209"/>
      <c r="AD116" s="210">
        <v>-2066</v>
      </c>
      <c r="AF116" s="163" t="s">
        <v>988</v>
      </c>
      <c r="AG116" s="211"/>
      <c r="AH116" s="209"/>
      <c r="AI116" s="210">
        <v>-2031</v>
      </c>
      <c r="AK116" s="163" t="s">
        <v>988</v>
      </c>
      <c r="AL116" s="211"/>
      <c r="AM116" s="209"/>
      <c r="AN116" s="210">
        <v>-1974</v>
      </c>
      <c r="AP116" s="163" t="s">
        <v>988</v>
      </c>
      <c r="AQ116" s="211"/>
      <c r="AR116" s="209"/>
      <c r="AS116" s="210">
        <v>-1677</v>
      </c>
      <c r="AU116" s="163" t="s">
        <v>988</v>
      </c>
      <c r="AV116" s="211"/>
      <c r="AW116" s="209"/>
      <c r="AX116" s="210">
        <v>-1744</v>
      </c>
      <c r="AZ116" s="163" t="s">
        <v>988</v>
      </c>
      <c r="BA116" s="211"/>
      <c r="BB116" s="209"/>
      <c r="BC116" s="210">
        <v>-1902</v>
      </c>
      <c r="BE116" s="163" t="s">
        <v>988</v>
      </c>
      <c r="BF116" s="211"/>
      <c r="BG116" s="209"/>
      <c r="BH116" s="210">
        <v>-2136</v>
      </c>
      <c r="BJ116" s="163" t="s">
        <v>988</v>
      </c>
      <c r="BK116" s="148"/>
      <c r="BL116" s="216">
        <f t="shared" si="13"/>
        <v>-21892</v>
      </c>
    </row>
    <row r="117" spans="1:64" x14ac:dyDescent="0.25">
      <c r="A117"/>
      <c r="B117" s="157" t="s">
        <v>989</v>
      </c>
      <c r="C117" s="167">
        <v>14000</v>
      </c>
      <c r="D117" s="168"/>
      <c r="E117" s="209">
        <v>350</v>
      </c>
      <c r="F117" s="210"/>
      <c r="G117" s="163" t="s">
        <v>989</v>
      </c>
      <c r="H117" s="212">
        <v>14000</v>
      </c>
      <c r="I117" s="209"/>
      <c r="J117" s="209">
        <v>350</v>
      </c>
      <c r="K117" s="210"/>
      <c r="L117" s="163" t="s">
        <v>989</v>
      </c>
      <c r="M117" s="212">
        <v>14000</v>
      </c>
      <c r="N117" s="209"/>
      <c r="O117" s="209">
        <v>365</v>
      </c>
      <c r="P117" s="21"/>
      <c r="Q117" s="163" t="s">
        <v>989</v>
      </c>
      <c r="R117" s="212">
        <v>14800</v>
      </c>
      <c r="S117" s="209"/>
      <c r="T117" s="209">
        <v>370</v>
      </c>
      <c r="V117" s="163" t="s">
        <v>989</v>
      </c>
      <c r="W117" s="212">
        <v>14800</v>
      </c>
      <c r="X117" s="209"/>
      <c r="Y117" s="209">
        <v>375</v>
      </c>
      <c r="AA117" s="163" t="s">
        <v>989</v>
      </c>
      <c r="AB117" s="212">
        <v>14800</v>
      </c>
      <c r="AC117" s="209"/>
      <c r="AD117" s="209">
        <v>355</v>
      </c>
      <c r="AF117" s="163" t="s">
        <v>989</v>
      </c>
      <c r="AG117" s="212">
        <v>14800</v>
      </c>
      <c r="AH117" s="209"/>
      <c r="AI117" s="209">
        <v>358</v>
      </c>
      <c r="AK117" s="163" t="s">
        <v>989</v>
      </c>
      <c r="AL117" s="212">
        <v>14800</v>
      </c>
      <c r="AM117" s="209"/>
      <c r="AN117" s="209">
        <v>355</v>
      </c>
      <c r="AP117" s="163" t="s">
        <v>989</v>
      </c>
      <c r="AQ117" s="212">
        <v>14800</v>
      </c>
      <c r="AR117" s="209"/>
      <c r="AS117" s="209">
        <v>355</v>
      </c>
      <c r="AU117" s="163" t="s">
        <v>989</v>
      </c>
      <c r="AV117" s="212">
        <v>14800</v>
      </c>
      <c r="AW117" s="209"/>
      <c r="AX117" s="209">
        <v>355</v>
      </c>
      <c r="AZ117" s="163" t="s">
        <v>989</v>
      </c>
      <c r="BA117" s="212">
        <v>14800</v>
      </c>
      <c r="BB117" s="209"/>
      <c r="BC117" s="209">
        <v>353</v>
      </c>
      <c r="BE117" s="163" t="s">
        <v>989</v>
      </c>
      <c r="BF117" s="212">
        <v>14800</v>
      </c>
      <c r="BG117" s="209"/>
      <c r="BH117" s="209">
        <v>358</v>
      </c>
      <c r="BJ117" s="163" t="s">
        <v>989</v>
      </c>
      <c r="BK117" s="148">
        <f t="shared" si="12"/>
        <v>175200</v>
      </c>
      <c r="BL117" s="216">
        <f t="shared" si="13"/>
        <v>4299</v>
      </c>
    </row>
    <row r="118" spans="1:64" x14ac:dyDescent="0.25">
      <c r="A118"/>
      <c r="B118" s="157" t="s">
        <v>991</v>
      </c>
      <c r="C118" s="167"/>
      <c r="D118" s="168"/>
      <c r="E118" s="207">
        <v>-134</v>
      </c>
      <c r="F118" s="149"/>
      <c r="G118" s="157" t="s">
        <v>991</v>
      </c>
      <c r="H118" s="167"/>
      <c r="I118" s="168"/>
      <c r="J118" s="207">
        <v>-144</v>
      </c>
      <c r="K118" s="149"/>
      <c r="L118" s="157" t="s">
        <v>991</v>
      </c>
      <c r="M118" s="167"/>
      <c r="N118" s="168"/>
      <c r="O118" s="207">
        <v>-141</v>
      </c>
      <c r="P118" s="21"/>
      <c r="Q118" s="157" t="s">
        <v>991</v>
      </c>
      <c r="R118" s="167"/>
      <c r="S118" s="168"/>
      <c r="T118" s="207">
        <v>-153</v>
      </c>
      <c r="V118" s="157" t="s">
        <v>991</v>
      </c>
      <c r="W118" s="167"/>
      <c r="X118" s="168"/>
      <c r="Y118" s="207">
        <v>-254</v>
      </c>
      <c r="AA118" s="157" t="s">
        <v>991</v>
      </c>
      <c r="AB118" s="167"/>
      <c r="AC118" s="168"/>
      <c r="AD118" s="207">
        <v>-257</v>
      </c>
      <c r="AF118" s="157" t="s">
        <v>991</v>
      </c>
      <c r="AG118" s="167"/>
      <c r="AH118" s="168"/>
      <c r="AI118" s="207">
        <v>-260</v>
      </c>
      <c r="AK118" s="157" t="s">
        <v>991</v>
      </c>
      <c r="AL118" s="167"/>
      <c r="AM118" s="168"/>
      <c r="AN118" s="207">
        <v>-350</v>
      </c>
      <c r="AP118" s="157" t="s">
        <v>991</v>
      </c>
      <c r="AQ118" s="167"/>
      <c r="AR118" s="168"/>
      <c r="AS118" s="207">
        <v>-297</v>
      </c>
      <c r="AU118" s="157" t="s">
        <v>991</v>
      </c>
      <c r="AV118" s="167"/>
      <c r="AW118" s="168"/>
      <c r="AX118" s="207">
        <v>-352</v>
      </c>
      <c r="AZ118" s="157" t="s">
        <v>991</v>
      </c>
      <c r="BA118" s="167"/>
      <c r="BB118" s="168"/>
      <c r="BC118" s="207">
        <v>-286</v>
      </c>
      <c r="BE118" s="157" t="s">
        <v>991</v>
      </c>
      <c r="BF118" s="167"/>
      <c r="BG118" s="168"/>
      <c r="BH118" s="207">
        <v>-177</v>
      </c>
      <c r="BJ118" s="157" t="s">
        <v>991</v>
      </c>
      <c r="BK118" s="148"/>
      <c r="BL118" s="213">
        <f t="shared" si="13"/>
        <v>-2805</v>
      </c>
    </row>
    <row r="119" spans="1:64" x14ac:dyDescent="0.25">
      <c r="D119" s="152"/>
      <c r="E119" s="152">
        <f>SUM(E115:E118)</f>
        <v>-12364</v>
      </c>
      <c r="F119" s="152"/>
      <c r="I119" s="152"/>
      <c r="J119" s="152">
        <f>SUM(J115:J118)</f>
        <v>-12111</v>
      </c>
      <c r="K119" s="152"/>
      <c r="N119" s="152"/>
      <c r="O119" s="152">
        <f>SUM(O115:O118)</f>
        <v>-12171</v>
      </c>
      <c r="P119" s="152"/>
      <c r="S119" s="152"/>
      <c r="T119" s="152">
        <f>SUM(T115:T118)</f>
        <v>-12366</v>
      </c>
      <c r="X119" s="152"/>
      <c r="Y119" s="152">
        <f>SUM(Y115:Y118)</f>
        <v>-12507</v>
      </c>
      <c r="AC119" s="152"/>
      <c r="AD119" s="152">
        <f>SUM(AD115:AD118)</f>
        <v>-12876</v>
      </c>
      <c r="AH119" s="152"/>
      <c r="AI119" s="152">
        <f>SUM(AI115:AI118)</f>
        <v>-12841</v>
      </c>
      <c r="AM119" s="152"/>
      <c r="AN119" s="152">
        <f>SUM(AN115:AN118)</f>
        <v>-12837</v>
      </c>
      <c r="AR119" s="152"/>
      <c r="AS119" s="152">
        <f>SUM(AS115:AS118)</f>
        <v>-12448</v>
      </c>
      <c r="AW119" s="152"/>
      <c r="AX119" s="152">
        <f>SUM(AX115:AX118)</f>
        <v>-12546</v>
      </c>
      <c r="BB119" s="152"/>
      <c r="BC119" s="152">
        <f>SUM(BC115:BC118)</f>
        <v>-12639</v>
      </c>
      <c r="BG119" s="152"/>
      <c r="BH119" s="152">
        <f>SUM(BH115:BH118)</f>
        <v>-12741</v>
      </c>
      <c r="BK119" s="148"/>
      <c r="BL119" s="216">
        <f t="shared" si="13"/>
        <v>-150447</v>
      </c>
    </row>
    <row r="120" spans="1:64" x14ac:dyDescent="0.25">
      <c r="B120" s="9"/>
      <c r="G120" s="9"/>
      <c r="L120" s="9"/>
      <c r="P120" s="33"/>
      <c r="Q120" s="9"/>
      <c r="V120" s="9"/>
      <c r="AA120" s="9"/>
      <c r="AF120" s="9"/>
      <c r="AK120" s="9"/>
      <c r="AP120" s="9"/>
      <c r="AU120" s="9"/>
      <c r="AZ120" s="9"/>
      <c r="BE120" s="9"/>
      <c r="BJ120" s="9"/>
      <c r="BK120" s="148"/>
      <c r="BL120" s="216"/>
    </row>
    <row r="121" spans="1:64" x14ac:dyDescent="0.25">
      <c r="B121" s="208" t="s">
        <v>990</v>
      </c>
      <c r="E121" s="33">
        <f>E113+E119</f>
        <v>9133657.3246989995</v>
      </c>
      <c r="G121" s="208" t="s">
        <v>990</v>
      </c>
      <c r="J121" s="33">
        <f>J113+J119</f>
        <v>8099968.4405650003</v>
      </c>
      <c r="L121" s="208" t="s">
        <v>990</v>
      </c>
      <c r="O121" s="33">
        <f>O113+O119</f>
        <v>6464852.0655359998</v>
      </c>
      <c r="Q121" s="208" t="s">
        <v>990</v>
      </c>
      <c r="T121" s="33">
        <f>T113+T119</f>
        <v>6403809.1620060001</v>
      </c>
      <c r="V121" s="208" t="s">
        <v>990</v>
      </c>
      <c r="Y121" s="33">
        <f>Y113+Y119</f>
        <v>6657407.2425330002</v>
      </c>
      <c r="AA121" s="208" t="s">
        <v>990</v>
      </c>
      <c r="AD121" s="33">
        <f>AD113+AD119</f>
        <v>7131955.7574420003</v>
      </c>
      <c r="AF121" s="208" t="s">
        <v>990</v>
      </c>
      <c r="AI121" s="33">
        <f>AI113+AI119</f>
        <v>8126401.2192679998</v>
      </c>
      <c r="AK121" s="208" t="s">
        <v>990</v>
      </c>
      <c r="AN121" s="33">
        <f>AN113+AN119</f>
        <v>7873110.1010730006</v>
      </c>
      <c r="AP121" s="208" t="s">
        <v>990</v>
      </c>
      <c r="AS121" s="33">
        <f>AS113+AS119</f>
        <v>7149746.4341520006</v>
      </c>
      <c r="AU121" s="208" t="s">
        <v>990</v>
      </c>
      <c r="AX121" s="33">
        <f>AX113+AX119</f>
        <v>6200452.3282240005</v>
      </c>
      <c r="AZ121" s="208" t="s">
        <v>990</v>
      </c>
      <c r="BC121" s="33">
        <f>BC113+BC119</f>
        <v>8336368.4821550008</v>
      </c>
      <c r="BE121" s="208" t="s">
        <v>990</v>
      </c>
      <c r="BH121" s="33">
        <f>BH113+BH119</f>
        <v>9462308.6285999995</v>
      </c>
      <c r="BJ121" s="208" t="s">
        <v>990</v>
      </c>
      <c r="BK121" s="148"/>
      <c r="BL121" s="216">
        <f t="shared" si="13"/>
        <v>91040037.186252996</v>
      </c>
    </row>
    <row r="123" spans="1:64" x14ac:dyDescent="0.25">
      <c r="C123" s="18"/>
      <c r="D123" s="38"/>
      <c r="E123" s="41"/>
      <c r="BJ123" s="9" t="s">
        <v>1100</v>
      </c>
      <c r="BL123" s="33">
        <f>BL121-BL111-BL116</f>
        <v>78468314.186252996</v>
      </c>
    </row>
    <row r="124" spans="1:64" x14ac:dyDescent="0.25">
      <c r="C124" s="18"/>
      <c r="D124" s="38"/>
      <c r="E124" s="41"/>
    </row>
    <row r="125" spans="1:64" x14ac:dyDescent="0.25">
      <c r="C125" s="18"/>
      <c r="D125" s="38"/>
      <c r="E125" s="41"/>
      <c r="BL125" s="33">
        <f>BL123-'Purchased Power'!BL131</f>
        <v>4221370.1862529963</v>
      </c>
    </row>
    <row r="126" spans="1:64" x14ac:dyDescent="0.25">
      <c r="C126" s="18"/>
      <c r="D126" s="38"/>
      <c r="E126" s="41"/>
    </row>
    <row r="127" spans="1:64" x14ac:dyDescent="0.25">
      <c r="C127" s="18"/>
      <c r="D127" s="38"/>
      <c r="E127" s="41"/>
    </row>
    <row r="128" spans="1:64" x14ac:dyDescent="0.25">
      <c r="C128" s="18"/>
      <c r="D128" s="38"/>
      <c r="E128" s="41"/>
    </row>
    <row r="129" spans="3:5" x14ac:dyDescent="0.25">
      <c r="C129" s="38"/>
      <c r="D129" s="38"/>
      <c r="E129" s="38"/>
    </row>
    <row r="130" spans="3:5" x14ac:dyDescent="0.25">
      <c r="C130" s="191"/>
      <c r="D130" s="38"/>
      <c r="E130" s="38"/>
    </row>
    <row r="131" spans="3:5" x14ac:dyDescent="0.25">
      <c r="C131" s="18"/>
      <c r="D131" s="38"/>
      <c r="E131" s="147"/>
    </row>
    <row r="132" spans="3:5" x14ac:dyDescent="0.25">
      <c r="C132" s="18"/>
      <c r="D132" s="38"/>
      <c r="E132" s="41"/>
    </row>
    <row r="133" spans="3:5" x14ac:dyDescent="0.25">
      <c r="C133" s="18"/>
      <c r="D133" s="38"/>
      <c r="E133" s="41"/>
    </row>
    <row r="134" spans="3:5" x14ac:dyDescent="0.25">
      <c r="C134" s="18"/>
      <c r="D134" s="38"/>
      <c r="E134" s="41"/>
    </row>
    <row r="135" spans="3:5" x14ac:dyDescent="0.25">
      <c r="C135" s="38"/>
      <c r="D135" s="38"/>
      <c r="E135" s="147"/>
    </row>
    <row r="136" spans="3:5" x14ac:dyDescent="0.25">
      <c r="C136" s="191"/>
      <c r="D136" s="38"/>
      <c r="E136" s="38"/>
    </row>
    <row r="137" spans="3:5" x14ac:dyDescent="0.25">
      <c r="C137" s="18"/>
      <c r="D137" s="41"/>
      <c r="E137" s="147"/>
    </row>
    <row r="138" spans="3:5" x14ac:dyDescent="0.25">
      <c r="C138" s="18"/>
      <c r="D138" s="41"/>
      <c r="E138" s="147"/>
    </row>
    <row r="139" spans="3:5" x14ac:dyDescent="0.25">
      <c r="C139" s="18"/>
      <c r="D139" s="41"/>
      <c r="E139" s="147"/>
    </row>
    <row r="140" spans="3:5" x14ac:dyDescent="0.25">
      <c r="C140" s="18"/>
      <c r="D140" s="41"/>
      <c r="E140" s="147"/>
    </row>
    <row r="141" spans="3:5" x14ac:dyDescent="0.25">
      <c r="C141" s="18"/>
      <c r="D141" s="41"/>
      <c r="E141" s="147"/>
    </row>
    <row r="142" spans="3:5" x14ac:dyDescent="0.25">
      <c r="C142" s="18"/>
      <c r="D142" s="41"/>
      <c r="E142" s="147"/>
    </row>
    <row r="143" spans="3:5" x14ac:dyDescent="0.25">
      <c r="C143" s="18"/>
      <c r="D143" s="41"/>
      <c r="E143" s="147"/>
    </row>
    <row r="144" spans="3:5" x14ac:dyDescent="0.25">
      <c r="C144" s="18"/>
      <c r="D144" s="41"/>
      <c r="E144" s="147"/>
    </row>
    <row r="145" spans="3:5" x14ac:dyDescent="0.25">
      <c r="C145" s="18"/>
      <c r="D145" s="41"/>
      <c r="E145" s="147"/>
    </row>
    <row r="146" spans="3:5" x14ac:dyDescent="0.25">
      <c r="C146" s="18"/>
      <c r="D146" s="41"/>
      <c r="E146" s="147"/>
    </row>
    <row r="147" spans="3:5" x14ac:dyDescent="0.25">
      <c r="C147" s="18"/>
      <c r="D147" s="41"/>
      <c r="E147" s="147"/>
    </row>
    <row r="148" spans="3:5" x14ac:dyDescent="0.25">
      <c r="C148" s="18"/>
      <c r="D148" s="41"/>
      <c r="E148" s="147"/>
    </row>
    <row r="149" spans="3:5" x14ac:dyDescent="0.25">
      <c r="C149" s="18"/>
      <c r="D149" s="41"/>
      <c r="E149" s="147"/>
    </row>
    <row r="150" spans="3:5" x14ac:dyDescent="0.25">
      <c r="C150" s="18"/>
      <c r="D150" s="41"/>
      <c r="E150" s="147"/>
    </row>
    <row r="151" spans="3:5" x14ac:dyDescent="0.25">
      <c r="C151" s="18"/>
      <c r="D151" s="41"/>
      <c r="E151" s="147"/>
    </row>
    <row r="152" spans="3:5" x14ac:dyDescent="0.25">
      <c r="C152" s="18"/>
      <c r="D152" s="41"/>
      <c r="E152" s="147"/>
    </row>
    <row r="153" spans="3:5" x14ac:dyDescent="0.25">
      <c r="C153" s="18"/>
      <c r="D153" s="41"/>
      <c r="E153" s="147"/>
    </row>
    <row r="154" spans="3:5" x14ac:dyDescent="0.25">
      <c r="C154" s="18"/>
      <c r="D154" s="41"/>
      <c r="E154" s="147"/>
    </row>
    <row r="155" spans="3:5" x14ac:dyDescent="0.25">
      <c r="C155" s="18"/>
      <c r="D155" s="41"/>
      <c r="E155" s="147"/>
    </row>
    <row r="156" spans="3:5" x14ac:dyDescent="0.25">
      <c r="C156" s="18"/>
      <c r="D156" s="41"/>
      <c r="E156" s="147"/>
    </row>
    <row r="157" spans="3:5" x14ac:dyDescent="0.25">
      <c r="C157" s="18"/>
      <c r="D157" s="41"/>
      <c r="E157" s="147"/>
    </row>
    <row r="158" spans="3:5" x14ac:dyDescent="0.25">
      <c r="C158" s="18"/>
      <c r="D158" s="41"/>
      <c r="E158" s="147"/>
    </row>
    <row r="159" spans="3:5" x14ac:dyDescent="0.25">
      <c r="C159" s="18"/>
      <c r="D159" s="41"/>
      <c r="E159" s="147"/>
    </row>
    <row r="160" spans="3:5" x14ac:dyDescent="0.25">
      <c r="C160" s="18"/>
      <c r="D160" s="41"/>
      <c r="E160" s="147"/>
    </row>
    <row r="161" spans="3:5" x14ac:dyDescent="0.25">
      <c r="C161" s="18"/>
      <c r="D161" s="41"/>
      <c r="E161" s="147"/>
    </row>
    <row r="162" spans="3:5" x14ac:dyDescent="0.25">
      <c r="C162" s="18"/>
      <c r="D162" s="41"/>
      <c r="E162" s="147"/>
    </row>
    <row r="163" spans="3:5" x14ac:dyDescent="0.25">
      <c r="C163" s="18"/>
      <c r="D163" s="41"/>
      <c r="E163" s="147"/>
    </row>
    <row r="164" spans="3:5" x14ac:dyDescent="0.25">
      <c r="C164" s="18"/>
      <c r="D164" s="41"/>
      <c r="E164" s="147"/>
    </row>
    <row r="165" spans="3:5" x14ac:dyDescent="0.25">
      <c r="C165" s="18"/>
      <c r="D165" s="41"/>
      <c r="E165" s="147"/>
    </row>
    <row r="166" spans="3:5" x14ac:dyDescent="0.25">
      <c r="C166" s="18"/>
      <c r="D166" s="41"/>
      <c r="E166" s="147"/>
    </row>
    <row r="167" spans="3:5" x14ac:dyDescent="0.25">
      <c r="C167" s="18"/>
      <c r="D167" s="41"/>
      <c r="E167" s="147"/>
    </row>
    <row r="168" spans="3:5" x14ac:dyDescent="0.25">
      <c r="C168" s="18"/>
      <c r="D168" s="41"/>
      <c r="E168" s="147"/>
    </row>
    <row r="169" spans="3:5" x14ac:dyDescent="0.25">
      <c r="C169" s="18"/>
      <c r="D169" s="41"/>
      <c r="E169" s="147"/>
    </row>
    <row r="170" spans="3:5" x14ac:dyDescent="0.25">
      <c r="C170" s="18"/>
      <c r="D170" s="41"/>
      <c r="E170" s="147"/>
    </row>
    <row r="171" spans="3:5" x14ac:dyDescent="0.25">
      <c r="C171" s="18"/>
      <c r="D171" s="41"/>
      <c r="E171" s="147"/>
    </row>
    <row r="172" spans="3:5" x14ac:dyDescent="0.25">
      <c r="C172" s="18"/>
      <c r="D172" s="41"/>
      <c r="E172" s="147"/>
    </row>
    <row r="173" spans="3:5" x14ac:dyDescent="0.25">
      <c r="C173" s="18"/>
      <c r="D173" s="41"/>
      <c r="E173" s="147"/>
    </row>
    <row r="174" spans="3:5" x14ac:dyDescent="0.25">
      <c r="C174" s="18"/>
      <c r="D174" s="41"/>
      <c r="E174" s="147"/>
    </row>
    <row r="175" spans="3:5" x14ac:dyDescent="0.25">
      <c r="C175" s="18"/>
      <c r="D175" s="41"/>
      <c r="E175" s="147"/>
    </row>
    <row r="176" spans="3:5" x14ac:dyDescent="0.25">
      <c r="C176" s="18"/>
      <c r="D176" s="41"/>
      <c r="E176" s="147"/>
    </row>
    <row r="177" spans="3:5" x14ac:dyDescent="0.25">
      <c r="C177" s="18"/>
      <c r="D177" s="38"/>
      <c r="E177" s="41"/>
    </row>
    <row r="178" spans="3:5" x14ac:dyDescent="0.25">
      <c r="C178" s="38"/>
      <c r="D178" s="38"/>
      <c r="E178" s="38"/>
    </row>
    <row r="179" spans="3:5" x14ac:dyDescent="0.25">
      <c r="C179" s="26"/>
      <c r="D179" s="38"/>
      <c r="E179" s="147"/>
    </row>
    <row r="180" spans="3:5" x14ac:dyDescent="0.25">
      <c r="C180" s="38"/>
      <c r="D180" s="38"/>
      <c r="E180" s="38"/>
    </row>
    <row r="181" spans="3:5" x14ac:dyDescent="0.25">
      <c r="C181" s="38"/>
      <c r="D181" s="38"/>
      <c r="E181" s="41"/>
    </row>
    <row r="182" spans="3:5" x14ac:dyDescent="0.25">
      <c r="C182" s="38"/>
      <c r="D182" s="38"/>
      <c r="E182" s="1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H27"/>
  <sheetViews>
    <sheetView topLeftCell="A7" zoomScale="140" zoomScaleNormal="140" workbookViewId="0">
      <selection activeCell="A10" sqref="A10:A26"/>
    </sheetView>
  </sheetViews>
  <sheetFormatPr defaultRowHeight="15" x14ac:dyDescent="0.25"/>
  <cols>
    <col min="1" max="1" width="9.140625" style="2"/>
    <col min="2" max="2" width="40.5703125" style="2" customWidth="1"/>
    <col min="3" max="3" width="11" style="2" customWidth="1"/>
    <col min="4" max="4" width="13.42578125" style="2" customWidth="1"/>
    <col min="5" max="5" width="17" style="2" customWidth="1"/>
    <col min="6" max="6" width="12.7109375" style="2" customWidth="1"/>
    <col min="7" max="16384" width="9.140625" style="2"/>
  </cols>
  <sheetData>
    <row r="1" spans="1:8" ht="18.75" x14ac:dyDescent="0.3">
      <c r="A1" s="36" t="s">
        <v>977</v>
      </c>
    </row>
    <row r="2" spans="1:8" x14ac:dyDescent="0.25">
      <c r="A2" s="9" t="s">
        <v>950</v>
      </c>
    </row>
    <row r="3" spans="1:8" x14ac:dyDescent="0.25">
      <c r="A3" s="146" t="s">
        <v>968</v>
      </c>
    </row>
    <row r="5" spans="1:8" x14ac:dyDescent="0.25">
      <c r="D5" s="14" t="s">
        <v>578</v>
      </c>
    </row>
    <row r="6" spans="1:8" x14ac:dyDescent="0.25">
      <c r="D6" s="14" t="s">
        <v>686</v>
      </c>
    </row>
    <row r="7" spans="1:8" x14ac:dyDescent="0.25">
      <c r="C7" s="14" t="s">
        <v>578</v>
      </c>
      <c r="D7" s="14" t="s">
        <v>581</v>
      </c>
      <c r="E7" s="14" t="s">
        <v>1</v>
      </c>
      <c r="F7" s="14" t="s">
        <v>213</v>
      </c>
    </row>
    <row r="8" spans="1:8" x14ac:dyDescent="0.25">
      <c r="C8" s="14" t="s">
        <v>580</v>
      </c>
      <c r="D8" s="14" t="s">
        <v>582</v>
      </c>
      <c r="E8" s="14" t="s">
        <v>582</v>
      </c>
      <c r="F8" s="14" t="s">
        <v>583</v>
      </c>
    </row>
    <row r="9" spans="1:8" x14ac:dyDescent="0.25">
      <c r="C9" s="17"/>
    </row>
    <row r="10" spans="1:8" x14ac:dyDescent="0.25">
      <c r="A10" s="7" t="s">
        <v>1000</v>
      </c>
      <c r="C10" s="17">
        <f>'Billing Det (Proforma)'!B8</f>
        <v>63432.666666666664</v>
      </c>
      <c r="D10" s="113">
        <v>196</v>
      </c>
      <c r="E10" s="16">
        <f>C10*D10</f>
        <v>12432802.666666666</v>
      </c>
      <c r="F10" s="24">
        <f>E10/$E$27</f>
        <v>0.66222728775714879</v>
      </c>
      <c r="H10" s="7"/>
    </row>
    <row r="11" spans="1:8" x14ac:dyDescent="0.25">
      <c r="C11" s="17"/>
      <c r="D11" s="113"/>
      <c r="E11" s="16"/>
      <c r="F11" s="24"/>
    </row>
    <row r="12" spans="1:8" x14ac:dyDescent="0.25">
      <c r="A12" s="7" t="s">
        <v>1002</v>
      </c>
      <c r="C12" s="17">
        <f>'Billing Det (Proforma)'!B10</f>
        <v>4551.166666666667</v>
      </c>
      <c r="D12" s="113">
        <v>1072</v>
      </c>
      <c r="E12" s="16">
        <f>C12*D12</f>
        <v>4878850.666666667</v>
      </c>
      <c r="F12" s="24">
        <f>E12/$E$27</f>
        <v>0.25986964733391499</v>
      </c>
      <c r="H12" s="7"/>
    </row>
    <row r="13" spans="1:8" x14ac:dyDescent="0.25">
      <c r="A13" s="7"/>
      <c r="C13" s="17"/>
      <c r="D13" s="113"/>
      <c r="E13" s="16"/>
      <c r="F13" s="24"/>
    </row>
    <row r="14" spans="1:8" x14ac:dyDescent="0.25">
      <c r="A14" s="7" t="s">
        <v>1004</v>
      </c>
      <c r="C14" s="17">
        <f>'Billing Det (Proforma)'!B12</f>
        <v>431.91666666666669</v>
      </c>
      <c r="D14" s="113">
        <v>2694</v>
      </c>
      <c r="E14" s="16">
        <f>C14*D14</f>
        <v>1163583.5</v>
      </c>
      <c r="F14" s="24">
        <f>E14/$E$27</f>
        <v>6.19777186160844E-2</v>
      </c>
      <c r="H14" s="1"/>
    </row>
    <row r="15" spans="1:8" x14ac:dyDescent="0.25">
      <c r="A15" s="7"/>
      <c r="C15" s="17"/>
      <c r="D15" s="113"/>
      <c r="E15" s="16"/>
      <c r="F15" s="24"/>
      <c r="H15" s="1"/>
    </row>
    <row r="16" spans="1:8" x14ac:dyDescent="0.25">
      <c r="A16" s="7" t="s">
        <v>1005</v>
      </c>
      <c r="C16" s="17">
        <f>'Billing Det (Proforma)'!B14</f>
        <v>165.66666666666666</v>
      </c>
      <c r="D16" s="113">
        <v>816</v>
      </c>
      <c r="E16" s="32">
        <f>C16*D16</f>
        <v>135184</v>
      </c>
      <c r="F16" s="24">
        <f>E16/$E$27</f>
        <v>7.2005111050446775E-3</v>
      </c>
      <c r="H16" s="1"/>
    </row>
    <row r="17" spans="1:8" x14ac:dyDescent="0.25">
      <c r="A17" s="7"/>
      <c r="C17" s="17"/>
      <c r="D17" s="113"/>
      <c r="E17" s="16"/>
      <c r="F17" s="24"/>
    </row>
    <row r="18" spans="1:8" x14ac:dyDescent="0.25">
      <c r="A18" s="7" t="s">
        <v>1006</v>
      </c>
      <c r="C18" s="17">
        <f>'Billing Det (Proforma)'!B16</f>
        <v>16.333333333333332</v>
      </c>
      <c r="D18" s="113">
        <v>2694</v>
      </c>
      <c r="E18" s="32">
        <f>C18*D18</f>
        <v>44002</v>
      </c>
      <c r="F18" s="24">
        <f>E18/$E$27</f>
        <v>2.3437454849995257E-3</v>
      </c>
      <c r="H18" s="1"/>
    </row>
    <row r="19" spans="1:8" x14ac:dyDescent="0.25">
      <c r="A19" s="7"/>
      <c r="C19" s="17"/>
      <c r="D19" s="113"/>
      <c r="E19" s="32"/>
      <c r="F19" s="24"/>
    </row>
    <row r="20" spans="1:8" x14ac:dyDescent="0.25">
      <c r="A20" s="7" t="s">
        <v>1007</v>
      </c>
      <c r="C20" s="17">
        <f>'Billing Det (Proforma)'!B18</f>
        <v>1</v>
      </c>
      <c r="D20" s="113">
        <v>12160</v>
      </c>
      <c r="E20" s="32">
        <f>C20*D20</f>
        <v>12160</v>
      </c>
      <c r="F20" s="24">
        <f>E20/$E$27</f>
        <v>6.4769658419149662E-4</v>
      </c>
      <c r="H20" s="1"/>
    </row>
    <row r="21" spans="1:8" x14ac:dyDescent="0.25">
      <c r="A21" s="7"/>
      <c r="C21" s="17"/>
      <c r="D21" s="113"/>
      <c r="E21" s="32"/>
      <c r="F21" s="24"/>
      <c r="H21" s="1"/>
    </row>
    <row r="22" spans="1:8" x14ac:dyDescent="0.25">
      <c r="A22" s="8" t="s">
        <v>1008</v>
      </c>
      <c r="C22" s="17">
        <f>'Billing Det (Proforma)'!B20</f>
        <v>2</v>
      </c>
      <c r="D22" s="113">
        <v>12160</v>
      </c>
      <c r="E22" s="16">
        <f>C22*D22</f>
        <v>24320</v>
      </c>
      <c r="F22" s="24">
        <f>E22/$E$27</f>
        <v>1.2953931683829932E-3</v>
      </c>
      <c r="H22" s="1"/>
    </row>
    <row r="23" spans="1:8" x14ac:dyDescent="0.25">
      <c r="A23" s="8"/>
      <c r="C23" s="17"/>
      <c r="D23" s="113"/>
      <c r="E23" s="32"/>
      <c r="F23" s="24"/>
    </row>
    <row r="24" spans="1:8" x14ac:dyDescent="0.25">
      <c r="A24" s="8" t="s">
        <v>1009</v>
      </c>
      <c r="C24" s="18">
        <f>'Billing Det (Proforma)'!B22</f>
        <v>8</v>
      </c>
      <c r="D24" s="225">
        <v>2165</v>
      </c>
      <c r="E24" s="226">
        <f>C24*D24</f>
        <v>17320</v>
      </c>
      <c r="F24" s="28">
        <f>E24/$E$27</f>
        <v>9.2254151629907243E-4</v>
      </c>
      <c r="H24" s="1"/>
    </row>
    <row r="25" spans="1:8" x14ac:dyDescent="0.25">
      <c r="A25" s="7"/>
    </row>
    <row r="26" spans="1:8" x14ac:dyDescent="0.25">
      <c r="A26" s="7" t="s">
        <v>865</v>
      </c>
      <c r="C26" s="19">
        <v>200</v>
      </c>
      <c r="D26" s="114">
        <v>330</v>
      </c>
      <c r="E26" s="34">
        <f>C26*D26</f>
        <v>66000</v>
      </c>
      <c r="F26" s="35">
        <f>E26/$E$27</f>
        <v>3.5154584339341095E-3</v>
      </c>
    </row>
    <row r="27" spans="1:8" x14ac:dyDescent="0.25">
      <c r="C27" s="20">
        <f>SUM(C10:C26)</f>
        <v>68808.75</v>
      </c>
      <c r="D27" s="20"/>
      <c r="E27" s="13">
        <f>SUM(E10:E26)</f>
        <v>18774222.833333332</v>
      </c>
      <c r="F27" s="24">
        <f>SUM(F10:F26)</f>
        <v>1</v>
      </c>
    </row>
  </sheetData>
  <phoneticPr fontId="0" type="noConversion"/>
  <pageMargins left="0.75" right="0.75" top="1" bottom="1" header="0.5" footer="0.5"/>
  <pageSetup scale="98" orientation="portrait" horizontalDpi="200" verticalDpi="20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F27"/>
  <sheetViews>
    <sheetView topLeftCell="A4" zoomScale="130" zoomScaleNormal="130" workbookViewId="0">
      <selection activeCell="A10" sqref="A10"/>
    </sheetView>
  </sheetViews>
  <sheetFormatPr defaultRowHeight="15" x14ac:dyDescent="0.25"/>
  <cols>
    <col min="1" max="1" width="9.140625" style="2"/>
    <col min="2" max="2" width="40.5703125" style="2" customWidth="1"/>
    <col min="3" max="3" width="11" style="2" customWidth="1"/>
    <col min="4" max="4" width="13.42578125" style="2" customWidth="1"/>
    <col min="5" max="5" width="17.28515625" style="2" customWidth="1"/>
    <col min="6" max="6" width="11.85546875" style="2" customWidth="1"/>
    <col min="7" max="16384" width="9.140625" style="2"/>
  </cols>
  <sheetData>
    <row r="1" spans="1:6" ht="18.75" x14ac:dyDescent="0.3">
      <c r="A1" s="36" t="s">
        <v>977</v>
      </c>
    </row>
    <row r="2" spans="1:6" x14ac:dyDescent="0.25">
      <c r="A2" s="9" t="s">
        <v>951</v>
      </c>
    </row>
    <row r="3" spans="1:6" x14ac:dyDescent="0.25">
      <c r="A3" s="146" t="s">
        <v>968</v>
      </c>
    </row>
    <row r="5" spans="1:6" x14ac:dyDescent="0.25">
      <c r="D5" s="14" t="s">
        <v>578</v>
      </c>
    </row>
    <row r="6" spans="1:6" x14ac:dyDescent="0.25">
      <c r="D6" s="14" t="s">
        <v>686</v>
      </c>
    </row>
    <row r="7" spans="1:6" x14ac:dyDescent="0.25">
      <c r="C7" s="14" t="s">
        <v>578</v>
      </c>
      <c r="D7" s="14" t="s">
        <v>675</v>
      </c>
      <c r="E7" s="14" t="s">
        <v>1</v>
      </c>
      <c r="F7" s="14" t="s">
        <v>213</v>
      </c>
    </row>
    <row r="8" spans="1:6" x14ac:dyDescent="0.25">
      <c r="C8" s="14" t="s">
        <v>580</v>
      </c>
      <c r="D8" s="14" t="s">
        <v>582</v>
      </c>
      <c r="E8" s="14" t="s">
        <v>582</v>
      </c>
      <c r="F8" s="14" t="s">
        <v>583</v>
      </c>
    </row>
    <row r="9" spans="1:6" x14ac:dyDescent="0.25">
      <c r="C9" s="17"/>
    </row>
    <row r="10" spans="1:6" x14ac:dyDescent="0.25">
      <c r="A10" s="7" t="s">
        <v>1000</v>
      </c>
      <c r="C10" s="17">
        <f>'Billing Det (Proforma)'!B8</f>
        <v>63432.666666666664</v>
      </c>
      <c r="D10" s="113">
        <v>1660</v>
      </c>
      <c r="E10" s="16">
        <f>C10*D10</f>
        <v>105298226.66666666</v>
      </c>
      <c r="F10" s="24">
        <f>E10/$E$27</f>
        <v>0.78748183534056104</v>
      </c>
    </row>
    <row r="11" spans="1:6" x14ac:dyDescent="0.25">
      <c r="C11" s="17"/>
      <c r="D11" s="113"/>
      <c r="E11" s="16"/>
      <c r="F11" s="24"/>
    </row>
    <row r="12" spans="1:6" x14ac:dyDescent="0.25">
      <c r="A12" s="7" t="s">
        <v>1002</v>
      </c>
      <c r="C12" s="17">
        <f>'Billing Det (Proforma)'!B10</f>
        <v>4551.166666666667</v>
      </c>
      <c r="D12" s="113">
        <v>2634</v>
      </c>
      <c r="E12" s="16">
        <f>C12*D12</f>
        <v>11987773</v>
      </c>
      <c r="F12" s="24">
        <f>E12/$E$27</f>
        <v>8.965159036884722E-2</v>
      </c>
    </row>
    <row r="13" spans="1:6" x14ac:dyDescent="0.25">
      <c r="A13" s="7"/>
      <c r="C13" s="17"/>
      <c r="D13" s="113"/>
      <c r="E13" s="16"/>
      <c r="F13" s="24"/>
    </row>
    <row r="14" spans="1:6" x14ac:dyDescent="0.25">
      <c r="A14" s="7" t="s">
        <v>1004</v>
      </c>
      <c r="C14" s="17">
        <f>'Billing Det (Proforma)'!B12</f>
        <v>431.91666666666669</v>
      </c>
      <c r="D14" s="113">
        <v>3471</v>
      </c>
      <c r="E14" s="16">
        <f>C14*D14</f>
        <v>1499182.75</v>
      </c>
      <c r="F14" s="24">
        <f>E14/$E$27</f>
        <v>1.1211767005518196E-2</v>
      </c>
    </row>
    <row r="15" spans="1:6" x14ac:dyDescent="0.25">
      <c r="A15" s="7"/>
      <c r="C15" s="17"/>
      <c r="D15" s="113"/>
      <c r="E15" s="16"/>
      <c r="F15" s="24"/>
    </row>
    <row r="16" spans="1:6" x14ac:dyDescent="0.25">
      <c r="A16" s="7" t="s">
        <v>1005</v>
      </c>
      <c r="C16" s="17">
        <f>'Billing Det (Proforma)'!B14</f>
        <v>165.66666666666666</v>
      </c>
      <c r="D16" s="113">
        <v>2854</v>
      </c>
      <c r="E16" s="32">
        <f>C16*D16</f>
        <v>472812.66666666663</v>
      </c>
      <c r="F16" s="24">
        <f>E16/$E$27</f>
        <v>3.5359701516872481E-3</v>
      </c>
    </row>
    <row r="17" spans="1:6" x14ac:dyDescent="0.25">
      <c r="A17" s="7"/>
      <c r="C17" s="17"/>
      <c r="D17" s="113"/>
      <c r="E17" s="16"/>
      <c r="F17" s="24"/>
    </row>
    <row r="18" spans="1:6" x14ac:dyDescent="0.25">
      <c r="A18" s="7" t="s">
        <v>1006</v>
      </c>
      <c r="C18" s="17">
        <f>'Billing Det (Proforma)'!B16</f>
        <v>16.333333333333332</v>
      </c>
      <c r="D18" s="113">
        <v>2854</v>
      </c>
      <c r="E18" s="32">
        <f>C18*D18</f>
        <v>46615.333333333328</v>
      </c>
      <c r="F18" s="24">
        <f>E18/$E$27</f>
        <v>3.4861677551846108E-4</v>
      </c>
    </row>
    <row r="19" spans="1:6" x14ac:dyDescent="0.25">
      <c r="A19" s="7"/>
      <c r="C19" s="17"/>
      <c r="D19" s="113"/>
      <c r="E19" s="32"/>
      <c r="F19" s="24"/>
    </row>
    <row r="20" spans="1:6" x14ac:dyDescent="0.25">
      <c r="A20" s="7" t="s">
        <v>1007</v>
      </c>
      <c r="C20" s="17">
        <f>'Billing Det (Proforma)'!B18</f>
        <v>1</v>
      </c>
      <c r="D20" s="113">
        <v>997</v>
      </c>
      <c r="E20" s="32">
        <f>C20*D20</f>
        <v>997</v>
      </c>
      <c r="F20" s="24">
        <f>E20/$E$27</f>
        <v>7.456150162147771E-6</v>
      </c>
    </row>
    <row r="21" spans="1:6" x14ac:dyDescent="0.25">
      <c r="A21" s="7"/>
      <c r="C21" s="17"/>
      <c r="D21" s="113"/>
      <c r="E21" s="32"/>
      <c r="F21" s="24"/>
    </row>
    <row r="22" spans="1:6" x14ac:dyDescent="0.25">
      <c r="A22" s="8" t="s">
        <v>1008</v>
      </c>
      <c r="C22" s="17">
        <f>'Billing Det (Proforma)'!B20</f>
        <v>2</v>
      </c>
      <c r="D22" s="113">
        <v>997</v>
      </c>
      <c r="E22" s="16">
        <f>C22*D22</f>
        <v>1994</v>
      </c>
      <c r="F22" s="24">
        <f>E22/$E$27</f>
        <v>1.4912300324295542E-5</v>
      </c>
    </row>
    <row r="23" spans="1:6" x14ac:dyDescent="0.25">
      <c r="A23" s="8"/>
      <c r="C23" s="17"/>
      <c r="D23" s="113"/>
      <c r="E23" s="32"/>
      <c r="F23" s="24"/>
    </row>
    <row r="24" spans="1:6" x14ac:dyDescent="0.25">
      <c r="A24" s="8" t="s">
        <v>1009</v>
      </c>
      <c r="C24" s="18">
        <f>'Billing Det (Proforma)'!B22</f>
        <v>8</v>
      </c>
      <c r="D24" s="225">
        <v>997</v>
      </c>
      <c r="E24" s="226">
        <f>C24*D24</f>
        <v>7976</v>
      </c>
      <c r="F24" s="28">
        <f>E24/$E$27</f>
        <v>5.9649201297182168E-5</v>
      </c>
    </row>
    <row r="25" spans="1:6" x14ac:dyDescent="0.25">
      <c r="A25" s="7"/>
    </row>
    <row r="26" spans="1:6" x14ac:dyDescent="0.25">
      <c r="A26" s="7" t="s">
        <v>865</v>
      </c>
      <c r="C26" s="19">
        <f>'Billing Det (Proforma)'!B24</f>
        <v>25306.75</v>
      </c>
      <c r="D26" s="114">
        <v>569</v>
      </c>
      <c r="E26" s="34">
        <f>C26*D26</f>
        <v>14399540.75</v>
      </c>
      <c r="F26" s="35">
        <f>E26/$E$27</f>
        <v>0.10768820270608419</v>
      </c>
    </row>
    <row r="27" spans="1:6" x14ac:dyDescent="0.25">
      <c r="C27" s="20">
        <f>SUM(C10:C26)</f>
        <v>93915.5</v>
      </c>
      <c r="D27" s="20"/>
      <c r="E27" s="13">
        <f>SUM(E10:E26)</f>
        <v>133715118.16666666</v>
      </c>
      <c r="F27" s="24">
        <f>SUM(F10:F26)</f>
        <v>0.99999999999999989</v>
      </c>
    </row>
  </sheetData>
  <phoneticPr fontId="0" type="noConversion"/>
  <pageMargins left="0.75" right="0.75" top="1" bottom="1" header="0.5" footer="0.5"/>
  <pageSetup scale="94"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96A25-0F55-4018-BC99-352196A1F9CA}">
  <dimension ref="A7:G26"/>
  <sheetViews>
    <sheetView tabSelected="1" workbookViewId="0">
      <selection activeCell="G8" sqref="G8"/>
    </sheetView>
  </sheetViews>
  <sheetFormatPr defaultRowHeight="15" x14ac:dyDescent="0.25"/>
  <cols>
    <col min="6" max="6" width="11.28515625" customWidth="1"/>
    <col min="7" max="7" width="11" customWidth="1"/>
  </cols>
  <sheetData>
    <row r="7" spans="1:7" x14ac:dyDescent="0.25">
      <c r="G7" s="232">
        <v>5.74E-2</v>
      </c>
    </row>
    <row r="8" spans="1:7" x14ac:dyDescent="0.25">
      <c r="F8" s="198" t="s">
        <v>1096</v>
      </c>
      <c r="G8" s="198" t="s">
        <v>1098</v>
      </c>
    </row>
    <row r="9" spans="1:7" x14ac:dyDescent="0.25">
      <c r="F9" s="231" t="s">
        <v>1097</v>
      </c>
      <c r="G9" s="231" t="s">
        <v>1097</v>
      </c>
    </row>
    <row r="10" spans="1:7" x14ac:dyDescent="0.25">
      <c r="A10" s="7" t="s">
        <v>1000</v>
      </c>
      <c r="F10" s="150">
        <v>12.82</v>
      </c>
      <c r="G10" s="104">
        <f>'Allocation ProForma'!F922</f>
        <v>26.413837429953006</v>
      </c>
    </row>
    <row r="11" spans="1:7" x14ac:dyDescent="0.25">
      <c r="A11" s="2"/>
    </row>
    <row r="12" spans="1:7" x14ac:dyDescent="0.25">
      <c r="A12" s="7" t="s">
        <v>1002</v>
      </c>
      <c r="F12" s="150">
        <v>23.79</v>
      </c>
      <c r="G12" s="104">
        <f>'Allocation ProForma'!G922</f>
        <v>40.345802908017816</v>
      </c>
    </row>
    <row r="13" spans="1:7" x14ac:dyDescent="0.25">
      <c r="A13" s="7"/>
    </row>
    <row r="14" spans="1:7" x14ac:dyDescent="0.25">
      <c r="A14" s="7" t="s">
        <v>1004</v>
      </c>
      <c r="F14" s="150">
        <v>50</v>
      </c>
      <c r="G14" s="104">
        <f>'Allocation ProForma'!H922</f>
        <v>71.061781449958914</v>
      </c>
    </row>
    <row r="15" spans="1:7" x14ac:dyDescent="0.25">
      <c r="A15" s="7"/>
    </row>
    <row r="16" spans="1:7" x14ac:dyDescent="0.25">
      <c r="A16" s="7" t="s">
        <v>1005</v>
      </c>
      <c r="F16" s="150">
        <v>50</v>
      </c>
      <c r="G16" s="104">
        <f>'Allocation ProForma'!I922</f>
        <v>37.17181910549273</v>
      </c>
    </row>
    <row r="17" spans="1:7" x14ac:dyDescent="0.25">
      <c r="A17" s="7"/>
    </row>
    <row r="18" spans="1:7" x14ac:dyDescent="0.25">
      <c r="A18" s="7" t="s">
        <v>1006</v>
      </c>
      <c r="F18" s="150">
        <v>83.02</v>
      </c>
      <c r="G18" s="104">
        <f>'Allocation ProForma'!J922</f>
        <v>72.016654715153294</v>
      </c>
    </row>
    <row r="19" spans="1:7" x14ac:dyDescent="0.25">
      <c r="A19" s="7"/>
    </row>
    <row r="20" spans="1:7" x14ac:dyDescent="0.25">
      <c r="A20" s="7" t="s">
        <v>1007</v>
      </c>
      <c r="F20" s="150">
        <v>142.85</v>
      </c>
      <c r="G20" s="104">
        <f>'Allocation ProForma'!K922</f>
        <v>226.61310860953861</v>
      </c>
    </row>
    <row r="21" spans="1:7" x14ac:dyDescent="0.25">
      <c r="A21" s="7"/>
    </row>
    <row r="22" spans="1:7" x14ac:dyDescent="0.25">
      <c r="A22" s="8" t="s">
        <v>1008</v>
      </c>
      <c r="F22" s="150">
        <v>142.85</v>
      </c>
      <c r="G22" s="104">
        <f>'Allocation ProForma'!L922</f>
        <v>160.84106670309828</v>
      </c>
    </row>
    <row r="23" spans="1:7" x14ac:dyDescent="0.25">
      <c r="A23" s="8"/>
    </row>
    <row r="24" spans="1:7" x14ac:dyDescent="0.25">
      <c r="A24" s="8" t="s">
        <v>1009</v>
      </c>
      <c r="F24" s="150">
        <v>145.86000000000001</v>
      </c>
      <c r="G24" s="104">
        <f>'Allocation ProForma'!M922</f>
        <v>48.581322778529774</v>
      </c>
    </row>
    <row r="25" spans="1:7" x14ac:dyDescent="0.25">
      <c r="A25" s="7"/>
    </row>
    <row r="26" spans="1:7" x14ac:dyDescent="0.25">
      <c r="A26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5237A-7C0C-4A82-ABB9-C02DCBC4A0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46E43E-A2FA-44E6-9BC9-F352A882D84A}">
  <ds:schemaRefs>
    <ds:schemaRef ds:uri="http://purl.org/dc/terms/"/>
    <ds:schemaRef ds:uri="0a97646d-5e46-4532-99d2-95b688ae3204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b9e1b56-1bc3-4bb6-83f9-6df8fea7da2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EA3340-5872-4062-AE4A-57B8EDA73F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Functional Assignment</vt:lpstr>
      <vt:lpstr>Allocation ProForma</vt:lpstr>
      <vt:lpstr>Summary of Returns</vt:lpstr>
      <vt:lpstr>Billing Det (Proforma)</vt:lpstr>
      <vt:lpstr>Purchased Power</vt:lpstr>
      <vt:lpstr>Proforma Purchased Power</vt:lpstr>
      <vt:lpstr>Meters</vt:lpstr>
      <vt:lpstr>Services</vt:lpstr>
      <vt:lpstr>Customer Charge Comparison</vt:lpstr>
      <vt:lpstr>'Allocation ProForma'!Print_Area</vt:lpstr>
      <vt:lpstr>'Billing Det (Proforma)'!Print_Area</vt:lpstr>
      <vt:lpstr>'Functional Assignment'!Print_Area</vt:lpstr>
      <vt:lpstr>'Purchased Power'!Print_Area</vt:lpstr>
      <vt:lpstr>'Allocation ProForma'!Print_Titles</vt:lpstr>
      <vt:lpstr>'Billing Det (Proforma)'!Print_Titles</vt:lpstr>
      <vt:lpstr>'Functional Assignment'!Print_Titles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Larry Feltner</cp:lastModifiedBy>
  <cp:lastPrinted>2021-11-11T20:25:42Z</cp:lastPrinted>
  <dcterms:created xsi:type="dcterms:W3CDTF">1999-02-10T22:20:33Z</dcterms:created>
  <dcterms:modified xsi:type="dcterms:W3CDTF">2021-12-14T18:49:37Z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  <property fmtid="{D5CDD505-2E9C-101B-9397-08002B2CF9AE}" pid="3" name="AuthorIds_UIVersion_4608">
    <vt:lpwstr>20</vt:lpwstr>
  </property>
</Properties>
</file>