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lients\7100 - South Kentucky Rural Electric Coop Corp\1610 - 2021 General Rate Adjustment\Drafts\Responses to Staff's First DR\Ready for Filing\"/>
    </mc:Choice>
  </mc:AlternateContent>
  <xr:revisionPtr revIDLastSave="0" documentId="8_{EA7F1A5C-A77E-4A32-A09F-C97529D909C3}" xr6:coauthVersionLast="45" xr6:coauthVersionMax="45" xr10:uidLastSave="{00000000-0000-0000-0000-000000000000}"/>
  <bookViews>
    <workbookView xWindow="-98" yWindow="-98" windowWidth="18841" windowHeight="13875" tabRatio="778" xr2:uid="{00000000-000D-0000-FFFF-FFFF00000000}"/>
  </bookViews>
  <sheets>
    <sheet name="Summary" sheetId="11" r:id="rId1"/>
    <sheet name="Res &amp; Farm" sheetId="19" r:id="rId2"/>
    <sheet name="Small Com" sheetId="32" r:id="rId3"/>
    <sheet name="LP" sheetId="33" r:id="rId4"/>
    <sheet name="Optional Power Service" sheetId="38" r:id="rId5"/>
    <sheet name="Residential ETS" sheetId="20" r:id="rId6"/>
    <sheet name="Small Commercial ETS" sheetId="34" r:id="rId7"/>
    <sheet name="LP-1" sheetId="35" r:id="rId8"/>
    <sheet name="LP-2" sheetId="28" r:id="rId9"/>
    <sheet name="LP-3" sheetId="27" r:id="rId10"/>
    <sheet name="Schools" sheetId="36" r:id="rId11"/>
    <sheet name="Lighting" sheetId="2" r:id="rId12"/>
  </sheets>
  <definedNames>
    <definedName name="_xlnm.Print_Area" localSheetId="11">Lighting!$A$1:$AM$87</definedName>
    <definedName name="_xlnm.Print_Area" localSheetId="3">LP!$A$1:$AQ$44</definedName>
    <definedName name="_xlnm.Print_Area" localSheetId="7">'LP-1'!$A$1:$AZ$45</definedName>
    <definedName name="_xlnm.Print_Area" localSheetId="8">'LP-2'!$A$1:$AZ$46</definedName>
    <definedName name="_xlnm.Print_Area" localSheetId="9">'LP-3'!$A$1:$AQ$45</definedName>
    <definedName name="_xlnm.Print_Area" localSheetId="4">'Optional Power Service'!$A$1:$AR$35</definedName>
    <definedName name="_xlnm.Print_Area" localSheetId="1">'Res &amp; Farm'!$A$1:$AR$58</definedName>
    <definedName name="_xlnm.Print_Area" localSheetId="5">'Residential ETS'!$A$1:$AR$50</definedName>
    <definedName name="_xlnm.Print_Area" localSheetId="10">Schools!$A$1:$AR$39</definedName>
    <definedName name="_xlnm.Print_Area" localSheetId="2">'Small Com'!$A$1:$AR$46</definedName>
    <definedName name="_xlnm.Print_Area" localSheetId="6">'Small Commercial ETS'!$A$1:$AR$37</definedName>
    <definedName name="_xlnm.Print_Area" localSheetId="0">Summary!$A$1:$R$20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11" l="1"/>
  <c r="M20" i="11"/>
  <c r="L20" i="11"/>
  <c r="B14" i="11"/>
  <c r="V14" i="20"/>
  <c r="B20" i="11"/>
  <c r="B19" i="11"/>
  <c r="B18" i="11"/>
  <c r="B17" i="11"/>
  <c r="B16" i="11"/>
  <c r="AD24" i="35"/>
  <c r="B15" i="11"/>
  <c r="Q41" i="20"/>
  <c r="B13" i="11"/>
  <c r="B12" i="11"/>
  <c r="B11" i="11"/>
  <c r="B10" i="11"/>
  <c r="AJ69" i="2"/>
  <c r="AD17" i="28"/>
  <c r="AD26" i="28"/>
  <c r="AH26" i="28"/>
  <c r="U40" i="28"/>
  <c r="V11" i="19"/>
  <c r="AE14" i="34"/>
  <c r="AE10" i="34"/>
  <c r="V14" i="34"/>
  <c r="V10" i="20"/>
  <c r="Y71" i="2"/>
  <c r="X69" i="2"/>
  <c r="N20" i="11" l="1"/>
  <c r="U71" i="2"/>
  <c r="T35" i="2" l="1"/>
  <c r="AF35" i="2" s="1"/>
  <c r="AL35" i="2" s="1"/>
  <c r="N35" i="2"/>
  <c r="S35" i="2" s="1"/>
  <c r="M35" i="2"/>
  <c r="R35" i="2" s="1"/>
  <c r="K35" i="2"/>
  <c r="F35" i="2"/>
  <c r="O35" i="2" s="1"/>
  <c r="T34" i="2"/>
  <c r="AF34" i="2" s="1"/>
  <c r="AL34" i="2" s="1"/>
  <c r="N34" i="2"/>
  <c r="S34" i="2" s="1"/>
  <c r="M34" i="2"/>
  <c r="R34" i="2" s="1"/>
  <c r="K34" i="2"/>
  <c r="F34" i="2"/>
  <c r="O34" i="2" s="1"/>
  <c r="T23" i="2"/>
  <c r="AF23" i="2" s="1"/>
  <c r="AL23" i="2" s="1"/>
  <c r="N23" i="2"/>
  <c r="S23" i="2" s="1"/>
  <c r="M23" i="2"/>
  <c r="R23" i="2" s="1"/>
  <c r="K23" i="2"/>
  <c r="F23" i="2"/>
  <c r="T22" i="2"/>
  <c r="AF22" i="2" s="1"/>
  <c r="AL22" i="2" s="1"/>
  <c r="N22" i="2"/>
  <c r="S22" i="2" s="1"/>
  <c r="AE22" i="2" s="1"/>
  <c r="AK22" i="2" s="1"/>
  <c r="M22" i="2"/>
  <c r="R22" i="2" s="1"/>
  <c r="K22" i="2"/>
  <c r="F22" i="2"/>
  <c r="T21" i="2"/>
  <c r="AF21" i="2" s="1"/>
  <c r="AL21" i="2" s="1"/>
  <c r="N21" i="2"/>
  <c r="S21" i="2" s="1"/>
  <c r="M21" i="2"/>
  <c r="R21" i="2" s="1"/>
  <c r="K21" i="2"/>
  <c r="F21" i="2"/>
  <c r="AF20" i="2"/>
  <c r="AL20" i="2" s="1"/>
  <c r="T20" i="2"/>
  <c r="S20" i="2"/>
  <c r="AE20" i="2" s="1"/>
  <c r="AK20" i="2" s="1"/>
  <c r="N20" i="2"/>
  <c r="M20" i="2"/>
  <c r="R20" i="2" s="1"/>
  <c r="K20" i="2"/>
  <c r="F20" i="2"/>
  <c r="T44" i="2"/>
  <c r="AF44" i="2" s="1"/>
  <c r="AL44" i="2" s="1"/>
  <c r="N44" i="2"/>
  <c r="S44" i="2" s="1"/>
  <c r="M44" i="2"/>
  <c r="R44" i="2" s="1"/>
  <c r="K44" i="2"/>
  <c r="F44" i="2"/>
  <c r="T43" i="2"/>
  <c r="AF43" i="2" s="1"/>
  <c r="AL43" i="2" s="1"/>
  <c r="N43" i="2"/>
  <c r="S43" i="2" s="1"/>
  <c r="M43" i="2"/>
  <c r="R43" i="2" s="1"/>
  <c r="K43" i="2"/>
  <c r="F43" i="2"/>
  <c r="T42" i="2"/>
  <c r="AF42" i="2" s="1"/>
  <c r="AL42" i="2" s="1"/>
  <c r="N42" i="2"/>
  <c r="S42" i="2" s="1"/>
  <c r="M42" i="2"/>
  <c r="R42" i="2" s="1"/>
  <c r="K42" i="2"/>
  <c r="F42" i="2"/>
  <c r="T41" i="2"/>
  <c r="AF41" i="2" s="1"/>
  <c r="AL41" i="2" s="1"/>
  <c r="N41" i="2"/>
  <c r="S41" i="2" s="1"/>
  <c r="AE41" i="2" s="1"/>
  <c r="AK41" i="2" s="1"/>
  <c r="M41" i="2"/>
  <c r="R41" i="2" s="1"/>
  <c r="K41" i="2"/>
  <c r="F41" i="2"/>
  <c r="T27" i="2"/>
  <c r="AF27" i="2" s="1"/>
  <c r="AL27" i="2" s="1"/>
  <c r="N27" i="2"/>
  <c r="S27" i="2" s="1"/>
  <c r="Y27" i="2" s="1"/>
  <c r="M27" i="2"/>
  <c r="R27" i="2" s="1"/>
  <c r="K27" i="2"/>
  <c r="F27" i="2"/>
  <c r="AI17" i="36"/>
  <c r="Z17" i="36"/>
  <c r="V17" i="36"/>
  <c r="AH29" i="27"/>
  <c r="Y28" i="27"/>
  <c r="U28" i="27"/>
  <c r="AD24" i="27"/>
  <c r="AD20" i="27"/>
  <c r="AD19" i="27"/>
  <c r="AD18" i="27"/>
  <c r="AD13" i="27"/>
  <c r="AD12" i="27"/>
  <c r="AD11" i="27"/>
  <c r="U19" i="27"/>
  <c r="U18" i="27"/>
  <c r="U17" i="27"/>
  <c r="U26" i="27"/>
  <c r="Y26" i="27"/>
  <c r="U23" i="27"/>
  <c r="AD22" i="28"/>
  <c r="AM22" i="28" s="1"/>
  <c r="AD21" i="28"/>
  <c r="AM21" i="28" s="1"/>
  <c r="U27" i="28"/>
  <c r="U26" i="28"/>
  <c r="Y26" i="28"/>
  <c r="Z16" i="34"/>
  <c r="AI16" i="34" s="1"/>
  <c r="V16" i="34"/>
  <c r="AQ26" i="35"/>
  <c r="AH27" i="35"/>
  <c r="AD27" i="35"/>
  <c r="Z17" i="20"/>
  <c r="AI16" i="20" s="1"/>
  <c r="V17" i="20"/>
  <c r="AI16" i="38"/>
  <c r="Z16" i="38"/>
  <c r="V16" i="38"/>
  <c r="AH21" i="33"/>
  <c r="Y21" i="33"/>
  <c r="U21" i="33"/>
  <c r="AI17" i="32"/>
  <c r="Z16" i="32"/>
  <c r="Z18" i="32" s="1"/>
  <c r="V16" i="32"/>
  <c r="AI17" i="19"/>
  <c r="Z18" i="19"/>
  <c r="V18" i="19"/>
  <c r="AE14" i="36"/>
  <c r="AE10" i="36"/>
  <c r="V14" i="36"/>
  <c r="AM17" i="28"/>
  <c r="AM12" i="28"/>
  <c r="AM11" i="28"/>
  <c r="AD31" i="28"/>
  <c r="AV12" i="35"/>
  <c r="AM23" i="35"/>
  <c r="AM18" i="35"/>
  <c r="AM17" i="35"/>
  <c r="AM12" i="35"/>
  <c r="AM11" i="35"/>
  <c r="AD18" i="35"/>
  <c r="AD17" i="35"/>
  <c r="AE14" i="20"/>
  <c r="AE10" i="20"/>
  <c r="AE14" i="38"/>
  <c r="AE10" i="38"/>
  <c r="V14" i="38"/>
  <c r="AD19" i="33"/>
  <c r="AD15" i="33"/>
  <c r="AD11" i="33"/>
  <c r="U31" i="33"/>
  <c r="L31" i="33"/>
  <c r="U15" i="33"/>
  <c r="U19" i="33"/>
  <c r="AE15" i="19"/>
  <c r="AE11" i="19"/>
  <c r="AE10" i="19"/>
  <c r="V15" i="19"/>
  <c r="AE15" i="32"/>
  <c r="AE10" i="32"/>
  <c r="V14" i="32"/>
  <c r="O23" i="2" l="1"/>
  <c r="Y35" i="2"/>
  <c r="AE35" i="2"/>
  <c r="AK35" i="2" s="1"/>
  <c r="X35" i="2"/>
  <c r="AA35" i="2" s="1"/>
  <c r="U35" i="2"/>
  <c r="AD35" i="2"/>
  <c r="X34" i="2"/>
  <c r="AA34" i="2" s="1"/>
  <c r="U34" i="2"/>
  <c r="AD34" i="2"/>
  <c r="Y34" i="2"/>
  <c r="AE34" i="2"/>
  <c r="AK34" i="2" s="1"/>
  <c r="O20" i="2"/>
  <c r="O43" i="2"/>
  <c r="O44" i="2"/>
  <c r="O22" i="2"/>
  <c r="O21" i="2"/>
  <c r="Y23" i="2"/>
  <c r="AE23" i="2"/>
  <c r="AK23" i="2" s="1"/>
  <c r="X21" i="2"/>
  <c r="AA21" i="2" s="1"/>
  <c r="U21" i="2"/>
  <c r="AD21" i="2"/>
  <c r="AD20" i="2"/>
  <c r="X20" i="2"/>
  <c r="AA20" i="2" s="1"/>
  <c r="U20" i="2"/>
  <c r="Y21" i="2"/>
  <c r="AE21" i="2"/>
  <c r="AK21" i="2" s="1"/>
  <c r="AD22" i="2"/>
  <c r="X22" i="2"/>
  <c r="AA22" i="2" s="1"/>
  <c r="U22" i="2"/>
  <c r="X23" i="2"/>
  <c r="AA23" i="2" s="1"/>
  <c r="U23" i="2"/>
  <c r="AD23" i="2"/>
  <c r="Y20" i="2"/>
  <c r="Y22" i="2"/>
  <c r="O41" i="2"/>
  <c r="O42" i="2"/>
  <c r="O27" i="2"/>
  <c r="AE43" i="2"/>
  <c r="AK43" i="2" s="1"/>
  <c r="Y43" i="2"/>
  <c r="Y41" i="2"/>
  <c r="Y44" i="2"/>
  <c r="AE44" i="2"/>
  <c r="AK44" i="2" s="1"/>
  <c r="X44" i="2"/>
  <c r="AA44" i="2" s="1"/>
  <c r="U44" i="2"/>
  <c r="AD44" i="2"/>
  <c r="AE42" i="2"/>
  <c r="AK42" i="2" s="1"/>
  <c r="Y42" i="2"/>
  <c r="X43" i="2"/>
  <c r="AA43" i="2" s="1"/>
  <c r="U43" i="2"/>
  <c r="AD43" i="2"/>
  <c r="X41" i="2"/>
  <c r="AA41" i="2" s="1"/>
  <c r="U41" i="2"/>
  <c r="AD41" i="2"/>
  <c r="AD42" i="2"/>
  <c r="X42" i="2"/>
  <c r="AA42" i="2" s="1"/>
  <c r="U42" i="2"/>
  <c r="X27" i="2"/>
  <c r="AA27" i="2" s="1"/>
  <c r="U27" i="2"/>
  <c r="AD27" i="2"/>
  <c r="AE27" i="2"/>
  <c r="AK27" i="2" s="1"/>
  <c r="AH27" i="27"/>
  <c r="AF24" i="27"/>
  <c r="AF13" i="27"/>
  <c r="AF12" i="27"/>
  <c r="AF11" i="27"/>
  <c r="AX22" i="28"/>
  <c r="AX21" i="28"/>
  <c r="AO22" i="28"/>
  <c r="AO21" i="28"/>
  <c r="AQ39" i="28"/>
  <c r="AZ30" i="28"/>
  <c r="AV22" i="28"/>
  <c r="AV21" i="28"/>
  <c r="AV17" i="28"/>
  <c r="AZ17" i="28" s="1"/>
  <c r="AV12" i="28"/>
  <c r="AZ12" i="28" s="1"/>
  <c r="AV11" i="28"/>
  <c r="AZ11" i="28" s="1"/>
  <c r="AX23" i="35"/>
  <c r="AZ23" i="35" s="1"/>
  <c r="AZ39" i="35"/>
  <c r="AZ30" i="35"/>
  <c r="AZ26" i="35"/>
  <c r="AV23" i="35"/>
  <c r="AX18" i="35"/>
  <c r="AX19" i="35" s="1"/>
  <c r="AV18" i="35"/>
  <c r="AV17" i="35"/>
  <c r="AZ17" i="35" s="1"/>
  <c r="AZ12" i="35"/>
  <c r="AV11" i="35"/>
  <c r="AZ11" i="35" s="1"/>
  <c r="AO23" i="35"/>
  <c r="AQ39" i="35"/>
  <c r="AR23" i="34"/>
  <c r="AR19" i="34"/>
  <c r="AR16" i="34"/>
  <c r="AN14" i="34"/>
  <c r="AR14" i="34" s="1"/>
  <c r="AG14" i="20"/>
  <c r="AR30" i="20"/>
  <c r="AR28" i="20"/>
  <c r="AR20" i="20"/>
  <c r="AR16" i="20"/>
  <c r="AN14" i="20"/>
  <c r="AR14" i="20" s="1"/>
  <c r="AN10" i="20"/>
  <c r="AR10" i="20" s="1"/>
  <c r="AJ35" i="2" l="1"/>
  <c r="AM35" i="2" s="1"/>
  <c r="AG35" i="2"/>
  <c r="AJ34" i="2"/>
  <c r="AM34" i="2" s="1"/>
  <c r="AG34" i="2"/>
  <c r="AJ23" i="2"/>
  <c r="AM23" i="2" s="1"/>
  <c r="AG23" i="2"/>
  <c r="AG20" i="2"/>
  <c r="AJ20" i="2"/>
  <c r="AM20" i="2" s="1"/>
  <c r="AG21" i="2"/>
  <c r="AJ21" i="2"/>
  <c r="AM21" i="2" s="1"/>
  <c r="AG22" i="2"/>
  <c r="AJ22" i="2"/>
  <c r="AM22" i="2" s="1"/>
  <c r="AJ44" i="2"/>
  <c r="AM44" i="2" s="1"/>
  <c r="AG44" i="2"/>
  <c r="AG42" i="2"/>
  <c r="AJ42" i="2"/>
  <c r="AM42" i="2" s="1"/>
  <c r="AJ41" i="2"/>
  <c r="AM41" i="2" s="1"/>
  <c r="AG41" i="2"/>
  <c r="AJ43" i="2"/>
  <c r="AM43" i="2" s="1"/>
  <c r="AG43" i="2"/>
  <c r="AJ27" i="2"/>
  <c r="AM27" i="2" s="1"/>
  <c r="AG27" i="2"/>
  <c r="AZ22" i="28"/>
  <c r="AR18" i="20"/>
  <c r="AR22" i="20" s="1"/>
  <c r="AR32" i="20" s="1"/>
  <c r="AZ13" i="28"/>
  <c r="AZ13" i="35"/>
  <c r="AZ21" i="28"/>
  <c r="AZ18" i="35"/>
  <c r="AZ19" i="35" s="1"/>
  <c r="AZ23" i="28" l="1"/>
  <c r="AZ28" i="35"/>
  <c r="AZ32" i="35" s="1"/>
  <c r="P16" i="11" s="1"/>
  <c r="P14" i="11"/>
  <c r="Z21" i="36"/>
  <c r="T228" i="36"/>
  <c r="T195" i="36"/>
  <c r="T162" i="36"/>
  <c r="T129" i="36"/>
  <c r="T96" i="36"/>
  <c r="T63" i="36"/>
  <c r="Z14" i="36"/>
  <c r="Z10" i="36"/>
  <c r="Y32" i="27"/>
  <c r="Y23" i="27"/>
  <c r="Y19" i="27"/>
  <c r="Y18" i="27"/>
  <c r="Y17" i="27"/>
  <c r="W20" i="27"/>
  <c r="Y13" i="27"/>
  <c r="Y12" i="27"/>
  <c r="Y11" i="27"/>
  <c r="AH30" i="28"/>
  <c r="AH22" i="28"/>
  <c r="AH17" i="28"/>
  <c r="AH12" i="28"/>
  <c r="AH11" i="28"/>
  <c r="AH31" i="35"/>
  <c r="AH24" i="35"/>
  <c r="AF19" i="35"/>
  <c r="AH18" i="35"/>
  <c r="AH17" i="35"/>
  <c r="AH12" i="35"/>
  <c r="AH11" i="35"/>
  <c r="Z22" i="34"/>
  <c r="Z14" i="34"/>
  <c r="AN10" i="34"/>
  <c r="AR10" i="34" s="1"/>
  <c r="AR21" i="34" s="1"/>
  <c r="AR25" i="34" s="1"/>
  <c r="P15" i="11" s="1"/>
  <c r="T228" i="34"/>
  <c r="T195" i="34"/>
  <c r="T162" i="34"/>
  <c r="T129" i="34"/>
  <c r="T96" i="34"/>
  <c r="T63" i="34"/>
  <c r="Z18" i="34"/>
  <c r="Z10" i="34" l="1"/>
  <c r="Z20" i="34" s="1"/>
  <c r="Z24" i="34" s="1"/>
  <c r="Y20" i="27"/>
  <c r="Y14" i="27"/>
  <c r="Y30" i="27" s="1"/>
  <c r="Y34" i="27" s="1"/>
  <c r="L18" i="11" s="1"/>
  <c r="AH13" i="35"/>
  <c r="Z19" i="36"/>
  <c r="Z23" i="36" s="1"/>
  <c r="L19" i="11" s="1"/>
  <c r="AH13" i="28"/>
  <c r="AD23" i="28"/>
  <c r="AH21" i="28"/>
  <c r="AH23" i="28" s="1"/>
  <c r="AH19" i="35"/>
  <c r="AQ26" i="28" l="1"/>
  <c r="AZ26" i="28"/>
  <c r="AZ28" i="28" s="1"/>
  <c r="AZ32" i="28" s="1"/>
  <c r="P17" i="11" s="1"/>
  <c r="L15" i="11"/>
  <c r="AH29" i="35"/>
  <c r="AH33" i="35" s="1"/>
  <c r="L16" i="11" s="1"/>
  <c r="AH28" i="28"/>
  <c r="AH32" i="28" s="1"/>
  <c r="L17" i="11" s="1"/>
  <c r="Z26" i="20" l="1"/>
  <c r="Z14" i="20"/>
  <c r="T239" i="20"/>
  <c r="T206" i="20"/>
  <c r="T173" i="20"/>
  <c r="T140" i="20"/>
  <c r="T107" i="20"/>
  <c r="T74" i="20"/>
  <c r="Z28" i="20"/>
  <c r="Z10" i="20"/>
  <c r="Z27" i="38"/>
  <c r="Z14" i="38"/>
  <c r="T228" i="38"/>
  <c r="T195" i="38"/>
  <c r="T162" i="38"/>
  <c r="T129" i="38"/>
  <c r="T96" i="38"/>
  <c r="T63" i="38"/>
  <c r="Z19" i="38"/>
  <c r="Z10" i="38"/>
  <c r="AO19" i="33"/>
  <c r="AF19" i="33"/>
  <c r="AH36" i="33"/>
  <c r="Y29" i="33"/>
  <c r="Y19" i="33"/>
  <c r="Y15" i="33"/>
  <c r="Y11" i="33"/>
  <c r="AI32" i="32"/>
  <c r="Z26" i="32"/>
  <c r="Z24" i="32"/>
  <c r="Z14" i="32"/>
  <c r="T237" i="32"/>
  <c r="T204" i="32"/>
  <c r="T171" i="32"/>
  <c r="T138" i="32"/>
  <c r="T105" i="32"/>
  <c r="T72" i="32"/>
  <c r="Z10" i="32"/>
  <c r="AI42" i="19"/>
  <c r="Z20" i="20" l="1"/>
  <c r="Z24" i="20" s="1"/>
  <c r="Z21" i="38"/>
  <c r="Z25" i="38" s="1"/>
  <c r="Y23" i="33"/>
  <c r="Y27" i="33" s="1"/>
  <c r="Z22" i="32"/>
  <c r="Z30" i="20" l="1"/>
  <c r="L14" i="11"/>
  <c r="Z29" i="38"/>
  <c r="L13" i="11"/>
  <c r="Y31" i="33"/>
  <c r="L12" i="11"/>
  <c r="Z28" i="32"/>
  <c r="L11" i="11"/>
  <c r="Z29" i="19"/>
  <c r="Z27" i="19"/>
  <c r="Z15" i="19"/>
  <c r="Z11" i="19"/>
  <c r="Z10" i="19"/>
  <c r="T249" i="19"/>
  <c r="T216" i="19"/>
  <c r="T183" i="19"/>
  <c r="T150" i="19"/>
  <c r="T117" i="19"/>
  <c r="T84" i="19"/>
  <c r="Z12" i="19" l="1"/>
  <c r="Z21" i="19" s="1"/>
  <c r="Z25" i="19" s="1"/>
  <c r="AO24" i="27"/>
  <c r="AO21" i="27"/>
  <c r="AR18" i="38"/>
  <c r="Z32" i="19" l="1"/>
  <c r="L10" i="11"/>
  <c r="F11" i="11"/>
  <c r="C12" i="11"/>
  <c r="C13" i="11"/>
  <c r="C15" i="11"/>
  <c r="C19" i="11"/>
  <c r="U79" i="2"/>
  <c r="T49" i="2"/>
  <c r="AF49" i="2" s="1"/>
  <c r="T50" i="2"/>
  <c r="AF50" i="2" s="1"/>
  <c r="T51" i="2"/>
  <c r="AF51" i="2" s="1"/>
  <c r="T52" i="2"/>
  <c r="AF52" i="2" s="1"/>
  <c r="AL52" i="2" s="1"/>
  <c r="T53" i="2"/>
  <c r="AF53" i="2" s="1"/>
  <c r="AL53" i="2" s="1"/>
  <c r="T54" i="2"/>
  <c r="AF54" i="2" s="1"/>
  <c r="AL54" i="2" s="1"/>
  <c r="T55" i="2"/>
  <c r="AF55" i="2" s="1"/>
  <c r="T56" i="2"/>
  <c r="AF56" i="2" s="1"/>
  <c r="AL56" i="2" s="1"/>
  <c r="T57" i="2"/>
  <c r="AF57" i="2" s="1"/>
  <c r="AL57" i="2" s="1"/>
  <c r="T58" i="2"/>
  <c r="AF58" i="2" s="1"/>
  <c r="T59" i="2"/>
  <c r="AF59" i="2" s="1"/>
  <c r="T60" i="2"/>
  <c r="AF60" i="2" s="1"/>
  <c r="T61" i="2"/>
  <c r="AF61" i="2" s="1"/>
  <c r="AL61" i="2" s="1"/>
  <c r="T62" i="2"/>
  <c r="AF62" i="2" s="1"/>
  <c r="AL62" i="2" s="1"/>
  <c r="T63" i="2"/>
  <c r="AF63" i="2" s="1"/>
  <c r="AL63" i="2" s="1"/>
  <c r="T64" i="2"/>
  <c r="AF64" i="2" s="1"/>
  <c r="AL64" i="2" s="1"/>
  <c r="T65" i="2"/>
  <c r="AF65" i="2" s="1"/>
  <c r="T48" i="2"/>
  <c r="AF48" i="2" s="1"/>
  <c r="AL48" i="2" s="1"/>
  <c r="T17" i="2"/>
  <c r="AF17" i="2" s="1"/>
  <c r="T18" i="2"/>
  <c r="AF18" i="2" s="1"/>
  <c r="AL18" i="2" s="1"/>
  <c r="T19" i="2"/>
  <c r="AF19" i="2" s="1"/>
  <c r="T24" i="2"/>
  <c r="AF24" i="2" s="1"/>
  <c r="T25" i="2"/>
  <c r="AF25" i="2" s="1"/>
  <c r="AL25" i="2" s="1"/>
  <c r="T26" i="2"/>
  <c r="AF26" i="2" s="1"/>
  <c r="T28" i="2"/>
  <c r="AF28" i="2" s="1"/>
  <c r="T29" i="2"/>
  <c r="AF29" i="2" s="1"/>
  <c r="AL29" i="2" s="1"/>
  <c r="T30" i="2"/>
  <c r="AF30" i="2" s="1"/>
  <c r="T31" i="2"/>
  <c r="AF31" i="2" s="1"/>
  <c r="AL31" i="2" s="1"/>
  <c r="T32" i="2"/>
  <c r="AF32" i="2" s="1"/>
  <c r="T33" i="2"/>
  <c r="AF33" i="2" s="1"/>
  <c r="T36" i="2"/>
  <c r="AF36" i="2" s="1"/>
  <c r="T37" i="2"/>
  <c r="AF37" i="2" s="1"/>
  <c r="T38" i="2"/>
  <c r="AF38" i="2" s="1"/>
  <c r="T39" i="2"/>
  <c r="AF39" i="2" s="1"/>
  <c r="AL39" i="2" s="1"/>
  <c r="T40" i="2"/>
  <c r="AF40" i="2" s="1"/>
  <c r="AL40" i="2" s="1"/>
  <c r="T16" i="2"/>
  <c r="AF16" i="2" s="1"/>
  <c r="AL16" i="2" s="1"/>
  <c r="T9" i="2"/>
  <c r="AF9" i="2" s="1"/>
  <c r="AL9" i="2" s="1"/>
  <c r="T10" i="2"/>
  <c r="AF10" i="2" s="1"/>
  <c r="T11" i="2"/>
  <c r="AF11" i="2" s="1"/>
  <c r="T12" i="2"/>
  <c r="AF12" i="2" s="1"/>
  <c r="T8" i="2"/>
  <c r="AF8" i="2" s="1"/>
  <c r="AL8" i="2" s="1"/>
  <c r="Q17" i="36"/>
  <c r="O14" i="36"/>
  <c r="O10" i="36"/>
  <c r="AP10" i="36" s="1"/>
  <c r="H28" i="36"/>
  <c r="AF21" i="27"/>
  <c r="AO11" i="27"/>
  <c r="P28" i="27"/>
  <c r="AQ29" i="27" s="1"/>
  <c r="P26" i="27"/>
  <c r="AQ27" i="27" s="1"/>
  <c r="N18" i="27"/>
  <c r="N19" i="27"/>
  <c r="N17" i="27"/>
  <c r="L18" i="27"/>
  <c r="L19" i="27"/>
  <c r="L17" i="27"/>
  <c r="N12" i="27"/>
  <c r="AO12" i="27" s="1"/>
  <c r="N13" i="27"/>
  <c r="AO13" i="27" s="1"/>
  <c r="N11" i="27"/>
  <c r="L12" i="27"/>
  <c r="L13" i="27"/>
  <c r="AM13" i="27" s="1"/>
  <c r="AO18" i="35"/>
  <c r="N43" i="28"/>
  <c r="N42" i="28"/>
  <c r="W22" i="28"/>
  <c r="AG81" i="2" l="1"/>
  <c r="AM81" i="2" s="1"/>
  <c r="AA79" i="2"/>
  <c r="AL60" i="2"/>
  <c r="AL24" i="2"/>
  <c r="AL30" i="2"/>
  <c r="AL17" i="2"/>
  <c r="AL59" i="2"/>
  <c r="AL51" i="2"/>
  <c r="AL33" i="2"/>
  <c r="AL58" i="2"/>
  <c r="AL10" i="2"/>
  <c r="AL32" i="2"/>
  <c r="AL50" i="2"/>
  <c r="AL19" i="2"/>
  <c r="AL12" i="2"/>
  <c r="AL37" i="2"/>
  <c r="AL26" i="2"/>
  <c r="AL49" i="2"/>
  <c r="AL55" i="2"/>
  <c r="AL65" i="2"/>
  <c r="AL38" i="2"/>
  <c r="AL11" i="2"/>
  <c r="AL28" i="2"/>
  <c r="AL36" i="2"/>
  <c r="J19" i="11"/>
  <c r="AH18" i="27"/>
  <c r="AM18" i="27"/>
  <c r="AQ18" i="27" s="1"/>
  <c r="AH20" i="27"/>
  <c r="AM20" i="27"/>
  <c r="AQ20" i="27" s="1"/>
  <c r="AH19" i="27"/>
  <c r="AM19" i="27"/>
  <c r="AQ19" i="27" s="1"/>
  <c r="P13" i="27"/>
  <c r="AQ13" i="27"/>
  <c r="P12" i="27"/>
  <c r="AH13" i="27"/>
  <c r="P18" i="27"/>
  <c r="AH21" i="27" l="1"/>
  <c r="AQ21" i="27"/>
  <c r="AH12" i="27"/>
  <c r="AM12" i="27"/>
  <c r="AQ12" i="27" s="1"/>
  <c r="G28" i="28" l="1"/>
  <c r="P31" i="28" s="1"/>
  <c r="AQ12" i="35" l="1"/>
  <c r="W24" i="35" l="1"/>
  <c r="Y12" i="35"/>
  <c r="H36" i="34" l="1"/>
  <c r="H20" i="34"/>
  <c r="H28" i="34"/>
  <c r="J15" i="11" s="1"/>
  <c r="O14" i="34"/>
  <c r="Q16" i="34"/>
  <c r="AI30" i="20"/>
  <c r="Q27" i="38"/>
  <c r="AI30" i="38" s="1"/>
  <c r="AR30" i="38" s="1"/>
  <c r="Q16" i="38"/>
  <c r="AR16" i="38" s="1"/>
  <c r="O14" i="38"/>
  <c r="H34" i="38"/>
  <c r="H28" i="38"/>
  <c r="J13" i="11" s="1"/>
  <c r="H20" i="38"/>
  <c r="G39" i="33"/>
  <c r="P29" i="33"/>
  <c r="N19" i="33"/>
  <c r="G33" i="33"/>
  <c r="J12" i="11" s="1"/>
  <c r="G25" i="33"/>
  <c r="P21" i="33" s="1"/>
  <c r="AQ21" i="33" s="1"/>
  <c r="Q26" i="32"/>
  <c r="O14" i="32"/>
  <c r="H45" i="20" l="1"/>
  <c r="H36" i="20"/>
  <c r="H24" i="20" s="1"/>
  <c r="Q28" i="20"/>
  <c r="Q26" i="20"/>
  <c r="AI28" i="20" s="1"/>
  <c r="Q17" i="20" l="1"/>
  <c r="M11" i="19"/>
  <c r="AI11" i="19" l="1"/>
  <c r="AE33" i="19"/>
  <c r="AN11" i="19"/>
  <c r="AR11" i="19" s="1"/>
  <c r="Q11" i="19"/>
  <c r="C20" i="27"/>
  <c r="H18" i="11" l="1"/>
  <c r="H17" i="11"/>
  <c r="G20" i="11"/>
  <c r="G19" i="11"/>
  <c r="G18" i="11"/>
  <c r="G17" i="11"/>
  <c r="G16" i="11"/>
  <c r="G15" i="11"/>
  <c r="G14" i="11"/>
  <c r="G13" i="11"/>
  <c r="G12" i="11"/>
  <c r="D20" i="11"/>
  <c r="D19" i="11"/>
  <c r="D18" i="11"/>
  <c r="D17" i="11"/>
  <c r="D16" i="11"/>
  <c r="D15" i="11"/>
  <c r="D14" i="11"/>
  <c r="D13" i="11"/>
  <c r="D12" i="11"/>
  <c r="E12" i="11" s="1"/>
  <c r="I12" i="11" s="1"/>
  <c r="E19" i="11" l="1"/>
  <c r="I19" i="11" s="1"/>
  <c r="E15" i="11"/>
  <c r="I15" i="11" s="1"/>
  <c r="E13" i="11"/>
  <c r="I13" i="11" s="1"/>
  <c r="D12" i="32" l="1"/>
  <c r="P24" i="35" l="1"/>
  <c r="L23" i="35"/>
  <c r="L22" i="28"/>
  <c r="P22" i="28" s="1"/>
  <c r="L16" i="28"/>
  <c r="L11" i="28"/>
  <c r="L12" i="28" s="1"/>
  <c r="U12" i="28" l="1"/>
  <c r="P12" i="28"/>
  <c r="Y27" i="35"/>
  <c r="L25" i="35"/>
  <c r="U24" i="35" s="1"/>
  <c r="P12" i="35"/>
  <c r="P11" i="35"/>
  <c r="P13" i="35" s="1"/>
  <c r="Y12" i="28" l="1"/>
  <c r="AQ12" i="28"/>
  <c r="D20" i="20"/>
  <c r="M14" i="20" s="1"/>
  <c r="D26" i="19"/>
  <c r="M15" i="19" s="1"/>
  <c r="H42" i="32" l="1"/>
  <c r="H34" i="32"/>
  <c r="H30" i="32"/>
  <c r="D19" i="32"/>
  <c r="H16" i="32"/>
  <c r="H17" i="32"/>
  <c r="H18" i="32"/>
  <c r="H11" i="32"/>
  <c r="D13" i="19"/>
  <c r="H13" i="19" s="1"/>
  <c r="H12" i="19"/>
  <c r="D11" i="19"/>
  <c r="H11" i="19" s="1"/>
  <c r="D10" i="19"/>
  <c r="H54" i="19"/>
  <c r="H44" i="19"/>
  <c r="H24" i="19"/>
  <c r="H20" i="19"/>
  <c r="G11" i="11" l="1"/>
  <c r="Q24" i="32"/>
  <c r="Q16" i="32"/>
  <c r="AR17" i="32" s="1"/>
  <c r="H23" i="32"/>
  <c r="C11" i="11"/>
  <c r="H36" i="32"/>
  <c r="M14" i="32"/>
  <c r="D11" i="11"/>
  <c r="H46" i="32"/>
  <c r="H28" i="19"/>
  <c r="Q18" i="19"/>
  <c r="AR17" i="19" s="1"/>
  <c r="M10" i="19"/>
  <c r="D10" i="11"/>
  <c r="Q27" i="19"/>
  <c r="G10" i="11"/>
  <c r="E11" i="11" l="1"/>
  <c r="I11" i="11" s="1"/>
  <c r="J11" i="11"/>
  <c r="O75" i="2"/>
  <c r="N49" i="2"/>
  <c r="S49" i="2" s="1"/>
  <c r="N50" i="2"/>
  <c r="S50" i="2" s="1"/>
  <c r="N51" i="2"/>
  <c r="S51" i="2" s="1"/>
  <c r="N52" i="2"/>
  <c r="S52" i="2" s="1"/>
  <c r="N53" i="2"/>
  <c r="S53" i="2" s="1"/>
  <c r="N54" i="2"/>
  <c r="S54" i="2" s="1"/>
  <c r="N55" i="2"/>
  <c r="S55" i="2" s="1"/>
  <c r="N56" i="2"/>
  <c r="S56" i="2" s="1"/>
  <c r="N57" i="2"/>
  <c r="S57" i="2" s="1"/>
  <c r="N58" i="2"/>
  <c r="S58" i="2" s="1"/>
  <c r="N59" i="2"/>
  <c r="S59" i="2" s="1"/>
  <c r="N60" i="2"/>
  <c r="S60" i="2" s="1"/>
  <c r="N61" i="2"/>
  <c r="S61" i="2" s="1"/>
  <c r="N62" i="2"/>
  <c r="S62" i="2" s="1"/>
  <c r="N63" i="2"/>
  <c r="S63" i="2" s="1"/>
  <c r="N64" i="2"/>
  <c r="S64" i="2" s="1"/>
  <c r="N65" i="2"/>
  <c r="S65" i="2" s="1"/>
  <c r="N48" i="2"/>
  <c r="S48" i="2" s="1"/>
  <c r="Y48" i="2" s="1"/>
  <c r="N17" i="2"/>
  <c r="S17" i="2" s="1"/>
  <c r="N18" i="2"/>
  <c r="S18" i="2" s="1"/>
  <c r="N19" i="2"/>
  <c r="S19" i="2" s="1"/>
  <c r="Y19" i="2" s="1"/>
  <c r="N24" i="2"/>
  <c r="S24" i="2" s="1"/>
  <c r="N25" i="2"/>
  <c r="S25" i="2" s="1"/>
  <c r="N26" i="2"/>
  <c r="S26" i="2" s="1"/>
  <c r="N28" i="2"/>
  <c r="S28" i="2" s="1"/>
  <c r="N29" i="2"/>
  <c r="S29" i="2" s="1"/>
  <c r="N30" i="2"/>
  <c r="S30" i="2" s="1"/>
  <c r="N31" i="2"/>
  <c r="S31" i="2" s="1"/>
  <c r="N32" i="2"/>
  <c r="S32" i="2" s="1"/>
  <c r="N33" i="2"/>
  <c r="S33" i="2" s="1"/>
  <c r="N36" i="2"/>
  <c r="S36" i="2" s="1"/>
  <c r="N37" i="2"/>
  <c r="S37" i="2" s="1"/>
  <c r="N38" i="2"/>
  <c r="S38" i="2" s="1"/>
  <c r="N39" i="2"/>
  <c r="S39" i="2" s="1"/>
  <c r="N40" i="2"/>
  <c r="S40" i="2" s="1"/>
  <c r="N16" i="2"/>
  <c r="S16" i="2" s="1"/>
  <c r="N9" i="2"/>
  <c r="S9" i="2" s="1"/>
  <c r="N10" i="2"/>
  <c r="S10" i="2" s="1"/>
  <c r="N11" i="2"/>
  <c r="S11" i="2" s="1"/>
  <c r="N12" i="2"/>
  <c r="S12" i="2" s="1"/>
  <c r="N8" i="2"/>
  <c r="M49" i="2"/>
  <c r="R49" i="2" s="1"/>
  <c r="X49" i="2" s="1"/>
  <c r="AA49" i="2" s="1"/>
  <c r="M50" i="2"/>
  <c r="R50" i="2" s="1"/>
  <c r="X50" i="2" s="1"/>
  <c r="AA50" i="2" s="1"/>
  <c r="M51" i="2"/>
  <c r="R51" i="2" s="1"/>
  <c r="X51" i="2" s="1"/>
  <c r="AA51" i="2" s="1"/>
  <c r="M52" i="2"/>
  <c r="R52" i="2" s="1"/>
  <c r="X52" i="2" s="1"/>
  <c r="AA52" i="2" s="1"/>
  <c r="M53" i="2"/>
  <c r="R53" i="2" s="1"/>
  <c r="X53" i="2" s="1"/>
  <c r="M54" i="2"/>
  <c r="R54" i="2" s="1"/>
  <c r="X54" i="2" s="1"/>
  <c r="AA54" i="2" s="1"/>
  <c r="M55" i="2"/>
  <c r="R55" i="2" s="1"/>
  <c r="X55" i="2" s="1"/>
  <c r="AA55" i="2" s="1"/>
  <c r="M56" i="2"/>
  <c r="R56" i="2" s="1"/>
  <c r="X56" i="2" s="1"/>
  <c r="AA56" i="2" s="1"/>
  <c r="M57" i="2"/>
  <c r="R57" i="2" s="1"/>
  <c r="X57" i="2" s="1"/>
  <c r="AA57" i="2" s="1"/>
  <c r="M58" i="2"/>
  <c r="R58" i="2" s="1"/>
  <c r="X58" i="2" s="1"/>
  <c r="AA58" i="2" s="1"/>
  <c r="M59" i="2"/>
  <c r="R59" i="2" s="1"/>
  <c r="X59" i="2" s="1"/>
  <c r="AA59" i="2" s="1"/>
  <c r="M60" i="2"/>
  <c r="R60" i="2" s="1"/>
  <c r="X60" i="2" s="1"/>
  <c r="AA60" i="2" s="1"/>
  <c r="M61" i="2"/>
  <c r="R61" i="2" s="1"/>
  <c r="X61" i="2" s="1"/>
  <c r="AA61" i="2" s="1"/>
  <c r="M62" i="2"/>
  <c r="R62" i="2" s="1"/>
  <c r="X62" i="2" s="1"/>
  <c r="AA62" i="2" s="1"/>
  <c r="M63" i="2"/>
  <c r="R63" i="2" s="1"/>
  <c r="X63" i="2" s="1"/>
  <c r="AA63" i="2" s="1"/>
  <c r="M64" i="2"/>
  <c r="R64" i="2" s="1"/>
  <c r="X64" i="2" s="1"/>
  <c r="AA64" i="2" s="1"/>
  <c r="M65" i="2"/>
  <c r="R65" i="2" s="1"/>
  <c r="X65" i="2" s="1"/>
  <c r="AA65" i="2" s="1"/>
  <c r="M48" i="2"/>
  <c r="R48" i="2" s="1"/>
  <c r="X48" i="2" s="1"/>
  <c r="AA48" i="2" s="1"/>
  <c r="M17" i="2"/>
  <c r="R17" i="2" s="1"/>
  <c r="M18" i="2"/>
  <c r="R18" i="2" s="1"/>
  <c r="M19" i="2"/>
  <c r="R19" i="2" s="1"/>
  <c r="M24" i="2"/>
  <c r="R24" i="2" s="1"/>
  <c r="M25" i="2"/>
  <c r="R25" i="2" s="1"/>
  <c r="M26" i="2"/>
  <c r="R26" i="2" s="1"/>
  <c r="M28" i="2"/>
  <c r="R28" i="2" s="1"/>
  <c r="M29" i="2"/>
  <c r="R29" i="2" s="1"/>
  <c r="M30" i="2"/>
  <c r="R30" i="2" s="1"/>
  <c r="M31" i="2"/>
  <c r="R31" i="2" s="1"/>
  <c r="M32" i="2"/>
  <c r="R32" i="2" s="1"/>
  <c r="M33" i="2"/>
  <c r="R33" i="2" s="1"/>
  <c r="M36" i="2"/>
  <c r="R36" i="2" s="1"/>
  <c r="M37" i="2"/>
  <c r="R37" i="2" s="1"/>
  <c r="M38" i="2"/>
  <c r="R38" i="2" s="1"/>
  <c r="X38" i="2" s="1"/>
  <c r="AA38" i="2" s="1"/>
  <c r="M39" i="2"/>
  <c r="R39" i="2" s="1"/>
  <c r="X39" i="2" s="1"/>
  <c r="AA39" i="2" s="1"/>
  <c r="M40" i="2"/>
  <c r="R40" i="2" s="1"/>
  <c r="X40" i="2" s="1"/>
  <c r="AA40" i="2" s="1"/>
  <c r="M16" i="2"/>
  <c r="R16" i="2" s="1"/>
  <c r="M9" i="2"/>
  <c r="R9" i="2" s="1"/>
  <c r="X9" i="2" s="1"/>
  <c r="M10" i="2"/>
  <c r="R10" i="2" s="1"/>
  <c r="X10" i="2" s="1"/>
  <c r="AA10" i="2" s="1"/>
  <c r="M11" i="2"/>
  <c r="R11" i="2" s="1"/>
  <c r="X11" i="2" s="1"/>
  <c r="AA11" i="2" s="1"/>
  <c r="M12" i="2"/>
  <c r="R12" i="2" s="1"/>
  <c r="X12" i="2" s="1"/>
  <c r="AA12" i="2" s="1"/>
  <c r="M8" i="2"/>
  <c r="R8" i="2" s="1"/>
  <c r="X8" i="2" s="1"/>
  <c r="AA8" i="2" s="1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48" i="2"/>
  <c r="K17" i="2"/>
  <c r="K18" i="2"/>
  <c r="K19" i="2"/>
  <c r="K24" i="2"/>
  <c r="K25" i="2"/>
  <c r="K26" i="2"/>
  <c r="K28" i="2"/>
  <c r="K29" i="2"/>
  <c r="K30" i="2"/>
  <c r="K31" i="2"/>
  <c r="K32" i="2"/>
  <c r="K33" i="2"/>
  <c r="K36" i="2"/>
  <c r="K37" i="2"/>
  <c r="K38" i="2"/>
  <c r="K39" i="2"/>
  <c r="K40" i="2"/>
  <c r="K16" i="2"/>
  <c r="K9" i="2"/>
  <c r="K10" i="2"/>
  <c r="K11" i="2"/>
  <c r="K12" i="2"/>
  <c r="K8" i="2"/>
  <c r="I67" i="2"/>
  <c r="I46" i="2"/>
  <c r="H67" i="2"/>
  <c r="H46" i="2"/>
  <c r="I14" i="2"/>
  <c r="H14" i="2"/>
  <c r="F49" i="2"/>
  <c r="F50" i="2"/>
  <c r="F51" i="2"/>
  <c r="F52" i="2"/>
  <c r="F53" i="2"/>
  <c r="F54" i="2"/>
  <c r="O54" i="2" s="1"/>
  <c r="F55" i="2"/>
  <c r="F56" i="2"/>
  <c r="F57" i="2"/>
  <c r="F58" i="2"/>
  <c r="F59" i="2"/>
  <c r="F60" i="2"/>
  <c r="F61" i="2"/>
  <c r="F62" i="2"/>
  <c r="O62" i="2" s="1"/>
  <c r="F63" i="2"/>
  <c r="F64" i="2"/>
  <c r="F65" i="2"/>
  <c r="F48" i="2"/>
  <c r="D67" i="2"/>
  <c r="D46" i="2"/>
  <c r="D14" i="2"/>
  <c r="B67" i="2"/>
  <c r="B46" i="2"/>
  <c r="B14" i="2"/>
  <c r="AD16" i="2" l="1"/>
  <c r="AG16" i="2" s="1"/>
  <c r="X16" i="2"/>
  <c r="AD18" i="2"/>
  <c r="AJ18" i="2" s="1"/>
  <c r="AM18" i="2" s="1"/>
  <c r="X18" i="2"/>
  <c r="AA18" i="2" s="1"/>
  <c r="O59" i="2"/>
  <c r="O51" i="2"/>
  <c r="AD30" i="2"/>
  <c r="AJ30" i="2" s="1"/>
  <c r="AM30" i="2" s="1"/>
  <c r="X30" i="2"/>
  <c r="AA30" i="2" s="1"/>
  <c r="AD17" i="2"/>
  <c r="AJ17" i="2" s="1"/>
  <c r="AM17" i="2" s="1"/>
  <c r="X17" i="2"/>
  <c r="AA17" i="2" s="1"/>
  <c r="AE16" i="2"/>
  <c r="AK16" i="2" s="1"/>
  <c r="Y16" i="2"/>
  <c r="AE31" i="2"/>
  <c r="AK31" i="2" s="1"/>
  <c r="Y31" i="2"/>
  <c r="AE18" i="2"/>
  <c r="AK18" i="2" s="1"/>
  <c r="Y18" i="2"/>
  <c r="AE60" i="2"/>
  <c r="AK60" i="2" s="1"/>
  <c r="Y60" i="2"/>
  <c r="AE52" i="2"/>
  <c r="AK52" i="2" s="1"/>
  <c r="Y52" i="2"/>
  <c r="AD29" i="2"/>
  <c r="AG29" i="2" s="1"/>
  <c r="X29" i="2"/>
  <c r="AA29" i="2" s="1"/>
  <c r="AE40" i="2"/>
  <c r="AK40" i="2" s="1"/>
  <c r="Y40" i="2"/>
  <c r="AE30" i="2"/>
  <c r="AK30" i="2" s="1"/>
  <c r="Y30" i="2"/>
  <c r="AE17" i="2"/>
  <c r="AK17" i="2" s="1"/>
  <c r="Y17" i="2"/>
  <c r="AE59" i="2"/>
  <c r="AK59" i="2" s="1"/>
  <c r="Y59" i="2"/>
  <c r="AE51" i="2"/>
  <c r="Y51" i="2"/>
  <c r="O65" i="2"/>
  <c r="O57" i="2"/>
  <c r="O49" i="2"/>
  <c r="AD28" i="2"/>
  <c r="AG28" i="2" s="1"/>
  <c r="X28" i="2"/>
  <c r="AA28" i="2" s="1"/>
  <c r="AE39" i="2"/>
  <c r="AK39" i="2" s="1"/>
  <c r="Y39" i="2"/>
  <c r="AE29" i="2"/>
  <c r="AK29" i="2" s="1"/>
  <c r="Y29" i="2"/>
  <c r="AE58" i="2"/>
  <c r="AK58" i="2" s="1"/>
  <c r="Y58" i="2"/>
  <c r="AE50" i="2"/>
  <c r="AK50" i="2" s="1"/>
  <c r="Y50" i="2"/>
  <c r="AE38" i="2"/>
  <c r="AK38" i="2" s="1"/>
  <c r="Y38" i="2"/>
  <c r="AE28" i="2"/>
  <c r="AK28" i="2" s="1"/>
  <c r="Y28" i="2"/>
  <c r="AE65" i="2"/>
  <c r="AK65" i="2" s="1"/>
  <c r="Y65" i="2"/>
  <c r="AE57" i="2"/>
  <c r="AK57" i="2" s="1"/>
  <c r="Y57" i="2"/>
  <c r="AE49" i="2"/>
  <c r="AK49" i="2" s="1"/>
  <c r="Y49" i="2"/>
  <c r="AD37" i="2"/>
  <c r="AG37" i="2" s="1"/>
  <c r="X37" i="2"/>
  <c r="AA37" i="2" s="1"/>
  <c r="AD26" i="2"/>
  <c r="AG26" i="2" s="1"/>
  <c r="X26" i="2"/>
  <c r="AA26" i="2" s="1"/>
  <c r="AD36" i="2"/>
  <c r="AG36" i="2" s="1"/>
  <c r="X36" i="2"/>
  <c r="AA36" i="2" s="1"/>
  <c r="AD25" i="2"/>
  <c r="AG25" i="2" s="1"/>
  <c r="X25" i="2"/>
  <c r="AA25" i="2" s="1"/>
  <c r="AE12" i="2"/>
  <c r="AK12" i="2" s="1"/>
  <c r="Y12" i="2"/>
  <c r="AE37" i="2"/>
  <c r="AK37" i="2" s="1"/>
  <c r="Y37" i="2"/>
  <c r="AE26" i="2"/>
  <c r="AK26" i="2" s="1"/>
  <c r="Y26" i="2"/>
  <c r="AE64" i="2"/>
  <c r="AK64" i="2" s="1"/>
  <c r="Y64" i="2"/>
  <c r="AE56" i="2"/>
  <c r="AK56" i="2" s="1"/>
  <c r="Y56" i="2"/>
  <c r="AD33" i="2"/>
  <c r="AG33" i="2" s="1"/>
  <c r="X33" i="2"/>
  <c r="AA33" i="2" s="1"/>
  <c r="AD24" i="2"/>
  <c r="AJ24" i="2" s="1"/>
  <c r="AM24" i="2" s="1"/>
  <c r="X24" i="2"/>
  <c r="AA24" i="2" s="1"/>
  <c r="AE11" i="2"/>
  <c r="AK11" i="2" s="1"/>
  <c r="Y11" i="2"/>
  <c r="AE36" i="2"/>
  <c r="AK36" i="2" s="1"/>
  <c r="Y36" i="2"/>
  <c r="AE25" i="2"/>
  <c r="AK25" i="2" s="1"/>
  <c r="Y25" i="2"/>
  <c r="AE63" i="2"/>
  <c r="AK63" i="2" s="1"/>
  <c r="Y63" i="2"/>
  <c r="AE55" i="2"/>
  <c r="AK55" i="2" s="1"/>
  <c r="Y55" i="2"/>
  <c r="O61" i="2"/>
  <c r="O53" i="2"/>
  <c r="O60" i="2"/>
  <c r="X14" i="2"/>
  <c r="AA9" i="2"/>
  <c r="AA14" i="2" s="1"/>
  <c r="AD32" i="2"/>
  <c r="AJ32" i="2" s="1"/>
  <c r="AM32" i="2" s="1"/>
  <c r="X32" i="2"/>
  <c r="AA32" i="2" s="1"/>
  <c r="AD19" i="2"/>
  <c r="AJ19" i="2" s="1"/>
  <c r="AM19" i="2" s="1"/>
  <c r="X19" i="2"/>
  <c r="AA19" i="2" s="1"/>
  <c r="X67" i="2"/>
  <c r="AA53" i="2"/>
  <c r="AA67" i="2" s="1"/>
  <c r="AE10" i="2"/>
  <c r="AK10" i="2" s="1"/>
  <c r="Y10" i="2"/>
  <c r="AE33" i="2"/>
  <c r="AK33" i="2" s="1"/>
  <c r="Y33" i="2"/>
  <c r="AE24" i="2"/>
  <c r="AK24" i="2" s="1"/>
  <c r="Y24" i="2"/>
  <c r="AE62" i="2"/>
  <c r="AK62" i="2" s="1"/>
  <c r="Y62" i="2"/>
  <c r="AE54" i="2"/>
  <c r="AK54" i="2" s="1"/>
  <c r="Y54" i="2"/>
  <c r="AD31" i="2"/>
  <c r="AJ31" i="2" s="1"/>
  <c r="AM31" i="2" s="1"/>
  <c r="X31" i="2"/>
  <c r="AA31" i="2" s="1"/>
  <c r="AE9" i="2"/>
  <c r="AK9" i="2" s="1"/>
  <c r="Y9" i="2"/>
  <c r="AE32" i="2"/>
  <c r="AK32" i="2" s="1"/>
  <c r="Y32" i="2"/>
  <c r="AE61" i="2"/>
  <c r="AK61" i="2" s="1"/>
  <c r="Y61" i="2"/>
  <c r="AE53" i="2"/>
  <c r="AK53" i="2" s="1"/>
  <c r="Y53" i="2"/>
  <c r="AG24" i="2"/>
  <c r="AD40" i="2"/>
  <c r="U40" i="2"/>
  <c r="AD59" i="2"/>
  <c r="U59" i="2"/>
  <c r="AD51" i="2"/>
  <c r="U51" i="2"/>
  <c r="B69" i="2"/>
  <c r="H69" i="2"/>
  <c r="U8" i="2"/>
  <c r="AD8" i="2"/>
  <c r="U38" i="2"/>
  <c r="AD38" i="2"/>
  <c r="AJ28" i="2"/>
  <c r="AM28" i="2" s="1"/>
  <c r="U65" i="2"/>
  <c r="AD65" i="2"/>
  <c r="U57" i="2"/>
  <c r="AD57" i="2"/>
  <c r="U49" i="2"/>
  <c r="AD49" i="2"/>
  <c r="S67" i="2"/>
  <c r="AE48" i="2"/>
  <c r="AK48" i="2" s="1"/>
  <c r="AD39" i="2"/>
  <c r="U39" i="2"/>
  <c r="AD48" i="2"/>
  <c r="U48" i="2"/>
  <c r="U50" i="2"/>
  <c r="AD50" i="2"/>
  <c r="O64" i="2"/>
  <c r="O56" i="2"/>
  <c r="U12" i="2"/>
  <c r="AD12" i="2"/>
  <c r="AJ37" i="2"/>
  <c r="AM37" i="2" s="1"/>
  <c r="U64" i="2"/>
  <c r="AD64" i="2"/>
  <c r="U56" i="2"/>
  <c r="AD56" i="2"/>
  <c r="N14" i="2"/>
  <c r="S8" i="2"/>
  <c r="Y8" i="2" s="1"/>
  <c r="AD58" i="2"/>
  <c r="U58" i="2"/>
  <c r="U11" i="2"/>
  <c r="AD11" i="2"/>
  <c r="AJ36" i="2"/>
  <c r="AM36" i="2" s="1"/>
  <c r="U63" i="2"/>
  <c r="AD63" i="2"/>
  <c r="U55" i="2"/>
  <c r="AD55" i="2"/>
  <c r="C20" i="11"/>
  <c r="E20" i="11" s="1"/>
  <c r="I20" i="11" s="1"/>
  <c r="O79" i="2"/>
  <c r="O87" i="2"/>
  <c r="U10" i="2"/>
  <c r="AD10" i="2"/>
  <c r="AD62" i="2"/>
  <c r="U62" i="2"/>
  <c r="O52" i="2"/>
  <c r="U9" i="2"/>
  <c r="AD9" i="2"/>
  <c r="AG32" i="2"/>
  <c r="AD61" i="2"/>
  <c r="U61" i="2"/>
  <c r="AD53" i="2"/>
  <c r="U53" i="2"/>
  <c r="AD54" i="2"/>
  <c r="U54" i="2"/>
  <c r="D69" i="2"/>
  <c r="K67" i="2"/>
  <c r="AD60" i="2"/>
  <c r="U60" i="2"/>
  <c r="AD52" i="2"/>
  <c r="U52" i="2"/>
  <c r="S46" i="2"/>
  <c r="AE19" i="2"/>
  <c r="AK19" i="2" s="1"/>
  <c r="O58" i="2"/>
  <c r="O50" i="2"/>
  <c r="O63" i="2"/>
  <c r="O55" i="2"/>
  <c r="I69" i="2"/>
  <c r="F67" i="2"/>
  <c r="K46" i="2"/>
  <c r="N46" i="2"/>
  <c r="O48" i="2"/>
  <c r="R14" i="2"/>
  <c r="M46" i="2"/>
  <c r="M14" i="2"/>
  <c r="R46" i="2"/>
  <c r="R67" i="2"/>
  <c r="N67" i="2"/>
  <c r="M67" i="2"/>
  <c r="K14" i="2"/>
  <c r="AE67" i="2" l="1"/>
  <c r="AJ16" i="2"/>
  <c r="AD46" i="2"/>
  <c r="AG19" i="2"/>
  <c r="AK51" i="2"/>
  <c r="AG30" i="2"/>
  <c r="AG18" i="2"/>
  <c r="AG31" i="2"/>
  <c r="AJ33" i="2"/>
  <c r="AM33" i="2" s="1"/>
  <c r="AJ29" i="2"/>
  <c r="AM29" i="2" s="1"/>
  <c r="AJ26" i="2"/>
  <c r="AM26" i="2" s="1"/>
  <c r="AG17" i="2"/>
  <c r="AJ25" i="2"/>
  <c r="AM25" i="2" s="1"/>
  <c r="Y67" i="2"/>
  <c r="Y14" i="2"/>
  <c r="Y46" i="2"/>
  <c r="AA16" i="2"/>
  <c r="AA46" i="2" s="1"/>
  <c r="AA69" i="2" s="1"/>
  <c r="X46" i="2"/>
  <c r="AJ62" i="2"/>
  <c r="AM62" i="2" s="1"/>
  <c r="AG62" i="2"/>
  <c r="AJ63" i="2"/>
  <c r="AM63" i="2" s="1"/>
  <c r="AG63" i="2"/>
  <c r="AK67" i="2"/>
  <c r="AJ58" i="2"/>
  <c r="AM58" i="2" s="1"/>
  <c r="AG58" i="2"/>
  <c r="S14" i="2"/>
  <c r="S69" i="2" s="1"/>
  <c r="AE8" i="2"/>
  <c r="AJ50" i="2"/>
  <c r="AM50" i="2" s="1"/>
  <c r="AG50" i="2"/>
  <c r="AJ49" i="2"/>
  <c r="AM49" i="2" s="1"/>
  <c r="AG49" i="2"/>
  <c r="AJ38" i="2"/>
  <c r="AM38" i="2" s="1"/>
  <c r="AG38" i="2"/>
  <c r="AK46" i="2"/>
  <c r="AJ54" i="2"/>
  <c r="AM54" i="2" s="1"/>
  <c r="AG54" i="2"/>
  <c r="AE46" i="2"/>
  <c r="AJ10" i="2"/>
  <c r="AM10" i="2" s="1"/>
  <c r="AG10" i="2"/>
  <c r="J20" i="11"/>
  <c r="AJ56" i="2"/>
  <c r="AM56" i="2" s="1"/>
  <c r="AG56" i="2"/>
  <c r="AJ12" i="2"/>
  <c r="AM12" i="2" s="1"/>
  <c r="AG12" i="2"/>
  <c r="U67" i="2"/>
  <c r="AJ57" i="2"/>
  <c r="AM57" i="2" s="1"/>
  <c r="AG57" i="2"/>
  <c r="AJ8" i="2"/>
  <c r="AD14" i="2"/>
  <c r="AG8" i="2"/>
  <c r="AJ48" i="2"/>
  <c r="AG48" i="2"/>
  <c r="AD67" i="2"/>
  <c r="U14" i="2"/>
  <c r="AJ51" i="2"/>
  <c r="AM51" i="2" s="1"/>
  <c r="AG51" i="2"/>
  <c r="AJ40" i="2"/>
  <c r="AM40" i="2" s="1"/>
  <c r="AG40" i="2"/>
  <c r="AM16" i="2"/>
  <c r="AJ55" i="2"/>
  <c r="AM55" i="2" s="1"/>
  <c r="AG55" i="2"/>
  <c r="AJ11" i="2"/>
  <c r="AM11" i="2" s="1"/>
  <c r="AG11" i="2"/>
  <c r="AJ64" i="2"/>
  <c r="AM64" i="2" s="1"/>
  <c r="AG64" i="2"/>
  <c r="AJ65" i="2"/>
  <c r="AM65" i="2" s="1"/>
  <c r="AG65" i="2"/>
  <c r="AJ52" i="2"/>
  <c r="AM52" i="2" s="1"/>
  <c r="AG52" i="2"/>
  <c r="AJ9" i="2"/>
  <c r="AM9" i="2" s="1"/>
  <c r="AG9" i="2"/>
  <c r="AJ53" i="2"/>
  <c r="AM53" i="2" s="1"/>
  <c r="AG53" i="2"/>
  <c r="AJ60" i="2"/>
  <c r="AM60" i="2" s="1"/>
  <c r="AG60" i="2"/>
  <c r="AJ61" i="2"/>
  <c r="AM61" i="2" s="1"/>
  <c r="AG61" i="2"/>
  <c r="AJ39" i="2"/>
  <c r="AM39" i="2" s="1"/>
  <c r="AG39" i="2"/>
  <c r="AJ59" i="2"/>
  <c r="AM59" i="2" s="1"/>
  <c r="AG59" i="2"/>
  <c r="N69" i="2"/>
  <c r="K69" i="2"/>
  <c r="O67" i="2"/>
  <c r="M69" i="2"/>
  <c r="R69" i="2"/>
  <c r="H31" i="20"/>
  <c r="H19" i="20"/>
  <c r="H16" i="20"/>
  <c r="H15" i="20"/>
  <c r="H17" i="20"/>
  <c r="H18" i="20"/>
  <c r="H56" i="19"/>
  <c r="H38" i="19"/>
  <c r="H21" i="19"/>
  <c r="H22" i="19"/>
  <c r="H23" i="19"/>
  <c r="H25" i="19"/>
  <c r="H14" i="19"/>
  <c r="H36" i="36"/>
  <c r="K228" i="36"/>
  <c r="K195" i="36"/>
  <c r="K162" i="36"/>
  <c r="K129" i="36"/>
  <c r="K96" i="36"/>
  <c r="K63" i="36"/>
  <c r="H18" i="36"/>
  <c r="AR17" i="36" s="1"/>
  <c r="D16" i="36"/>
  <c r="H15" i="36"/>
  <c r="H14" i="36"/>
  <c r="M10" i="36"/>
  <c r="H10" i="36"/>
  <c r="G33" i="27"/>
  <c r="G19" i="27"/>
  <c r="Y69" i="2" l="1"/>
  <c r="AG46" i="2"/>
  <c r="AM8" i="2"/>
  <c r="AM14" i="2" s="1"/>
  <c r="AJ14" i="2"/>
  <c r="AG67" i="2"/>
  <c r="AM46" i="2"/>
  <c r="AJ67" i="2"/>
  <c r="AM48" i="2"/>
  <c r="AM67" i="2" s="1"/>
  <c r="AG14" i="2"/>
  <c r="AJ46" i="2"/>
  <c r="AD69" i="2"/>
  <c r="AK8" i="2"/>
  <c r="AK14" i="2" s="1"/>
  <c r="AK69" i="2" s="1"/>
  <c r="AE14" i="2"/>
  <c r="AE69" i="2" s="1"/>
  <c r="AI10" i="36"/>
  <c r="AN10" i="36"/>
  <c r="AR10" i="36" s="1"/>
  <c r="M14" i="36"/>
  <c r="Q14" i="36" s="1"/>
  <c r="C14" i="11"/>
  <c r="E14" i="11" s="1"/>
  <c r="I14" i="11" s="1"/>
  <c r="H38" i="20"/>
  <c r="H49" i="20"/>
  <c r="Q29" i="19"/>
  <c r="F10" i="11"/>
  <c r="H46" i="19"/>
  <c r="J10" i="11" s="1"/>
  <c r="C10" i="11"/>
  <c r="E10" i="11" s="1"/>
  <c r="C18" i="11"/>
  <c r="E18" i="11" s="1"/>
  <c r="I18" i="11" s="1"/>
  <c r="G37" i="27"/>
  <c r="H58" i="19"/>
  <c r="H16" i="36"/>
  <c r="H22" i="36" s="1"/>
  <c r="H30" i="36" s="1"/>
  <c r="Q10" i="36"/>
  <c r="Q19" i="36" s="1"/>
  <c r="I10" i="11" l="1"/>
  <c r="AG69" i="2"/>
  <c r="AM69" i="2"/>
  <c r="AN14" i="36"/>
  <c r="AR14" i="36" s="1"/>
  <c r="AR19" i="36" s="1"/>
  <c r="J14" i="11"/>
  <c r="J18" i="11"/>
  <c r="Q21" i="36"/>
  <c r="AI21" i="36" s="1"/>
  <c r="AR21" i="36" s="1"/>
  <c r="AI14" i="36"/>
  <c r="AI19" i="36" s="1"/>
  <c r="Q23" i="36" l="1"/>
  <c r="K19" i="11" s="1"/>
  <c r="AR23" i="36"/>
  <c r="P19" i="11" s="1"/>
  <c r="AI23" i="36"/>
  <c r="G17" i="27"/>
  <c r="G20" i="27" s="1"/>
  <c r="C11" i="27"/>
  <c r="L11" i="27" s="1"/>
  <c r="H45" i="27"/>
  <c r="G45" i="27"/>
  <c r="C25" i="27"/>
  <c r="G24" i="27"/>
  <c r="G23" i="27"/>
  <c r="G18" i="27"/>
  <c r="G13" i="27"/>
  <c r="G12" i="27"/>
  <c r="G11" i="27"/>
  <c r="C18" i="35"/>
  <c r="G32" i="28"/>
  <c r="C23" i="28"/>
  <c r="L23" i="28" s="1"/>
  <c r="C20" i="28"/>
  <c r="L20" i="28" s="1"/>
  <c r="G22" i="28"/>
  <c r="AR25" i="36" l="1"/>
  <c r="AR27" i="36" s="1"/>
  <c r="AI25" i="36"/>
  <c r="AI27" i="36" s="1"/>
  <c r="AH11" i="27"/>
  <c r="AH14" i="27" s="1"/>
  <c r="AM11" i="27"/>
  <c r="AQ11" i="27" s="1"/>
  <c r="AQ14" i="27" s="1"/>
  <c r="M19" i="11"/>
  <c r="L23" i="27"/>
  <c r="AM24" i="27" s="1"/>
  <c r="AQ24" i="27" s="1"/>
  <c r="U21" i="28"/>
  <c r="P20" i="28"/>
  <c r="C17" i="11"/>
  <c r="E17" i="11" s="1"/>
  <c r="G36" i="28"/>
  <c r="G44" i="28"/>
  <c r="C19" i="35"/>
  <c r="L18" i="35"/>
  <c r="U18" i="35" s="1"/>
  <c r="G18" i="35"/>
  <c r="N20" i="27"/>
  <c r="G25" i="27"/>
  <c r="P11" i="27"/>
  <c r="P14" i="27" s="1"/>
  <c r="G14" i="27"/>
  <c r="C21" i="28"/>
  <c r="Q19" i="11" l="1"/>
  <c r="R19" i="11" s="1"/>
  <c r="N19" i="11"/>
  <c r="AH24" i="27"/>
  <c r="AH31" i="27" s="1"/>
  <c r="P23" i="27"/>
  <c r="AQ31" i="27"/>
  <c r="G21" i="28"/>
  <c r="L21" i="28"/>
  <c r="I17" i="11"/>
  <c r="P19" i="27"/>
  <c r="P17" i="27"/>
  <c r="G31" i="27"/>
  <c r="G39" i="27" s="1"/>
  <c r="O19" i="11" l="1"/>
  <c r="U22" i="28"/>
  <c r="P21" i="28"/>
  <c r="L25" i="28"/>
  <c r="P20" i="27"/>
  <c r="P30" i="27" s="1"/>
  <c r="P32" i="27"/>
  <c r="AH33" i="27" s="1"/>
  <c r="AQ33" i="27" s="1"/>
  <c r="AQ35" i="27" s="1"/>
  <c r="P18" i="11" s="1"/>
  <c r="U23" i="28" l="1"/>
  <c r="P34" i="27"/>
  <c r="K18" i="11" s="1"/>
  <c r="AH35" i="27"/>
  <c r="AH37" i="27" l="1"/>
  <c r="AH39" i="27" s="1"/>
  <c r="AQ37" i="27"/>
  <c r="AQ39" i="27" s="1"/>
  <c r="M18" i="11"/>
  <c r="G32" i="35"/>
  <c r="C16" i="11" s="1"/>
  <c r="E16" i="11" s="1"/>
  <c r="G12" i="35"/>
  <c r="N18" i="11" l="1"/>
  <c r="Q18" i="11"/>
  <c r="R18" i="11" s="1"/>
  <c r="I16" i="11"/>
  <c r="G36" i="35"/>
  <c r="G26" i="28"/>
  <c r="P29" i="28" s="1"/>
  <c r="C24" i="28"/>
  <c r="G23" i="28"/>
  <c r="G20" i="28"/>
  <c r="G16" i="28"/>
  <c r="G12" i="28"/>
  <c r="U11" i="28"/>
  <c r="AQ11" i="28" s="1"/>
  <c r="AQ13" i="28" s="1"/>
  <c r="G11" i="28"/>
  <c r="G13" i="35"/>
  <c r="G44" i="35"/>
  <c r="L30" i="35"/>
  <c r="G26" i="35"/>
  <c r="C24" i="35"/>
  <c r="G23" i="35"/>
  <c r="G22" i="35"/>
  <c r="U17" i="35"/>
  <c r="N19" i="35"/>
  <c r="G17" i="35"/>
  <c r="G19" i="35" s="1"/>
  <c r="U11" i="35"/>
  <c r="AQ11" i="35" s="1"/>
  <c r="AQ13" i="35" s="1"/>
  <c r="G11" i="35"/>
  <c r="G14" i="35" s="1"/>
  <c r="K228" i="34"/>
  <c r="K195" i="34"/>
  <c r="K162" i="34"/>
  <c r="K129" i="34"/>
  <c r="K96" i="34"/>
  <c r="K63" i="34"/>
  <c r="H18" i="34"/>
  <c r="Q18" i="34" s="1"/>
  <c r="AI19" i="34" s="1"/>
  <c r="D16" i="34"/>
  <c r="H15" i="34"/>
  <c r="H14" i="34"/>
  <c r="H16" i="34" s="1"/>
  <c r="AI10" i="34"/>
  <c r="H10" i="34"/>
  <c r="O18" i="11" l="1"/>
  <c r="M14" i="34"/>
  <c r="AQ17" i="35"/>
  <c r="Y18" i="35"/>
  <c r="P23" i="28"/>
  <c r="P24" i="28"/>
  <c r="G13" i="28"/>
  <c r="G24" i="28"/>
  <c r="G30" i="28" s="1"/>
  <c r="G38" i="28" s="1"/>
  <c r="W19" i="35"/>
  <c r="P18" i="35"/>
  <c r="Y24" i="35"/>
  <c r="Y21" i="28"/>
  <c r="Y11" i="28"/>
  <c r="Y13" i="28" s="1"/>
  <c r="U17" i="28"/>
  <c r="P16" i="28"/>
  <c r="Y22" i="28"/>
  <c r="P11" i="28"/>
  <c r="P13" i="28" s="1"/>
  <c r="Y17" i="35"/>
  <c r="G24" i="35"/>
  <c r="G30" i="35" s="1"/>
  <c r="AO19" i="35"/>
  <c r="P17" i="35"/>
  <c r="AQ18" i="35"/>
  <c r="Y11" i="35"/>
  <c r="Y13" i="35" s="1"/>
  <c r="P23" i="35"/>
  <c r="P25" i="35" s="1"/>
  <c r="H22" i="34"/>
  <c r="H30" i="34" s="1"/>
  <c r="Q14" i="34"/>
  <c r="Q10" i="34"/>
  <c r="Q20" i="34" l="1"/>
  <c r="P25" i="28"/>
  <c r="P33" i="28"/>
  <c r="G38" i="35"/>
  <c r="P19" i="35"/>
  <c r="P32" i="35" s="1"/>
  <c r="Y19" i="35"/>
  <c r="Y29" i="35" s="1"/>
  <c r="AQ19" i="35"/>
  <c r="AQ28" i="35" s="1"/>
  <c r="P35" i="28"/>
  <c r="Y30" i="28" s="1"/>
  <c r="AQ30" i="28" s="1"/>
  <c r="AQ21" i="28"/>
  <c r="Y17" i="28"/>
  <c r="Y23" i="28"/>
  <c r="Y28" i="28" s="1"/>
  <c r="P34" i="35"/>
  <c r="Y31" i="35" s="1"/>
  <c r="AQ30" i="35" s="1"/>
  <c r="AQ23" i="35"/>
  <c r="Q22" i="34"/>
  <c r="AI23" i="34" s="1"/>
  <c r="AI14" i="34"/>
  <c r="AI21" i="34" s="1"/>
  <c r="P37" i="28" l="1"/>
  <c r="Y33" i="35"/>
  <c r="K16" i="11" s="1"/>
  <c r="Y32" i="28"/>
  <c r="K17" i="11" s="1"/>
  <c r="AQ17" i="28"/>
  <c r="AQ22" i="28"/>
  <c r="AQ23" i="28" s="1"/>
  <c r="AQ32" i="35"/>
  <c r="AZ34" i="35" s="1"/>
  <c r="AZ36" i="35" s="1"/>
  <c r="AI25" i="34"/>
  <c r="Q24" i="34"/>
  <c r="K15" i="11" s="1"/>
  <c r="AR27" i="34" l="1"/>
  <c r="AR29" i="34" s="1"/>
  <c r="AI27" i="34"/>
  <c r="AI29" i="34" s="1"/>
  <c r="M16" i="11"/>
  <c r="AQ34" i="35"/>
  <c r="M15" i="11"/>
  <c r="AQ28" i="28"/>
  <c r="AQ32" i="28" s="1"/>
  <c r="J17" i="11"/>
  <c r="P39" i="28"/>
  <c r="Q15" i="11" l="1"/>
  <c r="N15" i="11"/>
  <c r="N16" i="11"/>
  <c r="O16" i="11" s="1"/>
  <c r="Q16" i="11"/>
  <c r="AZ34" i="28"/>
  <c r="AZ36" i="28" s="1"/>
  <c r="AQ34" i="28"/>
  <c r="AQ36" i="28" s="1"/>
  <c r="AQ36" i="35"/>
  <c r="AZ43" i="35"/>
  <c r="R15" i="11"/>
  <c r="M17" i="11"/>
  <c r="N17" i="11" s="1"/>
  <c r="O17" i="11" s="1"/>
  <c r="K239" i="20"/>
  <c r="K206" i="20"/>
  <c r="K173" i="20"/>
  <c r="K140" i="20"/>
  <c r="K107" i="20"/>
  <c r="K74" i="20"/>
  <c r="H22" i="20"/>
  <c r="H14" i="20"/>
  <c r="H20" i="20" s="1"/>
  <c r="M10" i="20"/>
  <c r="AI10" i="20" s="1"/>
  <c r="H10" i="20"/>
  <c r="K228" i="38"/>
  <c r="K195" i="38"/>
  <c r="K162" i="38"/>
  <c r="K129" i="38"/>
  <c r="K96" i="38"/>
  <c r="K63" i="38"/>
  <c r="H18" i="38"/>
  <c r="Q19" i="38" s="1"/>
  <c r="AI18" i="38" s="1"/>
  <c r="D16" i="38"/>
  <c r="H15" i="38"/>
  <c r="H14" i="38"/>
  <c r="M10" i="38"/>
  <c r="Q10" i="38" s="1"/>
  <c r="H10" i="38"/>
  <c r="C21" i="33"/>
  <c r="G20" i="33"/>
  <c r="O15" i="11" l="1"/>
  <c r="R16" i="11"/>
  <c r="AQ42" i="28"/>
  <c r="M14" i="38"/>
  <c r="AN14" i="38" s="1"/>
  <c r="AR14" i="38" s="1"/>
  <c r="L19" i="33"/>
  <c r="H26" i="20"/>
  <c r="H40" i="20" s="1"/>
  <c r="Q14" i="20"/>
  <c r="Q10" i="20"/>
  <c r="Q20" i="20" s="1"/>
  <c r="AI14" i="38"/>
  <c r="H16" i="38"/>
  <c r="H22" i="38" s="1"/>
  <c r="H30" i="38" s="1"/>
  <c r="Q14" i="38"/>
  <c r="Q21" i="38" s="1"/>
  <c r="Q17" i="11" l="1"/>
  <c r="AI10" i="38"/>
  <c r="AI20" i="38" s="1"/>
  <c r="AN10" i="38"/>
  <c r="AR10" i="38" s="1"/>
  <c r="AR20" i="38" s="1"/>
  <c r="AI14" i="20"/>
  <c r="AI18" i="20" s="1"/>
  <c r="Q23" i="38"/>
  <c r="R17" i="11" l="1"/>
  <c r="AI24" i="38"/>
  <c r="AI26" i="38" s="1"/>
  <c r="AI28" i="38" s="1"/>
  <c r="AR22" i="38"/>
  <c r="AR24" i="38" s="1"/>
  <c r="Q22" i="20"/>
  <c r="Q25" i="38"/>
  <c r="AI32" i="38" l="1"/>
  <c r="M13" i="11"/>
  <c r="Q24" i="20"/>
  <c r="AI22" i="20"/>
  <c r="AR24" i="20" s="1"/>
  <c r="AR26" i="20" s="1"/>
  <c r="P13" i="11"/>
  <c r="AR32" i="38"/>
  <c r="AR26" i="38"/>
  <c r="AR28" i="38" s="1"/>
  <c r="K13" i="11"/>
  <c r="Q29" i="38"/>
  <c r="H41" i="33"/>
  <c r="AI32" i="20" l="1"/>
  <c r="N13" i="11"/>
  <c r="Q13" i="11"/>
  <c r="R13" i="11" s="1"/>
  <c r="M14" i="11"/>
  <c r="AI24" i="20"/>
  <c r="Q30" i="20"/>
  <c r="K14" i="11"/>
  <c r="H19" i="19"/>
  <c r="K237" i="32"/>
  <c r="K204" i="32"/>
  <c r="K171" i="32"/>
  <c r="K138" i="32"/>
  <c r="K105" i="32"/>
  <c r="K72" i="32"/>
  <c r="H21" i="32"/>
  <c r="H15" i="32"/>
  <c r="H19" i="32" s="1"/>
  <c r="M10" i="32"/>
  <c r="H10" i="32"/>
  <c r="H26" i="32" s="1"/>
  <c r="H38" i="32" s="1"/>
  <c r="Q14" i="11" l="1"/>
  <c r="R14" i="11" s="1"/>
  <c r="N14" i="11"/>
  <c r="O13" i="11"/>
  <c r="AI26" i="20"/>
  <c r="AI10" i="32"/>
  <c r="AN10" i="32"/>
  <c r="AR10" i="32" s="1"/>
  <c r="H12" i="32"/>
  <c r="Q10" i="32"/>
  <c r="Q14" i="32"/>
  <c r="AN15" i="32"/>
  <c r="AR15" i="32" s="1"/>
  <c r="O14" i="11" l="1"/>
  <c r="Q18" i="32"/>
  <c r="AR19" i="32"/>
  <c r="Q20" i="32"/>
  <c r="AI15" i="32"/>
  <c r="AI19" i="32" s="1"/>
  <c r="AR21" i="32" l="1"/>
  <c r="AR23" i="32" s="1"/>
  <c r="P11" i="11" s="1"/>
  <c r="Q22" i="32"/>
  <c r="K11" i="11" l="1"/>
  <c r="Q28" i="32"/>
  <c r="AI23" i="32"/>
  <c r="AI25" i="32" s="1"/>
  <c r="AI27" i="32" s="1"/>
  <c r="F8" i="2"/>
  <c r="F9" i="2"/>
  <c r="O9" i="2" s="1"/>
  <c r="F10" i="2"/>
  <c r="O10" i="2" s="1"/>
  <c r="F11" i="2"/>
  <c r="O11" i="2" s="1"/>
  <c r="F12" i="2"/>
  <c r="O12" i="2" s="1"/>
  <c r="F16" i="2"/>
  <c r="F17" i="2"/>
  <c r="O17" i="2" s="1"/>
  <c r="F18" i="2"/>
  <c r="O18" i="2" s="1"/>
  <c r="F19" i="2"/>
  <c r="O19" i="2" s="1"/>
  <c r="F24" i="2"/>
  <c r="O24" i="2" s="1"/>
  <c r="U24" i="2"/>
  <c r="F25" i="2"/>
  <c r="O25" i="2" s="1"/>
  <c r="F26" i="2"/>
  <c r="O26" i="2" s="1"/>
  <c r="F28" i="2"/>
  <c r="O28" i="2" s="1"/>
  <c r="F29" i="2"/>
  <c r="O29" i="2" s="1"/>
  <c r="F30" i="2"/>
  <c r="O30" i="2" s="1"/>
  <c r="F31" i="2"/>
  <c r="O31" i="2" s="1"/>
  <c r="F32" i="2"/>
  <c r="O32" i="2" s="1"/>
  <c r="F33" i="2"/>
  <c r="O33" i="2" s="1"/>
  <c r="F36" i="2"/>
  <c r="O36" i="2" s="1"/>
  <c r="F37" i="2"/>
  <c r="O37" i="2" s="1"/>
  <c r="F38" i="2"/>
  <c r="O38" i="2" s="1"/>
  <c r="F39" i="2"/>
  <c r="O39" i="2" s="1"/>
  <c r="F40" i="2"/>
  <c r="O40" i="2" s="1"/>
  <c r="G11" i="33"/>
  <c r="L11" i="33"/>
  <c r="G15" i="33"/>
  <c r="L15" i="33"/>
  <c r="G19" i="33"/>
  <c r="G21" i="33" s="1"/>
  <c r="G23" i="33"/>
  <c r="H10" i="19"/>
  <c r="H15" i="19" s="1"/>
  <c r="H18" i="19"/>
  <c r="H26" i="19" s="1"/>
  <c r="Q15" i="19"/>
  <c r="H30" i="19"/>
  <c r="K84" i="19"/>
  <c r="K117" i="19"/>
  <c r="K150" i="19"/>
  <c r="K183" i="19"/>
  <c r="K216" i="19"/>
  <c r="K249" i="19"/>
  <c r="AM11" i="33" l="1"/>
  <c r="AQ11" i="33" s="1"/>
  <c r="AH11" i="33"/>
  <c r="AI10" i="19"/>
  <c r="AI12" i="19" s="1"/>
  <c r="AE34" i="19"/>
  <c r="AE35" i="19" s="1"/>
  <c r="AN10" i="19"/>
  <c r="AR10" i="19" s="1"/>
  <c r="AR12" i="19" s="1"/>
  <c r="AN15" i="19"/>
  <c r="AR15" i="19" s="1"/>
  <c r="AR25" i="32"/>
  <c r="M11" i="11"/>
  <c r="F14" i="2"/>
  <c r="O8" i="2"/>
  <c r="O14" i="2" s="1"/>
  <c r="O16" i="2"/>
  <c r="O46" i="2" s="1"/>
  <c r="F46" i="2"/>
  <c r="AM15" i="33"/>
  <c r="AQ15" i="33" s="1"/>
  <c r="G27" i="33"/>
  <c r="G35" i="33" s="1"/>
  <c r="P15" i="33"/>
  <c r="Q21" i="19"/>
  <c r="H32" i="19"/>
  <c r="AI15" i="19"/>
  <c r="P19" i="33"/>
  <c r="U28" i="2"/>
  <c r="U29" i="2"/>
  <c r="U17" i="2"/>
  <c r="U33" i="2"/>
  <c r="U26" i="2"/>
  <c r="U25" i="2"/>
  <c r="Q10" i="19"/>
  <c r="Q12" i="19" s="1"/>
  <c r="P11" i="33"/>
  <c r="AH15" i="33"/>
  <c r="AI19" i="19" l="1"/>
  <c r="N11" i="11"/>
  <c r="Q11" i="11"/>
  <c r="R11" i="11" s="1"/>
  <c r="P23" i="33"/>
  <c r="AH19" i="33"/>
  <c r="AM19" i="33"/>
  <c r="AQ19" i="33" s="1"/>
  <c r="AQ23" i="33" s="1"/>
  <c r="AH23" i="33"/>
  <c r="AR19" i="19"/>
  <c r="AI30" i="32"/>
  <c r="AR27" i="32"/>
  <c r="AR30" i="32"/>
  <c r="O69" i="2"/>
  <c r="F69" i="2"/>
  <c r="H48" i="19"/>
  <c r="Q23" i="19" s="1"/>
  <c r="U31" i="2"/>
  <c r="U32" i="2"/>
  <c r="U37" i="2"/>
  <c r="U36" i="2"/>
  <c r="U18" i="2"/>
  <c r="U19" i="2"/>
  <c r="U30" i="2"/>
  <c r="U16" i="2"/>
  <c r="P25" i="33"/>
  <c r="AQ25" i="33" s="1"/>
  <c r="AQ27" i="33" l="1"/>
  <c r="P12" i="11" s="1"/>
  <c r="O11" i="11"/>
  <c r="U46" i="2"/>
  <c r="U69" i="2" s="1"/>
  <c r="AA71" i="2" s="1"/>
  <c r="AA73" i="2" s="1"/>
  <c r="O73" i="2"/>
  <c r="O81" i="2" s="1"/>
  <c r="U75" i="2" s="1"/>
  <c r="AA75" i="2" s="1"/>
  <c r="AR34" i="32"/>
  <c r="AI23" i="19"/>
  <c r="AI25" i="19" s="1"/>
  <c r="AI27" i="19" s="1"/>
  <c r="AR21" i="19"/>
  <c r="AR23" i="19" s="1"/>
  <c r="AR25" i="19" s="1"/>
  <c r="Q25" i="19"/>
  <c r="AH27" i="33"/>
  <c r="AH29" i="33" s="1"/>
  <c r="AH31" i="33" s="1"/>
  <c r="P27" i="33"/>
  <c r="AA77" i="2" l="1"/>
  <c r="M10" i="11"/>
  <c r="N10" i="11" s="1"/>
  <c r="O10" i="11" s="1"/>
  <c r="AG75" i="2"/>
  <c r="AM75" i="2" s="1"/>
  <c r="U73" i="2"/>
  <c r="U77" i="2" s="1"/>
  <c r="AG71" i="2"/>
  <c r="K12" i="11"/>
  <c r="P31" i="33"/>
  <c r="P10" i="11"/>
  <c r="Q32" i="19"/>
  <c r="K10" i="11"/>
  <c r="AR27" i="19"/>
  <c r="AR39" i="19"/>
  <c r="AQ29" i="33"/>
  <c r="M12" i="11"/>
  <c r="AI39" i="19"/>
  <c r="Q10" i="11" l="1"/>
  <c r="R10" i="11" s="1"/>
  <c r="AA83" i="2"/>
  <c r="N12" i="11"/>
  <c r="O12" i="11" s="1"/>
  <c r="Q12" i="11"/>
  <c r="K20" i="11"/>
  <c r="U83" i="2"/>
  <c r="AM71" i="2"/>
  <c r="AM73" i="2" s="1"/>
  <c r="AM77" i="2" s="1"/>
  <c r="AG73" i="2"/>
  <c r="AG77" i="2" s="1"/>
  <c r="AG79" i="2" s="1"/>
  <c r="AR43" i="19"/>
  <c r="AQ31" i="33"/>
  <c r="AH40" i="33"/>
  <c r="R12" i="11" l="1"/>
  <c r="AM79" i="2"/>
  <c r="AG85" i="2"/>
  <c r="AM85" i="2"/>
  <c r="P36" i="35"/>
  <c r="J16" i="11" s="1"/>
  <c r="Q20" i="11" l="1"/>
  <c r="R20" i="11" s="1"/>
  <c r="P38" i="35"/>
  <c r="P40" i="35" s="1"/>
  <c r="P44" i="35"/>
  <c r="O20" i="11" l="1"/>
</calcChain>
</file>

<file path=xl/sharedStrings.xml><?xml version="1.0" encoding="utf-8"?>
<sst xmlns="http://schemas.openxmlformats.org/spreadsheetml/2006/main" count="1581" uniqueCount="211">
  <si>
    <t>Description</t>
  </si>
  <si>
    <t>Service Charge</t>
  </si>
  <si>
    <t>Billing Units</t>
  </si>
  <si>
    <t>Rate</t>
  </si>
  <si>
    <t>Calculated Billings</t>
  </si>
  <si>
    <t>Energy Charge</t>
  </si>
  <si>
    <t>kWh</t>
  </si>
  <si>
    <t>Total Billings</t>
  </si>
  <si>
    <t>Demand Charge</t>
  </si>
  <si>
    <t>Rate Class</t>
  </si>
  <si>
    <t>Percentage Change</t>
  </si>
  <si>
    <t>Total</t>
  </si>
  <si>
    <t>Difference</t>
  </si>
  <si>
    <t>Distrubution Delivery</t>
  </si>
  <si>
    <t>Per Meter Per Month</t>
  </si>
  <si>
    <t>Percent Difference</t>
  </si>
  <si>
    <t>PPA Billings</t>
  </si>
  <si>
    <t>Total Revenue</t>
  </si>
  <si>
    <t>Book Revenue</t>
  </si>
  <si>
    <t>Lighting</t>
  </si>
  <si>
    <t># of Lights</t>
  </si>
  <si>
    <t>Total Kwh</t>
  </si>
  <si>
    <t>Per Books</t>
  </si>
  <si>
    <t>Correction Factor</t>
  </si>
  <si>
    <t xml:space="preserve">Summary of Proposed Rate Changes </t>
  </si>
  <si>
    <t xml:space="preserve"> Test Year Rate</t>
  </si>
  <si>
    <t>Minimum Billings</t>
  </si>
  <si>
    <t>Minimum Bills</t>
  </si>
  <si>
    <t>Excess Demand</t>
  </si>
  <si>
    <t>Old Rate</t>
  </si>
  <si>
    <t>Finished</t>
  </si>
  <si>
    <t>Cust Charge Revenue</t>
  </si>
  <si>
    <t>All Kw</t>
  </si>
  <si>
    <t>Billing before correction factor</t>
  </si>
  <si>
    <t>Correction factor</t>
  </si>
  <si>
    <t>South Kentucky RECC</t>
  </si>
  <si>
    <t>Residential Farm and Non-Farm Service</t>
  </si>
  <si>
    <t>FAC</t>
  </si>
  <si>
    <t>Environmental Mechanism</t>
  </si>
  <si>
    <t>Enviro Watts</t>
  </si>
  <si>
    <t>Small Commercial</t>
  </si>
  <si>
    <t>Book Revenue Rate 1</t>
  </si>
  <si>
    <t>Book Revenue Rate 3</t>
  </si>
  <si>
    <t>FAC Rate 1</t>
  </si>
  <si>
    <t>FAC Rate 3</t>
  </si>
  <si>
    <t>Enviro Mechanism Rate 1</t>
  </si>
  <si>
    <t>Enviro Mechanism Rate 3</t>
  </si>
  <si>
    <t>Large Power</t>
  </si>
  <si>
    <t>Rate 1 Old Rate</t>
  </si>
  <si>
    <t>Rate 3 Old Rate</t>
  </si>
  <si>
    <t>Rate 1 New Rate</t>
  </si>
  <si>
    <t>Rate 3 New Rate</t>
  </si>
  <si>
    <t>New Rate</t>
  </si>
  <si>
    <t>Optional Power Service</t>
  </si>
  <si>
    <t>Residential ETS</t>
  </si>
  <si>
    <t>Small Commercial ETS</t>
  </si>
  <si>
    <t>Large Power 1</t>
  </si>
  <si>
    <t>Substation Charge</t>
  </si>
  <si>
    <t>Large Power 2</t>
  </si>
  <si>
    <t>Old Rate First Block</t>
  </si>
  <si>
    <t>Old Rate Second Block</t>
  </si>
  <si>
    <t>New Rate First Block</t>
  </si>
  <si>
    <t>New Rate Second Block</t>
  </si>
  <si>
    <t>Equipment Charges</t>
  </si>
  <si>
    <t>Metered KW</t>
  </si>
  <si>
    <t>PF KW</t>
  </si>
  <si>
    <t>Large Power 3</t>
  </si>
  <si>
    <t>Contract Demand</t>
  </si>
  <si>
    <t>PF Penalty</t>
  </si>
  <si>
    <t>EDR Credit</t>
  </si>
  <si>
    <t>All Electric Schools</t>
  </si>
  <si>
    <t>Rate 30 Old Rate</t>
  </si>
  <si>
    <t>Rate 30 New Rate</t>
  </si>
  <si>
    <t>Book Revenue Rate 30</t>
  </si>
  <si>
    <t>FAC Rate 30</t>
  </si>
  <si>
    <t>Enviro Mechanism Rate 30</t>
  </si>
  <si>
    <t>Rate 6 Old Rate</t>
  </si>
  <si>
    <t>Rate 6 New Rate</t>
  </si>
  <si>
    <t>Rate 36 Old Rate</t>
  </si>
  <si>
    <t>Rate 36 New Rate</t>
  </si>
  <si>
    <t>Rate 6 Book Revenue</t>
  </si>
  <si>
    <t>Rate 36 Book Revenue</t>
  </si>
  <si>
    <t>Rate 6 FAC</t>
  </si>
  <si>
    <t>Rate 36 FAC</t>
  </si>
  <si>
    <t>Rate 6 Envir Mechanism</t>
  </si>
  <si>
    <t>Rate 36 Envir Mechanism</t>
  </si>
  <si>
    <t>Rate 66 Old Rate</t>
  </si>
  <si>
    <t>Rate 66 New Rate</t>
  </si>
  <si>
    <t>Rate 66 Book Revenue</t>
  </si>
  <si>
    <t>Rate 66 FAC</t>
  </si>
  <si>
    <t>Rate 66 Envir Mechanism</t>
  </si>
  <si>
    <t>M/VAPOR 175-WATT STREETLGT</t>
  </si>
  <si>
    <t>SODIUM STREETLGT 150 WATTS</t>
  </si>
  <si>
    <t>*LED COBA STR LT 39KWH</t>
  </si>
  <si>
    <t>M/VAPOR 400-WATT STREETLGT</t>
  </si>
  <si>
    <t>SODIUM STREETLGT 360 WATTS</t>
  </si>
  <si>
    <t>Total Street Lighting</t>
  </si>
  <si>
    <t>250W COBRA EXISTING POLE</t>
  </si>
  <si>
    <t>250W COBRA 30 ALUM. POLE @ 100 KWH</t>
  </si>
  <si>
    <t>LED COBRA ON POLE 39KWH</t>
  </si>
  <si>
    <t>LED COBRA-POLE 10500L</t>
  </si>
  <si>
    <t>100W METAL HALIDE ACORN</t>
  </si>
  <si>
    <t>100W M/HALIDE LEXINGTON</t>
  </si>
  <si>
    <t>14 SMOOTH POLE</t>
  </si>
  <si>
    <t>14 FLUTED POLE</t>
  </si>
  <si>
    <t>LED 173W AREA 63KWH</t>
  </si>
  <si>
    <t>400W METAL HALIDE GALLERIA</t>
  </si>
  <si>
    <t>400W M/H GALLERIA</t>
  </si>
  <si>
    <t>1000W M/HALIDE GALLERIA</t>
  </si>
  <si>
    <t>30 SQUARE STEEL POLE</t>
  </si>
  <si>
    <t>250W COBRA 30 ALUM. POLE@106KWH</t>
  </si>
  <si>
    <t>400W MERCURY COBRA 8 ARM</t>
  </si>
  <si>
    <t>400W MERCURY COBRA 12 ARM</t>
  </si>
  <si>
    <t>400W MERCURY COBRA 16 ARM</t>
  </si>
  <si>
    <t>Total Decorative Street Lighting</t>
  </si>
  <si>
    <t>M/VAPOR SEC LIGHT 74 KWH</t>
  </si>
  <si>
    <t>SODIUM SEC LIGHT 45 KWH</t>
  </si>
  <si>
    <t>M/VAPOR METERED SEC LIGHT</t>
  </si>
  <si>
    <t>SODIUM METERED SEC LIGHT</t>
  </si>
  <si>
    <t>LED SEC LT 23KWH</t>
  </si>
  <si>
    <t>LED SEC LT METERED</t>
  </si>
  <si>
    <t>LED DIR FLOOD 73KWH 200W</t>
  </si>
  <si>
    <t>LED DIR FLOOD METERED 200W</t>
  </si>
  <si>
    <t>LED 391W DIR FLOOD 143KWH</t>
  </si>
  <si>
    <t>LED 391W DIR FLOOD MTR</t>
  </si>
  <si>
    <t>SODIUM DIRECTIONAL LIGHT</t>
  </si>
  <si>
    <t>SODIUM METERED DIRECTIONAL</t>
  </si>
  <si>
    <t>M/HALIDE 250W METERED DIR</t>
  </si>
  <si>
    <t>M/HALIDE 400W METERED DIR</t>
  </si>
  <si>
    <t>M/HALIDE 1000W METERED DIR</t>
  </si>
  <si>
    <t>M/HALIDE 250W DIRECTIONAL</t>
  </si>
  <si>
    <t>M/HALIDE 400W DIRECTIONAL</t>
  </si>
  <si>
    <t>M/HALIDE 1000W DIRECTIONAL</t>
  </si>
  <si>
    <t>Total Outdoor Lighting</t>
  </si>
  <si>
    <t>STL</t>
  </si>
  <si>
    <t>DSTL</t>
  </si>
  <si>
    <t>OL</t>
  </si>
  <si>
    <t>Apr -Feb</t>
  </si>
  <si>
    <t>Rate/Light</t>
  </si>
  <si>
    <t>Grand Total</t>
  </si>
  <si>
    <t>Revenue</t>
  </si>
  <si>
    <t>Kwh</t>
  </si>
  <si>
    <t>PrePaid Adder Cust Days</t>
  </si>
  <si>
    <t>Rate 20 Old Rate</t>
  </si>
  <si>
    <t>Rate 20 New Rate</t>
  </si>
  <si>
    <t>Book Revenue Rate 20</t>
  </si>
  <si>
    <t>FAC Rate 20</t>
  </si>
  <si>
    <t>Enviro Mechanism Rate 20</t>
  </si>
  <si>
    <t>Rate 1 Per Meter Per Month</t>
  </si>
  <si>
    <t>Rate 3 Per Meter Per Month</t>
  </si>
  <si>
    <t>Rate 20 Per Meter Per Month</t>
  </si>
  <si>
    <t>Rate 30 Per Meter Per Month</t>
  </si>
  <si>
    <t>Rate 2 Per Meter Per Month</t>
  </si>
  <si>
    <t>Rate 22 Per Meter Per Month</t>
  </si>
  <si>
    <t>Rate 2 Old Rate</t>
  </si>
  <si>
    <t>Rate 22 Old Rate</t>
  </si>
  <si>
    <t>Rate 2 New Rate</t>
  </si>
  <si>
    <t>Rate 22 New Rate</t>
  </si>
  <si>
    <t>Book Revenue Rate 2</t>
  </si>
  <si>
    <t>Book Revenue Rate 22</t>
  </si>
  <si>
    <t>FAC Rate 2</t>
  </si>
  <si>
    <t>FAC Rate 22</t>
  </si>
  <si>
    <t>Enviro Mechanism Rate 2</t>
  </si>
  <si>
    <t>Enviro Mechanism Rate 22</t>
  </si>
  <si>
    <t>Residential Farm and Non-Farm Service Rate 1,3,20,30</t>
  </si>
  <si>
    <t>Small Commercial Rate 2, 22</t>
  </si>
  <si>
    <t>Test Year Rate After Toyotetsu Moved to LP-2</t>
  </si>
  <si>
    <t>Test Year Rate After Toyotetsu Moved From LP-1</t>
  </si>
  <si>
    <t>Toyetetsu from LP-1</t>
  </si>
  <si>
    <t>Base Rate</t>
  </si>
  <si>
    <t>Environmental</t>
  </si>
  <si>
    <t>Equipment</t>
  </si>
  <si>
    <t>Charges</t>
  </si>
  <si>
    <t>Current Rates with FAC Roll-in</t>
  </si>
  <si>
    <t>Per kWh</t>
  </si>
  <si>
    <t>FAC Revenue</t>
  </si>
  <si>
    <t>Enviro Mechanism</t>
  </si>
  <si>
    <t>Total Book Revenue</t>
  </si>
  <si>
    <t>FAC Billings</t>
  </si>
  <si>
    <t>Grande Total Revenue</t>
  </si>
  <si>
    <t>Total Billings After Correction Factor</t>
  </si>
  <si>
    <t>Book Revenue Excluding FAC</t>
  </si>
  <si>
    <t>Per kW</t>
  </si>
  <si>
    <t>First Block</t>
  </si>
  <si>
    <t>Second Block</t>
  </si>
  <si>
    <t>Percent Increase</t>
  </si>
  <si>
    <t>Increase</t>
  </si>
  <si>
    <t>Base and FAC</t>
  </si>
  <si>
    <t>EnviroWatts</t>
  </si>
  <si>
    <t xml:space="preserve">Revenue </t>
  </si>
  <si>
    <t>After FAC Roll-in</t>
  </si>
  <si>
    <t>After Customer</t>
  </si>
  <si>
    <t>Movement</t>
  </si>
  <si>
    <t>Proposed</t>
  </si>
  <si>
    <t>Proposed Rates Step 2</t>
  </si>
  <si>
    <t>Proposed Rates Step 1</t>
  </si>
  <si>
    <t>Step 1</t>
  </si>
  <si>
    <t>Step 2</t>
  </si>
  <si>
    <t>Current Rates After EKPC Flow Through</t>
  </si>
  <si>
    <t>EKPC Passthrough</t>
  </si>
  <si>
    <t>30 ALUMINUM POLE</t>
  </si>
  <si>
    <t>SODIUM COBRA - POLE 15000L</t>
  </si>
  <si>
    <t>SODIUM COBRA - 30 ALUM POLE 15000L</t>
  </si>
  <si>
    <t>SODIUM COBRA - 30 ALUM POLE 7000L</t>
  </si>
  <si>
    <t>LED 173W AREA</t>
  </si>
  <si>
    <t>1000W GALLERIA</t>
  </si>
  <si>
    <t>Average Bill</t>
  </si>
  <si>
    <t>Average</t>
  </si>
  <si>
    <t>Customer Months</t>
  </si>
  <si>
    <t>Exhibit WSS-13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</si>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</sst>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0.0%"/>
    <numFmt numFmtId="168" formatCode="0.000%"/>
    <numFmt numFmtId="169" formatCode="_(&quot;$&quot;* #,##0.00000_);_(&quot;$&quot;* \(#,##0.00000\);_(&quot;$&quot;* &quot;-&quot;??_);_(@_)"/>
    <numFmt numFmtId="170" formatCode="_(&quot;$&quot;* #,##0_);_(&quot;$&quot;* \(#,##0\);_(&quot;$&quot;* &quot;-&quot;??_);_(@_)"/>
    <numFmt numFmtId="171" formatCode="_(* #,##0.000000_);_(* \(#,##0.000000\);_(* &quot;-&quot;??_);_(@_)"/>
    <numFmt numFmtId="172" formatCode="&quot;$&quot;#,##0.00"/>
    <numFmt numFmtId="173" formatCode="_(* #,##0.00000_);_(* \(#,##0.00000\);_(* &quot;-&quot;??_);_(@_)"/>
    <numFmt numFmtId="174" formatCode="0.00000%"/>
    <numFmt numFmtId="175" formatCode="_(* #,##0.000_);_(* \(#,##0.0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2" applyFont="1"/>
    <xf numFmtId="165" fontId="0" fillId="0" borderId="0" xfId="1" applyNumberFormat="1" applyFont="1"/>
    <xf numFmtId="44" fontId="0" fillId="0" borderId="0" xfId="0" applyNumberFormat="1"/>
    <xf numFmtId="165" fontId="0" fillId="0" borderId="0" xfId="0" applyNumberFormat="1"/>
    <xf numFmtId="165" fontId="0" fillId="0" borderId="1" xfId="1" applyNumberFormat="1" applyFont="1" applyBorder="1"/>
    <xf numFmtId="0" fontId="0" fillId="0" borderId="1" xfId="0" applyBorder="1"/>
    <xf numFmtId="44" fontId="0" fillId="0" borderId="1" xfId="0" applyNumberFormat="1" applyBorder="1"/>
    <xf numFmtId="165" fontId="0" fillId="0" borderId="1" xfId="0" applyNumberFormat="1" applyBorder="1"/>
    <xf numFmtId="44" fontId="0" fillId="0" borderId="2" xfId="0" applyNumberFormat="1" applyBorder="1"/>
    <xf numFmtId="0" fontId="3" fillId="0" borderId="0" xfId="0" applyFont="1"/>
    <xf numFmtId="44" fontId="0" fillId="0" borderId="0" xfId="0" applyNumberFormat="1" applyBorder="1"/>
    <xf numFmtId="165" fontId="0" fillId="0" borderId="0" xfId="1" applyNumberFormat="1" applyFont="1" applyBorder="1"/>
    <xf numFmtId="0" fontId="0" fillId="0" borderId="0" xfId="0" applyBorder="1"/>
    <xf numFmtId="166" fontId="0" fillId="0" borderId="0" xfId="2" applyNumberFormat="1" applyFont="1" applyBorder="1"/>
    <xf numFmtId="165" fontId="0" fillId="0" borderId="0" xfId="0" applyNumberFormat="1" applyBorder="1"/>
    <xf numFmtId="167" fontId="0" fillId="0" borderId="0" xfId="3" applyNumberFormat="1" applyFont="1"/>
    <xf numFmtId="10" fontId="0" fillId="0" borderId="0" xfId="3" applyNumberFormat="1" applyFont="1"/>
    <xf numFmtId="44" fontId="0" fillId="0" borderId="1" xfId="2" applyFont="1" applyBorder="1"/>
    <xf numFmtId="44" fontId="0" fillId="0" borderId="0" xfId="2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0" fillId="0" borderId="0" xfId="0" applyFill="1"/>
    <xf numFmtId="170" fontId="0" fillId="0" borderId="0" xfId="2" applyNumberFormat="1" applyFont="1"/>
    <xf numFmtId="43" fontId="0" fillId="0" borderId="0" xfId="1" applyFont="1"/>
    <xf numFmtId="10" fontId="0" fillId="0" borderId="0" xfId="3" applyNumberFormat="1" applyFont="1" applyBorder="1"/>
    <xf numFmtId="170" fontId="0" fillId="0" borderId="0" xfId="0" applyNumberFormat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Fill="1"/>
    <xf numFmtId="0" fontId="0" fillId="0" borderId="0" xfId="0" applyAlignment="1">
      <alignment horizontal="left"/>
    </xf>
    <xf numFmtId="167" fontId="0" fillId="0" borderId="0" xfId="3" applyNumberFormat="1" applyFont="1" applyBorder="1"/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168" fontId="0" fillId="0" borderId="0" xfId="3" applyNumberFormat="1" applyFont="1" applyBorder="1"/>
    <xf numFmtId="170" fontId="0" fillId="0" borderId="1" xfId="2" applyNumberFormat="1" applyFont="1" applyBorder="1"/>
    <xf numFmtId="0" fontId="0" fillId="0" borderId="0" xfId="0" applyBorder="1" applyAlignment="1">
      <alignment horizontal="right"/>
    </xf>
    <xf numFmtId="171" fontId="0" fillId="0" borderId="0" xfId="1" applyNumberFormat="1" applyFont="1" applyBorder="1"/>
    <xf numFmtId="3" fontId="0" fillId="0" borderId="0" xfId="0" applyNumberFormat="1"/>
    <xf numFmtId="169" fontId="0" fillId="0" borderId="0" xfId="2" applyNumberFormat="1" applyFont="1" applyBorder="1"/>
    <xf numFmtId="169" fontId="0" fillId="0" borderId="0" xfId="2" applyNumberFormat="1" applyFont="1"/>
    <xf numFmtId="164" fontId="0" fillId="0" borderId="0" xfId="1" applyNumberFormat="1" applyFont="1"/>
    <xf numFmtId="0" fontId="4" fillId="0" borderId="0" xfId="0" applyFont="1" applyAlignment="1">
      <alignment horizontal="center"/>
    </xf>
    <xf numFmtId="172" fontId="0" fillId="0" borderId="0" xfId="0" applyNumberFormat="1"/>
    <xf numFmtId="172" fontId="1" fillId="0" borderId="0" xfId="2" applyNumberFormat="1"/>
    <xf numFmtId="0" fontId="2" fillId="0" borderId="0" xfId="0" applyFont="1" applyFill="1" applyBorder="1"/>
    <xf numFmtId="169" fontId="0" fillId="0" borderId="1" xfId="2" applyNumberFormat="1" applyFont="1" applyBorder="1"/>
    <xf numFmtId="168" fontId="0" fillId="0" borderId="0" xfId="3" applyNumberFormat="1" applyFont="1"/>
    <xf numFmtId="169" fontId="0" fillId="0" borderId="0" xfId="0" applyNumberFormat="1"/>
    <xf numFmtId="169" fontId="0" fillId="0" borderId="0" xfId="0" applyNumberFormat="1" applyBorder="1"/>
    <xf numFmtId="170" fontId="0" fillId="0" borderId="0" xfId="3" applyNumberFormat="1" applyFont="1" applyBorder="1"/>
    <xf numFmtId="170" fontId="0" fillId="0" borderId="0" xfId="0" applyNumberFormat="1"/>
    <xf numFmtId="170" fontId="0" fillId="0" borderId="0" xfId="2" applyNumberFormat="1" applyFont="1" applyBorder="1"/>
    <xf numFmtId="170" fontId="0" fillId="0" borderId="0" xfId="0" applyNumberFormat="1" applyFill="1" applyBorder="1"/>
    <xf numFmtId="164" fontId="0" fillId="0" borderId="0" xfId="1" applyNumberFormat="1" applyFont="1" applyBorder="1"/>
    <xf numFmtId="44" fontId="1" fillId="0" borderId="0" xfId="2"/>
    <xf numFmtId="44" fontId="1" fillId="0" borderId="0" xfId="2" applyBorder="1"/>
    <xf numFmtId="44" fontId="1" fillId="0" borderId="1" xfId="2" applyBorder="1"/>
    <xf numFmtId="166" fontId="1" fillId="0" borderId="0" xfId="2" applyNumberFormat="1" applyBorder="1"/>
    <xf numFmtId="165" fontId="1" fillId="0" borderId="0" xfId="1" applyNumberFormat="1" applyBorder="1"/>
    <xf numFmtId="166" fontId="1" fillId="0" borderId="0" xfId="2" applyNumberFormat="1"/>
    <xf numFmtId="168" fontId="1" fillId="0" borderId="0" xfId="3" applyNumberFormat="1"/>
    <xf numFmtId="171" fontId="1" fillId="0" borderId="0" xfId="1" applyNumberFormat="1" applyBorder="1"/>
    <xf numFmtId="165" fontId="3" fillId="0" borderId="0" xfId="1" applyNumberFormat="1" applyFont="1"/>
    <xf numFmtId="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0" fillId="0" borderId="0" xfId="0" applyNumberFormat="1"/>
    <xf numFmtId="43" fontId="0" fillId="0" borderId="0" xfId="1" applyFont="1" applyBorder="1"/>
    <xf numFmtId="43" fontId="0" fillId="0" borderId="0" xfId="0" applyNumberFormat="1" applyBorder="1"/>
    <xf numFmtId="3" fontId="0" fillId="0" borderId="0" xfId="0" applyNumberFormat="1" applyFill="1"/>
    <xf numFmtId="0" fontId="2" fillId="3" borderId="0" xfId="0" applyFont="1" applyFill="1"/>
    <xf numFmtId="0" fontId="0" fillId="3" borderId="0" xfId="0" applyFill="1"/>
    <xf numFmtId="0" fontId="2" fillId="0" borderId="0" xfId="0" applyFont="1" applyBorder="1" applyAlignment="1">
      <alignment horizontal="right"/>
    </xf>
    <xf numFmtId="0" fontId="0" fillId="2" borderId="0" xfId="0" applyFill="1" applyBorder="1"/>
    <xf numFmtId="0" fontId="0" fillId="0" borderId="0" xfId="0" applyBorder="1" applyAlignment="1">
      <alignment wrapText="1"/>
    </xf>
    <xf numFmtId="172" fontId="0" fillId="0" borderId="0" xfId="0" applyNumberFormat="1" applyFill="1"/>
    <xf numFmtId="43" fontId="2" fillId="0" borderId="0" xfId="1" applyFont="1" applyBorder="1"/>
    <xf numFmtId="43" fontId="0" fillId="0" borderId="0" xfId="1" applyNumberFormat="1" applyFont="1" applyBorder="1"/>
    <xf numFmtId="168" fontId="0" fillId="0" borderId="0" xfId="0" applyNumberFormat="1"/>
    <xf numFmtId="165" fontId="0" fillId="0" borderId="0" xfId="1" applyNumberFormat="1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44" fontId="0" fillId="0" borderId="0" xfId="2" applyFont="1" applyFill="1"/>
    <xf numFmtId="44" fontId="0" fillId="0" borderId="0" xfId="2" applyFont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44" fontId="3" fillId="0" borderId="0" xfId="2" applyFont="1" applyFill="1"/>
    <xf numFmtId="165" fontId="2" fillId="0" borderId="0" xfId="1" applyNumberFormat="1" applyFont="1"/>
    <xf numFmtId="165" fontId="0" fillId="0" borderId="0" xfId="1" applyNumberFormat="1" applyFont="1" applyFill="1"/>
    <xf numFmtId="44" fontId="0" fillId="0" borderId="0" xfId="3" applyNumberFormat="1" applyFont="1"/>
    <xf numFmtId="44" fontId="3" fillId="0" borderId="0" xfId="0" applyNumberFormat="1" applyFont="1" applyFill="1"/>
    <xf numFmtId="44" fontId="0" fillId="0" borderId="0" xfId="0" applyNumberFormat="1" applyFill="1"/>
    <xf numFmtId="43" fontId="3" fillId="0" borderId="0" xfId="1" applyNumberFormat="1" applyFon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173" fontId="0" fillId="0" borderId="0" xfId="1" applyNumberFormat="1" applyFont="1"/>
    <xf numFmtId="0" fontId="7" fillId="0" borderId="0" xfId="0" applyFont="1" applyBorder="1"/>
    <xf numFmtId="0" fontId="1" fillId="0" borderId="1" xfId="0" applyFont="1" applyBorder="1"/>
    <xf numFmtId="165" fontId="1" fillId="0" borderId="1" xfId="1" applyNumberFormat="1" applyFont="1" applyBorder="1"/>
    <xf numFmtId="44" fontId="1" fillId="0" borderId="1" xfId="2" applyFont="1" applyBorder="1"/>
    <xf numFmtId="44" fontId="1" fillId="0" borderId="1" xfId="0" applyNumberFormat="1" applyFont="1" applyBorder="1"/>
    <xf numFmtId="44" fontId="2" fillId="0" borderId="0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165" fontId="0" fillId="0" borderId="0" xfId="0" applyNumberFormat="1" applyFill="1" applyBorder="1"/>
    <xf numFmtId="44" fontId="0" fillId="0" borderId="0" xfId="2" applyFont="1" applyFill="1" applyBorder="1"/>
    <xf numFmtId="44" fontId="0" fillId="0" borderId="0" xfId="0" applyNumberFormat="1" applyFill="1" applyBorder="1"/>
    <xf numFmtId="174" fontId="0" fillId="0" borderId="0" xfId="3" applyNumberFormat="1" applyFont="1" applyBorder="1"/>
    <xf numFmtId="43" fontId="0" fillId="0" borderId="0" xfId="0" applyNumberFormat="1" applyFill="1" applyBorder="1"/>
    <xf numFmtId="165" fontId="0" fillId="3" borderId="0" xfId="1" applyNumberFormat="1" applyFont="1" applyFill="1"/>
    <xf numFmtId="164" fontId="0" fillId="0" borderId="1" xfId="0" applyNumberFormat="1" applyBorder="1"/>
    <xf numFmtId="3" fontId="0" fillId="3" borderId="0" xfId="0" applyNumberFormat="1" applyFill="1"/>
    <xf numFmtId="0" fontId="0" fillId="3" borderId="0" xfId="0" applyFill="1" applyAlignment="1">
      <alignment horizontal="center"/>
    </xf>
    <xf numFmtId="44" fontId="0" fillId="3" borderId="0" xfId="2" applyFont="1" applyFill="1"/>
    <xf numFmtId="44" fontId="1" fillId="3" borderId="0" xfId="2" applyFill="1"/>
    <xf numFmtId="0" fontId="0" fillId="3" borderId="0" xfId="0" applyFill="1" applyBorder="1"/>
    <xf numFmtId="165" fontId="0" fillId="3" borderId="0" xfId="0" applyNumberFormat="1" applyFill="1"/>
    <xf numFmtId="172" fontId="0" fillId="3" borderId="0" xfId="0" applyNumberFormat="1" applyFill="1"/>
    <xf numFmtId="172" fontId="1" fillId="3" borderId="0" xfId="2" applyNumberFormat="1" applyFill="1"/>
    <xf numFmtId="44" fontId="0" fillId="3" borderId="0" xfId="2" applyFont="1" applyFill="1" applyBorder="1"/>
    <xf numFmtId="0" fontId="1" fillId="3" borderId="0" xfId="0" applyFont="1" applyFill="1"/>
    <xf numFmtId="0" fontId="2" fillId="3" borderId="0" xfId="0" applyFont="1" applyFill="1" applyBorder="1"/>
    <xf numFmtId="172" fontId="1" fillId="0" borderId="0" xfId="2" applyNumberFormat="1" applyFill="1"/>
    <xf numFmtId="175" fontId="0" fillId="0" borderId="0" xfId="0" applyNumberFormat="1" applyBorder="1"/>
    <xf numFmtId="44" fontId="0" fillId="0" borderId="0" xfId="3" applyNumberFormat="1" applyFont="1" applyBorder="1"/>
    <xf numFmtId="165" fontId="3" fillId="0" borderId="0" xfId="1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44" fontId="3" fillId="0" borderId="0" xfId="0" applyNumberFormat="1" applyFont="1" applyBorder="1"/>
    <xf numFmtId="44" fontId="0" fillId="0" borderId="0" xfId="2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W44"/>
  <sheetViews>
    <sheetView tabSelected="1" zoomScale="130" zoomScaleNormal="13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O25" sqref="O25:O26"/>
    </sheetView>
  </sheetViews>
  <sheetFormatPr defaultRowHeight="12.75" x14ac:dyDescent="0.35"/>
  <cols>
    <col min="1" max="1" width="48.86328125" customWidth="1"/>
    <col min="2" max="2" width="12.86328125" customWidth="1"/>
    <col min="3" max="8" width="16" hidden="1" customWidth="1"/>
    <col min="9" max="9" width="17.265625" hidden="1" customWidth="1"/>
    <col min="10" max="10" width="16" hidden="1" customWidth="1"/>
    <col min="11" max="11" width="15.265625" hidden="1" customWidth="1"/>
    <col min="12" max="12" width="18.73046875" customWidth="1"/>
    <col min="13" max="13" width="15" customWidth="1"/>
    <col min="14" max="14" width="13.1328125" customWidth="1"/>
    <col min="15" max="15" width="12.265625" customWidth="1"/>
    <col min="16" max="16" width="14.265625" customWidth="1"/>
    <col min="17" max="17" width="12.59765625" customWidth="1"/>
    <col min="18" max="18" width="12.73046875" customWidth="1"/>
    <col min="19" max="19" width="9.86328125" customWidth="1"/>
    <col min="20" max="20" width="13.86328125" bestFit="1" customWidth="1"/>
    <col min="21" max="21" width="12.1328125" bestFit="1" customWidth="1"/>
  </cols>
  <sheetData>
    <row r="1" spans="1:23" ht="15" x14ac:dyDescent="0.4">
      <c r="A1" s="143" t="s">
        <v>35</v>
      </c>
      <c r="B1" s="1"/>
      <c r="C1" s="1"/>
      <c r="D1" s="1"/>
      <c r="E1" s="1"/>
      <c r="F1" s="1"/>
      <c r="G1" s="1"/>
      <c r="H1" s="1"/>
      <c r="I1" s="1"/>
      <c r="R1" s="142" t="s">
        <v>209</v>
      </c>
    </row>
    <row r="2" spans="1:23" ht="15" x14ac:dyDescent="0.4">
      <c r="A2" s="141" t="s">
        <v>24</v>
      </c>
      <c r="B2" s="1"/>
      <c r="C2" s="1"/>
      <c r="D2" s="1"/>
      <c r="E2" s="1"/>
      <c r="F2" s="1"/>
      <c r="G2" s="1"/>
      <c r="H2" s="1"/>
      <c r="I2" s="1"/>
      <c r="R2" s="142" t="s">
        <v>210</v>
      </c>
    </row>
    <row r="3" spans="1:23" ht="15" x14ac:dyDescent="0.4">
      <c r="A3" s="1"/>
      <c r="B3" s="1"/>
      <c r="C3" s="1"/>
      <c r="D3" s="1"/>
      <c r="E3" s="1"/>
      <c r="F3" s="1"/>
      <c r="G3" s="1"/>
      <c r="H3" s="1"/>
      <c r="I3" s="1"/>
      <c r="Q3" s="141"/>
    </row>
    <row r="4" spans="1:23" ht="15" x14ac:dyDescent="0.4">
      <c r="A4" s="1"/>
      <c r="B4" s="1"/>
      <c r="C4" s="1"/>
      <c r="D4" s="1"/>
      <c r="E4" s="1"/>
      <c r="F4" s="1"/>
      <c r="G4" s="1"/>
      <c r="H4" s="1"/>
      <c r="I4" s="1"/>
      <c r="Q4" s="141"/>
    </row>
    <row r="5" spans="1:23" ht="13.15" x14ac:dyDescent="0.4">
      <c r="A5" s="1"/>
      <c r="B5" s="1"/>
      <c r="C5" s="1"/>
      <c r="D5" s="1"/>
      <c r="E5" s="1"/>
      <c r="F5" s="1"/>
      <c r="G5" s="1"/>
      <c r="H5" s="1"/>
      <c r="I5" s="1"/>
      <c r="K5" s="4" t="s">
        <v>11</v>
      </c>
      <c r="L5" s="4" t="s">
        <v>206</v>
      </c>
      <c r="M5" s="4" t="s">
        <v>206</v>
      </c>
      <c r="P5" s="4" t="s">
        <v>206</v>
      </c>
    </row>
    <row r="6" spans="1:23" ht="13.15" x14ac:dyDescent="0.4">
      <c r="C6" s="4" t="s">
        <v>169</v>
      </c>
      <c r="D6" s="4" t="s">
        <v>37</v>
      </c>
      <c r="E6" s="4" t="s">
        <v>11</v>
      </c>
      <c r="F6" s="4"/>
      <c r="G6" s="4" t="s">
        <v>170</v>
      </c>
      <c r="H6" s="4"/>
      <c r="J6" s="2" t="s">
        <v>140</v>
      </c>
      <c r="K6" s="4" t="s">
        <v>187</v>
      </c>
      <c r="L6" s="4" t="s">
        <v>187</v>
      </c>
      <c r="M6" s="4" t="s">
        <v>196</v>
      </c>
      <c r="N6" s="4"/>
      <c r="P6" s="4" t="s">
        <v>197</v>
      </c>
      <c r="Q6" s="4"/>
    </row>
    <row r="7" spans="1:23" ht="13.15" x14ac:dyDescent="0.4">
      <c r="B7" s="4" t="s">
        <v>207</v>
      </c>
      <c r="C7" s="4" t="s">
        <v>140</v>
      </c>
      <c r="D7" s="4" t="s">
        <v>140</v>
      </c>
      <c r="E7" s="4" t="s">
        <v>187</v>
      </c>
      <c r="F7" s="4"/>
      <c r="G7" s="4" t="s">
        <v>140</v>
      </c>
      <c r="H7" s="4" t="s">
        <v>171</v>
      </c>
      <c r="I7" s="4" t="s">
        <v>11</v>
      </c>
      <c r="J7" s="4" t="s">
        <v>191</v>
      </c>
      <c r="K7" s="4" t="s">
        <v>189</v>
      </c>
      <c r="L7" s="4" t="s">
        <v>189</v>
      </c>
      <c r="M7" s="4" t="s">
        <v>193</v>
      </c>
      <c r="N7" s="4"/>
      <c r="P7" s="4" t="s">
        <v>193</v>
      </c>
      <c r="Q7" s="4"/>
    </row>
    <row r="8" spans="1:23" ht="12.75" customHeight="1" thickBot="1" x14ac:dyDescent="0.45">
      <c r="A8" s="146" t="s">
        <v>9</v>
      </c>
      <c r="B8" s="147" t="s">
        <v>6</v>
      </c>
      <c r="C8" s="147" t="s">
        <v>22</v>
      </c>
      <c r="D8" s="147" t="s">
        <v>22</v>
      </c>
      <c r="E8" s="147" t="s">
        <v>140</v>
      </c>
      <c r="F8" s="147" t="s">
        <v>188</v>
      </c>
      <c r="G8" s="147" t="s">
        <v>22</v>
      </c>
      <c r="H8" s="147" t="s">
        <v>172</v>
      </c>
      <c r="I8" s="147" t="s">
        <v>140</v>
      </c>
      <c r="J8" s="147" t="s">
        <v>192</v>
      </c>
      <c r="K8" s="148" t="s">
        <v>190</v>
      </c>
      <c r="L8" s="148" t="s">
        <v>199</v>
      </c>
      <c r="M8" s="148" t="s">
        <v>140</v>
      </c>
      <c r="N8" s="148" t="s">
        <v>186</v>
      </c>
      <c r="O8" s="148" t="s">
        <v>10</v>
      </c>
      <c r="P8" s="148" t="s">
        <v>140</v>
      </c>
      <c r="Q8" s="148" t="s">
        <v>186</v>
      </c>
      <c r="R8" s="148" t="s">
        <v>10</v>
      </c>
      <c r="S8" s="38"/>
    </row>
    <row r="9" spans="1:23" x14ac:dyDescent="0.35">
      <c r="M9" s="17"/>
      <c r="P9" s="17"/>
      <c r="S9" s="17"/>
    </row>
    <row r="10" spans="1:23" ht="13.15" x14ac:dyDescent="0.4">
      <c r="A10" s="34" t="s">
        <v>164</v>
      </c>
      <c r="B10" s="68">
        <f>'Res &amp; Farm'!D26/'Res &amp; Farm'!M10</f>
        <v>1018.5937386542319</v>
      </c>
      <c r="C10" s="105">
        <f>'Res &amp; Farm'!H38</f>
        <v>73825549.209999993</v>
      </c>
      <c r="D10" s="105">
        <f>'Res &amp; Farm'!H44</f>
        <v>-3487255.11</v>
      </c>
      <c r="E10" s="105">
        <f>C10+D10</f>
        <v>70338294.099999994</v>
      </c>
      <c r="F10" s="105">
        <f>'Res &amp; Farm'!H56</f>
        <v>4666.75</v>
      </c>
      <c r="G10" s="105">
        <f>'Res &amp; Farm'!H54</f>
        <v>7887816.0724568292</v>
      </c>
      <c r="H10" s="105"/>
      <c r="I10" s="105">
        <f>SUM(E10:H10)</f>
        <v>78230776.922456831</v>
      </c>
      <c r="J10" s="56">
        <f>'Res &amp; Farm'!H46</f>
        <v>70338294.099999994</v>
      </c>
      <c r="K10" s="56">
        <f>'Res &amp; Farm'!Q25</f>
        <v>70338294.100000009</v>
      </c>
      <c r="L10" s="7">
        <f>'Res &amp; Farm'!Z25</f>
        <v>96.597732366666179</v>
      </c>
      <c r="M10" s="139">
        <f>'Res &amp; Farm'!AI23</f>
        <v>101.33877305815238</v>
      </c>
      <c r="N10" s="5">
        <f t="shared" ref="N10:N20" si="0">M10-L10</f>
        <v>4.7410406914862051</v>
      </c>
      <c r="O10" s="21">
        <f t="shared" ref="O10:O20" si="1">N10/L10</f>
        <v>4.9080248317736261E-2</v>
      </c>
      <c r="P10" s="23">
        <f>'Res &amp; Farm'!AR23</f>
        <v>106.08541988028109</v>
      </c>
      <c r="Q10" s="5">
        <f>P10-M10</f>
        <v>4.7466468221287101</v>
      </c>
      <c r="R10" s="21">
        <f>Q10/M10</f>
        <v>4.6839395020155689E-2</v>
      </c>
      <c r="S10" s="36"/>
      <c r="T10" s="123"/>
      <c r="U10" s="58"/>
      <c r="V10" s="119"/>
      <c r="W10" s="37"/>
    </row>
    <row r="11" spans="1:23" ht="13.15" x14ac:dyDescent="0.4">
      <c r="A11" s="34" t="s">
        <v>165</v>
      </c>
      <c r="B11" s="68">
        <f>'Small Com'!D19/'Small Com'!M10</f>
        <v>1268.930881571473</v>
      </c>
      <c r="C11" s="105">
        <f>'Small Com'!H30</f>
        <v>7809420.3500000006</v>
      </c>
      <c r="D11" s="105">
        <f>'Small Com'!H34</f>
        <v>-313244.55</v>
      </c>
      <c r="E11" s="105">
        <f t="shared" ref="E11:E20" si="2">C11+D11</f>
        <v>7496175.8000000007</v>
      </c>
      <c r="F11" s="105">
        <f>'Small Com'!H44</f>
        <v>33</v>
      </c>
      <c r="G11" s="105">
        <f>'Small Com'!H42</f>
        <v>837427.71671898116</v>
      </c>
      <c r="H11" s="105"/>
      <c r="I11" s="105">
        <f t="shared" ref="I11:I20" si="3">SUM(E11:H11)</f>
        <v>8333636.5167189818</v>
      </c>
      <c r="J11" s="56">
        <f>'Small Com'!H36</f>
        <v>7496175.8000000007</v>
      </c>
      <c r="K11" s="56">
        <f>'Small Com'!Q22</f>
        <v>7496175.8000000007</v>
      </c>
      <c r="L11" s="7">
        <f>'Small Com'!Z22</f>
        <v>143.25951413867662</v>
      </c>
      <c r="M11" s="139">
        <f>'Small Com'!AI23</f>
        <v>146.11323426401333</v>
      </c>
      <c r="N11" s="5">
        <f t="shared" si="0"/>
        <v>2.8537201253367073</v>
      </c>
      <c r="O11" s="21">
        <f t="shared" si="1"/>
        <v>1.9919934410598923E-2</v>
      </c>
      <c r="P11" s="23">
        <f>'Small Com'!AR23</f>
        <v>148.96832874754915</v>
      </c>
      <c r="Q11" s="5">
        <f t="shared" ref="Q11:Q19" si="4">P11-M11</f>
        <v>2.8550944835358223</v>
      </c>
      <c r="R11" s="21">
        <f t="shared" ref="R11:R20" si="5">Q11/M11</f>
        <v>1.9540286668194108E-2</v>
      </c>
      <c r="S11" s="36"/>
      <c r="T11" s="123"/>
      <c r="U11" s="58"/>
      <c r="V11" s="119"/>
      <c r="W11" s="37"/>
    </row>
    <row r="12" spans="1:23" ht="13.15" x14ac:dyDescent="0.4">
      <c r="A12" s="34" t="s">
        <v>47</v>
      </c>
      <c r="B12" s="68">
        <f>LP!C21/LP!L11</f>
        <v>37084.200655990739</v>
      </c>
      <c r="C12" s="105">
        <f>LP!G29</f>
        <v>15717590.100000001</v>
      </c>
      <c r="D12" s="105">
        <f>LP!G31</f>
        <v>-870571.57000000007</v>
      </c>
      <c r="E12" s="105">
        <f t="shared" si="2"/>
        <v>14847018.530000001</v>
      </c>
      <c r="F12" s="105"/>
      <c r="G12" s="105">
        <f>LP!G37</f>
        <v>1649254.8892508766</v>
      </c>
      <c r="H12" s="105"/>
      <c r="I12" s="105">
        <f t="shared" si="3"/>
        <v>16496273.419250878</v>
      </c>
      <c r="J12" s="56">
        <f>LP!G33</f>
        <v>14847018.530000001</v>
      </c>
      <c r="K12" s="56">
        <f>LP!P27</f>
        <v>14847018.530000001</v>
      </c>
      <c r="L12" s="7">
        <f>LP!Y27</f>
        <v>2967.6344232760948</v>
      </c>
      <c r="M12" s="139">
        <f>LP!AH27</f>
        <v>3028.0825975766929</v>
      </c>
      <c r="N12" s="5">
        <f t="shared" si="0"/>
        <v>60.448174300598112</v>
      </c>
      <c r="O12" s="21">
        <f t="shared" si="1"/>
        <v>2.0369144469576161E-2</v>
      </c>
      <c r="P12" s="23">
        <f>LP!AQ27</f>
        <v>3089.6879372718499</v>
      </c>
      <c r="Q12" s="5">
        <f t="shared" si="4"/>
        <v>61.605339695156999</v>
      </c>
      <c r="R12" s="21">
        <f t="shared" si="5"/>
        <v>2.0344669509496992E-2</v>
      </c>
      <c r="S12" s="36"/>
      <c r="T12" s="123"/>
      <c r="U12" s="58"/>
      <c r="V12" s="119"/>
      <c r="W12" s="37"/>
    </row>
    <row r="13" spans="1:23" ht="13.15" x14ac:dyDescent="0.4">
      <c r="A13" s="34" t="s">
        <v>53</v>
      </c>
      <c r="B13" s="68">
        <f>'Optional Power Service'!D16/'Optional Power Service'!M10</f>
        <v>6847.9406438631795</v>
      </c>
      <c r="C13" s="105">
        <f>'Optional Power Service'!H24</f>
        <v>1487654.2600000002</v>
      </c>
      <c r="D13" s="105">
        <f>'Optional Power Service'!H26</f>
        <v>-61451.18</v>
      </c>
      <c r="E13" s="105">
        <f t="shared" si="2"/>
        <v>1426203.0800000003</v>
      </c>
      <c r="F13" s="105"/>
      <c r="G13" s="105">
        <f>'Optional Power Service'!H32</f>
        <v>158641.25118421976</v>
      </c>
      <c r="H13" s="105"/>
      <c r="I13" s="105">
        <f t="shared" si="3"/>
        <v>1584844.33118422</v>
      </c>
      <c r="J13" s="56">
        <f>'Optional Power Service'!H28</f>
        <v>1426203.0800000003</v>
      </c>
      <c r="K13" s="56">
        <f>'Optional Power Service'!Q25</f>
        <v>1426203.0800000008</v>
      </c>
      <c r="L13" s="7">
        <f>'Optional Power Service'!Z25</f>
        <v>742.44767386820945</v>
      </c>
      <c r="M13" s="139">
        <f>'Optional Power Service'!AI24</f>
        <v>757.37618447183104</v>
      </c>
      <c r="N13" s="5">
        <f t="shared" si="0"/>
        <v>14.928510603621589</v>
      </c>
      <c r="O13" s="21">
        <f t="shared" si="1"/>
        <v>2.0107155196329059E-2</v>
      </c>
      <c r="P13" s="23">
        <f>'Optional Power Service'!AR24</f>
        <v>772.30469507545274</v>
      </c>
      <c r="Q13" s="5">
        <f t="shared" si="4"/>
        <v>14.928510603621703</v>
      </c>
      <c r="R13" s="21">
        <f t="shared" si="5"/>
        <v>1.9710826547883004E-2</v>
      </c>
      <c r="S13" s="36"/>
      <c r="T13" s="123"/>
      <c r="U13" s="58"/>
      <c r="V13" s="119"/>
      <c r="W13" s="37"/>
    </row>
    <row r="14" spans="1:23" ht="13.15" x14ac:dyDescent="0.4">
      <c r="A14" s="34" t="s">
        <v>54</v>
      </c>
      <c r="B14" s="68">
        <f>'Residential ETS'!D20/'Residential ETS'!M11</f>
        <v>758.60803802938631</v>
      </c>
      <c r="C14" s="104">
        <f>'Residential ETS'!H31</f>
        <v>318422.84999999998</v>
      </c>
      <c r="D14" s="104">
        <f>'Residential ETS'!H33+'Residential ETS'!H34+'Residential ETS'!H35</f>
        <v>-23438.43</v>
      </c>
      <c r="E14" s="105">
        <f t="shared" si="2"/>
        <v>294984.42</v>
      </c>
      <c r="F14" s="105"/>
      <c r="G14" s="104">
        <f>'Residential ETS'!H42+'Residential ETS'!H43+'Residential ETS'!H44</f>
        <v>32652.39</v>
      </c>
      <c r="H14" s="104"/>
      <c r="I14" s="105">
        <f t="shared" si="3"/>
        <v>327636.81</v>
      </c>
      <c r="J14" s="56">
        <f>'Residential ETS'!H38</f>
        <v>294984.42</v>
      </c>
      <c r="K14" s="56">
        <f>'Residential ETS'!Q24</f>
        <v>294984.42000000004</v>
      </c>
      <c r="L14" s="7">
        <f>'Residential ETS'!Z24</f>
        <v>44.144021992221262</v>
      </c>
      <c r="M14" s="139">
        <f>'Residential ETS'!AI22</f>
        <v>44.515739930855659</v>
      </c>
      <c r="N14" s="5">
        <f t="shared" si="0"/>
        <v>0.37171793863439717</v>
      </c>
      <c r="O14" s="21">
        <f t="shared" si="1"/>
        <v>8.4205725228185726E-3</v>
      </c>
      <c r="P14" s="23">
        <f>'Residential ETS'!AR22</f>
        <v>44.895043949870349</v>
      </c>
      <c r="Q14" s="5">
        <f t="shared" si="4"/>
        <v>0.37930401901468969</v>
      </c>
      <c r="R14" s="21">
        <f t="shared" si="5"/>
        <v>8.5206720050895694E-3</v>
      </c>
      <c r="S14" s="36"/>
      <c r="T14" s="123"/>
      <c r="U14" s="58"/>
      <c r="V14" s="119"/>
      <c r="W14" s="37"/>
    </row>
    <row r="15" spans="1:23" ht="13.15" x14ac:dyDescent="0.4">
      <c r="A15" s="34" t="s">
        <v>55</v>
      </c>
      <c r="B15" s="68">
        <f>'Small Commercial ETS'!D16/'Small Commercial ETS'!M10</f>
        <v>602.29411764705878</v>
      </c>
      <c r="C15" s="104">
        <f>'Small Commercial ETS'!H24</f>
        <v>1379.64</v>
      </c>
      <c r="D15" s="104">
        <f>'Small Commercial ETS'!H26</f>
        <v>-106.09000000000002</v>
      </c>
      <c r="E15" s="105">
        <f t="shared" si="2"/>
        <v>1273.5500000000002</v>
      </c>
      <c r="F15" s="105"/>
      <c r="G15" s="104">
        <f>'Small Commercial ETS'!H32</f>
        <v>142.13</v>
      </c>
      <c r="H15" s="104"/>
      <c r="I15" s="105">
        <f t="shared" si="3"/>
        <v>1415.6800000000003</v>
      </c>
      <c r="J15" s="56">
        <f>'Small Commercial ETS'!H28</f>
        <v>1273.5500000000002</v>
      </c>
      <c r="K15" s="56">
        <f>'Small Commercial ETS'!Q24</f>
        <v>1273.5500000000002</v>
      </c>
      <c r="L15" s="7">
        <f>'Small Commercial ETS'!Z24</f>
        <v>38.914946732378375</v>
      </c>
      <c r="M15" s="139">
        <f>'Small Commercial ETS'!AI25</f>
        <v>38.914946732378375</v>
      </c>
      <c r="N15" s="5">
        <f t="shared" si="0"/>
        <v>0</v>
      </c>
      <c r="O15" s="21">
        <f t="shared" si="1"/>
        <v>0</v>
      </c>
      <c r="P15" s="23">
        <f>'Small Commercial ETS'!AR25</f>
        <v>38.914946732378375</v>
      </c>
      <c r="Q15" s="5">
        <f t="shared" si="4"/>
        <v>0</v>
      </c>
      <c r="R15" s="21">
        <f t="shared" si="5"/>
        <v>0</v>
      </c>
      <c r="S15" s="36"/>
      <c r="T15" s="123"/>
      <c r="U15" s="58"/>
      <c r="V15" s="119"/>
      <c r="W15" s="37"/>
    </row>
    <row r="16" spans="1:23" ht="13.15" x14ac:dyDescent="0.4">
      <c r="A16" s="34" t="s">
        <v>56</v>
      </c>
      <c r="B16" s="68">
        <f>'LP-1'!L25/'LP-1'!L11</f>
        <v>988102.75</v>
      </c>
      <c r="C16" s="104">
        <f>'LP-1'!G32</f>
        <v>1745586.0999999999</v>
      </c>
      <c r="D16" s="104">
        <f>'LP-1'!G34</f>
        <v>-114950.09</v>
      </c>
      <c r="E16" s="105">
        <f t="shared" si="2"/>
        <v>1630636.0099999998</v>
      </c>
      <c r="F16" s="105"/>
      <c r="G16" s="104">
        <f>'LP-1'!G40</f>
        <v>170822.46000000002</v>
      </c>
      <c r="H16" s="104"/>
      <c r="I16" s="105">
        <f t="shared" si="3"/>
        <v>1801458.4699999997</v>
      </c>
      <c r="J16" s="56">
        <f>'LP-1'!P36</f>
        <v>753006.97401210247</v>
      </c>
      <c r="K16" s="56">
        <f>'LP-1'!Y33</f>
        <v>753006.97401210247</v>
      </c>
      <c r="L16" s="7">
        <f>'LP-1'!AH33</f>
        <v>65176.06672274413</v>
      </c>
      <c r="M16" s="139">
        <f>'LP-1'!AQ32</f>
        <v>65497.566499410153</v>
      </c>
      <c r="N16" s="5">
        <f t="shared" si="0"/>
        <v>321.49977666602354</v>
      </c>
      <c r="O16" s="21">
        <f t="shared" si="1"/>
        <v>4.9327888722353894E-3</v>
      </c>
      <c r="P16" s="23">
        <f>'LP-1'!AZ32</f>
        <v>65839.992186184623</v>
      </c>
      <c r="Q16" s="5">
        <f t="shared" si="4"/>
        <v>342.4256867744698</v>
      </c>
      <c r="R16" s="21">
        <f t="shared" si="5"/>
        <v>5.2280673172422909E-3</v>
      </c>
      <c r="S16" s="36"/>
      <c r="T16" s="123"/>
      <c r="U16" s="58"/>
      <c r="V16" s="119"/>
      <c r="W16" s="37"/>
    </row>
    <row r="17" spans="1:23" ht="13.15" x14ac:dyDescent="0.4">
      <c r="A17" s="34" t="s">
        <v>58</v>
      </c>
      <c r="B17" s="68">
        <f>'LP-2'!U23/'LP-2'!U11</f>
        <v>3587578.3333333335</v>
      </c>
      <c r="C17" s="104">
        <f>'LP-2'!G32</f>
        <v>4403647.6100000003</v>
      </c>
      <c r="D17" s="104">
        <f>'LP-2'!G34</f>
        <v>-334417.88</v>
      </c>
      <c r="E17" s="105">
        <f t="shared" si="2"/>
        <v>4069229.7300000004</v>
      </c>
      <c r="F17" s="105"/>
      <c r="G17" s="104">
        <f>'LP-2'!G40</f>
        <v>462037.63430753723</v>
      </c>
      <c r="H17" s="104">
        <f>'LP-2'!G42</f>
        <v>93861</v>
      </c>
      <c r="I17" s="105">
        <f t="shared" si="3"/>
        <v>4625128.3643075377</v>
      </c>
      <c r="J17" s="56">
        <f>'LP-2'!P37</f>
        <v>4946858.7591020893</v>
      </c>
      <c r="K17" s="56">
        <f>'LP-2'!Y32</f>
        <v>4820282.7708392739</v>
      </c>
      <c r="L17" s="7">
        <f>'LP-2'!AH32</f>
        <v>207025.82774850496</v>
      </c>
      <c r="M17" s="139">
        <f>'LP-2'!AQ32</f>
        <v>208104.11274563253</v>
      </c>
      <c r="N17" s="5">
        <f t="shared" si="0"/>
        <v>1078.2849971275718</v>
      </c>
      <c r="O17" s="21">
        <f t="shared" si="1"/>
        <v>5.2084563981914028E-3</v>
      </c>
      <c r="P17" s="23">
        <f>'LP-2'!AZ32</f>
        <v>209170.48774279183</v>
      </c>
      <c r="Q17" s="5">
        <f t="shared" si="4"/>
        <v>1066.3749971592915</v>
      </c>
      <c r="R17" s="21">
        <f t="shared" si="5"/>
        <v>5.1242379743966469E-3</v>
      </c>
      <c r="S17" s="36"/>
      <c r="T17" s="123"/>
      <c r="U17" s="58"/>
      <c r="V17" s="119"/>
      <c r="W17" s="37"/>
    </row>
    <row r="18" spans="1:23" ht="13.15" x14ac:dyDescent="0.4">
      <c r="A18" s="34" t="s">
        <v>66</v>
      </c>
      <c r="B18" s="68">
        <f>'LP-3'!L23/'LP-3'!L11</f>
        <v>701326.69791666663</v>
      </c>
      <c r="C18" s="104">
        <f>'LP-3'!G33</f>
        <v>4253208.41</v>
      </c>
      <c r="D18" s="104">
        <f>'LP-3'!G35</f>
        <v>-307081.83</v>
      </c>
      <c r="E18" s="105">
        <f t="shared" si="2"/>
        <v>3946126.58</v>
      </c>
      <c r="F18" s="105"/>
      <c r="G18" s="104">
        <f>'LP-3'!G41</f>
        <v>436605.7464095215</v>
      </c>
      <c r="H18" s="104">
        <f>'LP-3'!G43</f>
        <v>17520</v>
      </c>
      <c r="I18" s="105">
        <f t="shared" si="3"/>
        <v>4400252.3264095215</v>
      </c>
      <c r="J18" s="56">
        <f>'LP-3'!G37</f>
        <v>3946126.58</v>
      </c>
      <c r="K18" s="56">
        <f>'LP-3'!P34</f>
        <v>3946126.580000001</v>
      </c>
      <c r="L18" s="7">
        <f>'LP-3'!Y34</f>
        <v>42695.626963382128</v>
      </c>
      <c r="M18" s="139">
        <f>'LP-3'!AH35</f>
        <v>43732.857364860065</v>
      </c>
      <c r="N18" s="5">
        <f t="shared" si="0"/>
        <v>1037.2304014779365</v>
      </c>
      <c r="O18" s="21">
        <f t="shared" si="1"/>
        <v>2.4293598085994062E-2</v>
      </c>
      <c r="P18" s="23">
        <f>'LP-3'!AQ35</f>
        <v>44776.839899647573</v>
      </c>
      <c r="Q18" s="5">
        <f t="shared" si="4"/>
        <v>1043.9825347875085</v>
      </c>
      <c r="R18" s="21">
        <f t="shared" si="5"/>
        <v>2.3871811669602051E-2</v>
      </c>
      <c r="S18" s="36"/>
      <c r="T18" s="123"/>
      <c r="U18" s="58"/>
      <c r="V18" s="119"/>
      <c r="W18" s="37"/>
    </row>
    <row r="19" spans="1:23" ht="13.15" x14ac:dyDescent="0.4">
      <c r="A19" s="34" t="s">
        <v>70</v>
      </c>
      <c r="B19" s="68">
        <f>Schools!D16/Schools!M10</f>
        <v>54998.163265306124</v>
      </c>
      <c r="C19" s="104">
        <f>Schools!H24</f>
        <v>846051.2</v>
      </c>
      <c r="D19" s="104">
        <f>Schools!H26</f>
        <v>-48121.30999999999</v>
      </c>
      <c r="E19" s="105">
        <f t="shared" si="2"/>
        <v>797929.89</v>
      </c>
      <c r="F19" s="105"/>
      <c r="G19" s="104">
        <f>Schools!H32</f>
        <v>88439.773638387676</v>
      </c>
      <c r="H19" s="104"/>
      <c r="I19" s="105">
        <f t="shared" si="3"/>
        <v>886369.66363838769</v>
      </c>
      <c r="J19" s="56">
        <f>Schools!H28</f>
        <v>797929.89</v>
      </c>
      <c r="K19" s="56">
        <f>Schools!Q23</f>
        <v>797929.8899999999</v>
      </c>
      <c r="L19" s="7">
        <f>Schools!Z23</f>
        <v>4226.4658125041833</v>
      </c>
      <c r="M19" s="139">
        <f>Schools!AI23</f>
        <v>4473.4076178672021</v>
      </c>
      <c r="N19" s="5">
        <f t="shared" si="0"/>
        <v>246.94180536301883</v>
      </c>
      <c r="O19" s="21">
        <f t="shared" si="1"/>
        <v>5.8427493872641942E-2</v>
      </c>
      <c r="P19" s="23">
        <f>Schools!AR23</f>
        <v>4724.7492772233263</v>
      </c>
      <c r="Q19" s="5">
        <f t="shared" si="4"/>
        <v>251.34165935612418</v>
      </c>
      <c r="R19" s="21">
        <f t="shared" si="5"/>
        <v>5.6185727039995741E-2</v>
      </c>
      <c r="S19" s="36"/>
      <c r="T19" s="123"/>
      <c r="U19" s="58"/>
      <c r="V19" s="119"/>
      <c r="W19" s="37"/>
    </row>
    <row r="20" spans="1:23" ht="13.15" x14ac:dyDescent="0.4">
      <c r="A20" s="50" t="s">
        <v>19</v>
      </c>
      <c r="B20" s="140">
        <f>Lighting!N69/Lighting!AJ69</f>
        <v>52.68139264557216</v>
      </c>
      <c r="C20" s="144">
        <f>Lighting!O75</f>
        <v>3717207.18</v>
      </c>
      <c r="D20" s="144">
        <f>Lighting!O77</f>
        <v>-73409.752420000004</v>
      </c>
      <c r="E20" s="121">
        <f t="shared" si="2"/>
        <v>3643797.4275800004</v>
      </c>
      <c r="F20" s="121"/>
      <c r="G20" s="144">
        <f>Lighting!O83</f>
        <v>404482.04000000004</v>
      </c>
      <c r="H20" s="144"/>
      <c r="I20" s="121">
        <f t="shared" si="3"/>
        <v>4048279.4675800004</v>
      </c>
      <c r="J20" s="32">
        <f>Lighting!O79</f>
        <v>3643797.4275800004</v>
      </c>
      <c r="K20" s="32">
        <f>Lighting!U77</f>
        <v>3643797.4275800004</v>
      </c>
      <c r="L20" s="15">
        <f>Lighting!AA73/Lighting!AJ69</f>
        <v>12.59243962440851</v>
      </c>
      <c r="M20" s="145">
        <f>Lighting!AG73/Lighting!AJ69</f>
        <v>12.844748988510972</v>
      </c>
      <c r="N20" s="23">
        <f t="shared" si="0"/>
        <v>0.2523093641024623</v>
      </c>
      <c r="O20" s="31">
        <f t="shared" si="1"/>
        <v>2.0036575248961238E-2</v>
      </c>
      <c r="P20" s="23">
        <f>Lighting!AM73/Lighting!AJ69</f>
        <v>13.095715561987747</v>
      </c>
      <c r="Q20" s="23">
        <f t="shared" ref="Q20" si="6">P20-M20</f>
        <v>0.25096657347677542</v>
      </c>
      <c r="R20" s="31">
        <f t="shared" si="5"/>
        <v>1.9538456820079032E-2</v>
      </c>
      <c r="S20" s="36"/>
      <c r="T20" s="123"/>
      <c r="U20" s="58"/>
      <c r="V20" s="119"/>
      <c r="W20" s="37"/>
    </row>
    <row r="21" spans="1:23" x14ac:dyDescent="0.35">
      <c r="A21" s="14"/>
      <c r="B21" s="14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5"/>
      <c r="N21" s="23"/>
      <c r="O21" s="31"/>
      <c r="P21" s="23"/>
      <c r="Q21" s="23"/>
      <c r="R21" s="31"/>
      <c r="S21" s="39"/>
      <c r="T21" s="37"/>
      <c r="U21" s="37"/>
      <c r="V21" s="37"/>
      <c r="W21" s="37"/>
    </row>
    <row r="22" spans="1:23" x14ac:dyDescent="0.35">
      <c r="B22" s="17"/>
      <c r="C22" s="32"/>
      <c r="D22" s="32"/>
      <c r="E22" s="32"/>
      <c r="F22" s="32"/>
      <c r="G22" s="32"/>
      <c r="H22" s="32"/>
      <c r="I22" s="32"/>
      <c r="J22" s="17"/>
      <c r="K22" s="17"/>
      <c r="L22" s="17"/>
      <c r="M22" s="17"/>
      <c r="N22" s="57"/>
      <c r="O22" s="17"/>
      <c r="P22" s="17"/>
      <c r="Q22" s="17"/>
      <c r="R22" s="17"/>
      <c r="T22" s="37"/>
      <c r="U22" s="37"/>
      <c r="V22" s="37"/>
      <c r="W22" s="37"/>
    </row>
    <row r="23" spans="1:23" ht="13.15" x14ac:dyDescent="0.4">
      <c r="A23" s="50"/>
      <c r="B23" s="50"/>
      <c r="C23" s="57"/>
      <c r="D23" s="57"/>
      <c r="E23" s="57"/>
      <c r="F23" s="57"/>
      <c r="G23" s="57"/>
      <c r="H23" s="57"/>
      <c r="I23" s="57"/>
      <c r="J23" s="15"/>
      <c r="K23" s="15"/>
      <c r="L23" s="15"/>
      <c r="N23" s="29"/>
      <c r="T23" s="37"/>
      <c r="U23" s="37"/>
      <c r="V23" s="37"/>
      <c r="W23" s="37"/>
    </row>
    <row r="24" spans="1:23" ht="13.15" x14ac:dyDescent="0.4">
      <c r="A24" s="50"/>
      <c r="B24" s="68"/>
      <c r="C24" s="68"/>
      <c r="D24" s="106"/>
      <c r="E24" s="106"/>
      <c r="F24" s="106"/>
      <c r="G24" s="68"/>
      <c r="H24" s="68"/>
      <c r="I24" s="68"/>
      <c r="J24" s="15"/>
      <c r="K24" s="15"/>
      <c r="L24" s="122"/>
      <c r="N24" s="29"/>
      <c r="O24" s="8"/>
      <c r="Q24" s="56"/>
    </row>
    <row r="25" spans="1:23" ht="13.15" x14ac:dyDescent="0.4">
      <c r="A25" s="50"/>
      <c r="B25" s="50"/>
      <c r="C25" s="32"/>
      <c r="D25" s="15"/>
      <c r="E25" s="15"/>
      <c r="F25" s="15"/>
      <c r="G25" s="32"/>
      <c r="H25" s="32"/>
      <c r="I25" s="32"/>
      <c r="J25" s="15"/>
      <c r="K25" s="15"/>
      <c r="L25" s="122"/>
      <c r="N25" s="29"/>
    </row>
    <row r="26" spans="1:23" ht="13.15" x14ac:dyDescent="0.4">
      <c r="A26" s="50"/>
      <c r="B26" s="68"/>
      <c r="C26" s="58"/>
      <c r="D26" s="58"/>
      <c r="E26" s="58"/>
      <c r="F26" s="58"/>
      <c r="G26" s="58"/>
      <c r="H26" s="58"/>
      <c r="I26" s="58"/>
      <c r="J26" s="23"/>
      <c r="K26" s="23"/>
      <c r="L26" s="122"/>
      <c r="Q26" s="29"/>
    </row>
    <row r="27" spans="1:23" ht="13.15" x14ac:dyDescent="0.4">
      <c r="A27" s="50"/>
      <c r="B27" s="50"/>
      <c r="C27" s="57"/>
      <c r="D27" s="57"/>
      <c r="E27" s="57"/>
      <c r="F27" s="57"/>
      <c r="G27" s="57"/>
      <c r="H27" s="57"/>
      <c r="I27" s="57"/>
      <c r="J27" s="15"/>
      <c r="K27" s="15"/>
      <c r="L27" s="122"/>
    </row>
    <row r="28" spans="1:23" x14ac:dyDescent="0.35">
      <c r="A28" s="17"/>
      <c r="B28" s="17"/>
      <c r="C28" s="32"/>
      <c r="D28" s="32"/>
      <c r="E28" s="32"/>
      <c r="F28" s="32"/>
      <c r="G28" s="32"/>
      <c r="H28" s="32"/>
      <c r="I28" s="32"/>
      <c r="J28" s="15"/>
      <c r="K28" s="15"/>
      <c r="L28" s="122"/>
      <c r="Q28" s="56"/>
    </row>
    <row r="29" spans="1:23" ht="13.15" x14ac:dyDescent="0.4">
      <c r="A29" s="50"/>
      <c r="B29" s="17"/>
      <c r="C29" s="55"/>
      <c r="D29" s="55"/>
      <c r="E29" s="55"/>
      <c r="F29" s="55"/>
      <c r="G29" s="55"/>
      <c r="H29" s="55"/>
      <c r="I29" s="55"/>
      <c r="J29" s="17"/>
      <c r="K29" s="17"/>
      <c r="L29" s="122"/>
    </row>
    <row r="30" spans="1:23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22"/>
    </row>
    <row r="31" spans="1:23" ht="13.15" x14ac:dyDescent="0.4">
      <c r="A31" s="34"/>
      <c r="C31" s="56"/>
      <c r="L31" s="122"/>
      <c r="N31" s="29"/>
      <c r="Q31" s="29"/>
    </row>
    <row r="32" spans="1:23" ht="13.15" x14ac:dyDescent="0.4">
      <c r="A32" s="34"/>
      <c r="C32" s="56"/>
      <c r="D32" s="56"/>
      <c r="E32" s="56"/>
      <c r="F32" s="56"/>
      <c r="G32" s="56"/>
      <c r="H32" s="56"/>
      <c r="I32" s="56"/>
      <c r="L32" s="122"/>
      <c r="N32" s="29"/>
      <c r="Q32" s="29"/>
    </row>
    <row r="33" spans="1:17" ht="13.15" x14ac:dyDescent="0.4">
      <c r="A33" s="34"/>
      <c r="L33" s="122"/>
      <c r="N33" s="29"/>
      <c r="Q33" s="29"/>
    </row>
    <row r="34" spans="1:17" ht="13.15" x14ac:dyDescent="0.4">
      <c r="A34" s="34"/>
      <c r="L34" s="122"/>
      <c r="N34" s="29"/>
      <c r="Q34" s="29"/>
    </row>
    <row r="35" spans="1:17" ht="13.15" x14ac:dyDescent="0.4">
      <c r="A35" s="34"/>
      <c r="L35" s="122"/>
      <c r="N35" s="29"/>
      <c r="Q35" s="29"/>
    </row>
    <row r="36" spans="1:17" ht="13.15" x14ac:dyDescent="0.4">
      <c r="A36" s="34"/>
      <c r="L36" s="122"/>
      <c r="N36" s="29"/>
      <c r="Q36" s="29"/>
    </row>
    <row r="37" spans="1:17" ht="13.15" x14ac:dyDescent="0.4">
      <c r="A37" s="34"/>
      <c r="L37" s="122"/>
      <c r="N37" s="29"/>
      <c r="Q37" s="29"/>
    </row>
    <row r="38" spans="1:17" ht="13.15" x14ac:dyDescent="0.4">
      <c r="A38" s="34"/>
      <c r="N38" s="29"/>
      <c r="Q38" s="29"/>
    </row>
    <row r="39" spans="1:17" ht="13.15" x14ac:dyDescent="0.4">
      <c r="A39" s="34"/>
      <c r="N39" s="29"/>
      <c r="Q39" s="29"/>
    </row>
    <row r="40" spans="1:17" ht="13.15" x14ac:dyDescent="0.4">
      <c r="A40" s="34"/>
      <c r="N40" s="29"/>
      <c r="Q40" s="29"/>
    </row>
    <row r="41" spans="1:17" ht="13.15" x14ac:dyDescent="0.4">
      <c r="A41" s="50"/>
      <c r="N41" s="29"/>
      <c r="Q41" s="29"/>
    </row>
    <row r="42" spans="1:17" x14ac:dyDescent="0.35">
      <c r="A42" s="17"/>
      <c r="N42" s="29"/>
      <c r="Q42" s="29"/>
    </row>
    <row r="43" spans="1:17" x14ac:dyDescent="0.35">
      <c r="A43" s="17"/>
    </row>
    <row r="44" spans="1:17" x14ac:dyDescent="0.35">
      <c r="A44" s="17"/>
    </row>
  </sheetData>
  <phoneticPr fontId="0" type="noConversion"/>
  <pageMargins left="0.75" right="0.75" top="1" bottom="1" header="0.5" footer="0.5"/>
  <pageSetup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AQ101"/>
  <sheetViews>
    <sheetView view="pageBreakPreview" topLeftCell="O25" zoomScaleNormal="100" zoomScaleSheetLayoutView="100" workbookViewId="0">
      <selection activeCell="AH47" sqref="AH47:AH53"/>
    </sheetView>
  </sheetViews>
  <sheetFormatPr defaultRowHeight="12.75" x14ac:dyDescent="0.35"/>
  <cols>
    <col min="1" max="1" width="4.1328125" customWidth="1"/>
    <col min="2" max="2" width="26.59765625" bestFit="1" customWidth="1"/>
    <col min="3" max="3" width="12.86328125" customWidth="1"/>
    <col min="4" max="4" width="3" customWidth="1"/>
    <col min="5" max="5" width="11.73046875" customWidth="1"/>
    <col min="6" max="6" width="2.86328125" customWidth="1"/>
    <col min="7" max="7" width="16.1328125" customWidth="1"/>
    <col min="8" max="8" width="3.1328125" customWidth="1"/>
    <col min="9" max="9" width="4.1328125" customWidth="1"/>
    <col min="10" max="10" width="26.59765625" customWidth="1"/>
    <col min="11" max="11" width="3.265625" customWidth="1"/>
    <col min="12" max="12" width="12.1328125" customWidth="1"/>
    <col min="13" max="13" width="3" customWidth="1"/>
    <col min="14" max="14" width="11.73046875" customWidth="1"/>
    <col min="15" max="15" width="2.86328125" customWidth="1"/>
    <col min="16" max="16" width="14.3984375" customWidth="1"/>
    <col min="17" max="18" width="4.1328125" customWidth="1"/>
    <col min="19" max="19" width="26.59765625" customWidth="1"/>
    <col min="20" max="20" width="3.265625" customWidth="1"/>
    <col min="21" max="21" width="12.1328125" customWidth="1"/>
    <col min="22" max="22" width="3" customWidth="1"/>
    <col min="23" max="23" width="11.73046875" customWidth="1"/>
    <col min="24" max="24" width="2.86328125" customWidth="1"/>
    <col min="25" max="25" width="14.3984375" customWidth="1"/>
    <col min="26" max="26" width="2.3984375" customWidth="1"/>
    <col min="27" max="27" width="4.1328125" customWidth="1"/>
    <col min="28" max="28" width="26.59765625" customWidth="1"/>
    <col min="29" max="29" width="3.265625" customWidth="1"/>
    <col min="30" max="30" width="11.73046875" customWidth="1"/>
    <col min="31" max="31" width="3" customWidth="1"/>
    <col min="32" max="32" width="11.73046875" customWidth="1"/>
    <col min="33" max="33" width="2.86328125" customWidth="1"/>
    <col min="34" max="34" width="15.3984375" customWidth="1"/>
    <col min="35" max="35" width="5.73046875" customWidth="1"/>
    <col min="36" max="36" width="4.1328125" customWidth="1"/>
    <col min="37" max="37" width="26.59765625" customWidth="1"/>
    <col min="38" max="38" width="3.265625" customWidth="1"/>
    <col min="39" max="39" width="11.73046875" customWidth="1"/>
    <col min="40" max="40" width="3" customWidth="1"/>
    <col min="41" max="41" width="11.73046875" customWidth="1"/>
    <col min="42" max="42" width="2.86328125" customWidth="1"/>
    <col min="43" max="43" width="15.3984375" customWidth="1"/>
  </cols>
  <sheetData>
    <row r="1" spans="1:43" ht="13.15" x14ac:dyDescent="0.4">
      <c r="A1" s="34" t="s">
        <v>35</v>
      </c>
      <c r="I1" s="34"/>
      <c r="R1" s="34"/>
      <c r="AA1" s="34"/>
      <c r="AJ1" s="34"/>
    </row>
    <row r="2" spans="1:43" ht="13.15" x14ac:dyDescent="0.4">
      <c r="A2" s="34" t="s">
        <v>66</v>
      </c>
      <c r="I2" s="34"/>
      <c r="R2" s="34"/>
      <c r="AA2" s="34"/>
      <c r="AJ2" s="34"/>
    </row>
    <row r="3" spans="1:43" ht="13.15" x14ac:dyDescent="0.4">
      <c r="A3" s="75" t="s">
        <v>30</v>
      </c>
      <c r="B3" s="76"/>
      <c r="I3" s="34"/>
      <c r="J3" s="28"/>
      <c r="K3" s="28"/>
      <c r="R3" s="34"/>
      <c r="S3" s="28"/>
      <c r="T3" s="28"/>
      <c r="AA3" s="34"/>
      <c r="AB3" s="28"/>
      <c r="AC3" s="28"/>
      <c r="AJ3" s="34"/>
      <c r="AK3" s="28"/>
      <c r="AL3" s="28"/>
    </row>
    <row r="5" spans="1:43" ht="12.75" customHeight="1" x14ac:dyDescent="0.4">
      <c r="A5" s="87"/>
      <c r="C5" s="149" t="s">
        <v>25</v>
      </c>
      <c r="D5" s="150"/>
      <c r="E5" s="150"/>
      <c r="F5" s="150"/>
      <c r="G5" s="151"/>
      <c r="H5" s="87"/>
      <c r="I5" s="87"/>
      <c r="L5" s="149" t="s">
        <v>173</v>
      </c>
      <c r="M5" s="150"/>
      <c r="N5" s="150"/>
      <c r="O5" s="150"/>
      <c r="P5" s="151"/>
      <c r="Q5" s="87"/>
      <c r="R5" s="87"/>
      <c r="U5" s="149" t="s">
        <v>198</v>
      </c>
      <c r="V5" s="150"/>
      <c r="W5" s="150"/>
      <c r="X5" s="150"/>
      <c r="Y5" s="151"/>
      <c r="AA5" s="87"/>
      <c r="AD5" s="155" t="s">
        <v>195</v>
      </c>
      <c r="AE5" s="156"/>
      <c r="AF5" s="156"/>
      <c r="AG5" s="156"/>
      <c r="AH5" s="157"/>
      <c r="AJ5" s="87"/>
      <c r="AM5" s="155" t="s">
        <v>194</v>
      </c>
      <c r="AN5" s="156"/>
      <c r="AO5" s="156"/>
      <c r="AP5" s="156"/>
      <c r="AQ5" s="157"/>
    </row>
    <row r="6" spans="1:43" ht="13.15" x14ac:dyDescent="0.4">
      <c r="A6" s="87"/>
      <c r="C6" s="152"/>
      <c r="D6" s="153"/>
      <c r="E6" s="153"/>
      <c r="F6" s="153"/>
      <c r="G6" s="154"/>
      <c r="H6" s="87"/>
      <c r="I6" s="87"/>
      <c r="L6" s="152"/>
      <c r="M6" s="153"/>
      <c r="N6" s="153"/>
      <c r="O6" s="153"/>
      <c r="P6" s="154"/>
      <c r="Q6" s="87"/>
      <c r="R6" s="87"/>
      <c r="U6" s="152"/>
      <c r="V6" s="153"/>
      <c r="W6" s="153"/>
      <c r="X6" s="153"/>
      <c r="Y6" s="154"/>
      <c r="AA6" s="87"/>
      <c r="AD6" s="158"/>
      <c r="AE6" s="159"/>
      <c r="AF6" s="159"/>
      <c r="AG6" s="159"/>
      <c r="AH6" s="160"/>
      <c r="AJ6" s="87"/>
      <c r="AM6" s="158"/>
      <c r="AN6" s="159"/>
      <c r="AO6" s="159"/>
      <c r="AP6" s="159"/>
      <c r="AQ6" s="160"/>
    </row>
    <row r="7" spans="1:43" ht="26.25" x14ac:dyDescent="0.4">
      <c r="A7" s="1" t="s">
        <v>0</v>
      </c>
      <c r="C7" s="2" t="s">
        <v>2</v>
      </c>
      <c r="E7" s="4" t="s">
        <v>3</v>
      </c>
      <c r="G7" s="2" t="s">
        <v>4</v>
      </c>
      <c r="H7" s="2"/>
      <c r="I7" s="1" t="s">
        <v>0</v>
      </c>
      <c r="L7" s="2" t="s">
        <v>2</v>
      </c>
      <c r="N7" s="4" t="s">
        <v>3</v>
      </c>
      <c r="P7" s="2" t="s">
        <v>4</v>
      </c>
      <c r="Q7" s="2"/>
      <c r="R7" s="1" t="s">
        <v>0</v>
      </c>
      <c r="U7" s="2" t="s">
        <v>2</v>
      </c>
      <c r="W7" s="4" t="s">
        <v>3</v>
      </c>
      <c r="Y7" s="2" t="s">
        <v>4</v>
      </c>
      <c r="AA7" s="1" t="s">
        <v>0</v>
      </c>
      <c r="AD7" s="2" t="s">
        <v>2</v>
      </c>
      <c r="AF7" s="4" t="s">
        <v>3</v>
      </c>
      <c r="AH7" s="2" t="s">
        <v>4</v>
      </c>
      <c r="AJ7" s="1" t="s">
        <v>0</v>
      </c>
      <c r="AM7" s="2" t="s">
        <v>2</v>
      </c>
      <c r="AO7" s="4" t="s">
        <v>3</v>
      </c>
      <c r="AQ7" s="2" t="s">
        <v>4</v>
      </c>
    </row>
    <row r="10" spans="1:43" ht="13.15" x14ac:dyDescent="0.4">
      <c r="A10" s="1" t="s">
        <v>1</v>
      </c>
      <c r="I10" s="1" t="s">
        <v>1</v>
      </c>
      <c r="R10" s="1" t="s">
        <v>1</v>
      </c>
      <c r="AA10" s="1" t="s">
        <v>1</v>
      </c>
      <c r="AJ10" s="1" t="s">
        <v>1</v>
      </c>
    </row>
    <row r="11" spans="1:43" x14ac:dyDescent="0.35">
      <c r="B11" t="s">
        <v>14</v>
      </c>
      <c r="C11" s="8">
        <f>C12+C13</f>
        <v>96</v>
      </c>
      <c r="E11" s="60">
        <v>145.86000000000001</v>
      </c>
      <c r="G11" s="7">
        <f>C11*E11</f>
        <v>14002.560000000001</v>
      </c>
      <c r="H11" s="7"/>
      <c r="J11" t="s">
        <v>14</v>
      </c>
      <c r="L11" s="8">
        <f>C11</f>
        <v>96</v>
      </c>
      <c r="N11" s="5">
        <f>E11</f>
        <v>145.86000000000001</v>
      </c>
      <c r="P11" s="7">
        <f>L11*N11</f>
        <v>14002.560000000001</v>
      </c>
      <c r="Q11" s="7"/>
      <c r="S11" t="s">
        <v>14</v>
      </c>
      <c r="U11" s="8">
        <v>1</v>
      </c>
      <c r="W11" s="5">
        <v>151.21</v>
      </c>
      <c r="Y11" s="7">
        <f>U11*W11</f>
        <v>151.21</v>
      </c>
      <c r="AB11" t="s">
        <v>14</v>
      </c>
      <c r="AD11" s="8">
        <f>U11</f>
        <v>1</v>
      </c>
      <c r="AF11" s="5">
        <f>W11</f>
        <v>151.21</v>
      </c>
      <c r="AH11" s="7">
        <f>AD11*AF11</f>
        <v>151.21</v>
      </c>
      <c r="AK11" t="s">
        <v>14</v>
      </c>
      <c r="AM11" s="8">
        <f>AD11</f>
        <v>1</v>
      </c>
      <c r="AO11" s="5">
        <f>AF11</f>
        <v>151.21</v>
      </c>
      <c r="AQ11" s="7">
        <f>AM11*AO11</f>
        <v>151.21</v>
      </c>
    </row>
    <row r="12" spans="1:43" x14ac:dyDescent="0.35">
      <c r="B12" t="s">
        <v>57</v>
      </c>
      <c r="C12" s="8">
        <v>48</v>
      </c>
      <c r="E12" s="60">
        <v>367.59</v>
      </c>
      <c r="G12" s="7">
        <f>C12*E12</f>
        <v>17644.32</v>
      </c>
      <c r="H12" s="7"/>
      <c r="J12" t="s">
        <v>57</v>
      </c>
      <c r="L12" s="8">
        <f t="shared" ref="L12:L13" si="0">C12</f>
        <v>48</v>
      </c>
      <c r="N12" s="5">
        <f t="shared" ref="N12:N13" si="1">E12</f>
        <v>367.59</v>
      </c>
      <c r="P12" s="7">
        <f t="shared" ref="P12:P13" si="2">L12*N12</f>
        <v>17644.32</v>
      </c>
      <c r="Q12" s="7"/>
      <c r="S12" t="s">
        <v>57</v>
      </c>
      <c r="U12" s="107">
        <v>0.5</v>
      </c>
      <c r="W12" s="5">
        <v>381.08</v>
      </c>
      <c r="Y12" s="7">
        <f t="shared" ref="Y12:Y13" si="3">U12*W12</f>
        <v>190.54</v>
      </c>
      <c r="AB12" t="s">
        <v>57</v>
      </c>
      <c r="AD12" s="8">
        <f>U12</f>
        <v>0.5</v>
      </c>
      <c r="AF12" s="5">
        <f>W12</f>
        <v>381.08</v>
      </c>
      <c r="AH12" s="7">
        <f t="shared" ref="AH12:AH13" si="4">AD12*AF12</f>
        <v>190.54</v>
      </c>
      <c r="AK12" t="s">
        <v>57</v>
      </c>
      <c r="AM12" s="8">
        <f t="shared" ref="AM12:AM13" si="5">AD12</f>
        <v>0.5</v>
      </c>
      <c r="AO12" s="5">
        <f t="shared" ref="AO12:AO13" si="6">AF12</f>
        <v>381.08</v>
      </c>
      <c r="AQ12" s="7">
        <f t="shared" ref="AQ12:AQ13" si="7">AM12*AO12</f>
        <v>190.54</v>
      </c>
    </row>
    <row r="13" spans="1:43" x14ac:dyDescent="0.35">
      <c r="B13" s="10" t="s">
        <v>57</v>
      </c>
      <c r="C13" s="12">
        <v>48</v>
      </c>
      <c r="D13" s="10"/>
      <c r="E13" s="62">
        <v>1101.5999999999999</v>
      </c>
      <c r="F13" s="10"/>
      <c r="G13" s="11">
        <f>C13*E13</f>
        <v>52876.799999999996</v>
      </c>
      <c r="H13" s="15"/>
      <c r="J13" s="10" t="s">
        <v>57</v>
      </c>
      <c r="K13" s="10"/>
      <c r="L13" s="12">
        <f t="shared" si="0"/>
        <v>48</v>
      </c>
      <c r="M13" s="10"/>
      <c r="N13" s="22">
        <f t="shared" si="1"/>
        <v>1101.5999999999999</v>
      </c>
      <c r="O13" s="10"/>
      <c r="P13" s="11">
        <f t="shared" si="2"/>
        <v>52876.799999999996</v>
      </c>
      <c r="Q13" s="15"/>
      <c r="S13" s="10" t="s">
        <v>57</v>
      </c>
      <c r="T13" s="10"/>
      <c r="U13" s="125">
        <v>0.5</v>
      </c>
      <c r="V13" s="10"/>
      <c r="W13" s="22">
        <v>1142.01</v>
      </c>
      <c r="X13" s="10"/>
      <c r="Y13" s="11">
        <f t="shared" si="3"/>
        <v>571.005</v>
      </c>
      <c r="AB13" s="10" t="s">
        <v>57</v>
      </c>
      <c r="AC13" s="10"/>
      <c r="AD13" s="12">
        <f>U13</f>
        <v>0.5</v>
      </c>
      <c r="AE13" s="10"/>
      <c r="AF13" s="22">
        <f>W13</f>
        <v>1142.01</v>
      </c>
      <c r="AG13" s="10"/>
      <c r="AH13" s="11">
        <f t="shared" si="4"/>
        <v>571.005</v>
      </c>
      <c r="AK13" s="10" t="s">
        <v>57</v>
      </c>
      <c r="AL13" s="10"/>
      <c r="AM13" s="12">
        <f t="shared" si="5"/>
        <v>0.5</v>
      </c>
      <c r="AN13" s="10"/>
      <c r="AO13" s="22">
        <f t="shared" si="6"/>
        <v>1142.01</v>
      </c>
      <c r="AP13" s="10"/>
      <c r="AQ13" s="11">
        <f t="shared" si="7"/>
        <v>571.005</v>
      </c>
    </row>
    <row r="14" spans="1:43" x14ac:dyDescent="0.35">
      <c r="B14" s="17"/>
      <c r="C14" s="19"/>
      <c r="D14" s="17"/>
      <c r="E14" s="61"/>
      <c r="F14" s="17"/>
      <c r="G14" s="15">
        <f>SUM(G11:G13)</f>
        <v>84523.68</v>
      </c>
      <c r="H14" s="15"/>
      <c r="J14" s="17"/>
      <c r="K14" s="17"/>
      <c r="L14" s="19"/>
      <c r="M14" s="17"/>
      <c r="N14" s="23"/>
      <c r="O14" s="17"/>
      <c r="P14" s="15">
        <f>SUM(P11:P13)</f>
        <v>84523.68</v>
      </c>
      <c r="Q14" s="15"/>
      <c r="S14" s="17"/>
      <c r="T14" s="17"/>
      <c r="U14" s="19"/>
      <c r="V14" s="17"/>
      <c r="W14" s="23"/>
      <c r="X14" s="17"/>
      <c r="Y14" s="15">
        <f>SUM(Y11:Y13)</f>
        <v>912.755</v>
      </c>
      <c r="AB14" s="17"/>
      <c r="AC14" s="17"/>
      <c r="AD14" s="19"/>
      <c r="AE14" s="17"/>
      <c r="AF14" s="23"/>
      <c r="AG14" s="17"/>
      <c r="AH14" s="15">
        <f>SUM(AH11:AH13)</f>
        <v>912.755</v>
      </c>
      <c r="AK14" s="17"/>
      <c r="AL14" s="17"/>
      <c r="AM14" s="19"/>
      <c r="AN14" s="17"/>
      <c r="AO14" s="23"/>
      <c r="AP14" s="17"/>
      <c r="AQ14" s="15">
        <f>SUM(AQ11:AQ13)</f>
        <v>912.755</v>
      </c>
    </row>
    <row r="15" spans="1:43" x14ac:dyDescent="0.35">
      <c r="B15" s="17"/>
      <c r="C15" s="19"/>
      <c r="D15" s="17"/>
      <c r="E15" s="61"/>
      <c r="F15" s="17"/>
      <c r="G15" s="15"/>
      <c r="H15" s="7"/>
      <c r="J15" s="17"/>
      <c r="K15" s="17"/>
      <c r="L15" s="19"/>
      <c r="M15" s="17"/>
      <c r="N15" s="23"/>
      <c r="O15" s="17"/>
      <c r="P15" s="15"/>
      <c r="Q15" s="15"/>
      <c r="S15" s="17"/>
      <c r="T15" s="17"/>
      <c r="U15" s="19"/>
      <c r="V15" s="17"/>
      <c r="W15" s="23"/>
      <c r="X15" s="17"/>
      <c r="Y15" s="15"/>
      <c r="AD15" s="8"/>
      <c r="AF15" s="5"/>
      <c r="AH15" s="7"/>
      <c r="AM15" s="8"/>
      <c r="AO15" s="5"/>
      <c r="AQ15" s="7"/>
    </row>
    <row r="16" spans="1:43" ht="13.15" x14ac:dyDescent="0.4">
      <c r="A16" s="1" t="s">
        <v>8</v>
      </c>
      <c r="I16" s="1" t="s">
        <v>8</v>
      </c>
      <c r="R16" s="1" t="s">
        <v>8</v>
      </c>
    </row>
    <row r="17" spans="1:43" ht="13.15" x14ac:dyDescent="0.4">
      <c r="B17" s="14" t="s">
        <v>67</v>
      </c>
      <c r="C17" s="46">
        <v>128490</v>
      </c>
      <c r="E17" s="5">
        <v>6.29</v>
      </c>
      <c r="G17" s="5">
        <f>C17*E17</f>
        <v>808202.1</v>
      </c>
      <c r="J17" s="14" t="s">
        <v>67</v>
      </c>
      <c r="K17" s="14"/>
      <c r="L17" s="6">
        <f>C17</f>
        <v>128490</v>
      </c>
      <c r="N17" s="5">
        <f>E17</f>
        <v>6.29</v>
      </c>
      <c r="P17" s="5">
        <f>L17*N17</f>
        <v>808202.1</v>
      </c>
      <c r="Q17" s="5"/>
      <c r="S17" s="14" t="s">
        <v>67</v>
      </c>
      <c r="T17" s="14"/>
      <c r="U17" s="6">
        <f>L17/L11</f>
        <v>1338.4375</v>
      </c>
      <c r="W17" s="5">
        <v>6.52</v>
      </c>
      <c r="Y17" s="5">
        <f>U17*W17</f>
        <v>8726.6124999999993</v>
      </c>
      <c r="AA17" s="1" t="s">
        <v>8</v>
      </c>
      <c r="AJ17" s="1" t="s">
        <v>8</v>
      </c>
    </row>
    <row r="18" spans="1:43" ht="13.15" x14ac:dyDescent="0.4">
      <c r="B18" s="27" t="s">
        <v>28</v>
      </c>
      <c r="C18" s="59">
        <v>6315</v>
      </c>
      <c r="D18" s="17"/>
      <c r="E18" s="23">
        <v>9.1300000000000008</v>
      </c>
      <c r="F18" s="17"/>
      <c r="G18" s="23">
        <f>C18*E18</f>
        <v>57655.950000000004</v>
      </c>
      <c r="J18" s="27" t="s">
        <v>28</v>
      </c>
      <c r="K18" s="14"/>
      <c r="L18" s="6">
        <f t="shared" ref="L18:L19" si="8">C18</f>
        <v>6315</v>
      </c>
      <c r="N18" s="5">
        <f t="shared" ref="N18:N19" si="9">E18</f>
        <v>9.1300000000000008</v>
      </c>
      <c r="P18" s="5">
        <f>L18*N18</f>
        <v>57655.950000000004</v>
      </c>
      <c r="Q18" s="5"/>
      <c r="S18" s="27" t="s">
        <v>28</v>
      </c>
      <c r="T18" s="14"/>
      <c r="U18" s="6">
        <f>L18/L11</f>
        <v>65.78125</v>
      </c>
      <c r="W18" s="5">
        <v>9.4600000000000009</v>
      </c>
      <c r="Y18" s="5">
        <f>U18*W18</f>
        <v>622.29062500000009</v>
      </c>
      <c r="AA18" s="1"/>
      <c r="AB18" s="14" t="s">
        <v>67</v>
      </c>
      <c r="AC18" s="14"/>
      <c r="AD18" s="6">
        <f>U17</f>
        <v>1338.4375</v>
      </c>
      <c r="AF18" s="5">
        <v>7.26</v>
      </c>
      <c r="AH18" s="5">
        <f>AD18*AF18</f>
        <v>9717.0562499999996</v>
      </c>
      <c r="AJ18" s="1"/>
      <c r="AK18" s="14" t="s">
        <v>67</v>
      </c>
      <c r="AL18" s="14"/>
      <c r="AM18" s="6">
        <f>AD18</f>
        <v>1338.4375</v>
      </c>
      <c r="AO18" s="5">
        <v>8.0399999999999991</v>
      </c>
      <c r="AQ18" s="5">
        <f>AM18*AO18</f>
        <v>10761.037499999999</v>
      </c>
    </row>
    <row r="19" spans="1:43" x14ac:dyDescent="0.35">
      <c r="B19" s="26" t="s">
        <v>68</v>
      </c>
      <c r="C19" s="88">
        <v>2322.3000000000002</v>
      </c>
      <c r="D19" s="10"/>
      <c r="E19" s="22">
        <v>9.1300000000000008</v>
      </c>
      <c r="F19" s="10"/>
      <c r="G19" s="22">
        <f>C19*E19</f>
        <v>21202.599000000002</v>
      </c>
      <c r="J19" s="26" t="s">
        <v>68</v>
      </c>
      <c r="K19" s="26"/>
      <c r="L19" s="9">
        <f t="shared" si="8"/>
        <v>2322.3000000000002</v>
      </c>
      <c r="M19" s="10"/>
      <c r="N19" s="22">
        <f t="shared" si="9"/>
        <v>9.1300000000000008</v>
      </c>
      <c r="O19" s="10"/>
      <c r="P19" s="22">
        <f>L19*N19</f>
        <v>21202.599000000002</v>
      </c>
      <c r="Q19" s="23"/>
      <c r="S19" s="26" t="s">
        <v>68</v>
      </c>
      <c r="T19" s="26"/>
      <c r="U19" s="9">
        <f>L19/L11</f>
        <v>24.190625000000001</v>
      </c>
      <c r="V19" s="10"/>
      <c r="W19" s="22">
        <v>9.4600000000000009</v>
      </c>
      <c r="X19" s="10"/>
      <c r="Y19" s="22">
        <f>U19*W19</f>
        <v>228.84331250000002</v>
      </c>
      <c r="AB19" s="27" t="s">
        <v>28</v>
      </c>
      <c r="AC19" s="14"/>
      <c r="AD19" s="6">
        <f>U18</f>
        <v>65.78125</v>
      </c>
      <c r="AF19" s="5">
        <v>9.98</v>
      </c>
      <c r="AH19" s="5">
        <f>AD19*AF19</f>
        <v>656.49687500000005</v>
      </c>
      <c r="AK19" s="27" t="s">
        <v>28</v>
      </c>
      <c r="AL19" s="14"/>
      <c r="AM19" s="6">
        <f t="shared" ref="AM19:AM20" si="10">AD19</f>
        <v>65.78125</v>
      </c>
      <c r="AO19" s="5">
        <v>9.98</v>
      </c>
      <c r="AQ19" s="5">
        <f>AM19*AO19</f>
        <v>656.49687500000005</v>
      </c>
    </row>
    <row r="20" spans="1:43" x14ac:dyDescent="0.35">
      <c r="C20" s="107">
        <f>SUM(C17:C19)</f>
        <v>137127.29999999999</v>
      </c>
      <c r="G20" s="7">
        <f>SUM(G17:G19)</f>
        <v>887060.64899999998</v>
      </c>
      <c r="H20" s="60"/>
      <c r="J20" s="17"/>
      <c r="K20" s="17"/>
      <c r="N20" s="7">
        <f>SUM(N17:N19)</f>
        <v>24.550000000000004</v>
      </c>
      <c r="P20" s="7">
        <f>SUM(P17:P19)</f>
        <v>887060.64899999998</v>
      </c>
      <c r="Q20" s="7"/>
      <c r="S20" s="17"/>
      <c r="T20" s="17"/>
      <c r="W20" s="7">
        <f>SUM(W17:W19)</f>
        <v>25.44</v>
      </c>
      <c r="Y20" s="7">
        <f>SUM(Y17:Y19)</f>
        <v>9577.7464374999981</v>
      </c>
      <c r="AB20" s="26" t="s">
        <v>68</v>
      </c>
      <c r="AC20" s="26"/>
      <c r="AD20" s="9">
        <f>U19</f>
        <v>24.190625000000001</v>
      </c>
      <c r="AE20" s="10"/>
      <c r="AF20" s="22">
        <v>9.98</v>
      </c>
      <c r="AG20" s="10"/>
      <c r="AH20" s="22">
        <f>AD20*AF20</f>
        <v>241.42243750000003</v>
      </c>
      <c r="AK20" s="26" t="s">
        <v>68</v>
      </c>
      <c r="AL20" s="26"/>
      <c r="AM20" s="9">
        <f t="shared" si="10"/>
        <v>24.190625000000001</v>
      </c>
      <c r="AN20" s="10"/>
      <c r="AO20" s="22">
        <v>9.98</v>
      </c>
      <c r="AP20" s="10"/>
      <c r="AQ20" s="22">
        <f>AM20*AO20</f>
        <v>241.42243750000003</v>
      </c>
    </row>
    <row r="21" spans="1:43" x14ac:dyDescent="0.35">
      <c r="B21" s="17"/>
      <c r="C21" s="59"/>
      <c r="D21" s="17"/>
      <c r="E21" s="23"/>
      <c r="F21" s="17"/>
      <c r="G21" s="23"/>
      <c r="AB21" s="17"/>
      <c r="AC21" s="17"/>
      <c r="AF21" s="7">
        <f>SUM(AF18:AF20)</f>
        <v>27.220000000000002</v>
      </c>
      <c r="AH21" s="7">
        <f>SUM(AH18:AH20)</f>
        <v>10614.9755625</v>
      </c>
      <c r="AK21" s="17"/>
      <c r="AL21" s="17"/>
      <c r="AO21" s="7">
        <f>SUM(AO18:AO20)</f>
        <v>28</v>
      </c>
      <c r="AQ21" s="7">
        <f>SUM(AQ18:AQ20)</f>
        <v>11658.956812499999</v>
      </c>
    </row>
    <row r="22" spans="1:43" ht="13.15" x14ac:dyDescent="0.4">
      <c r="A22" s="1" t="s">
        <v>5</v>
      </c>
      <c r="I22" s="1" t="s">
        <v>5</v>
      </c>
      <c r="L22" s="43"/>
      <c r="N22" s="53"/>
      <c r="P22" s="71"/>
      <c r="Q22" s="71"/>
      <c r="R22" s="1" t="s">
        <v>5</v>
      </c>
      <c r="U22" s="43"/>
      <c r="W22" s="53"/>
      <c r="Y22" s="71"/>
      <c r="AF22" s="7"/>
      <c r="AH22" s="7"/>
      <c r="AO22" s="7"/>
      <c r="AQ22" s="7"/>
    </row>
    <row r="23" spans="1:43" ht="13.15" x14ac:dyDescent="0.4">
      <c r="A23" s="7"/>
      <c r="B23" s="14" t="s">
        <v>29</v>
      </c>
      <c r="C23" s="43">
        <v>61996409</v>
      </c>
      <c r="E23" s="44">
        <v>4.904E-2</v>
      </c>
      <c r="G23" s="7">
        <f>C23*E23</f>
        <v>3040303.8973599998</v>
      </c>
      <c r="I23" s="1"/>
      <c r="J23" s="108" t="s">
        <v>174</v>
      </c>
      <c r="L23" s="43">
        <f>C25</f>
        <v>67327363</v>
      </c>
      <c r="N23" s="44">
        <v>4.7449999999999999E-2</v>
      </c>
      <c r="P23" s="7">
        <f>L23*N23</f>
        <v>3194683.3743500002</v>
      </c>
      <c r="Q23" s="7"/>
      <c r="R23" s="1"/>
      <c r="S23" s="108" t="s">
        <v>174</v>
      </c>
      <c r="U23" s="43">
        <f>L23/L11</f>
        <v>701326.69791666663</v>
      </c>
      <c r="W23" s="44">
        <v>4.9189999999999998E-2</v>
      </c>
      <c r="Y23" s="7">
        <f>U23*W23</f>
        <v>34498.260270520826</v>
      </c>
      <c r="AA23" s="1" t="s">
        <v>5</v>
      </c>
      <c r="AD23" s="43"/>
      <c r="AJ23" s="1" t="s">
        <v>5</v>
      </c>
      <c r="AM23" s="43"/>
    </row>
    <row r="24" spans="1:43" ht="13.15" x14ac:dyDescent="0.4">
      <c r="A24" s="7"/>
      <c r="B24" s="26" t="s">
        <v>52</v>
      </c>
      <c r="C24" s="69">
        <v>5330954</v>
      </c>
      <c r="D24" s="10"/>
      <c r="E24" s="51">
        <v>4.7449999999999999E-2</v>
      </c>
      <c r="F24" s="10"/>
      <c r="G24" s="11">
        <f>C24*E24</f>
        <v>252953.76730000001</v>
      </c>
      <c r="I24" s="1"/>
      <c r="J24" s="17"/>
      <c r="K24" s="17"/>
      <c r="L24" s="118"/>
      <c r="M24" s="17"/>
      <c r="N24" s="44"/>
      <c r="O24" s="17"/>
      <c r="P24" s="15"/>
      <c r="Q24" s="15"/>
      <c r="R24" s="1"/>
      <c r="S24" s="17"/>
      <c r="T24" s="17"/>
      <c r="U24" s="118"/>
      <c r="V24" s="17"/>
      <c r="W24" s="44"/>
      <c r="X24" s="17"/>
      <c r="Y24" s="15"/>
      <c r="AA24" s="1"/>
      <c r="AB24" s="108" t="s">
        <v>174</v>
      </c>
      <c r="AD24" s="43">
        <f>U23</f>
        <v>701326.69791666663</v>
      </c>
      <c r="AF24" s="44">
        <f>W23</f>
        <v>4.9189999999999998E-2</v>
      </c>
      <c r="AH24" s="7">
        <f>AD24*AF24</f>
        <v>34498.260270520826</v>
      </c>
      <c r="AJ24" s="1"/>
      <c r="AK24" s="108" t="s">
        <v>174</v>
      </c>
      <c r="AM24" s="43">
        <f>AD24</f>
        <v>701326.69791666663</v>
      </c>
      <c r="AO24" s="44">
        <f>AF24</f>
        <v>4.9189999999999998E-2</v>
      </c>
      <c r="AQ24" s="7">
        <f>AM24*AO24</f>
        <v>34498.260270520826</v>
      </c>
    </row>
    <row r="25" spans="1:43" ht="13.15" x14ac:dyDescent="0.4">
      <c r="C25" s="43">
        <f>SUM(C23:C24)</f>
        <v>67327363</v>
      </c>
      <c r="G25" s="7">
        <f>SUM(G23:G24)</f>
        <v>3293257.6646599998</v>
      </c>
      <c r="I25" s="7"/>
      <c r="J25" s="27"/>
      <c r="K25" s="27"/>
      <c r="L25" s="19"/>
      <c r="M25" s="17"/>
      <c r="N25" s="44"/>
      <c r="O25" s="17"/>
      <c r="P25" s="15"/>
      <c r="Q25" s="15"/>
      <c r="R25" s="7"/>
      <c r="S25" s="27"/>
      <c r="T25" s="27"/>
      <c r="U25" s="19"/>
      <c r="V25" s="17"/>
      <c r="W25" s="44"/>
      <c r="X25" s="17"/>
      <c r="Y25" s="15"/>
      <c r="AA25" s="1"/>
      <c r="AB25" s="17"/>
      <c r="AC25" s="17"/>
      <c r="AD25" s="118"/>
      <c r="AE25" s="17"/>
      <c r="AF25" s="44"/>
      <c r="AG25" s="17"/>
      <c r="AH25" s="15"/>
      <c r="AJ25" s="1"/>
      <c r="AK25" s="17"/>
      <c r="AL25" s="17"/>
      <c r="AM25" s="118"/>
      <c r="AN25" s="17"/>
      <c r="AO25" s="44"/>
      <c r="AP25" s="17"/>
      <c r="AQ25" s="15"/>
    </row>
    <row r="26" spans="1:43" x14ac:dyDescent="0.35">
      <c r="H26" s="7"/>
      <c r="J26" s="108" t="s">
        <v>175</v>
      </c>
      <c r="K26" s="27"/>
      <c r="L26" s="19"/>
      <c r="M26" s="17"/>
      <c r="N26" s="18"/>
      <c r="O26" s="17"/>
      <c r="P26" s="15">
        <f>G27-(C23*-0.00159)</f>
        <v>-208507.53969000001</v>
      </c>
      <c r="Q26" s="15"/>
      <c r="S26" s="108" t="s">
        <v>175</v>
      </c>
      <c r="T26" s="27"/>
      <c r="U26" s="19">
        <f>P26/L23</f>
        <v>-3.0969212278520401E-3</v>
      </c>
      <c r="V26" s="17"/>
      <c r="W26" s="18"/>
      <c r="X26" s="17"/>
      <c r="Y26" s="15">
        <f>U23*U26</f>
        <v>-2171.9535384374999</v>
      </c>
      <c r="AA26" s="7"/>
      <c r="AB26" s="27"/>
      <c r="AC26" s="27"/>
      <c r="AD26" s="19"/>
      <c r="AE26" s="17"/>
      <c r="AF26" s="44"/>
      <c r="AG26" s="17"/>
      <c r="AH26" s="15"/>
      <c r="AJ26" s="7"/>
      <c r="AK26" s="27"/>
      <c r="AL26" s="27"/>
      <c r="AM26" s="19"/>
      <c r="AN26" s="17"/>
      <c r="AO26" s="44"/>
      <c r="AP26" s="17"/>
      <c r="AQ26" s="15"/>
    </row>
    <row r="27" spans="1:43" x14ac:dyDescent="0.35">
      <c r="A27" s="7"/>
      <c r="B27" s="108" t="s">
        <v>175</v>
      </c>
      <c r="G27" s="5">
        <v>-307081.83</v>
      </c>
      <c r="H27" s="7"/>
      <c r="AB27" s="108" t="s">
        <v>175</v>
      </c>
      <c r="AC27" s="27"/>
      <c r="AD27" s="19"/>
      <c r="AE27" s="17"/>
      <c r="AF27" s="18"/>
      <c r="AG27" s="17"/>
      <c r="AH27" s="15">
        <f>Y26</f>
        <v>-2171.9535384374999</v>
      </c>
      <c r="AK27" s="108" t="s">
        <v>175</v>
      </c>
      <c r="AL27" s="27"/>
      <c r="AM27" s="19"/>
      <c r="AN27" s="17"/>
      <c r="AO27" s="18"/>
      <c r="AP27" s="17"/>
      <c r="AQ27" s="15">
        <f>AH27</f>
        <v>-2171.9535384374999</v>
      </c>
    </row>
    <row r="28" spans="1:43" ht="13.15" x14ac:dyDescent="0.4">
      <c r="A28" s="7"/>
      <c r="H28" s="7"/>
      <c r="I28" s="1"/>
      <c r="J28" s="27" t="s">
        <v>69</v>
      </c>
      <c r="P28" s="7">
        <f>G29</f>
        <v>-11638.439999999999</v>
      </c>
      <c r="Q28" s="7"/>
      <c r="R28" s="1"/>
      <c r="S28" s="27" t="s">
        <v>69</v>
      </c>
      <c r="U28">
        <f>P28/(L17+L18+L19)</f>
        <v>-8.4873252809615593E-2</v>
      </c>
      <c r="Y28" s="7">
        <f>U28*(U17+U18+U19)</f>
        <v>-121.23375</v>
      </c>
      <c r="AB28" s="27"/>
      <c r="AC28" s="27"/>
      <c r="AD28" s="19"/>
      <c r="AE28" s="17"/>
      <c r="AF28" s="18"/>
      <c r="AG28" s="17"/>
      <c r="AH28" s="32"/>
      <c r="AK28" s="27"/>
      <c r="AL28" s="27"/>
      <c r="AM28" s="19"/>
      <c r="AN28" s="17"/>
      <c r="AO28" s="18"/>
      <c r="AP28" s="17"/>
      <c r="AQ28" s="32"/>
    </row>
    <row r="29" spans="1:43" ht="13.15" x14ac:dyDescent="0.4">
      <c r="B29" s="27" t="s">
        <v>69</v>
      </c>
      <c r="C29" s="19"/>
      <c r="D29" s="17"/>
      <c r="E29" s="63"/>
      <c r="F29" s="17"/>
      <c r="G29" s="15">
        <v>-11638.439999999999</v>
      </c>
      <c r="H29" s="15"/>
      <c r="I29" s="15"/>
      <c r="R29" s="15"/>
      <c r="AA29" s="1"/>
      <c r="AB29" s="27" t="s">
        <v>69</v>
      </c>
      <c r="AH29" s="7">
        <f>Y28</f>
        <v>-121.23375</v>
      </c>
      <c r="AJ29" s="1"/>
      <c r="AK29" s="27" t="s">
        <v>69</v>
      </c>
      <c r="AQ29" s="7">
        <f>AH29</f>
        <v>-121.23375</v>
      </c>
    </row>
    <row r="30" spans="1:43" ht="13.15" x14ac:dyDescent="0.4">
      <c r="B30" s="27"/>
      <c r="C30" s="19"/>
      <c r="D30" s="17"/>
      <c r="E30" s="63"/>
      <c r="F30" s="17"/>
      <c r="G30" s="32"/>
      <c r="H30" s="15"/>
      <c r="I30" s="15"/>
      <c r="J30" s="1" t="s">
        <v>33</v>
      </c>
      <c r="P30" s="7">
        <f>P14+P20+P23+P26+P28</f>
        <v>3946121.7236600001</v>
      </c>
      <c r="Q30" s="7"/>
      <c r="R30" s="15"/>
      <c r="S30" s="1" t="s">
        <v>33</v>
      </c>
      <c r="Y30" s="7">
        <f>Y14+Y20+Y23+Y26+Y28</f>
        <v>42695.574419583325</v>
      </c>
      <c r="AA30" s="15"/>
      <c r="AJ30" s="15"/>
    </row>
    <row r="31" spans="1:43" ht="13.5" thickBot="1" x14ac:dyDescent="0.45">
      <c r="A31" s="1"/>
      <c r="B31" t="s">
        <v>17</v>
      </c>
      <c r="C31" s="8"/>
      <c r="E31" s="65"/>
      <c r="G31" s="13">
        <f>G14+G20+G25+G27+G29</f>
        <v>3946121.7236599992</v>
      </c>
      <c r="I31" s="15"/>
      <c r="R31" s="15"/>
      <c r="AA31" s="15"/>
      <c r="AB31" s="1" t="s">
        <v>33</v>
      </c>
      <c r="AH31" s="7">
        <f>AH14+AH21+AH24+AH27+AH29</f>
        <v>43732.80354458333</v>
      </c>
      <c r="AJ31" s="15"/>
      <c r="AK31" s="1" t="s">
        <v>33</v>
      </c>
      <c r="AQ31" s="7">
        <f>AQ14+AQ21+AQ24+AQ27+AQ29</f>
        <v>44776.784794583327</v>
      </c>
    </row>
    <row r="32" spans="1:43" ht="13.15" thickTop="1" x14ac:dyDescent="0.35">
      <c r="A32" s="15"/>
      <c r="C32" s="8"/>
      <c r="E32" s="65"/>
      <c r="G32" s="7"/>
      <c r="H32" s="15"/>
      <c r="I32" s="15"/>
      <c r="J32" t="s">
        <v>34</v>
      </c>
      <c r="P32" s="83">
        <f>G39</f>
        <v>1.0000012306614801</v>
      </c>
      <c r="Q32" s="83"/>
      <c r="R32" s="15"/>
      <c r="S32" t="s">
        <v>34</v>
      </c>
      <c r="Y32" s="83">
        <f>P32</f>
        <v>1.0000012306614801</v>
      </c>
      <c r="AA32" s="15"/>
      <c r="AJ32" s="15"/>
    </row>
    <row r="33" spans="1:43" x14ac:dyDescent="0.35">
      <c r="A33" s="15"/>
      <c r="B33" t="s">
        <v>18</v>
      </c>
      <c r="G33" s="60">
        <f>204055.76+3978631.53+4411.08+66110.04</f>
        <v>4253208.41</v>
      </c>
      <c r="H33" s="32"/>
      <c r="I33" s="15"/>
      <c r="R33" s="15"/>
      <c r="AA33" s="15"/>
      <c r="AB33" t="s">
        <v>34</v>
      </c>
      <c r="AH33" s="83">
        <f>P32</f>
        <v>1.0000012306614801</v>
      </c>
      <c r="AJ33" s="15"/>
      <c r="AK33" t="s">
        <v>34</v>
      </c>
      <c r="AQ33" s="83">
        <f>AH33</f>
        <v>1.0000012306614801</v>
      </c>
    </row>
    <row r="34" spans="1:43" ht="13.5" thickBot="1" x14ac:dyDescent="0.45">
      <c r="A34" s="15"/>
      <c r="H34" s="15"/>
      <c r="J34" s="1" t="s">
        <v>7</v>
      </c>
      <c r="P34" s="13">
        <f>P30*P32</f>
        <v>3946126.580000001</v>
      </c>
      <c r="Q34" s="15"/>
      <c r="S34" s="1" t="s">
        <v>7</v>
      </c>
      <c r="Y34" s="13">
        <f>Y30*Y32</f>
        <v>42695.626963382128</v>
      </c>
      <c r="AA34" s="15"/>
      <c r="AJ34" s="15"/>
    </row>
    <row r="35" spans="1:43" ht="13.9" thickTop="1" thickBot="1" x14ac:dyDescent="0.45">
      <c r="A35" s="7"/>
      <c r="B35" s="108" t="s">
        <v>175</v>
      </c>
      <c r="G35" s="5">
        <v>-307081.83</v>
      </c>
      <c r="H35" s="7"/>
      <c r="J35" s="17"/>
      <c r="K35" s="17"/>
      <c r="L35" s="19"/>
      <c r="M35" s="17"/>
      <c r="N35" s="18"/>
      <c r="O35" s="17"/>
      <c r="P35" s="15"/>
      <c r="Q35" s="15"/>
      <c r="S35" s="17"/>
      <c r="T35" s="17"/>
      <c r="U35" s="19"/>
      <c r="V35" s="17"/>
      <c r="W35" s="18"/>
      <c r="X35" s="17"/>
      <c r="Y35" s="15"/>
      <c r="AA35" s="15"/>
      <c r="AB35" s="1" t="s">
        <v>7</v>
      </c>
      <c r="AH35" s="13">
        <f>AH31*AH33</f>
        <v>43732.857364860065</v>
      </c>
      <c r="AJ35" s="15"/>
      <c r="AK35" s="1" t="s">
        <v>7</v>
      </c>
      <c r="AQ35" s="13">
        <f>AQ31*AQ33</f>
        <v>44776.839899647573</v>
      </c>
    </row>
    <row r="36" spans="1:43" ht="13.15" thickTop="1" x14ac:dyDescent="0.35">
      <c r="A36" s="7"/>
      <c r="H36" s="60"/>
      <c r="I36" s="15"/>
      <c r="P36" s="5"/>
      <c r="Q36" s="5"/>
      <c r="R36" s="15"/>
      <c r="Y36" s="5"/>
      <c r="AA36" s="17"/>
      <c r="AB36" s="17"/>
      <c r="AC36" s="17"/>
      <c r="AD36" s="19"/>
      <c r="AE36" s="17"/>
      <c r="AF36" s="18"/>
      <c r="AG36" s="17"/>
      <c r="AH36" s="15"/>
      <c r="AJ36" s="17"/>
      <c r="AK36" s="17"/>
      <c r="AL36" s="17"/>
      <c r="AM36" s="19"/>
      <c r="AN36" s="17"/>
      <c r="AO36" s="18"/>
      <c r="AP36" s="17"/>
      <c r="AQ36" s="15"/>
    </row>
    <row r="37" spans="1:43" ht="13.15" thickBot="1" x14ac:dyDescent="0.4">
      <c r="A37" s="15"/>
      <c r="B37" s="108" t="s">
        <v>177</v>
      </c>
      <c r="G37" s="13">
        <f>G33+G35</f>
        <v>3946126.58</v>
      </c>
      <c r="AA37" s="17"/>
      <c r="AB37" t="s">
        <v>12</v>
      </c>
      <c r="AH37" s="5">
        <f>AH35-Y34</f>
        <v>1037.2304014779365</v>
      </c>
      <c r="AJ37" s="17"/>
      <c r="AK37" t="s">
        <v>12</v>
      </c>
      <c r="AQ37" s="5">
        <f>AQ35-AH35</f>
        <v>1043.9825347875085</v>
      </c>
    </row>
    <row r="38" spans="1:43" ht="13.15" thickTop="1" x14ac:dyDescent="0.35">
      <c r="H38" s="60"/>
      <c r="P38" s="21"/>
      <c r="Q38" s="21"/>
      <c r="Y38" s="21"/>
      <c r="AA38" s="17"/>
      <c r="AJ38" s="17"/>
    </row>
    <row r="39" spans="1:43" x14ac:dyDescent="0.35">
      <c r="B39" t="s">
        <v>23</v>
      </c>
      <c r="G39" s="66">
        <f>G37/G31</f>
        <v>1.0000012306614801</v>
      </c>
      <c r="H39" s="5">
        <v>-303555.93508449552</v>
      </c>
      <c r="AA39" s="17"/>
      <c r="AB39" t="s">
        <v>15</v>
      </c>
      <c r="AH39" s="21">
        <f>AH37/Y34</f>
        <v>2.4293598085994062E-2</v>
      </c>
      <c r="AJ39" s="17"/>
      <c r="AK39" t="s">
        <v>15</v>
      </c>
      <c r="AQ39" s="21">
        <f>AQ37/AH35</f>
        <v>2.3871811669602051E-2</v>
      </c>
    </row>
    <row r="40" spans="1:43" x14ac:dyDescent="0.35">
      <c r="J40" s="7"/>
      <c r="S40" s="7"/>
    </row>
    <row r="41" spans="1:43" x14ac:dyDescent="0.35">
      <c r="B41" s="27" t="s">
        <v>38</v>
      </c>
      <c r="C41" s="17"/>
      <c r="D41" s="17"/>
      <c r="E41" s="17"/>
      <c r="F41" s="17"/>
      <c r="G41" s="23">
        <v>436605.7464095215</v>
      </c>
      <c r="H41" s="23">
        <v>837213.75683435821</v>
      </c>
    </row>
    <row r="42" spans="1:43" ht="13.15" x14ac:dyDescent="0.4">
      <c r="B42" s="24"/>
      <c r="C42" s="17"/>
      <c r="D42" s="24"/>
      <c r="E42" s="17"/>
      <c r="F42" s="24"/>
      <c r="G42" s="17"/>
      <c r="H42" s="24"/>
    </row>
    <row r="43" spans="1:43" x14ac:dyDescent="0.35">
      <c r="B43" s="27" t="s">
        <v>63</v>
      </c>
      <c r="C43" s="17"/>
      <c r="D43" s="17"/>
      <c r="E43" s="17"/>
      <c r="F43" s="17"/>
      <c r="G43" s="23">
        <v>17520</v>
      </c>
      <c r="H43" s="23">
        <v>33</v>
      </c>
      <c r="P43" s="21"/>
      <c r="Q43" s="21"/>
      <c r="Y43" s="21"/>
      <c r="AA43" s="17"/>
      <c r="AH43" s="21"/>
      <c r="AJ43" s="17"/>
      <c r="AQ43" s="21"/>
    </row>
    <row r="44" spans="1:43" x14ac:dyDescent="0.35">
      <c r="B44" s="37"/>
      <c r="C44" s="17"/>
      <c r="D44" s="16"/>
      <c r="E44" s="17"/>
      <c r="F44" s="42"/>
      <c r="G44" s="17"/>
      <c r="H44" s="23"/>
      <c r="P44" s="21"/>
      <c r="Q44" s="21"/>
      <c r="Y44" s="21"/>
      <c r="AA44" s="17"/>
      <c r="AH44" s="21"/>
      <c r="AJ44" s="17"/>
      <c r="AQ44" s="21"/>
    </row>
    <row r="45" spans="1:43" x14ac:dyDescent="0.35">
      <c r="B45" s="85" t="s">
        <v>17</v>
      </c>
      <c r="C45" s="17"/>
      <c r="D45" s="16"/>
      <c r="E45" s="17"/>
      <c r="F45" s="42"/>
      <c r="G45" s="15">
        <f>G33+G35+G41+G43</f>
        <v>4400252.3264095215</v>
      </c>
      <c r="H45" s="23">
        <f>H31+H39+H41+H43</f>
        <v>533690.82174986275</v>
      </c>
      <c r="P45" s="21"/>
      <c r="Q45" s="21"/>
      <c r="Y45" s="21"/>
      <c r="AA45" s="17"/>
      <c r="AH45" s="21"/>
      <c r="AJ45" s="17"/>
      <c r="AQ45" s="21"/>
    </row>
    <row r="46" spans="1:43" ht="13.15" x14ac:dyDescent="0.4">
      <c r="B46" s="24"/>
      <c r="C46" s="17"/>
      <c r="D46" s="17"/>
      <c r="E46" s="24"/>
      <c r="F46" s="17"/>
      <c r="G46" s="24"/>
      <c r="H46" s="24"/>
      <c r="P46" s="21"/>
      <c r="Q46" s="21"/>
      <c r="Y46" s="21"/>
      <c r="AA46" s="17"/>
      <c r="AH46" s="21"/>
      <c r="AJ46" s="17"/>
      <c r="AQ46" s="21"/>
    </row>
    <row r="47" spans="1:43" ht="13.15" x14ac:dyDescent="0.4">
      <c r="B47" s="24"/>
      <c r="C47" s="24"/>
      <c r="D47" s="17"/>
      <c r="E47" s="24"/>
      <c r="F47" s="17"/>
      <c r="G47" s="24"/>
      <c r="H47" s="24"/>
      <c r="I47" s="17"/>
      <c r="J47" s="24"/>
      <c r="K47" s="24"/>
      <c r="L47" s="24"/>
      <c r="M47" s="17"/>
      <c r="N47" s="24"/>
      <c r="O47" s="17"/>
      <c r="P47" s="81"/>
      <c r="Q47" s="81"/>
      <c r="R47" s="17"/>
      <c r="S47" s="24"/>
      <c r="T47" s="24"/>
      <c r="U47" s="24"/>
      <c r="V47" s="17"/>
      <c r="W47" s="24"/>
      <c r="X47" s="17"/>
      <c r="Y47" s="81"/>
      <c r="Z47" s="17"/>
      <c r="AA47" s="17"/>
      <c r="AB47" s="17"/>
      <c r="AC47" s="17"/>
      <c r="AD47" s="17"/>
      <c r="AE47" s="17"/>
      <c r="AF47" s="17"/>
      <c r="AG47" s="17"/>
      <c r="AH47" s="31"/>
      <c r="AJ47" s="17"/>
      <c r="AK47" s="17"/>
      <c r="AL47" s="17"/>
      <c r="AM47" s="17"/>
      <c r="AN47" s="17"/>
      <c r="AO47" s="17"/>
      <c r="AP47" s="17"/>
      <c r="AQ47" s="31"/>
    </row>
    <row r="48" spans="1:43" x14ac:dyDescent="0.35">
      <c r="B48" s="17"/>
      <c r="C48" s="17"/>
      <c r="D48" s="17"/>
      <c r="E48" s="17"/>
      <c r="F48" s="17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5"/>
      <c r="AJ48" s="17"/>
      <c r="AK48" s="17"/>
      <c r="AL48" s="17"/>
      <c r="AM48" s="17"/>
      <c r="AN48" s="17"/>
      <c r="AO48" s="17"/>
      <c r="AP48" s="17"/>
      <c r="AQ48" s="17"/>
    </row>
    <row r="49" spans="2:43" x14ac:dyDescent="0.35">
      <c r="B49" s="78"/>
      <c r="C49" s="64"/>
      <c r="D49" s="17"/>
      <c r="E49" s="42"/>
      <c r="F49" s="17"/>
      <c r="G49" s="61"/>
      <c r="H49" s="61"/>
      <c r="I49" s="17"/>
      <c r="J49" s="78"/>
      <c r="K49" s="78"/>
      <c r="L49" s="64"/>
      <c r="M49" s="17"/>
      <c r="N49" s="67"/>
      <c r="O49" s="17"/>
      <c r="P49" s="61"/>
      <c r="Q49" s="61"/>
      <c r="R49" s="17"/>
      <c r="S49" s="78"/>
      <c r="T49" s="78"/>
      <c r="U49" s="64"/>
      <c r="V49" s="17"/>
      <c r="W49" s="67"/>
      <c r="X49" s="17"/>
      <c r="Y49" s="61"/>
      <c r="Z49" s="17"/>
      <c r="AA49" s="17"/>
      <c r="AB49" s="17"/>
      <c r="AC49" s="17"/>
      <c r="AD49" s="16"/>
      <c r="AE49" s="17"/>
      <c r="AF49" s="42"/>
      <c r="AG49" s="17"/>
      <c r="AH49" s="23"/>
      <c r="AJ49" s="17"/>
      <c r="AK49" s="17"/>
      <c r="AL49" s="17"/>
      <c r="AM49" s="16"/>
      <c r="AN49" s="17"/>
      <c r="AO49" s="42"/>
      <c r="AP49" s="17"/>
      <c r="AQ49" s="23"/>
    </row>
    <row r="50" spans="2:43" x14ac:dyDescent="0.35">
      <c r="B50" s="78"/>
      <c r="C50" s="64"/>
      <c r="D50" s="17"/>
      <c r="E50" s="42"/>
      <c r="F50" s="17"/>
      <c r="G50" s="61"/>
      <c r="H50" s="61"/>
      <c r="I50" s="17"/>
      <c r="J50" s="78"/>
      <c r="K50" s="78"/>
      <c r="L50" s="64"/>
      <c r="M50" s="17"/>
      <c r="N50" s="67"/>
      <c r="O50" s="17"/>
      <c r="P50" s="61"/>
      <c r="Q50" s="61"/>
      <c r="R50" s="17"/>
      <c r="S50" s="78"/>
      <c r="T50" s="78"/>
      <c r="U50" s="64"/>
      <c r="V50" s="17"/>
      <c r="W50" s="67"/>
      <c r="X50" s="17"/>
      <c r="Y50" s="61"/>
      <c r="Z50" s="17"/>
      <c r="AA50" s="17"/>
      <c r="AB50" s="17"/>
      <c r="AC50" s="17"/>
      <c r="AD50" s="16"/>
      <c r="AE50" s="17"/>
      <c r="AF50" s="42"/>
      <c r="AG50" s="17"/>
      <c r="AH50" s="23"/>
      <c r="AJ50" s="17"/>
      <c r="AK50" s="17"/>
      <c r="AL50" s="17"/>
      <c r="AM50" s="16"/>
      <c r="AN50" s="17"/>
      <c r="AO50" s="42"/>
      <c r="AP50" s="17"/>
      <c r="AQ50" s="23"/>
    </row>
    <row r="51" spans="2:43" x14ac:dyDescent="0.35">
      <c r="B51" s="78"/>
      <c r="C51" s="64"/>
      <c r="D51" s="17"/>
      <c r="E51" s="42"/>
      <c r="F51" s="17"/>
      <c r="G51" s="61"/>
      <c r="H51" s="61"/>
      <c r="I51" s="17"/>
      <c r="J51" s="78"/>
      <c r="K51" s="78"/>
      <c r="L51" s="64"/>
      <c r="M51" s="17"/>
      <c r="N51" s="67"/>
      <c r="O51" s="17"/>
      <c r="P51" s="61"/>
      <c r="Q51" s="61"/>
      <c r="R51" s="17"/>
      <c r="S51" s="78"/>
      <c r="T51" s="78"/>
      <c r="U51" s="64"/>
      <c r="V51" s="17"/>
      <c r="W51" s="67"/>
      <c r="X51" s="17"/>
      <c r="Y51" s="61"/>
      <c r="Z51" s="17"/>
      <c r="AA51" s="17"/>
      <c r="AB51" s="17"/>
      <c r="AC51" s="17"/>
      <c r="AD51" s="16"/>
      <c r="AE51" s="17"/>
      <c r="AF51" s="42"/>
      <c r="AG51" s="17"/>
      <c r="AH51" s="23"/>
      <c r="AJ51" s="17"/>
      <c r="AK51" s="17"/>
      <c r="AL51" s="17"/>
      <c r="AM51" s="16"/>
      <c r="AN51" s="17"/>
      <c r="AO51" s="42"/>
      <c r="AP51" s="17"/>
      <c r="AQ51" s="23"/>
    </row>
    <row r="52" spans="2:43" x14ac:dyDescent="0.35">
      <c r="B52" s="78"/>
      <c r="C52" s="64"/>
      <c r="D52" s="17"/>
      <c r="E52" s="42"/>
      <c r="F52" s="17"/>
      <c r="G52" s="61"/>
      <c r="H52" s="61"/>
      <c r="I52" s="17"/>
      <c r="J52" s="78"/>
      <c r="K52" s="78"/>
      <c r="L52" s="64"/>
      <c r="M52" s="17"/>
      <c r="N52" s="67"/>
      <c r="O52" s="17"/>
      <c r="P52" s="61"/>
      <c r="Q52" s="61"/>
      <c r="R52" s="17"/>
      <c r="S52" s="78"/>
      <c r="T52" s="78"/>
      <c r="U52" s="64"/>
      <c r="V52" s="17"/>
      <c r="W52" s="67"/>
      <c r="X52" s="17"/>
      <c r="Y52" s="61"/>
      <c r="Z52" s="17"/>
      <c r="AA52" s="17"/>
      <c r="AB52" s="17"/>
      <c r="AC52" s="17"/>
      <c r="AD52" s="16"/>
      <c r="AE52" s="17"/>
      <c r="AF52" s="42"/>
      <c r="AG52" s="17"/>
      <c r="AH52" s="23"/>
      <c r="AJ52" s="17"/>
      <c r="AK52" s="17"/>
      <c r="AL52" s="17"/>
      <c r="AM52" s="16"/>
      <c r="AN52" s="17"/>
      <c r="AO52" s="42"/>
      <c r="AP52" s="17"/>
      <c r="AQ52" s="23"/>
    </row>
    <row r="53" spans="2:43" x14ac:dyDescent="0.35">
      <c r="B53" s="78"/>
      <c r="C53" s="64"/>
      <c r="D53" s="17"/>
      <c r="E53" s="42"/>
      <c r="F53" s="17"/>
      <c r="G53" s="61"/>
      <c r="H53" s="61"/>
      <c r="I53" s="17"/>
      <c r="J53" s="78"/>
      <c r="K53" s="78"/>
      <c r="L53" s="64"/>
      <c r="M53" s="17"/>
      <c r="N53" s="67"/>
      <c r="O53" s="17"/>
      <c r="P53" s="61"/>
      <c r="Q53" s="61"/>
      <c r="R53" s="17"/>
      <c r="S53" s="78"/>
      <c r="T53" s="78"/>
      <c r="U53" s="64"/>
      <c r="V53" s="17"/>
      <c r="W53" s="67"/>
      <c r="X53" s="17"/>
      <c r="Y53" s="61"/>
      <c r="Z53" s="17"/>
      <c r="AA53" s="17"/>
      <c r="AB53" s="17"/>
      <c r="AC53" s="17"/>
      <c r="AD53" s="16"/>
      <c r="AE53" s="17"/>
      <c r="AF53" s="42"/>
      <c r="AG53" s="17"/>
      <c r="AH53" s="23"/>
      <c r="AJ53" s="17"/>
      <c r="AK53" s="17"/>
      <c r="AL53" s="17"/>
      <c r="AM53" s="16"/>
      <c r="AN53" s="17"/>
      <c r="AO53" s="42"/>
      <c r="AP53" s="17"/>
      <c r="AQ53" s="23"/>
    </row>
    <row r="54" spans="2:43" x14ac:dyDescent="0.35">
      <c r="B54" s="78"/>
      <c r="C54" s="64"/>
      <c r="D54" s="17"/>
      <c r="E54" s="42"/>
      <c r="F54" s="17"/>
      <c r="G54" s="61"/>
      <c r="H54" s="61"/>
      <c r="I54" s="17"/>
      <c r="J54" s="78"/>
      <c r="K54" s="78"/>
      <c r="L54" s="64"/>
      <c r="M54" s="17"/>
      <c r="N54" s="67"/>
      <c r="O54" s="17"/>
      <c r="P54" s="61"/>
      <c r="Q54" s="61"/>
      <c r="R54" s="17"/>
      <c r="S54" s="78"/>
      <c r="T54" s="78"/>
      <c r="U54" s="64"/>
      <c r="V54" s="17"/>
      <c r="W54" s="67"/>
      <c r="X54" s="17"/>
      <c r="Y54" s="61"/>
      <c r="Z54" s="17"/>
      <c r="AA54" s="17"/>
      <c r="AB54" s="17"/>
      <c r="AC54" s="17"/>
      <c r="AD54" s="16"/>
      <c r="AE54" s="17"/>
      <c r="AF54" s="42"/>
      <c r="AG54" s="17"/>
      <c r="AH54" s="23"/>
      <c r="AJ54" s="17"/>
      <c r="AK54" s="17"/>
      <c r="AL54" s="17"/>
      <c r="AM54" s="16"/>
      <c r="AN54" s="17"/>
      <c r="AO54" s="42"/>
      <c r="AP54" s="17"/>
      <c r="AQ54" s="23"/>
    </row>
    <row r="55" spans="2:43" x14ac:dyDescent="0.35">
      <c r="B55" s="78"/>
      <c r="C55" s="64"/>
      <c r="D55" s="17"/>
      <c r="E55" s="42"/>
      <c r="F55" s="17"/>
      <c r="G55" s="61"/>
      <c r="H55" s="61"/>
      <c r="I55" s="17"/>
      <c r="J55" s="78"/>
      <c r="K55" s="78"/>
      <c r="L55" s="64"/>
      <c r="M55" s="17"/>
      <c r="N55" s="67"/>
      <c r="O55" s="17"/>
      <c r="P55" s="61"/>
      <c r="Q55" s="61"/>
      <c r="R55" s="17"/>
      <c r="S55" s="78"/>
      <c r="T55" s="78"/>
      <c r="U55" s="64"/>
      <c r="V55" s="17"/>
      <c r="W55" s="67"/>
      <c r="X55" s="17"/>
      <c r="Y55" s="61"/>
      <c r="Z55" s="17"/>
      <c r="AA55" s="17"/>
      <c r="AB55" s="17"/>
      <c r="AC55" s="17"/>
      <c r="AD55" s="16"/>
      <c r="AE55" s="17"/>
      <c r="AF55" s="42"/>
      <c r="AG55" s="17"/>
      <c r="AH55" s="23"/>
      <c r="AJ55" s="17"/>
      <c r="AK55" s="17"/>
      <c r="AL55" s="17"/>
      <c r="AM55" s="16"/>
      <c r="AN55" s="17"/>
      <c r="AO55" s="42"/>
      <c r="AP55" s="17"/>
      <c r="AQ55" s="23"/>
    </row>
    <row r="56" spans="2:43" x14ac:dyDescent="0.35">
      <c r="B56" s="78"/>
      <c r="C56" s="64"/>
      <c r="D56" s="17"/>
      <c r="E56" s="42"/>
      <c r="F56" s="17"/>
      <c r="G56" s="61"/>
      <c r="H56" s="61"/>
      <c r="I56" s="17"/>
      <c r="J56" s="78"/>
      <c r="K56" s="78"/>
      <c r="L56" s="64"/>
      <c r="M56" s="17"/>
      <c r="N56" s="67"/>
      <c r="O56" s="17"/>
      <c r="P56" s="61"/>
      <c r="Q56" s="61"/>
      <c r="R56" s="17"/>
      <c r="S56" s="78"/>
      <c r="T56" s="78"/>
      <c r="U56" s="64"/>
      <c r="V56" s="17"/>
      <c r="W56" s="67"/>
      <c r="X56" s="17"/>
      <c r="Y56" s="61"/>
      <c r="Z56" s="17"/>
      <c r="AA56" s="17"/>
      <c r="AB56" s="17"/>
      <c r="AC56" s="17"/>
      <c r="AD56" s="16"/>
      <c r="AE56" s="17"/>
      <c r="AF56" s="42"/>
      <c r="AG56" s="17"/>
      <c r="AH56" s="23"/>
      <c r="AJ56" s="17"/>
      <c r="AK56" s="17"/>
      <c r="AL56" s="17"/>
      <c r="AM56" s="16"/>
      <c r="AN56" s="17"/>
      <c r="AO56" s="42"/>
      <c r="AP56" s="17"/>
      <c r="AQ56" s="23"/>
    </row>
    <row r="57" spans="2:43" x14ac:dyDescent="0.35">
      <c r="B57" s="78"/>
      <c r="C57" s="64"/>
      <c r="D57" s="17"/>
      <c r="E57" s="42"/>
      <c r="F57" s="17"/>
      <c r="G57" s="61"/>
      <c r="H57" s="61"/>
      <c r="I57" s="17"/>
      <c r="J57" s="78"/>
      <c r="K57" s="78"/>
      <c r="L57" s="64"/>
      <c r="M57" s="17"/>
      <c r="N57" s="67"/>
      <c r="O57" s="17"/>
      <c r="P57" s="61"/>
      <c r="Q57" s="61"/>
      <c r="R57" s="17"/>
      <c r="S57" s="78"/>
      <c r="T57" s="78"/>
      <c r="U57" s="64"/>
      <c r="V57" s="17"/>
      <c r="W57" s="67"/>
      <c r="X57" s="17"/>
      <c r="Y57" s="61"/>
      <c r="Z57" s="17"/>
      <c r="AA57" s="17"/>
      <c r="AB57" s="17"/>
      <c r="AC57" s="17"/>
      <c r="AD57" s="16"/>
      <c r="AE57" s="17"/>
      <c r="AF57" s="42"/>
      <c r="AG57" s="17"/>
      <c r="AH57" s="23"/>
      <c r="AJ57" s="17"/>
      <c r="AK57" s="17"/>
      <c r="AL57" s="17"/>
      <c r="AM57" s="16"/>
      <c r="AN57" s="17"/>
      <c r="AO57" s="42"/>
      <c r="AP57" s="17"/>
      <c r="AQ57" s="23"/>
    </row>
    <row r="58" spans="2:43" x14ac:dyDescent="0.35">
      <c r="B58" s="78"/>
      <c r="C58" s="64"/>
      <c r="D58" s="17"/>
      <c r="E58" s="42"/>
      <c r="F58" s="17"/>
      <c r="G58" s="61"/>
      <c r="H58" s="61"/>
      <c r="I58" s="17"/>
      <c r="J58" s="72"/>
      <c r="K58" s="72"/>
      <c r="L58" s="64"/>
      <c r="M58" s="17"/>
      <c r="N58" s="67"/>
      <c r="O58" s="17"/>
      <c r="P58" s="61"/>
      <c r="Q58" s="61"/>
      <c r="R58" s="17"/>
      <c r="S58" s="72"/>
      <c r="T58" s="72"/>
      <c r="U58" s="64"/>
      <c r="V58" s="17"/>
      <c r="W58" s="67"/>
      <c r="X58" s="17"/>
      <c r="Y58" s="61"/>
      <c r="Z58" s="17"/>
      <c r="AA58" s="17"/>
      <c r="AB58" s="17"/>
      <c r="AC58" s="17"/>
      <c r="AD58" s="16"/>
      <c r="AE58" s="17"/>
      <c r="AF58" s="42"/>
      <c r="AG58" s="17"/>
      <c r="AH58" s="23"/>
      <c r="AJ58" s="17"/>
      <c r="AK58" s="17"/>
      <c r="AL58" s="17"/>
      <c r="AM58" s="16"/>
      <c r="AN58" s="17"/>
      <c r="AO58" s="42"/>
      <c r="AP58" s="17"/>
      <c r="AQ58" s="23"/>
    </row>
    <row r="59" spans="2:43" x14ac:dyDescent="0.35">
      <c r="B59" s="78"/>
      <c r="C59" s="64"/>
      <c r="D59" s="17"/>
      <c r="E59" s="42"/>
      <c r="F59" s="17"/>
      <c r="G59" s="61"/>
      <c r="H59" s="61"/>
      <c r="I59" s="17"/>
      <c r="J59" s="78"/>
      <c r="K59" s="78"/>
      <c r="L59" s="64"/>
      <c r="M59" s="17"/>
      <c r="N59" s="67"/>
      <c r="O59" s="17"/>
      <c r="P59" s="61"/>
      <c r="Q59" s="61"/>
      <c r="R59" s="17"/>
      <c r="S59" s="78"/>
      <c r="T59" s="78"/>
      <c r="U59" s="64"/>
      <c r="V59" s="17"/>
      <c r="W59" s="67"/>
      <c r="X59" s="17"/>
      <c r="Y59" s="61"/>
      <c r="Z59" s="17"/>
      <c r="AA59" s="17"/>
      <c r="AB59" s="17"/>
      <c r="AC59" s="17"/>
      <c r="AD59" s="16"/>
      <c r="AE59" s="17"/>
      <c r="AF59" s="42"/>
      <c r="AG59" s="17"/>
      <c r="AH59" s="23"/>
      <c r="AJ59" s="17"/>
      <c r="AK59" s="17"/>
      <c r="AL59" s="17"/>
      <c r="AM59" s="16"/>
      <c r="AN59" s="17"/>
      <c r="AO59" s="42"/>
      <c r="AP59" s="17"/>
      <c r="AQ59" s="23"/>
    </row>
    <row r="60" spans="2:43" x14ac:dyDescent="0.35">
      <c r="B60" s="78"/>
      <c r="C60" s="64"/>
      <c r="D60" s="17"/>
      <c r="E60" s="42"/>
      <c r="F60" s="17"/>
      <c r="G60" s="61"/>
      <c r="H60" s="61"/>
      <c r="I60" s="17"/>
      <c r="J60" s="78"/>
      <c r="K60" s="78"/>
      <c r="L60" s="64"/>
      <c r="M60" s="17"/>
      <c r="N60" s="67"/>
      <c r="O60" s="17"/>
      <c r="P60" s="61"/>
      <c r="Q60" s="61"/>
      <c r="R60" s="17"/>
      <c r="S60" s="78"/>
      <c r="T60" s="78"/>
      <c r="U60" s="64"/>
      <c r="V60" s="17"/>
      <c r="W60" s="67"/>
      <c r="X60" s="17"/>
      <c r="Y60" s="61"/>
      <c r="Z60" s="17"/>
      <c r="AA60" s="17"/>
      <c r="AB60" s="17"/>
      <c r="AC60" s="17"/>
      <c r="AD60" s="16"/>
      <c r="AE60" s="17"/>
      <c r="AF60" s="42"/>
      <c r="AG60" s="17"/>
      <c r="AH60" s="23"/>
      <c r="AJ60" s="17"/>
      <c r="AK60" s="17"/>
      <c r="AL60" s="17"/>
      <c r="AM60" s="16"/>
      <c r="AN60" s="17"/>
      <c r="AO60" s="42"/>
      <c r="AP60" s="17"/>
      <c r="AQ60" s="23"/>
    </row>
    <row r="61" spans="2:43" x14ac:dyDescent="0.35">
      <c r="B61" s="17"/>
      <c r="C61" s="19"/>
      <c r="D61" s="17"/>
      <c r="E61" s="17"/>
      <c r="F61" s="17"/>
      <c r="G61" s="15"/>
      <c r="H61" s="15"/>
      <c r="I61" s="17"/>
      <c r="J61" s="17"/>
      <c r="K61" s="17"/>
      <c r="L61" s="19"/>
      <c r="M61" s="17"/>
      <c r="N61" s="17"/>
      <c r="O61" s="17"/>
      <c r="P61" s="15"/>
      <c r="Q61" s="15"/>
      <c r="R61" s="17"/>
      <c r="S61" s="17"/>
      <c r="T61" s="17"/>
      <c r="U61" s="19"/>
      <c r="V61" s="17"/>
      <c r="W61" s="17"/>
      <c r="X61" s="17"/>
      <c r="Y61" s="15"/>
      <c r="Z61" s="17"/>
      <c r="AA61" s="17"/>
      <c r="AB61" s="17"/>
      <c r="AC61" s="17"/>
      <c r="AD61" s="19"/>
      <c r="AE61" s="17"/>
      <c r="AF61" s="17"/>
      <c r="AG61" s="17"/>
      <c r="AH61" s="15"/>
      <c r="AJ61" s="17"/>
      <c r="AK61" s="17"/>
      <c r="AL61" s="17"/>
      <c r="AM61" s="19"/>
      <c r="AN61" s="17"/>
      <c r="AO61" s="17"/>
      <c r="AP61" s="17"/>
      <c r="AQ61" s="15"/>
    </row>
    <row r="62" spans="2:43" x14ac:dyDescent="0.3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J62" s="17"/>
      <c r="AK62" s="17"/>
      <c r="AL62" s="17"/>
      <c r="AM62" s="17"/>
      <c r="AN62" s="17"/>
      <c r="AO62" s="17"/>
      <c r="AP62" s="17"/>
      <c r="AQ62" s="17"/>
    </row>
    <row r="63" spans="2:43" ht="13.15" x14ac:dyDescent="0.4">
      <c r="B63" s="17"/>
      <c r="C63" s="24"/>
      <c r="D63" s="17"/>
      <c r="E63" s="77"/>
      <c r="F63" s="17"/>
      <c r="G63" s="24"/>
      <c r="H63" s="17"/>
      <c r="I63" s="17"/>
      <c r="J63" s="17"/>
      <c r="K63" s="17"/>
      <c r="L63" s="24"/>
      <c r="M63" s="17"/>
      <c r="N63" s="17"/>
      <c r="O63" s="17"/>
      <c r="P63" s="17"/>
      <c r="Q63" s="17"/>
      <c r="R63" s="17"/>
      <c r="S63" s="17"/>
      <c r="T63" s="17"/>
      <c r="U63" s="24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J63" s="17"/>
      <c r="AK63" s="17"/>
      <c r="AL63" s="17"/>
      <c r="AM63" s="17"/>
      <c r="AN63" s="17"/>
      <c r="AO63" s="17"/>
      <c r="AP63" s="17"/>
      <c r="AQ63" s="17"/>
    </row>
    <row r="64" spans="2:43" x14ac:dyDescent="0.35">
      <c r="B64" s="78"/>
      <c r="C64" s="17"/>
      <c r="D64" s="17"/>
      <c r="E64" s="17"/>
      <c r="F64" s="17"/>
      <c r="G64" s="72"/>
      <c r="H64" s="17"/>
      <c r="I64" s="17"/>
      <c r="J64" s="78"/>
      <c r="K64" s="78"/>
      <c r="L64" s="17"/>
      <c r="M64" s="17"/>
      <c r="N64" s="17"/>
      <c r="O64" s="17"/>
      <c r="P64" s="17"/>
      <c r="Q64" s="17"/>
      <c r="R64" s="17"/>
      <c r="S64" s="78"/>
      <c r="T64" s="78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J64" s="17"/>
      <c r="AK64" s="17"/>
      <c r="AL64" s="17"/>
      <c r="AM64" s="17"/>
      <c r="AN64" s="17"/>
      <c r="AO64" s="17"/>
      <c r="AP64" s="17"/>
      <c r="AQ64" s="17"/>
    </row>
    <row r="65" spans="2:43" x14ac:dyDescent="0.35">
      <c r="B65" s="78"/>
      <c r="C65" s="17"/>
      <c r="D65" s="17"/>
      <c r="E65" s="17"/>
      <c r="F65" s="17"/>
      <c r="G65" s="72"/>
      <c r="H65" s="17"/>
      <c r="I65" s="17"/>
      <c r="J65" s="78"/>
      <c r="K65" s="78"/>
      <c r="L65" s="17"/>
      <c r="M65" s="17"/>
      <c r="N65" s="17"/>
      <c r="O65" s="17"/>
      <c r="P65" s="17"/>
      <c r="Q65" s="17"/>
      <c r="R65" s="17"/>
      <c r="S65" s="78"/>
      <c r="T65" s="78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J65" s="17"/>
      <c r="AK65" s="17"/>
      <c r="AL65" s="17"/>
      <c r="AM65" s="17"/>
      <c r="AN65" s="17"/>
      <c r="AO65" s="17"/>
      <c r="AP65" s="17"/>
      <c r="AQ65" s="17"/>
    </row>
    <row r="66" spans="2:43" x14ac:dyDescent="0.35">
      <c r="B66" s="78"/>
      <c r="C66" s="17"/>
      <c r="D66" s="17"/>
      <c r="E66" s="17"/>
      <c r="F66" s="17"/>
      <c r="G66" s="72"/>
      <c r="H66" s="17"/>
      <c r="I66" s="17"/>
      <c r="J66" s="78"/>
      <c r="K66" s="78"/>
      <c r="L66" s="17"/>
      <c r="M66" s="17"/>
      <c r="N66" s="17"/>
      <c r="O66" s="17"/>
      <c r="P66" s="17"/>
      <c r="Q66" s="17"/>
      <c r="R66" s="17"/>
      <c r="S66" s="78"/>
      <c r="T66" s="78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J66" s="17"/>
      <c r="AK66" s="17"/>
      <c r="AL66" s="17"/>
      <c r="AM66" s="17"/>
      <c r="AN66" s="17"/>
      <c r="AO66" s="17"/>
      <c r="AP66" s="17"/>
      <c r="AQ66" s="17"/>
    </row>
    <row r="67" spans="2:43" x14ac:dyDescent="0.35">
      <c r="B67" s="78"/>
      <c r="C67" s="17"/>
      <c r="D67" s="17"/>
      <c r="E67" s="17"/>
      <c r="F67" s="17"/>
      <c r="G67" s="72"/>
      <c r="H67" s="17"/>
      <c r="I67" s="17"/>
      <c r="J67" s="78"/>
      <c r="K67" s="78"/>
      <c r="L67" s="17"/>
      <c r="M67" s="17"/>
      <c r="N67" s="17"/>
      <c r="O67" s="17"/>
      <c r="P67" s="17"/>
      <c r="Q67" s="17"/>
      <c r="R67" s="17"/>
      <c r="S67" s="78"/>
      <c r="T67" s="78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J67" s="17"/>
      <c r="AK67" s="17"/>
      <c r="AL67" s="17"/>
      <c r="AM67" s="17"/>
      <c r="AN67" s="17"/>
      <c r="AO67" s="17"/>
      <c r="AP67" s="17"/>
      <c r="AQ67" s="17"/>
    </row>
    <row r="68" spans="2:43" x14ac:dyDescent="0.35">
      <c r="B68" s="78"/>
      <c r="C68" s="17"/>
      <c r="D68" s="17"/>
      <c r="E68" s="17"/>
      <c r="F68" s="17"/>
      <c r="G68" s="72"/>
      <c r="H68" s="17"/>
      <c r="I68" s="17"/>
      <c r="J68" s="78"/>
      <c r="K68" s="78"/>
      <c r="L68" s="17"/>
      <c r="M68" s="17"/>
      <c r="N68" s="17"/>
      <c r="O68" s="17"/>
      <c r="P68" s="17"/>
      <c r="Q68" s="17"/>
      <c r="R68" s="17"/>
      <c r="S68" s="78"/>
      <c r="T68" s="78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J68" s="17"/>
      <c r="AK68" s="17"/>
      <c r="AL68" s="17"/>
      <c r="AM68" s="17"/>
      <c r="AN68" s="17"/>
      <c r="AO68" s="17"/>
      <c r="AP68" s="17"/>
      <c r="AQ68" s="17"/>
    </row>
    <row r="69" spans="2:43" x14ac:dyDescent="0.35">
      <c r="B69" s="78"/>
      <c r="C69" s="17"/>
      <c r="D69" s="17"/>
      <c r="E69" s="17"/>
      <c r="F69" s="17"/>
      <c r="G69" s="72"/>
      <c r="H69" s="17"/>
      <c r="I69" s="17"/>
      <c r="J69" s="78"/>
      <c r="K69" s="78"/>
      <c r="L69" s="17"/>
      <c r="M69" s="17"/>
      <c r="N69" s="17"/>
      <c r="O69" s="17"/>
      <c r="P69" s="17"/>
      <c r="Q69" s="17"/>
      <c r="R69" s="17"/>
      <c r="S69" s="78"/>
      <c r="T69" s="7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J69" s="17"/>
      <c r="AK69" s="17"/>
      <c r="AL69" s="17"/>
      <c r="AM69" s="17"/>
      <c r="AN69" s="17"/>
      <c r="AO69" s="17"/>
      <c r="AP69" s="17"/>
      <c r="AQ69" s="17"/>
    </row>
    <row r="70" spans="2:43" x14ac:dyDescent="0.35">
      <c r="B70" s="78"/>
      <c r="C70" s="17"/>
      <c r="D70" s="17"/>
      <c r="E70" s="17"/>
      <c r="F70" s="17"/>
      <c r="G70" s="72"/>
      <c r="H70" s="17"/>
      <c r="I70" s="17"/>
      <c r="J70" s="78"/>
      <c r="K70" s="78"/>
      <c r="L70" s="17"/>
      <c r="M70" s="17"/>
      <c r="N70" s="17"/>
      <c r="O70" s="17"/>
      <c r="P70" s="17"/>
      <c r="Q70" s="17"/>
      <c r="R70" s="17"/>
      <c r="S70" s="78"/>
      <c r="T70" s="78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J70" s="17"/>
      <c r="AK70" s="17"/>
      <c r="AL70" s="17"/>
      <c r="AM70" s="17"/>
      <c r="AN70" s="17"/>
      <c r="AO70" s="17"/>
      <c r="AP70" s="17"/>
      <c r="AQ70" s="17"/>
    </row>
    <row r="71" spans="2:43" x14ac:dyDescent="0.35">
      <c r="B71" s="78"/>
      <c r="C71" s="17"/>
      <c r="D71" s="17"/>
      <c r="E71" s="17"/>
      <c r="F71" s="17"/>
      <c r="G71" s="72"/>
      <c r="H71" s="17"/>
      <c r="I71" s="17"/>
      <c r="J71" s="78"/>
      <c r="K71" s="78"/>
      <c r="L71" s="17"/>
      <c r="M71" s="17"/>
      <c r="N71" s="17"/>
      <c r="O71" s="17"/>
      <c r="P71" s="17"/>
      <c r="Q71" s="17"/>
      <c r="R71" s="17"/>
      <c r="S71" s="78"/>
      <c r="T71" s="78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J71" s="17"/>
      <c r="AK71" s="17"/>
      <c r="AL71" s="17"/>
      <c r="AM71" s="17"/>
      <c r="AN71" s="17"/>
      <c r="AO71" s="17"/>
      <c r="AP71" s="17"/>
      <c r="AQ71" s="17"/>
    </row>
    <row r="72" spans="2:43" x14ac:dyDescent="0.35">
      <c r="B72" s="78"/>
      <c r="C72" s="17"/>
      <c r="D72" s="17"/>
      <c r="E72" s="17"/>
      <c r="F72" s="17"/>
      <c r="G72" s="72"/>
      <c r="H72" s="17"/>
      <c r="I72" s="17"/>
      <c r="J72" s="78"/>
      <c r="K72" s="78"/>
      <c r="L72" s="17"/>
      <c r="M72" s="17"/>
      <c r="N72" s="17"/>
      <c r="O72" s="17"/>
      <c r="P72" s="17"/>
      <c r="Q72" s="17"/>
      <c r="R72" s="17"/>
      <c r="S72" s="78"/>
      <c r="T72" s="78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J72" s="17"/>
      <c r="AK72" s="17"/>
      <c r="AL72" s="17"/>
      <c r="AM72" s="17"/>
      <c r="AN72" s="17"/>
      <c r="AO72" s="17"/>
      <c r="AP72" s="17"/>
      <c r="AQ72" s="17"/>
    </row>
    <row r="73" spans="2:43" x14ac:dyDescent="0.35">
      <c r="B73" s="78"/>
      <c r="C73" s="17"/>
      <c r="D73" s="17"/>
      <c r="E73" s="17"/>
      <c r="F73" s="17"/>
      <c r="G73" s="72"/>
      <c r="H73" s="17"/>
      <c r="I73" s="17"/>
      <c r="J73" s="78"/>
      <c r="K73" s="78"/>
      <c r="L73" s="17"/>
      <c r="M73" s="17"/>
      <c r="N73" s="17"/>
      <c r="O73" s="17"/>
      <c r="P73" s="17"/>
      <c r="Q73" s="17"/>
      <c r="R73" s="17"/>
      <c r="S73" s="78"/>
      <c r="T73" s="78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J73" s="17"/>
      <c r="AK73" s="17"/>
      <c r="AL73" s="17"/>
      <c r="AM73" s="17"/>
      <c r="AN73" s="17"/>
      <c r="AO73" s="17"/>
      <c r="AP73" s="17"/>
      <c r="AQ73" s="17"/>
    </row>
    <row r="74" spans="2:43" x14ac:dyDescent="0.35">
      <c r="B74" s="78"/>
      <c r="C74" s="17"/>
      <c r="D74" s="17"/>
      <c r="E74" s="17"/>
      <c r="F74" s="17"/>
      <c r="G74" s="72"/>
      <c r="H74" s="17"/>
      <c r="I74" s="17"/>
      <c r="J74" s="78"/>
      <c r="K74" s="78"/>
      <c r="L74" s="17"/>
      <c r="M74" s="17"/>
      <c r="N74" s="17"/>
      <c r="O74" s="17"/>
      <c r="P74" s="17"/>
      <c r="Q74" s="17"/>
      <c r="R74" s="17"/>
      <c r="S74" s="78"/>
      <c r="T74" s="78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J74" s="17"/>
      <c r="AK74" s="17"/>
      <c r="AL74" s="17"/>
      <c r="AM74" s="17"/>
      <c r="AN74" s="17"/>
      <c r="AO74" s="17"/>
      <c r="AP74" s="17"/>
      <c r="AQ74" s="17"/>
    </row>
    <row r="75" spans="2:43" x14ac:dyDescent="0.35">
      <c r="B75" s="78"/>
      <c r="C75" s="17"/>
      <c r="D75" s="17"/>
      <c r="E75" s="17"/>
      <c r="F75" s="17"/>
      <c r="G75" s="72"/>
      <c r="H75" s="17"/>
      <c r="I75" s="17"/>
      <c r="J75" s="78"/>
      <c r="K75" s="78"/>
      <c r="L75" s="17"/>
      <c r="M75" s="17"/>
      <c r="N75" s="17"/>
      <c r="O75" s="17"/>
      <c r="P75" s="17"/>
      <c r="Q75" s="17"/>
      <c r="R75" s="17"/>
      <c r="S75" s="78"/>
      <c r="T75" s="78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J75" s="17"/>
      <c r="AK75" s="17"/>
      <c r="AL75" s="17"/>
      <c r="AM75" s="17"/>
      <c r="AN75" s="17"/>
      <c r="AO75" s="17"/>
      <c r="AP75" s="17"/>
      <c r="AQ75" s="17"/>
    </row>
    <row r="76" spans="2:43" x14ac:dyDescent="0.3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J76" s="17"/>
      <c r="AK76" s="17"/>
      <c r="AL76" s="17"/>
      <c r="AM76" s="17"/>
      <c r="AN76" s="17"/>
      <c r="AO76" s="17"/>
      <c r="AP76" s="17"/>
      <c r="AQ76" s="17"/>
    </row>
    <row r="77" spans="2:43" x14ac:dyDescent="0.3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J77" s="17"/>
      <c r="AK77" s="17"/>
      <c r="AL77" s="17"/>
      <c r="AM77" s="17"/>
      <c r="AN77" s="17"/>
      <c r="AO77" s="17"/>
      <c r="AP77" s="17"/>
      <c r="AQ77" s="17"/>
    </row>
    <row r="78" spans="2:43" ht="13.15" x14ac:dyDescent="0.4">
      <c r="B78" s="17"/>
      <c r="C78" s="24"/>
      <c r="D78" s="17"/>
      <c r="E78" s="77"/>
      <c r="F78" s="17"/>
      <c r="G78" s="7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J78" s="17"/>
      <c r="AK78" s="17"/>
      <c r="AL78" s="17"/>
      <c r="AM78" s="17"/>
      <c r="AN78" s="17"/>
      <c r="AO78" s="17"/>
      <c r="AP78" s="17"/>
      <c r="AQ78" s="17"/>
    </row>
    <row r="79" spans="2:43" x14ac:dyDescent="0.35">
      <c r="B79" s="78"/>
      <c r="C79" s="72"/>
      <c r="D79" s="17"/>
      <c r="E79" s="1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J79" s="17"/>
      <c r="AK79" s="17"/>
      <c r="AL79" s="17"/>
      <c r="AM79" s="17"/>
      <c r="AN79" s="17"/>
      <c r="AO79" s="17"/>
      <c r="AP79" s="17"/>
      <c r="AQ79" s="17"/>
    </row>
    <row r="80" spans="2:43" x14ac:dyDescent="0.35">
      <c r="B80" s="78"/>
      <c r="C80" s="72"/>
      <c r="D80" s="17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J80" s="17"/>
      <c r="AK80" s="17"/>
      <c r="AL80" s="17"/>
      <c r="AM80" s="17"/>
      <c r="AN80" s="17"/>
      <c r="AO80" s="17"/>
      <c r="AP80" s="17"/>
      <c r="AQ80" s="17"/>
    </row>
    <row r="81" spans="2:43" x14ac:dyDescent="0.35">
      <c r="B81" s="78"/>
      <c r="C81" s="72"/>
      <c r="D81" s="1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J81" s="17"/>
      <c r="AK81" s="17"/>
      <c r="AL81" s="17"/>
      <c r="AM81" s="17"/>
      <c r="AN81" s="17"/>
      <c r="AO81" s="17"/>
      <c r="AP81" s="17"/>
      <c r="AQ81" s="17"/>
    </row>
    <row r="82" spans="2:43" x14ac:dyDescent="0.35">
      <c r="B82" s="78"/>
      <c r="C82" s="72"/>
      <c r="D82" s="17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J82" s="17"/>
      <c r="AK82" s="17"/>
      <c r="AL82" s="17"/>
      <c r="AM82" s="17"/>
      <c r="AN82" s="17"/>
      <c r="AO82" s="17"/>
      <c r="AP82" s="17"/>
      <c r="AQ82" s="17"/>
    </row>
    <row r="83" spans="2:43" x14ac:dyDescent="0.35">
      <c r="B83" s="78"/>
      <c r="C83" s="72"/>
      <c r="D83" s="17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J83" s="17"/>
      <c r="AK83" s="17"/>
      <c r="AL83" s="17"/>
      <c r="AM83" s="17"/>
      <c r="AN83" s="17"/>
      <c r="AO83" s="17"/>
      <c r="AP83" s="17"/>
      <c r="AQ83" s="17"/>
    </row>
    <row r="84" spans="2:43" x14ac:dyDescent="0.35">
      <c r="B84" s="78"/>
      <c r="C84" s="72"/>
      <c r="D84" s="17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J84" s="17"/>
      <c r="AK84" s="17"/>
      <c r="AL84" s="17"/>
      <c r="AM84" s="17"/>
      <c r="AN84" s="17"/>
      <c r="AO84" s="17"/>
      <c r="AP84" s="17"/>
      <c r="AQ84" s="17"/>
    </row>
    <row r="85" spans="2:43" x14ac:dyDescent="0.35">
      <c r="B85" s="78"/>
      <c r="C85" s="72"/>
      <c r="D85" s="17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J85" s="17"/>
      <c r="AK85" s="17"/>
      <c r="AL85" s="17"/>
      <c r="AM85" s="17"/>
      <c r="AN85" s="17"/>
      <c r="AO85" s="17"/>
      <c r="AP85" s="17"/>
      <c r="AQ85" s="17"/>
    </row>
    <row r="86" spans="2:43" x14ac:dyDescent="0.35">
      <c r="B86" s="78"/>
      <c r="C86" s="72"/>
      <c r="D86" s="17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J86" s="17"/>
      <c r="AK86" s="17"/>
      <c r="AL86" s="17"/>
      <c r="AM86" s="17"/>
      <c r="AN86" s="17"/>
      <c r="AO86" s="17"/>
      <c r="AP86" s="17"/>
      <c r="AQ86" s="17"/>
    </row>
    <row r="87" spans="2:43" x14ac:dyDescent="0.35">
      <c r="B87" s="78"/>
      <c r="C87" s="72"/>
      <c r="D87" s="17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J87" s="17"/>
      <c r="AK87" s="17"/>
      <c r="AL87" s="17"/>
      <c r="AM87" s="17"/>
      <c r="AN87" s="17"/>
      <c r="AO87" s="17"/>
      <c r="AP87" s="17"/>
      <c r="AQ87" s="17"/>
    </row>
    <row r="88" spans="2:43" x14ac:dyDescent="0.35">
      <c r="B88" s="78"/>
      <c r="C88" s="72"/>
      <c r="D88" s="17"/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J88" s="17"/>
      <c r="AK88" s="17"/>
      <c r="AL88" s="17"/>
      <c r="AM88" s="17"/>
      <c r="AN88" s="17"/>
      <c r="AO88" s="17"/>
      <c r="AP88" s="17"/>
      <c r="AQ88" s="17"/>
    </row>
    <row r="89" spans="2:43" x14ac:dyDescent="0.35">
      <c r="B89" s="78"/>
      <c r="C89" s="72"/>
      <c r="D89" s="17"/>
      <c r="E89" s="1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J89" s="17"/>
      <c r="AK89" s="17"/>
      <c r="AL89" s="17"/>
      <c r="AM89" s="17"/>
      <c r="AN89" s="17"/>
      <c r="AO89" s="17"/>
      <c r="AP89" s="17"/>
      <c r="AQ89" s="17"/>
    </row>
    <row r="90" spans="2:43" x14ac:dyDescent="0.35">
      <c r="B90" s="78"/>
      <c r="C90" s="72"/>
      <c r="D90" s="17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J90" s="17"/>
      <c r="AK90" s="17"/>
      <c r="AL90" s="17"/>
      <c r="AM90" s="17"/>
      <c r="AN90" s="17"/>
      <c r="AO90" s="17"/>
      <c r="AP90" s="17"/>
      <c r="AQ90" s="17"/>
    </row>
    <row r="91" spans="2:43" x14ac:dyDescent="0.35">
      <c r="B91" s="17"/>
      <c r="C91" s="82"/>
      <c r="D91" s="17"/>
      <c r="E91" s="19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J91" s="17"/>
      <c r="AK91" s="17"/>
      <c r="AL91" s="17"/>
      <c r="AM91" s="17"/>
      <c r="AN91" s="17"/>
      <c r="AO91" s="17"/>
      <c r="AP91" s="17"/>
      <c r="AQ91" s="17"/>
    </row>
    <row r="92" spans="2:43" x14ac:dyDescent="0.3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J92" s="17"/>
      <c r="AK92" s="17"/>
      <c r="AL92" s="17"/>
      <c r="AM92" s="17"/>
      <c r="AN92" s="17"/>
      <c r="AO92" s="17"/>
      <c r="AP92" s="17"/>
      <c r="AQ92" s="17"/>
    </row>
    <row r="93" spans="2:43" x14ac:dyDescent="0.3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J93" s="17"/>
      <c r="AK93" s="17"/>
      <c r="AL93" s="17"/>
      <c r="AM93" s="17"/>
      <c r="AN93" s="17"/>
      <c r="AO93" s="17"/>
      <c r="AP93" s="17"/>
      <c r="AQ93" s="17"/>
    </row>
    <row r="94" spans="2:43" x14ac:dyDescent="0.35">
      <c r="B94" s="17"/>
      <c r="C94" s="7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J94" s="17"/>
      <c r="AK94" s="17"/>
      <c r="AL94" s="17"/>
      <c r="AM94" s="17"/>
      <c r="AN94" s="17"/>
      <c r="AO94" s="17"/>
      <c r="AP94" s="17"/>
      <c r="AQ94" s="17"/>
    </row>
    <row r="95" spans="2:43" x14ac:dyDescent="0.35">
      <c r="B95" s="17"/>
      <c r="C95" s="7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J95" s="17"/>
      <c r="AK95" s="17"/>
      <c r="AL95" s="17"/>
      <c r="AM95" s="17"/>
      <c r="AN95" s="17"/>
      <c r="AO95" s="17"/>
      <c r="AP95" s="17"/>
      <c r="AQ95" s="17"/>
    </row>
    <row r="96" spans="2:43" x14ac:dyDescent="0.35">
      <c r="B96" s="17"/>
      <c r="C96" s="7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J96" s="17"/>
      <c r="AK96" s="17"/>
      <c r="AL96" s="17"/>
      <c r="AM96" s="17"/>
      <c r="AN96" s="17"/>
      <c r="AO96" s="17"/>
      <c r="AP96" s="17"/>
      <c r="AQ96" s="17"/>
    </row>
    <row r="97" spans="2:43" x14ac:dyDescent="0.35">
      <c r="B97" s="17"/>
      <c r="C97" s="7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J97" s="17"/>
      <c r="AK97" s="17"/>
      <c r="AL97" s="17"/>
      <c r="AM97" s="17"/>
      <c r="AN97" s="17"/>
      <c r="AO97" s="17"/>
      <c r="AP97" s="17"/>
      <c r="AQ97" s="17"/>
    </row>
    <row r="98" spans="2:43" x14ac:dyDescent="0.35">
      <c r="B98" s="17"/>
      <c r="C98" s="7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J98" s="17"/>
      <c r="AK98" s="17"/>
      <c r="AL98" s="17"/>
      <c r="AM98" s="17"/>
      <c r="AN98" s="17"/>
      <c r="AO98" s="17"/>
      <c r="AP98" s="17"/>
      <c r="AQ98" s="17"/>
    </row>
    <row r="99" spans="2:43" x14ac:dyDescent="0.35">
      <c r="B99" s="17"/>
      <c r="C99" s="7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J99" s="17"/>
      <c r="AK99" s="17"/>
      <c r="AL99" s="17"/>
      <c r="AM99" s="17"/>
      <c r="AN99" s="17"/>
      <c r="AO99" s="17"/>
      <c r="AP99" s="17"/>
      <c r="AQ99" s="17"/>
    </row>
    <row r="100" spans="2:43" x14ac:dyDescent="0.35">
      <c r="B100" s="17"/>
      <c r="C100" s="7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J100" s="17"/>
      <c r="AK100" s="17"/>
      <c r="AL100" s="17"/>
      <c r="AM100" s="17"/>
      <c r="AN100" s="17"/>
      <c r="AO100" s="17"/>
      <c r="AP100" s="17"/>
      <c r="AQ100" s="17"/>
    </row>
    <row r="101" spans="2:43" x14ac:dyDescent="0.3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J101" s="17"/>
      <c r="AK101" s="17"/>
      <c r="AL101" s="17"/>
      <c r="AM101" s="17"/>
      <c r="AN101" s="17"/>
      <c r="AO101" s="17"/>
      <c r="AP101" s="17"/>
      <c r="AQ101" s="17"/>
    </row>
  </sheetData>
  <mergeCells count="5">
    <mergeCell ref="C5:G6"/>
    <mergeCell ref="L5:P6"/>
    <mergeCell ref="AD5:AH6"/>
    <mergeCell ref="AM5:AQ6"/>
    <mergeCell ref="U5:Y6"/>
  </mergeCells>
  <phoneticPr fontId="0" type="noConversion"/>
  <pageMargins left="0.75" right="0.75" top="1" bottom="1" header="0.5" footer="0.5"/>
  <pageSetup scale="55" orientation="portrait" horizontalDpi="4294967293" r:id="rId1"/>
  <headerFooter alignWithMargins="0"/>
  <colBreaks count="2" manualBreakCount="2">
    <brk id="16" max="44" man="1"/>
    <brk id="26" max="4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265"/>
  <sheetViews>
    <sheetView view="pageBreakPreview" topLeftCell="R16" zoomScaleNormal="100" zoomScaleSheetLayoutView="100" workbookViewId="0">
      <selection activeCell="AI41" sqref="AI41:AI45"/>
    </sheetView>
  </sheetViews>
  <sheetFormatPr defaultRowHeight="12.75" x14ac:dyDescent="0.35"/>
  <cols>
    <col min="1" max="1" width="4.73046875" customWidth="1"/>
    <col min="2" max="2" width="25.132812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2.265625" customWidth="1"/>
    <col min="10" max="10" width="4.73046875" customWidth="1"/>
    <col min="11" max="11" width="25.132812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5" customWidth="1"/>
    <col min="19" max="19" width="4.73046875" customWidth="1"/>
    <col min="20" max="20" width="25.132812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70</v>
      </c>
      <c r="J2" s="34"/>
      <c r="S2" s="34"/>
    </row>
    <row r="3" spans="1:44" ht="13.15" x14ac:dyDescent="0.4">
      <c r="A3" s="75" t="s">
        <v>30</v>
      </c>
      <c r="B3" s="76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87"/>
      <c r="J4" s="34"/>
      <c r="K4" s="28"/>
      <c r="M4" s="149" t="s">
        <v>173</v>
      </c>
      <c r="N4" s="150"/>
      <c r="O4" s="150"/>
      <c r="P4" s="150"/>
      <c r="Q4" s="151"/>
      <c r="R4" s="87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87"/>
      <c r="M5" s="152"/>
      <c r="N5" s="153"/>
      <c r="O5" s="153"/>
      <c r="P5" s="153"/>
      <c r="Q5" s="154"/>
      <c r="R5" s="87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R6" s="2"/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s="108" t="s">
        <v>14</v>
      </c>
      <c r="D10" s="6">
        <v>196</v>
      </c>
      <c r="F10" s="5">
        <v>83.02</v>
      </c>
      <c r="H10" s="7">
        <f>D10*F10</f>
        <v>16271.92</v>
      </c>
      <c r="I10" s="7"/>
      <c r="K10" s="108" t="s">
        <v>14</v>
      </c>
      <c r="M10" s="6">
        <f>D10</f>
        <v>196</v>
      </c>
      <c r="O10" s="5">
        <f>F10</f>
        <v>83.02</v>
      </c>
      <c r="Q10" s="7">
        <f>M10*O10</f>
        <v>16271.92</v>
      </c>
      <c r="R10" s="7"/>
      <c r="T10" s="108" t="s">
        <v>14</v>
      </c>
      <c r="V10" s="6">
        <v>1</v>
      </c>
      <c r="X10" s="5">
        <v>86.07</v>
      </c>
      <c r="Z10" s="7">
        <f>V10*X10</f>
        <v>86.07</v>
      </c>
      <c r="AE10" s="6">
        <f>V10</f>
        <v>1</v>
      </c>
      <c r="AG10" s="5">
        <v>86.07</v>
      </c>
      <c r="AI10" s="7">
        <f>AE10*AG10</f>
        <v>86.07</v>
      </c>
      <c r="AN10" s="6">
        <f>AE10</f>
        <v>1</v>
      </c>
      <c r="AP10" s="5">
        <f>AG10</f>
        <v>86.07</v>
      </c>
      <c r="AR10" s="7">
        <f>AN10*AP10</f>
        <v>86.07</v>
      </c>
    </row>
    <row r="13" spans="1:44" ht="13.15" x14ac:dyDescent="0.4">
      <c r="A13" s="1" t="s">
        <v>5</v>
      </c>
      <c r="D13" t="s">
        <v>6</v>
      </c>
      <c r="J13" s="1" t="s">
        <v>5</v>
      </c>
      <c r="M13" t="s">
        <v>6</v>
      </c>
      <c r="S13" s="1" t="s">
        <v>5</v>
      </c>
      <c r="V13" t="s">
        <v>6</v>
      </c>
      <c r="AB13" s="1" t="s">
        <v>5</v>
      </c>
      <c r="AE13" t="s">
        <v>6</v>
      </c>
      <c r="AK13" s="1" t="s">
        <v>5</v>
      </c>
      <c r="AN13" t="s">
        <v>6</v>
      </c>
    </row>
    <row r="14" spans="1:44" x14ac:dyDescent="0.35">
      <c r="B14" s="14" t="s">
        <v>29</v>
      </c>
      <c r="D14" s="6">
        <v>9739060</v>
      </c>
      <c r="F14" s="45">
        <v>7.7130000000000004E-2</v>
      </c>
      <c r="H14" s="7">
        <f>D14*F14</f>
        <v>751173.69780000008</v>
      </c>
      <c r="I14" s="7"/>
      <c r="K14" s="108" t="s">
        <v>174</v>
      </c>
      <c r="M14" s="6">
        <f>D16</f>
        <v>10779640</v>
      </c>
      <c r="O14" s="45">
        <f>F15</f>
        <v>7.5539999999999996E-2</v>
      </c>
      <c r="Q14" s="7">
        <f>M14*O14</f>
        <v>814294.00559999992</v>
      </c>
      <c r="R14" s="7"/>
      <c r="T14" s="108" t="s">
        <v>174</v>
      </c>
      <c r="V14" s="6">
        <f>M14/M10</f>
        <v>54998.163265306124</v>
      </c>
      <c r="X14" s="45">
        <v>7.8310000000000005E-2</v>
      </c>
      <c r="Z14" s="7">
        <f>V14*X14</f>
        <v>4306.9061653061226</v>
      </c>
      <c r="AC14" s="108" t="s">
        <v>174</v>
      </c>
      <c r="AE14" s="6">
        <f>V14</f>
        <v>54998.163265306124</v>
      </c>
      <c r="AG14" s="45">
        <v>8.2799999999999999E-2</v>
      </c>
      <c r="AI14" s="7">
        <f>AE14*AG14</f>
        <v>4553.8479183673471</v>
      </c>
      <c r="AL14" s="108" t="s">
        <v>174</v>
      </c>
      <c r="AN14" s="6">
        <f>AE14</f>
        <v>54998.163265306124</v>
      </c>
      <c r="AP14" s="45">
        <v>8.7370000000000003E-2</v>
      </c>
      <c r="AR14" s="7">
        <f>AN14*AP14</f>
        <v>4805.189524489796</v>
      </c>
    </row>
    <row r="15" spans="1:44" x14ac:dyDescent="0.35">
      <c r="B15" s="26" t="s">
        <v>52</v>
      </c>
      <c r="C15" s="10"/>
      <c r="D15" s="9">
        <v>1040580</v>
      </c>
      <c r="E15" s="10"/>
      <c r="F15" s="51">
        <v>7.5539999999999996E-2</v>
      </c>
      <c r="G15" s="10"/>
      <c r="H15" s="11">
        <f>D15*F15</f>
        <v>78605.413199999995</v>
      </c>
      <c r="I15" s="7"/>
      <c r="M15" s="6"/>
      <c r="O15" s="45"/>
      <c r="Q15" s="7"/>
      <c r="R15" s="7"/>
      <c r="V15" s="6"/>
      <c r="X15" s="45"/>
      <c r="Z15" s="7"/>
      <c r="AE15" s="6"/>
      <c r="AG15" s="45"/>
      <c r="AI15" s="7"/>
      <c r="AN15" s="6"/>
      <c r="AP15" s="45"/>
      <c r="AR15" s="7"/>
    </row>
    <row r="16" spans="1:44" x14ac:dyDescent="0.35">
      <c r="B16" s="27"/>
      <c r="C16" s="17"/>
      <c r="D16" s="16">
        <f>SUM(D14:D15)</f>
        <v>10779640</v>
      </c>
      <c r="E16" s="17"/>
      <c r="F16" s="44"/>
      <c r="G16" s="17"/>
      <c r="H16" s="15">
        <f>SUM(H14:H15)</f>
        <v>829779.11100000003</v>
      </c>
      <c r="I16" s="15"/>
      <c r="K16" s="27"/>
      <c r="L16" s="17"/>
      <c r="M16" s="16"/>
      <c r="N16" s="17"/>
      <c r="O16" s="44"/>
      <c r="P16" s="17"/>
      <c r="Q16" s="15"/>
      <c r="R16" s="15"/>
      <c r="T16" s="27"/>
      <c r="U16" s="17"/>
      <c r="V16" s="16"/>
      <c r="W16" s="17"/>
      <c r="X16" s="44"/>
      <c r="Y16" s="17"/>
      <c r="Z16" s="15"/>
      <c r="AC16" s="27"/>
      <c r="AD16" s="17"/>
      <c r="AE16" s="16"/>
      <c r="AF16" s="17"/>
      <c r="AG16" s="44"/>
      <c r="AH16" s="17"/>
      <c r="AI16" s="15"/>
      <c r="AL16" s="27"/>
      <c r="AM16" s="17"/>
      <c r="AN16" s="16"/>
      <c r="AO16" s="17"/>
      <c r="AP16" s="44"/>
      <c r="AQ16" s="17"/>
      <c r="AR16" s="15"/>
    </row>
    <row r="17" spans="2:44" x14ac:dyDescent="0.35">
      <c r="B17" s="41"/>
      <c r="C17" s="17"/>
      <c r="D17" s="19"/>
      <c r="E17" s="17"/>
      <c r="F17" s="54"/>
      <c r="G17" s="17"/>
      <c r="H17" s="15"/>
      <c r="I17" s="7"/>
      <c r="K17" s="108" t="s">
        <v>175</v>
      </c>
      <c r="M17" s="8"/>
      <c r="Q17" s="11">
        <f>H20-(D14*-0.00159)</f>
        <v>-32636.20459999999</v>
      </c>
      <c r="R17" s="15"/>
      <c r="T17" s="108" t="s">
        <v>175</v>
      </c>
      <c r="V17" s="8">
        <f>Q17/M14</f>
        <v>-3.0275783421338737E-3</v>
      </c>
      <c r="Z17" s="11">
        <f>V14*V17</f>
        <v>-166.51124795918363</v>
      </c>
      <c r="AC17" s="108" t="s">
        <v>175</v>
      </c>
      <c r="AE17" s="8"/>
      <c r="AI17" s="11">
        <f>Z17</f>
        <v>-166.51124795918363</v>
      </c>
      <c r="AL17" s="108" t="s">
        <v>175</v>
      </c>
      <c r="AN17" s="8"/>
      <c r="AR17" s="11">
        <f>AI17</f>
        <v>-166.51124795918363</v>
      </c>
    </row>
    <row r="18" spans="2:44" x14ac:dyDescent="0.35">
      <c r="B18" s="35" t="s">
        <v>26</v>
      </c>
      <c r="D18" s="8"/>
      <c r="H18" s="15">
        <f>F63+F96+F129+F162+F195+F228</f>
        <v>0</v>
      </c>
      <c r="I18" s="7"/>
    </row>
    <row r="19" spans="2:44" x14ac:dyDescent="0.35">
      <c r="B19" s="3"/>
      <c r="D19" s="8"/>
      <c r="H19" s="15"/>
      <c r="I19" s="7"/>
      <c r="K19" t="s">
        <v>33</v>
      </c>
      <c r="Q19" s="7">
        <f>Q10+Q14+Q17</f>
        <v>797929.72100000002</v>
      </c>
      <c r="R19" s="7"/>
      <c r="T19" t="s">
        <v>33</v>
      </c>
      <c r="Z19" s="7">
        <f>Z10+Z14+Z17</f>
        <v>4226.4649173469388</v>
      </c>
      <c r="AC19" t="s">
        <v>33</v>
      </c>
      <c r="AI19" s="7">
        <f>AI10+AI14+AI17</f>
        <v>4473.4066704081633</v>
      </c>
      <c r="AL19" t="s">
        <v>33</v>
      </c>
      <c r="AR19" s="7">
        <f>AR10+AR14+AR17</f>
        <v>4724.7482765306122</v>
      </c>
    </row>
    <row r="20" spans="2:44" x14ac:dyDescent="0.35">
      <c r="B20" s="108" t="s">
        <v>175</v>
      </c>
      <c r="D20" s="8"/>
      <c r="H20" s="5">
        <v>-48121.30999999999</v>
      </c>
    </row>
    <row r="21" spans="2:44" x14ac:dyDescent="0.35">
      <c r="I21" s="15"/>
      <c r="K21" t="s">
        <v>34</v>
      </c>
      <c r="Q21" s="83">
        <f>H30</f>
        <v>1.0000002117981013</v>
      </c>
      <c r="R21" s="83"/>
      <c r="T21" t="s">
        <v>34</v>
      </c>
      <c r="Z21" s="83">
        <f>Q21</f>
        <v>1.0000002117981013</v>
      </c>
      <c r="AC21" t="s">
        <v>34</v>
      </c>
      <c r="AI21" s="83">
        <f>Q21</f>
        <v>1.0000002117981013</v>
      </c>
      <c r="AL21" t="s">
        <v>34</v>
      </c>
      <c r="AR21" s="83">
        <f>AI21</f>
        <v>1.0000002117981013</v>
      </c>
    </row>
    <row r="22" spans="2:44" ht="13.5" thickBot="1" x14ac:dyDescent="0.45">
      <c r="B22" s="1" t="s">
        <v>7</v>
      </c>
      <c r="H22" s="13">
        <f>H10+H16+H18+H20</f>
        <v>797929.72100000014</v>
      </c>
    </row>
    <row r="23" spans="2:44" ht="13.9" thickTop="1" thickBot="1" x14ac:dyDescent="0.45">
      <c r="K23" s="1" t="s">
        <v>7</v>
      </c>
      <c r="Q23" s="13">
        <f>Q19*Q21</f>
        <v>797929.8899999999</v>
      </c>
      <c r="R23" s="15"/>
      <c r="T23" s="1" t="s">
        <v>7</v>
      </c>
      <c r="Z23" s="13">
        <f>Z19*Z21</f>
        <v>4226.4658125041833</v>
      </c>
      <c r="AC23" s="1" t="s">
        <v>7</v>
      </c>
      <c r="AI23" s="13">
        <f>AI19*AI21</f>
        <v>4473.4076178672021</v>
      </c>
      <c r="AL23" s="1" t="s">
        <v>7</v>
      </c>
      <c r="AR23" s="13">
        <f>AR19*AR21</f>
        <v>4724.7492772233263</v>
      </c>
    </row>
    <row r="24" spans="2:44" ht="13.15" thickTop="1" x14ac:dyDescent="0.35">
      <c r="B24" t="s">
        <v>18</v>
      </c>
      <c r="H24" s="5">
        <v>846051.2</v>
      </c>
    </row>
    <row r="25" spans="2:44" x14ac:dyDescent="0.35">
      <c r="Q25" s="5"/>
      <c r="R25" s="5"/>
      <c r="Z25" s="5"/>
      <c r="AC25" t="s">
        <v>12</v>
      </c>
      <c r="AI25" s="5">
        <f>AI23-Z23</f>
        <v>246.94180536301883</v>
      </c>
      <c r="AL25" t="s">
        <v>12</v>
      </c>
      <c r="AR25" s="5">
        <f>AR23-AI23</f>
        <v>251.34165935612418</v>
      </c>
    </row>
    <row r="26" spans="2:44" x14ac:dyDescent="0.35">
      <c r="B26" s="108" t="s">
        <v>175</v>
      </c>
      <c r="H26" s="5">
        <v>-48121.30999999999</v>
      </c>
    </row>
    <row r="27" spans="2:44" x14ac:dyDescent="0.35">
      <c r="Q27" s="21"/>
      <c r="R27" s="21"/>
      <c r="Z27" s="21"/>
      <c r="AC27" t="s">
        <v>15</v>
      </c>
      <c r="AI27" s="21">
        <f>AI25/Z23</f>
        <v>5.8427493872641942E-2</v>
      </c>
      <c r="AL27" t="s">
        <v>15</v>
      </c>
      <c r="AR27" s="21">
        <f>AR25/AI23</f>
        <v>5.6185727039995741E-2</v>
      </c>
    </row>
    <row r="28" spans="2:44" ht="13.15" thickBot="1" x14ac:dyDescent="0.4">
      <c r="B28" s="108" t="s">
        <v>177</v>
      </c>
      <c r="H28" s="13">
        <f>H24+H26</f>
        <v>797929.89</v>
      </c>
    </row>
    <row r="29" spans="2:44" ht="13.15" thickTop="1" x14ac:dyDescent="0.35"/>
    <row r="30" spans="2:44" x14ac:dyDescent="0.35">
      <c r="B30" t="s">
        <v>23</v>
      </c>
      <c r="H30" s="52">
        <f>H28/H22</f>
        <v>1.0000002117981013</v>
      </c>
    </row>
    <row r="32" spans="2:44" x14ac:dyDescent="0.35">
      <c r="B32" s="27" t="s">
        <v>38</v>
      </c>
      <c r="C32" s="17"/>
      <c r="D32" s="17"/>
      <c r="E32" s="17"/>
      <c r="F32" s="17"/>
      <c r="G32" s="17"/>
      <c r="H32" s="23">
        <v>88439.773638387676</v>
      </c>
      <c r="Q32" s="30"/>
      <c r="R32" s="30"/>
      <c r="Z32" s="30"/>
    </row>
    <row r="33" spans="2:35" ht="13.15" x14ac:dyDescent="0.4">
      <c r="B33" s="24"/>
      <c r="C33" s="17"/>
      <c r="D33" s="24"/>
      <c r="E33" s="17"/>
      <c r="F33" s="24"/>
      <c r="G33" s="17"/>
      <c r="H33" s="24"/>
      <c r="K33" s="24"/>
      <c r="L33" s="17"/>
      <c r="M33" s="24"/>
      <c r="N33" s="17"/>
      <c r="O33" s="24"/>
      <c r="P33" s="17"/>
      <c r="Q33" s="81"/>
      <c r="R33" s="81"/>
      <c r="T33" s="24"/>
      <c r="U33" s="17"/>
      <c r="V33" s="24"/>
      <c r="W33" s="17"/>
      <c r="X33" s="24"/>
      <c r="Y33" s="17"/>
      <c r="Z33" s="81"/>
    </row>
    <row r="34" spans="2:35" x14ac:dyDescent="0.35">
      <c r="B34" s="27" t="s">
        <v>39</v>
      </c>
      <c r="C34" s="17"/>
      <c r="D34" s="17"/>
      <c r="E34" s="17"/>
      <c r="F34" s="17"/>
      <c r="G34" s="17"/>
      <c r="H34" s="23">
        <v>0</v>
      </c>
      <c r="K34" s="17"/>
      <c r="L34" s="17"/>
      <c r="M34" s="17"/>
      <c r="N34" s="17"/>
      <c r="O34" s="17"/>
      <c r="P34" s="17"/>
      <c r="Q34" s="17"/>
      <c r="R34" s="17"/>
      <c r="T34" s="17"/>
      <c r="U34" s="17"/>
      <c r="V34" s="17"/>
      <c r="W34" s="17"/>
      <c r="X34" s="17"/>
      <c r="Y34" s="17"/>
      <c r="Z34" s="17"/>
    </row>
    <row r="35" spans="2:35" x14ac:dyDescent="0.35">
      <c r="B35" s="37"/>
      <c r="C35" s="17"/>
      <c r="D35" s="16"/>
      <c r="E35" s="17"/>
      <c r="F35" s="42"/>
      <c r="G35" s="17"/>
      <c r="H35" s="23"/>
      <c r="K35" s="16"/>
      <c r="L35" s="17"/>
      <c r="M35" s="16"/>
      <c r="N35" s="17"/>
      <c r="O35" s="42"/>
      <c r="P35" s="17"/>
      <c r="Q35" s="23"/>
      <c r="R35" s="23"/>
      <c r="T35" s="16"/>
      <c r="U35" s="17"/>
      <c r="V35" s="16"/>
      <c r="W35" s="17"/>
      <c r="X35" s="42"/>
      <c r="Y35" s="17"/>
      <c r="Z35" s="23"/>
    </row>
    <row r="36" spans="2:35" x14ac:dyDescent="0.35">
      <c r="B36" s="85" t="s">
        <v>17</v>
      </c>
      <c r="C36" s="17"/>
      <c r="D36" s="16"/>
      <c r="E36" s="17"/>
      <c r="F36" s="42"/>
      <c r="G36" s="17"/>
      <c r="H36" s="23">
        <f>H24+H26+H32+H34</f>
        <v>886369.66363838769</v>
      </c>
      <c r="K36" s="16"/>
      <c r="L36" s="17"/>
      <c r="M36" s="16"/>
      <c r="N36" s="17"/>
      <c r="O36" s="42"/>
      <c r="P36" s="17"/>
      <c r="Q36" s="23"/>
      <c r="R36" s="23"/>
      <c r="T36" s="16"/>
      <c r="U36" s="17"/>
      <c r="V36" s="16"/>
      <c r="W36" s="17"/>
      <c r="X36" s="42"/>
      <c r="Y36" s="17"/>
      <c r="Z36" s="23"/>
    </row>
    <row r="37" spans="2:35" x14ac:dyDescent="0.35">
      <c r="B37" s="37"/>
      <c r="C37" s="17"/>
      <c r="D37" s="16"/>
      <c r="E37" s="17"/>
      <c r="F37" s="42"/>
      <c r="G37" s="17"/>
      <c r="H37" s="23"/>
      <c r="K37" s="16"/>
      <c r="L37" s="17"/>
      <c r="M37" s="16"/>
      <c r="N37" s="17"/>
      <c r="O37" s="42"/>
      <c r="P37" s="17"/>
      <c r="Q37" s="23"/>
      <c r="R37" s="23"/>
      <c r="T37" s="16"/>
      <c r="U37" s="17"/>
      <c r="V37" s="16"/>
      <c r="W37" s="17"/>
      <c r="X37" s="42"/>
      <c r="Y37" s="17"/>
      <c r="Z37" s="23"/>
    </row>
    <row r="38" spans="2:35" x14ac:dyDescent="0.35">
      <c r="B38" s="37"/>
      <c r="C38" s="17"/>
      <c r="D38" s="16"/>
      <c r="E38" s="17"/>
      <c r="F38" s="42"/>
      <c r="G38" s="17"/>
      <c r="H38" s="23"/>
      <c r="K38" s="16"/>
      <c r="L38" s="17"/>
      <c r="M38" s="16"/>
      <c r="N38" s="17"/>
      <c r="O38" s="42"/>
      <c r="P38" s="17"/>
      <c r="Q38" s="23"/>
      <c r="R38" s="23"/>
      <c r="T38" s="16"/>
      <c r="U38" s="17"/>
      <c r="V38" s="16"/>
      <c r="W38" s="17"/>
      <c r="X38" s="42"/>
      <c r="Y38" s="17"/>
      <c r="Z38" s="23"/>
    </row>
    <row r="39" spans="2:35" x14ac:dyDescent="0.35">
      <c r="B39" s="37"/>
      <c r="C39" s="17"/>
      <c r="D39" s="16"/>
      <c r="E39" s="17"/>
      <c r="F39" s="42"/>
      <c r="G39" s="17"/>
      <c r="H39" s="23"/>
      <c r="K39" s="16"/>
      <c r="L39" s="17"/>
      <c r="M39" s="16"/>
      <c r="N39" s="17"/>
      <c r="O39" s="42"/>
      <c r="P39" s="17"/>
      <c r="Q39" s="23"/>
      <c r="R39" s="23"/>
      <c r="T39" s="16"/>
      <c r="U39" s="17"/>
      <c r="V39" s="16"/>
      <c r="W39" s="17"/>
      <c r="X39" s="42"/>
      <c r="Y39" s="17"/>
      <c r="Z39" s="23"/>
    </row>
    <row r="40" spans="2:35" x14ac:dyDescent="0.35">
      <c r="B40" s="37"/>
      <c r="C40" s="17"/>
      <c r="D40" s="16"/>
      <c r="E40" s="17"/>
      <c r="F40" s="42"/>
      <c r="G40" s="17"/>
      <c r="H40" s="23"/>
      <c r="K40" s="16"/>
      <c r="L40" s="17"/>
      <c r="M40" s="16"/>
      <c r="N40" s="17"/>
      <c r="O40" s="42"/>
      <c r="P40" s="17"/>
      <c r="Q40" s="23"/>
      <c r="R40" s="23"/>
      <c r="T40" s="16"/>
      <c r="U40" s="17"/>
      <c r="V40" s="16"/>
      <c r="W40" s="17"/>
      <c r="X40" s="42"/>
      <c r="Y40" s="17"/>
      <c r="Z40" s="23"/>
    </row>
    <row r="41" spans="2:35" x14ac:dyDescent="0.35">
      <c r="B41" s="37"/>
      <c r="C41" s="17"/>
      <c r="D41" s="16"/>
      <c r="E41" s="17"/>
      <c r="F41" s="42"/>
      <c r="G41" s="17"/>
      <c r="H41" s="23"/>
      <c r="K41" s="16"/>
      <c r="L41" s="17"/>
      <c r="M41" s="16"/>
      <c r="N41" s="17"/>
      <c r="O41" s="42"/>
      <c r="P41" s="17"/>
      <c r="Q41" s="23"/>
      <c r="R41" s="23"/>
      <c r="T41" s="16"/>
      <c r="U41" s="17"/>
      <c r="V41" s="16"/>
      <c r="W41" s="17"/>
      <c r="X41" s="42"/>
      <c r="Y41" s="17"/>
      <c r="Z41" s="23"/>
      <c r="AI41" s="7"/>
    </row>
    <row r="42" spans="2:35" x14ac:dyDescent="0.35">
      <c r="B42" s="37"/>
      <c r="C42" s="17"/>
      <c r="D42" s="16"/>
      <c r="E42" s="17"/>
      <c r="F42" s="42"/>
      <c r="G42" s="17"/>
      <c r="H42" s="23"/>
      <c r="K42" s="16"/>
      <c r="L42" s="17"/>
      <c r="M42" s="16"/>
      <c r="N42" s="17"/>
      <c r="O42" s="42"/>
      <c r="P42" s="17"/>
      <c r="Q42" s="23"/>
      <c r="R42" s="23"/>
      <c r="T42" s="16"/>
      <c r="U42" s="17"/>
      <c r="V42" s="16"/>
      <c r="W42" s="17"/>
      <c r="X42" s="42"/>
      <c r="Y42" s="17"/>
      <c r="Z42" s="23"/>
    </row>
    <row r="43" spans="2:35" x14ac:dyDescent="0.35">
      <c r="B43" s="37"/>
      <c r="C43" s="17"/>
      <c r="D43" s="16"/>
      <c r="E43" s="17"/>
      <c r="F43" s="42"/>
      <c r="G43" s="17"/>
      <c r="H43" s="23"/>
      <c r="K43" s="16"/>
      <c r="L43" s="17"/>
      <c r="M43" s="16"/>
      <c r="N43" s="17"/>
      <c r="O43" s="42"/>
      <c r="P43" s="17"/>
      <c r="Q43" s="23"/>
      <c r="R43" s="23"/>
      <c r="T43" s="16"/>
      <c r="U43" s="17"/>
      <c r="V43" s="16"/>
      <c r="W43" s="17"/>
      <c r="X43" s="42"/>
      <c r="Y43" s="17"/>
      <c r="Z43" s="23"/>
      <c r="AI43" s="7"/>
    </row>
    <row r="44" spans="2:35" x14ac:dyDescent="0.35">
      <c r="B44" s="37"/>
      <c r="C44" s="17"/>
      <c r="D44" s="16"/>
      <c r="E44" s="17"/>
      <c r="F44" s="42"/>
      <c r="G44" s="17"/>
      <c r="H44" s="23"/>
      <c r="K44" s="16"/>
      <c r="L44" s="17"/>
      <c r="M44" s="16"/>
      <c r="N44" s="17"/>
      <c r="O44" s="42"/>
      <c r="P44" s="17"/>
      <c r="Q44" s="23"/>
      <c r="R44" s="23"/>
      <c r="T44" s="16"/>
      <c r="U44" s="17"/>
      <c r="V44" s="16"/>
      <c r="W44" s="17"/>
      <c r="X44" s="42"/>
      <c r="Y44" s="17"/>
      <c r="Z44" s="23"/>
    </row>
    <row r="45" spans="2:35" x14ac:dyDescent="0.35">
      <c r="B45" s="37"/>
      <c r="C45" s="17"/>
      <c r="D45" s="16"/>
      <c r="E45" s="17"/>
      <c r="F45" s="42"/>
      <c r="G45" s="17"/>
      <c r="H45" s="23"/>
      <c r="K45" s="16"/>
      <c r="L45" s="17"/>
      <c r="M45" s="16"/>
      <c r="N45" s="17"/>
      <c r="O45" s="42"/>
      <c r="P45" s="17"/>
      <c r="Q45" s="23"/>
      <c r="R45" s="23"/>
      <c r="T45" s="16"/>
      <c r="U45" s="17"/>
      <c r="V45" s="16"/>
      <c r="W45" s="17"/>
      <c r="X45" s="42"/>
      <c r="Y45" s="17"/>
      <c r="Z45" s="23"/>
      <c r="AI45" s="7"/>
    </row>
    <row r="46" spans="2:35" x14ac:dyDescent="0.35">
      <c r="B46" s="37"/>
      <c r="C46" s="17"/>
      <c r="D46" s="16"/>
      <c r="E46" s="17"/>
      <c r="F46" s="42"/>
      <c r="G46" s="17"/>
      <c r="H46" s="23"/>
      <c r="K46" s="16"/>
      <c r="L46" s="17"/>
      <c r="M46" s="16"/>
      <c r="N46" s="17"/>
      <c r="O46" s="42"/>
      <c r="P46" s="17"/>
      <c r="Q46" s="23"/>
      <c r="R46" s="23"/>
      <c r="T46" s="16"/>
      <c r="U46" s="17"/>
      <c r="V46" s="16"/>
      <c r="W46" s="17"/>
      <c r="X46" s="42"/>
      <c r="Y46" s="17"/>
      <c r="Z46" s="23"/>
    </row>
    <row r="47" spans="2:35" x14ac:dyDescent="0.35">
      <c r="B47" s="17"/>
      <c r="C47" s="17"/>
      <c r="D47" s="19"/>
      <c r="E47" s="17"/>
      <c r="F47" s="17"/>
      <c r="G47" s="17"/>
      <c r="H47" s="15"/>
      <c r="K47" s="19"/>
      <c r="L47" s="17"/>
      <c r="M47" s="19"/>
      <c r="N47" s="17"/>
      <c r="O47" s="17"/>
      <c r="P47" s="17"/>
      <c r="Q47" s="15"/>
      <c r="R47" s="15"/>
      <c r="T47" s="19"/>
      <c r="U47" s="17"/>
      <c r="V47" s="19"/>
      <c r="W47" s="17"/>
      <c r="X47" s="17"/>
      <c r="Y47" s="17"/>
      <c r="Z47" s="15"/>
    </row>
    <row r="48" spans="2:35" x14ac:dyDescent="0.35">
      <c r="B48" s="17"/>
      <c r="C48" s="17"/>
      <c r="D48" s="17"/>
      <c r="E48" s="17"/>
      <c r="F48" s="17"/>
      <c r="G48" s="17"/>
      <c r="H48" s="17"/>
      <c r="K48" s="17"/>
      <c r="L48" s="17"/>
      <c r="M48" s="17"/>
      <c r="N48" s="17"/>
      <c r="O48" s="17"/>
      <c r="T48" s="17"/>
      <c r="U48" s="17"/>
      <c r="V48" s="17"/>
      <c r="W48" s="17"/>
      <c r="X48" s="17"/>
    </row>
    <row r="49" spans="2:24" ht="13.15" x14ac:dyDescent="0.4">
      <c r="B49" s="17"/>
      <c r="C49" s="17"/>
      <c r="D49" s="24"/>
      <c r="E49" s="17"/>
      <c r="F49" s="24"/>
      <c r="G49" s="17"/>
      <c r="H49" s="24"/>
      <c r="K49" s="70" t="s">
        <v>31</v>
      </c>
      <c r="L49" s="17"/>
      <c r="M49" s="77"/>
      <c r="N49" s="17"/>
      <c r="O49" s="17"/>
      <c r="T49" s="70" t="s">
        <v>31</v>
      </c>
      <c r="U49" s="17"/>
      <c r="V49" s="77"/>
      <c r="W49" s="17"/>
      <c r="X49" s="17"/>
    </row>
    <row r="50" spans="2:24" x14ac:dyDescent="0.35">
      <c r="B50" s="17"/>
      <c r="C50" s="17"/>
      <c r="D50" s="17"/>
      <c r="E50" s="17"/>
      <c r="F50" s="17"/>
      <c r="G50" s="17"/>
      <c r="H50" s="17"/>
      <c r="K50" s="17"/>
      <c r="L50" s="17"/>
      <c r="M50" s="17"/>
      <c r="N50" s="17"/>
      <c r="O50" s="17"/>
      <c r="T50" s="17"/>
      <c r="U50" s="17"/>
      <c r="V50" s="17"/>
      <c r="W50" s="17"/>
      <c r="X50" s="17"/>
    </row>
    <row r="51" spans="2:24" x14ac:dyDescent="0.35">
      <c r="B51" s="78"/>
      <c r="C51" s="17"/>
      <c r="D51" s="16"/>
      <c r="E51" s="17"/>
      <c r="F51" s="17"/>
      <c r="G51" s="17"/>
      <c r="H51" s="16"/>
      <c r="K51" s="57">
        <v>552735.09</v>
      </c>
      <c r="L51" s="17"/>
      <c r="M51" s="32"/>
      <c r="N51" s="17"/>
      <c r="O51" s="17"/>
      <c r="T51" s="57">
        <v>552735.09</v>
      </c>
      <c r="U51" s="17"/>
      <c r="V51" s="32"/>
      <c r="W51" s="17"/>
      <c r="X51" s="17"/>
    </row>
    <row r="52" spans="2:24" x14ac:dyDescent="0.35">
      <c r="B52" s="78"/>
      <c r="C52" s="17"/>
      <c r="D52" s="16"/>
      <c r="E52" s="17"/>
      <c r="F52" s="17"/>
      <c r="G52" s="17"/>
      <c r="H52" s="16"/>
      <c r="K52" s="57">
        <v>552404.52</v>
      </c>
      <c r="L52" s="17"/>
      <c r="M52" s="32"/>
      <c r="N52" s="17"/>
      <c r="O52" s="17"/>
      <c r="T52" s="57">
        <v>552404.52</v>
      </c>
      <c r="U52" s="17"/>
      <c r="V52" s="32"/>
      <c r="W52" s="17"/>
      <c r="X52" s="17"/>
    </row>
    <row r="53" spans="2:24" x14ac:dyDescent="0.35">
      <c r="B53" s="78"/>
      <c r="C53" s="17"/>
      <c r="D53" s="16"/>
      <c r="E53" s="17"/>
      <c r="F53" s="17"/>
      <c r="G53" s="17"/>
      <c r="H53" s="16"/>
      <c r="K53" s="57">
        <v>551210.19999999995</v>
      </c>
      <c r="L53" s="17"/>
      <c r="M53" s="32"/>
      <c r="N53" s="17"/>
      <c r="O53" s="17"/>
      <c r="T53" s="57">
        <v>551210.19999999995</v>
      </c>
      <c r="U53" s="17"/>
      <c r="V53" s="32"/>
      <c r="W53" s="17"/>
      <c r="X53" s="17"/>
    </row>
    <row r="54" spans="2:24" x14ac:dyDescent="0.35">
      <c r="B54" s="78"/>
      <c r="C54" s="17"/>
      <c r="D54" s="16"/>
      <c r="E54" s="17"/>
      <c r="F54" s="17"/>
      <c r="G54" s="17"/>
      <c r="H54" s="16"/>
      <c r="K54" s="57">
        <v>550194.51</v>
      </c>
      <c r="L54" s="17"/>
      <c r="M54" s="32"/>
      <c r="N54" s="17"/>
      <c r="O54" s="17"/>
      <c r="T54" s="57">
        <v>550194.51</v>
      </c>
      <c r="U54" s="17"/>
      <c r="V54" s="32"/>
      <c r="W54" s="17"/>
      <c r="X54" s="17"/>
    </row>
    <row r="55" spans="2:24" x14ac:dyDescent="0.35">
      <c r="B55" s="78"/>
      <c r="C55" s="17"/>
      <c r="D55" s="16"/>
      <c r="E55" s="17"/>
      <c r="F55" s="17"/>
      <c r="G55" s="17"/>
      <c r="H55" s="16"/>
      <c r="K55" s="57">
        <v>550231.56000000006</v>
      </c>
      <c r="L55" s="17"/>
      <c r="M55" s="32"/>
      <c r="N55" s="17"/>
      <c r="O55" s="17"/>
      <c r="T55" s="57">
        <v>550231.56000000006</v>
      </c>
      <c r="U55" s="17"/>
      <c r="V55" s="32"/>
      <c r="W55" s="17"/>
      <c r="X55" s="17"/>
    </row>
    <row r="56" spans="2:24" x14ac:dyDescent="0.35">
      <c r="B56" s="78"/>
      <c r="C56" s="17"/>
      <c r="D56" s="16"/>
      <c r="E56" s="17"/>
      <c r="F56" s="17"/>
      <c r="G56" s="17"/>
      <c r="H56" s="16"/>
      <c r="K56" s="57">
        <v>550626.48</v>
      </c>
      <c r="L56" s="17"/>
      <c r="M56" s="32"/>
      <c r="N56" s="17"/>
      <c r="O56" s="17"/>
      <c r="T56" s="57">
        <v>550626.48</v>
      </c>
      <c r="U56" s="17"/>
      <c r="V56" s="32"/>
      <c r="W56" s="17"/>
      <c r="X56" s="17"/>
    </row>
    <row r="57" spans="2:24" x14ac:dyDescent="0.35">
      <c r="B57" s="78"/>
      <c r="C57" s="17"/>
      <c r="D57" s="16"/>
      <c r="E57" s="17"/>
      <c r="F57" s="17"/>
      <c r="G57" s="17"/>
      <c r="H57" s="16"/>
      <c r="K57" s="57">
        <v>549500.01</v>
      </c>
      <c r="L57" s="17"/>
      <c r="M57" s="32"/>
      <c r="N57" s="17"/>
      <c r="O57" s="17"/>
      <c r="T57" s="57">
        <v>549500.01</v>
      </c>
      <c r="U57" s="17"/>
      <c r="V57" s="32"/>
      <c r="W57" s="17"/>
      <c r="X57" s="17"/>
    </row>
    <row r="58" spans="2:24" x14ac:dyDescent="0.35">
      <c r="B58" s="78"/>
      <c r="C58" s="17"/>
      <c r="D58" s="16"/>
      <c r="E58" s="17"/>
      <c r="F58" s="17"/>
      <c r="G58" s="17"/>
      <c r="H58" s="16"/>
      <c r="K58" s="57">
        <v>550649.96</v>
      </c>
      <c r="L58" s="17"/>
      <c r="M58" s="32"/>
      <c r="N58" s="17"/>
      <c r="O58" s="17"/>
      <c r="T58" s="57">
        <v>550649.96</v>
      </c>
      <c r="U58" s="17"/>
      <c r="V58" s="32"/>
      <c r="W58" s="17"/>
      <c r="X58" s="17"/>
    </row>
    <row r="59" spans="2:24" x14ac:dyDescent="0.35">
      <c r="B59" s="78"/>
      <c r="C59" s="17"/>
      <c r="D59" s="16"/>
      <c r="E59" s="17"/>
      <c r="F59" s="17"/>
      <c r="G59" s="17"/>
      <c r="H59" s="16"/>
      <c r="K59" s="57">
        <v>549919.36</v>
      </c>
      <c r="L59" s="17"/>
      <c r="M59" s="32"/>
      <c r="N59" s="17"/>
      <c r="O59" s="17"/>
      <c r="T59" s="57">
        <v>549919.36</v>
      </c>
      <c r="U59" s="17"/>
      <c r="V59" s="32"/>
      <c r="W59" s="17"/>
      <c r="X59" s="17"/>
    </row>
    <row r="60" spans="2:24" x14ac:dyDescent="0.35">
      <c r="B60" s="78"/>
      <c r="C60" s="17"/>
      <c r="D60" s="16"/>
      <c r="E60" s="17"/>
      <c r="F60" s="17"/>
      <c r="G60" s="17"/>
      <c r="H60" s="16"/>
      <c r="K60" s="57">
        <v>549822.25</v>
      </c>
      <c r="L60" s="17"/>
      <c r="M60" s="32"/>
      <c r="N60" s="17"/>
      <c r="O60" s="17"/>
      <c r="T60" s="57">
        <v>549822.25</v>
      </c>
      <c r="U60" s="17"/>
      <c r="V60" s="32"/>
      <c r="W60" s="17"/>
      <c r="X60" s="17"/>
    </row>
    <row r="61" spans="2:24" x14ac:dyDescent="0.35">
      <c r="B61" s="78"/>
      <c r="C61" s="17"/>
      <c r="D61" s="16"/>
      <c r="E61" s="17"/>
      <c r="F61" s="17"/>
      <c r="G61" s="17"/>
      <c r="H61" s="16"/>
      <c r="K61" s="57">
        <v>550431.82999999996</v>
      </c>
      <c r="L61" s="17"/>
      <c r="M61" s="32"/>
      <c r="N61" s="17"/>
      <c r="O61" s="17"/>
      <c r="T61" s="57">
        <v>550431.82999999996</v>
      </c>
      <c r="U61" s="17"/>
      <c r="V61" s="32"/>
      <c r="W61" s="17"/>
      <c r="X61" s="17"/>
    </row>
    <row r="62" spans="2:24" x14ac:dyDescent="0.35">
      <c r="B62" s="78"/>
      <c r="C62" s="17"/>
      <c r="D62" s="16"/>
      <c r="E62" s="17"/>
      <c r="F62" s="17"/>
      <c r="G62" s="17"/>
      <c r="H62" s="16"/>
      <c r="K62" s="40">
        <v>549890.36</v>
      </c>
      <c r="L62" s="17"/>
      <c r="M62" s="32"/>
      <c r="N62" s="17"/>
      <c r="O62" s="17"/>
      <c r="T62" s="40">
        <v>549890.36</v>
      </c>
      <c r="U62" s="17"/>
      <c r="V62" s="32"/>
      <c r="W62" s="17"/>
      <c r="X62" s="17"/>
    </row>
    <row r="63" spans="2:24" x14ac:dyDescent="0.35">
      <c r="B63" s="17"/>
      <c r="C63" s="17"/>
      <c r="D63" s="19"/>
      <c r="E63" s="17"/>
      <c r="F63" s="17"/>
      <c r="G63" s="17"/>
      <c r="H63" s="19"/>
      <c r="K63" s="32">
        <f>SUM(K51:K62)</f>
        <v>6607616.1300000008</v>
      </c>
      <c r="L63" s="17"/>
      <c r="M63" s="17"/>
      <c r="N63" s="17"/>
      <c r="O63" s="17"/>
      <c r="T63" s="32">
        <f>SUM(T51:T62)</f>
        <v>6607616.1300000008</v>
      </c>
      <c r="U63" s="17"/>
      <c r="V63" s="17"/>
      <c r="W63" s="17"/>
      <c r="X63" s="17"/>
    </row>
    <row r="64" spans="2:24" x14ac:dyDescent="0.35">
      <c r="B64" s="17"/>
      <c r="C64" s="17"/>
      <c r="D64" s="17"/>
      <c r="E64" s="17"/>
      <c r="F64" s="17"/>
      <c r="G64" s="17"/>
      <c r="H64" s="17"/>
      <c r="K64" s="17"/>
      <c r="L64" s="17"/>
      <c r="M64" s="17"/>
      <c r="N64" s="17"/>
      <c r="O64" s="17"/>
      <c r="T64" s="17"/>
      <c r="U64" s="17"/>
      <c r="V64" s="17"/>
      <c r="W64" s="17"/>
      <c r="X64" s="17"/>
    </row>
    <row r="65" spans="2:8" ht="13.15" x14ac:dyDescent="0.4">
      <c r="B65" s="24"/>
      <c r="C65" s="17"/>
      <c r="D65" s="17"/>
      <c r="E65" s="17"/>
      <c r="F65" s="17"/>
      <c r="G65" s="17"/>
      <c r="H65" s="17"/>
    </row>
    <row r="66" spans="2:8" ht="13.15" x14ac:dyDescent="0.4">
      <c r="B66" s="24"/>
      <c r="C66" s="17"/>
      <c r="D66" s="24"/>
      <c r="E66" s="17"/>
      <c r="F66" s="24"/>
      <c r="G66" s="17"/>
      <c r="H66" s="24"/>
    </row>
    <row r="67" spans="2:8" x14ac:dyDescent="0.35">
      <c r="B67" s="17"/>
      <c r="C67" s="17"/>
      <c r="D67" s="17"/>
      <c r="E67" s="17"/>
      <c r="F67" s="17"/>
      <c r="G67" s="17"/>
      <c r="H67" s="17"/>
    </row>
    <row r="68" spans="2:8" x14ac:dyDescent="0.35">
      <c r="B68" s="78"/>
      <c r="C68" s="17"/>
      <c r="D68" s="16"/>
      <c r="E68" s="17"/>
      <c r="F68" s="42"/>
      <c r="G68" s="17"/>
      <c r="H68" s="23"/>
    </row>
    <row r="69" spans="2:8" x14ac:dyDescent="0.35">
      <c r="B69" s="78"/>
      <c r="C69" s="17"/>
      <c r="D69" s="16"/>
      <c r="E69" s="17"/>
      <c r="F69" s="42"/>
      <c r="G69" s="17"/>
      <c r="H69" s="23"/>
    </row>
    <row r="70" spans="2:8" x14ac:dyDescent="0.35">
      <c r="B70" s="78"/>
      <c r="C70" s="17"/>
      <c r="D70" s="16"/>
      <c r="E70" s="17"/>
      <c r="F70" s="42"/>
      <c r="G70" s="17"/>
      <c r="H70" s="23"/>
    </row>
    <row r="71" spans="2:8" x14ac:dyDescent="0.35">
      <c r="B71" s="78"/>
      <c r="C71" s="17"/>
      <c r="D71" s="16"/>
      <c r="E71" s="17"/>
      <c r="F71" s="42"/>
      <c r="G71" s="17"/>
      <c r="H71" s="23"/>
    </row>
    <row r="72" spans="2:8" x14ac:dyDescent="0.35">
      <c r="B72" s="78"/>
      <c r="C72" s="17"/>
      <c r="D72" s="16"/>
      <c r="E72" s="17"/>
      <c r="F72" s="42"/>
      <c r="G72" s="17"/>
      <c r="H72" s="23"/>
    </row>
    <row r="73" spans="2:8" x14ac:dyDescent="0.35">
      <c r="B73" s="78"/>
      <c r="C73" s="17"/>
      <c r="D73" s="16"/>
      <c r="E73" s="17"/>
      <c r="F73" s="42"/>
      <c r="G73" s="17"/>
      <c r="H73" s="23"/>
    </row>
    <row r="74" spans="2:8" x14ac:dyDescent="0.35">
      <c r="B74" s="78"/>
      <c r="C74" s="17"/>
      <c r="D74" s="16"/>
      <c r="E74" s="17"/>
      <c r="F74" s="42"/>
      <c r="G74" s="17"/>
      <c r="H74" s="23"/>
    </row>
    <row r="75" spans="2:8" x14ac:dyDescent="0.35">
      <c r="B75" s="78"/>
      <c r="C75" s="17"/>
      <c r="D75" s="16"/>
      <c r="E75" s="17"/>
      <c r="F75" s="42"/>
      <c r="G75" s="17"/>
      <c r="H75" s="23"/>
    </row>
    <row r="76" spans="2:8" x14ac:dyDescent="0.35">
      <c r="B76" s="78"/>
      <c r="C76" s="17"/>
      <c r="D76" s="16"/>
      <c r="E76" s="17"/>
      <c r="F76" s="42"/>
      <c r="G76" s="17"/>
      <c r="H76" s="23"/>
    </row>
    <row r="77" spans="2:8" x14ac:dyDescent="0.35">
      <c r="B77" s="78"/>
      <c r="C77" s="17"/>
      <c r="D77" s="16"/>
      <c r="E77" s="17"/>
      <c r="F77" s="42"/>
      <c r="G77" s="17"/>
      <c r="H77" s="23"/>
    </row>
    <row r="78" spans="2:8" x14ac:dyDescent="0.35">
      <c r="B78" s="78"/>
      <c r="C78" s="17"/>
      <c r="D78" s="16"/>
      <c r="E78" s="17"/>
      <c r="F78" s="42"/>
      <c r="G78" s="17"/>
      <c r="H78" s="23"/>
    </row>
    <row r="79" spans="2:8" x14ac:dyDescent="0.35">
      <c r="B79" s="78"/>
      <c r="C79" s="17"/>
      <c r="D79" s="16"/>
      <c r="E79" s="17"/>
      <c r="F79" s="42"/>
      <c r="G79" s="17"/>
      <c r="H79" s="23"/>
    </row>
    <row r="80" spans="2:8" x14ac:dyDescent="0.35">
      <c r="B80" s="17"/>
      <c r="C80" s="17"/>
      <c r="D80" s="19"/>
      <c r="E80" s="17"/>
      <c r="F80" s="17"/>
      <c r="G80" s="17"/>
      <c r="H80" s="15"/>
    </row>
    <row r="81" spans="2:20" x14ac:dyDescent="0.35">
      <c r="B81" s="17"/>
      <c r="C81" s="17"/>
      <c r="D81" s="17"/>
      <c r="E81" s="17"/>
      <c r="F81" s="17"/>
      <c r="G81" s="17"/>
      <c r="H81" s="17"/>
    </row>
    <row r="82" spans="2:20" ht="13.15" x14ac:dyDescent="0.4">
      <c r="B82" s="17"/>
      <c r="C82" s="17"/>
      <c r="D82" s="24"/>
      <c r="E82" s="17"/>
      <c r="F82" s="24"/>
      <c r="G82" s="17"/>
      <c r="H82" s="24"/>
      <c r="K82" s="70" t="s">
        <v>31</v>
      </c>
      <c r="T82" s="70" t="s">
        <v>31</v>
      </c>
    </row>
    <row r="83" spans="2:20" x14ac:dyDescent="0.35">
      <c r="B83" s="17"/>
      <c r="C83" s="17"/>
      <c r="D83" s="17"/>
      <c r="E83" s="17"/>
      <c r="F83" s="17"/>
      <c r="G83" s="17"/>
      <c r="H83" s="17"/>
      <c r="K83" s="17"/>
      <c r="T83" s="17"/>
    </row>
    <row r="84" spans="2:20" x14ac:dyDescent="0.35">
      <c r="B84" s="78"/>
      <c r="C84" s="17"/>
      <c r="D84" s="16"/>
      <c r="E84" s="17"/>
      <c r="F84" s="17"/>
      <c r="G84" s="17"/>
      <c r="H84" s="16"/>
      <c r="K84" s="57">
        <v>33356.550000000003</v>
      </c>
      <c r="T84" s="57">
        <v>33356.550000000003</v>
      </c>
    </row>
    <row r="85" spans="2:20" x14ac:dyDescent="0.35">
      <c r="B85" s="78"/>
      <c r="C85" s="17"/>
      <c r="D85" s="16"/>
      <c r="E85" s="17"/>
      <c r="F85" s="17"/>
      <c r="G85" s="17"/>
      <c r="H85" s="16"/>
      <c r="K85" s="57">
        <v>33326.36</v>
      </c>
      <c r="T85" s="57">
        <v>33326.36</v>
      </c>
    </row>
    <row r="86" spans="2:20" x14ac:dyDescent="0.35">
      <c r="B86" s="78"/>
      <c r="C86" s="17"/>
      <c r="D86" s="16"/>
      <c r="E86" s="17"/>
      <c r="F86" s="17"/>
      <c r="G86" s="17"/>
      <c r="H86" s="16"/>
      <c r="K86" s="57">
        <v>33287.21</v>
      </c>
      <c r="T86" s="57">
        <v>33287.21</v>
      </c>
    </row>
    <row r="87" spans="2:20" x14ac:dyDescent="0.35">
      <c r="B87" s="78"/>
      <c r="C87" s="17"/>
      <c r="D87" s="16"/>
      <c r="E87" s="17"/>
      <c r="F87" s="17"/>
      <c r="G87" s="17"/>
      <c r="H87" s="16"/>
      <c r="K87" s="57">
        <v>33307.32</v>
      </c>
      <c r="T87" s="57">
        <v>33307.32</v>
      </c>
    </row>
    <row r="88" spans="2:20" x14ac:dyDescent="0.35">
      <c r="B88" s="78"/>
      <c r="C88" s="17"/>
      <c r="D88" s="16"/>
      <c r="E88" s="17"/>
      <c r="F88" s="17"/>
      <c r="G88" s="17"/>
      <c r="H88" s="16"/>
      <c r="K88" s="57">
        <v>33395.67</v>
      </c>
      <c r="T88" s="57">
        <v>33395.67</v>
      </c>
    </row>
    <row r="89" spans="2:20" x14ac:dyDescent="0.35">
      <c r="B89" s="78"/>
      <c r="C89" s="17"/>
      <c r="D89" s="16"/>
      <c r="E89" s="17"/>
      <c r="F89" s="17"/>
      <c r="G89" s="17"/>
      <c r="H89" s="16"/>
      <c r="K89" s="57">
        <v>33399.040000000001</v>
      </c>
      <c r="T89" s="57">
        <v>33399.040000000001</v>
      </c>
    </row>
    <row r="90" spans="2:20" x14ac:dyDescent="0.35">
      <c r="B90" s="78"/>
      <c r="C90" s="17"/>
      <c r="D90" s="16"/>
      <c r="E90" s="17"/>
      <c r="F90" s="17"/>
      <c r="G90" s="17"/>
      <c r="H90" s="16"/>
      <c r="K90" s="57">
        <v>33485.15</v>
      </c>
      <c r="T90" s="57">
        <v>33485.15</v>
      </c>
    </row>
    <row r="91" spans="2:20" x14ac:dyDescent="0.35">
      <c r="B91" s="78"/>
      <c r="C91" s="17"/>
      <c r="D91" s="16"/>
      <c r="E91" s="17"/>
      <c r="F91" s="17"/>
      <c r="G91" s="17"/>
      <c r="H91" s="16"/>
      <c r="K91" s="57">
        <v>33537.79</v>
      </c>
      <c r="T91" s="57">
        <v>33537.79</v>
      </c>
    </row>
    <row r="92" spans="2:20" x14ac:dyDescent="0.35">
      <c r="B92" s="78"/>
      <c r="C92" s="17"/>
      <c r="D92" s="16"/>
      <c r="E92" s="17"/>
      <c r="F92" s="17"/>
      <c r="G92" s="17"/>
      <c r="H92" s="16"/>
      <c r="K92" s="57">
        <v>33622.699999999997</v>
      </c>
      <c r="T92" s="57">
        <v>33622.699999999997</v>
      </c>
    </row>
    <row r="93" spans="2:20" x14ac:dyDescent="0.35">
      <c r="B93" s="78"/>
      <c r="C93" s="17"/>
      <c r="D93" s="16"/>
      <c r="E93" s="17"/>
      <c r="F93" s="17"/>
      <c r="G93" s="17"/>
      <c r="H93" s="16"/>
      <c r="K93" s="57">
        <v>33616.01</v>
      </c>
      <c r="T93" s="57">
        <v>33616.01</v>
      </c>
    </row>
    <row r="94" spans="2:20" x14ac:dyDescent="0.35">
      <c r="B94" s="78"/>
      <c r="C94" s="17"/>
      <c r="D94" s="16"/>
      <c r="E94" s="17"/>
      <c r="F94" s="17"/>
      <c r="G94" s="17"/>
      <c r="H94" s="16"/>
      <c r="K94" s="57">
        <v>33679.730000000003</v>
      </c>
      <c r="T94" s="57">
        <v>33679.730000000003</v>
      </c>
    </row>
    <row r="95" spans="2:20" x14ac:dyDescent="0.35">
      <c r="B95" s="78"/>
      <c r="C95" s="17"/>
      <c r="D95" s="16"/>
      <c r="E95" s="17"/>
      <c r="F95" s="17"/>
      <c r="G95" s="17"/>
      <c r="H95" s="16"/>
      <c r="K95" s="40">
        <v>33646.17</v>
      </c>
      <c r="T95" s="40">
        <v>33646.17</v>
      </c>
    </row>
    <row r="96" spans="2:20" x14ac:dyDescent="0.35">
      <c r="B96" s="17"/>
      <c r="C96" s="17"/>
      <c r="D96" s="19"/>
      <c r="E96" s="17"/>
      <c r="F96" s="17"/>
      <c r="G96" s="17"/>
      <c r="H96" s="19"/>
      <c r="K96" s="32">
        <f>SUM(K84:K95)</f>
        <v>401659.69999999995</v>
      </c>
      <c r="T96" s="32">
        <f>SUM(T84:T95)</f>
        <v>401659.69999999995</v>
      </c>
    </row>
    <row r="97" spans="2:8" x14ac:dyDescent="0.35">
      <c r="B97" s="17"/>
      <c r="C97" s="17"/>
      <c r="D97" s="17"/>
      <c r="E97" s="17"/>
      <c r="F97" s="17"/>
      <c r="G97" s="17"/>
      <c r="H97" s="17"/>
    </row>
    <row r="98" spans="2:8" ht="13.15" x14ac:dyDescent="0.4">
      <c r="B98" s="24"/>
      <c r="C98" s="17"/>
      <c r="D98" s="17"/>
      <c r="E98" s="17"/>
      <c r="F98" s="17"/>
      <c r="G98" s="17"/>
      <c r="H98" s="17"/>
    </row>
    <row r="99" spans="2:8" ht="13.15" x14ac:dyDescent="0.4">
      <c r="B99" s="24"/>
      <c r="C99" s="17"/>
      <c r="D99" s="24"/>
      <c r="E99" s="17"/>
      <c r="F99" s="24"/>
      <c r="G99" s="17"/>
      <c r="H99" s="24"/>
    </row>
    <row r="100" spans="2:8" x14ac:dyDescent="0.35">
      <c r="B100" s="17"/>
      <c r="C100" s="17"/>
      <c r="D100" s="17"/>
      <c r="E100" s="17"/>
      <c r="F100" s="17"/>
      <c r="G100" s="17"/>
      <c r="H100" s="17"/>
    </row>
    <row r="101" spans="2:8" x14ac:dyDescent="0.35">
      <c r="B101" s="78"/>
      <c r="C101" s="17"/>
      <c r="D101" s="16"/>
      <c r="E101" s="17"/>
      <c r="F101" s="42"/>
      <c r="G101" s="17"/>
      <c r="H101" s="23"/>
    </row>
    <row r="102" spans="2:8" x14ac:dyDescent="0.35">
      <c r="B102" s="78"/>
      <c r="C102" s="17"/>
      <c r="D102" s="16"/>
      <c r="E102" s="17"/>
      <c r="F102" s="42"/>
      <c r="G102" s="17"/>
      <c r="H102" s="23"/>
    </row>
    <row r="103" spans="2:8" x14ac:dyDescent="0.35">
      <c r="B103" s="78"/>
      <c r="C103" s="17"/>
      <c r="D103" s="16"/>
      <c r="E103" s="17"/>
      <c r="F103" s="42"/>
      <c r="G103" s="17"/>
      <c r="H103" s="23"/>
    </row>
    <row r="104" spans="2:8" x14ac:dyDescent="0.35">
      <c r="B104" s="78"/>
      <c r="C104" s="17"/>
      <c r="D104" s="16"/>
      <c r="E104" s="17"/>
      <c r="F104" s="42"/>
      <c r="G104" s="17"/>
      <c r="H104" s="23"/>
    </row>
    <row r="105" spans="2:8" x14ac:dyDescent="0.35">
      <c r="B105" s="78"/>
      <c r="C105" s="17"/>
      <c r="D105" s="16"/>
      <c r="E105" s="17"/>
      <c r="F105" s="42"/>
      <c r="G105" s="17"/>
      <c r="H105" s="23"/>
    </row>
    <row r="106" spans="2:8" x14ac:dyDescent="0.35">
      <c r="B106" s="78"/>
      <c r="C106" s="17"/>
      <c r="D106" s="16"/>
      <c r="E106" s="17"/>
      <c r="F106" s="42"/>
      <c r="G106" s="17"/>
      <c r="H106" s="23"/>
    </row>
    <row r="107" spans="2:8" x14ac:dyDescent="0.35">
      <c r="B107" s="78"/>
      <c r="C107" s="17"/>
      <c r="D107" s="16"/>
      <c r="E107" s="17"/>
      <c r="F107" s="42"/>
      <c r="G107" s="17"/>
      <c r="H107" s="23"/>
    </row>
    <row r="108" spans="2:8" x14ac:dyDescent="0.35">
      <c r="B108" s="78"/>
      <c r="C108" s="17"/>
      <c r="D108" s="16"/>
      <c r="E108" s="17"/>
      <c r="F108" s="42"/>
      <c r="G108" s="17"/>
      <c r="H108" s="23"/>
    </row>
    <row r="109" spans="2:8" x14ac:dyDescent="0.35">
      <c r="B109" s="78"/>
      <c r="C109" s="17"/>
      <c r="D109" s="16"/>
      <c r="E109" s="17"/>
      <c r="F109" s="42"/>
      <c r="G109" s="17"/>
      <c r="H109" s="23"/>
    </row>
    <row r="110" spans="2:8" x14ac:dyDescent="0.35">
      <c r="B110" s="78"/>
      <c r="C110" s="17"/>
      <c r="D110" s="16"/>
      <c r="E110" s="17"/>
      <c r="F110" s="42"/>
      <c r="G110" s="17"/>
      <c r="H110" s="23"/>
    </row>
    <row r="111" spans="2:8" x14ac:dyDescent="0.35">
      <c r="B111" s="78"/>
      <c r="C111" s="17"/>
      <c r="D111" s="16"/>
      <c r="E111" s="17"/>
      <c r="F111" s="42"/>
      <c r="G111" s="17"/>
      <c r="H111" s="23"/>
    </row>
    <row r="112" spans="2:8" x14ac:dyDescent="0.35">
      <c r="B112" s="78"/>
      <c r="C112" s="17"/>
      <c r="D112" s="16"/>
      <c r="E112" s="17"/>
      <c r="F112" s="42"/>
      <c r="G112" s="17"/>
      <c r="H112" s="23"/>
    </row>
    <row r="113" spans="2:20" x14ac:dyDescent="0.35">
      <c r="B113" s="17"/>
      <c r="C113" s="17"/>
      <c r="D113" s="19"/>
      <c r="E113" s="17"/>
      <c r="F113" s="17"/>
      <c r="G113" s="17"/>
      <c r="H113" s="15"/>
    </row>
    <row r="114" spans="2:20" x14ac:dyDescent="0.35">
      <c r="B114" s="17"/>
      <c r="C114" s="17"/>
      <c r="D114" s="17"/>
      <c r="E114" s="17"/>
      <c r="F114" s="17"/>
      <c r="G114" s="17"/>
      <c r="H114" s="17"/>
    </row>
    <row r="115" spans="2:20" ht="13.15" x14ac:dyDescent="0.4">
      <c r="B115" s="17"/>
      <c r="C115" s="17"/>
      <c r="D115" s="24"/>
      <c r="E115" s="17"/>
      <c r="F115" s="24"/>
      <c r="G115" s="17"/>
      <c r="H115" s="24"/>
      <c r="K115" s="70" t="s">
        <v>31</v>
      </c>
      <c r="T115" s="70" t="s">
        <v>31</v>
      </c>
    </row>
    <row r="116" spans="2:20" x14ac:dyDescent="0.35">
      <c r="B116" s="17"/>
      <c r="C116" s="17"/>
      <c r="D116" s="17"/>
      <c r="E116" s="17"/>
      <c r="F116" s="17"/>
      <c r="G116" s="17"/>
      <c r="H116" s="17"/>
      <c r="K116" s="17"/>
      <c r="T116" s="17"/>
    </row>
    <row r="117" spans="2:20" x14ac:dyDescent="0.35">
      <c r="B117" s="78"/>
      <c r="C117" s="17"/>
      <c r="D117" s="16"/>
      <c r="E117" s="17"/>
      <c r="F117" s="17"/>
      <c r="G117" s="17"/>
      <c r="H117" s="16"/>
      <c r="K117" s="57">
        <v>9796.6</v>
      </c>
      <c r="T117" s="57">
        <v>9796.6</v>
      </c>
    </row>
    <row r="118" spans="2:20" x14ac:dyDescent="0.35">
      <c r="B118" s="78"/>
      <c r="C118" s="17"/>
      <c r="D118" s="16"/>
      <c r="E118" s="17"/>
      <c r="F118" s="17"/>
      <c r="G118" s="17"/>
      <c r="H118" s="16"/>
      <c r="K118" s="57">
        <v>9763.0500000000011</v>
      </c>
      <c r="T118" s="57">
        <v>9763.0500000000011</v>
      </c>
    </row>
    <row r="119" spans="2:20" x14ac:dyDescent="0.35">
      <c r="B119" s="78"/>
      <c r="C119" s="17"/>
      <c r="D119" s="16"/>
      <c r="E119" s="17"/>
      <c r="F119" s="17"/>
      <c r="G119" s="17"/>
      <c r="H119" s="16"/>
      <c r="K119" s="57">
        <v>9763.0500000000011</v>
      </c>
      <c r="T119" s="57">
        <v>9763.0500000000011</v>
      </c>
    </row>
    <row r="120" spans="2:20" x14ac:dyDescent="0.35">
      <c r="B120" s="78"/>
      <c r="C120" s="17"/>
      <c r="D120" s="16"/>
      <c r="E120" s="17"/>
      <c r="F120" s="17"/>
      <c r="G120" s="17"/>
      <c r="H120" s="16"/>
      <c r="K120" s="57">
        <v>9763.0500000000011</v>
      </c>
      <c r="T120" s="57">
        <v>9763.0500000000011</v>
      </c>
    </row>
    <row r="121" spans="2:20" x14ac:dyDescent="0.35">
      <c r="B121" s="78"/>
      <c r="C121" s="17"/>
      <c r="D121" s="16"/>
      <c r="E121" s="17"/>
      <c r="F121" s="17"/>
      <c r="G121" s="17"/>
      <c r="H121" s="16"/>
      <c r="K121" s="57">
        <v>9763.0500000000011</v>
      </c>
      <c r="T121" s="57">
        <v>9763.0500000000011</v>
      </c>
    </row>
    <row r="122" spans="2:20" x14ac:dyDescent="0.35">
      <c r="B122" s="78"/>
      <c r="C122" s="17"/>
      <c r="D122" s="16"/>
      <c r="E122" s="17"/>
      <c r="F122" s="17"/>
      <c r="G122" s="17"/>
      <c r="H122" s="16"/>
      <c r="K122" s="57">
        <v>9763.0500000000011</v>
      </c>
      <c r="T122" s="57">
        <v>9763.0500000000011</v>
      </c>
    </row>
    <row r="123" spans="2:20" x14ac:dyDescent="0.35">
      <c r="B123" s="78"/>
      <c r="C123" s="17"/>
      <c r="D123" s="16"/>
      <c r="E123" s="17"/>
      <c r="F123" s="17"/>
      <c r="G123" s="17"/>
      <c r="H123" s="16"/>
      <c r="K123" s="57">
        <v>9745.16</v>
      </c>
      <c r="T123" s="57">
        <v>9745.16</v>
      </c>
    </row>
    <row r="124" spans="2:20" x14ac:dyDescent="0.35">
      <c r="B124" s="78"/>
      <c r="C124" s="17"/>
      <c r="D124" s="16"/>
      <c r="E124" s="17"/>
      <c r="F124" s="17"/>
      <c r="G124" s="17"/>
      <c r="H124" s="16"/>
      <c r="K124" s="57">
        <v>9729.5</v>
      </c>
      <c r="T124" s="57">
        <v>9729.5</v>
      </c>
    </row>
    <row r="125" spans="2:20" x14ac:dyDescent="0.35">
      <c r="B125" s="78"/>
      <c r="C125" s="17"/>
      <c r="D125" s="16"/>
      <c r="E125" s="17"/>
      <c r="F125" s="17"/>
      <c r="G125" s="17"/>
      <c r="H125" s="16"/>
      <c r="K125" s="57">
        <v>9729.5</v>
      </c>
      <c r="T125" s="57">
        <v>9729.5</v>
      </c>
    </row>
    <row r="126" spans="2:20" x14ac:dyDescent="0.35">
      <c r="B126" s="78"/>
      <c r="C126" s="17"/>
      <c r="D126" s="16"/>
      <c r="E126" s="17"/>
      <c r="F126" s="17"/>
      <c r="G126" s="17"/>
      <c r="H126" s="16"/>
      <c r="K126" s="57">
        <v>9707.14</v>
      </c>
      <c r="T126" s="57">
        <v>9707.14</v>
      </c>
    </row>
    <row r="127" spans="2:20" x14ac:dyDescent="0.35">
      <c r="B127" s="78"/>
      <c r="C127" s="17"/>
      <c r="D127" s="16"/>
      <c r="E127" s="17"/>
      <c r="F127" s="17"/>
      <c r="G127" s="17"/>
      <c r="H127" s="16"/>
      <c r="K127" s="57">
        <v>9662.4</v>
      </c>
      <c r="T127" s="57">
        <v>9662.4</v>
      </c>
    </row>
    <row r="128" spans="2:20" x14ac:dyDescent="0.35">
      <c r="B128" s="78"/>
      <c r="C128" s="17"/>
      <c r="D128" s="16"/>
      <c r="E128" s="17"/>
      <c r="F128" s="17"/>
      <c r="G128" s="17"/>
      <c r="H128" s="16"/>
      <c r="K128" s="40">
        <v>9661.2800000000007</v>
      </c>
      <c r="T128" s="40">
        <v>9661.2800000000007</v>
      </c>
    </row>
    <row r="129" spans="2:20" x14ac:dyDescent="0.35">
      <c r="B129" s="17"/>
      <c r="C129" s="17"/>
      <c r="D129" s="19"/>
      <c r="E129" s="17"/>
      <c r="F129" s="17"/>
      <c r="G129" s="17"/>
      <c r="H129" s="19"/>
      <c r="K129" s="32">
        <f>SUM(K117:K128)</f>
        <v>116846.83</v>
      </c>
      <c r="T129" s="32">
        <f>SUM(T117:T128)</f>
        <v>116846.83</v>
      </c>
    </row>
    <row r="130" spans="2:20" x14ac:dyDescent="0.35">
      <c r="B130" s="17"/>
      <c r="C130" s="17"/>
      <c r="D130" s="17"/>
      <c r="E130" s="17"/>
      <c r="F130" s="17"/>
      <c r="G130" s="17"/>
      <c r="H130" s="17"/>
    </row>
    <row r="131" spans="2:20" ht="13.15" x14ac:dyDescent="0.4">
      <c r="B131" s="24"/>
      <c r="C131" s="17"/>
      <c r="D131" s="17"/>
      <c r="E131" s="17"/>
      <c r="F131" s="17"/>
      <c r="G131" s="17"/>
      <c r="H131" s="17"/>
    </row>
    <row r="132" spans="2:20" ht="13.15" x14ac:dyDescent="0.4">
      <c r="B132" s="24"/>
      <c r="C132" s="17"/>
      <c r="D132" s="24"/>
      <c r="E132" s="17"/>
      <c r="F132" s="24"/>
      <c r="G132" s="17"/>
      <c r="H132" s="24"/>
    </row>
    <row r="133" spans="2:20" x14ac:dyDescent="0.35">
      <c r="B133" s="17"/>
      <c r="C133" s="17"/>
      <c r="D133" s="17"/>
      <c r="E133" s="17"/>
      <c r="F133" s="17"/>
      <c r="G133" s="17"/>
      <c r="H133" s="17"/>
    </row>
    <row r="134" spans="2:20" x14ac:dyDescent="0.35">
      <c r="B134" s="78"/>
      <c r="C134" s="17"/>
      <c r="D134" s="16"/>
      <c r="E134" s="17"/>
      <c r="F134" s="42"/>
      <c r="G134" s="17"/>
      <c r="H134" s="23"/>
    </row>
    <row r="135" spans="2:20" x14ac:dyDescent="0.35">
      <c r="B135" s="78"/>
      <c r="C135" s="17"/>
      <c r="D135" s="16"/>
      <c r="E135" s="17"/>
      <c r="F135" s="42"/>
      <c r="G135" s="17"/>
      <c r="H135" s="23"/>
    </row>
    <row r="136" spans="2:20" x14ac:dyDescent="0.35">
      <c r="B136" s="78"/>
      <c r="C136" s="17"/>
      <c r="D136" s="16"/>
      <c r="E136" s="17"/>
      <c r="F136" s="42"/>
      <c r="G136" s="17"/>
      <c r="H136" s="23"/>
    </row>
    <row r="137" spans="2:20" x14ac:dyDescent="0.35">
      <c r="B137" s="78"/>
      <c r="C137" s="17"/>
      <c r="D137" s="16"/>
      <c r="E137" s="17"/>
      <c r="F137" s="42"/>
      <c r="G137" s="17"/>
      <c r="H137" s="23"/>
    </row>
    <row r="138" spans="2:20" x14ac:dyDescent="0.35">
      <c r="B138" s="78"/>
      <c r="C138" s="17"/>
      <c r="D138" s="16"/>
      <c r="E138" s="17"/>
      <c r="F138" s="42"/>
      <c r="G138" s="17"/>
      <c r="H138" s="23"/>
    </row>
    <row r="139" spans="2:20" x14ac:dyDescent="0.35">
      <c r="B139" s="78"/>
      <c r="C139" s="17"/>
      <c r="D139" s="16"/>
      <c r="E139" s="17"/>
      <c r="F139" s="42"/>
      <c r="G139" s="17"/>
      <c r="H139" s="23"/>
    </row>
    <row r="140" spans="2:20" x14ac:dyDescent="0.35">
      <c r="B140" s="78"/>
      <c r="C140" s="17"/>
      <c r="D140" s="16"/>
      <c r="E140" s="17"/>
      <c r="F140" s="42"/>
      <c r="G140" s="17"/>
      <c r="H140" s="23"/>
    </row>
    <row r="141" spans="2:20" x14ac:dyDescent="0.35">
      <c r="B141" s="78"/>
      <c r="C141" s="17"/>
      <c r="D141" s="16"/>
      <c r="E141" s="17"/>
      <c r="F141" s="42"/>
      <c r="G141" s="17"/>
      <c r="H141" s="23"/>
    </row>
    <row r="142" spans="2:20" x14ac:dyDescent="0.35">
      <c r="B142" s="78"/>
      <c r="C142" s="17"/>
      <c r="D142" s="16"/>
      <c r="E142" s="17"/>
      <c r="F142" s="42"/>
      <c r="G142" s="17"/>
      <c r="H142" s="23"/>
    </row>
    <row r="143" spans="2:20" x14ac:dyDescent="0.35">
      <c r="B143" s="78"/>
      <c r="C143" s="17"/>
      <c r="D143" s="16"/>
      <c r="E143" s="17"/>
      <c r="F143" s="42"/>
      <c r="G143" s="17"/>
      <c r="H143" s="23"/>
    </row>
    <row r="144" spans="2:20" x14ac:dyDescent="0.35">
      <c r="B144" s="78"/>
      <c r="C144" s="17"/>
      <c r="D144" s="16"/>
      <c r="E144" s="17"/>
      <c r="F144" s="42"/>
      <c r="G144" s="17"/>
      <c r="H144" s="23"/>
    </row>
    <row r="145" spans="2:20" x14ac:dyDescent="0.35">
      <c r="B145" s="78"/>
      <c r="C145" s="17"/>
      <c r="D145" s="16"/>
      <c r="E145" s="17"/>
      <c r="F145" s="42"/>
      <c r="G145" s="17"/>
      <c r="H145" s="23"/>
    </row>
    <row r="146" spans="2:20" x14ac:dyDescent="0.35">
      <c r="B146" s="17"/>
      <c r="C146" s="17"/>
      <c r="D146" s="19"/>
      <c r="E146" s="17"/>
      <c r="F146" s="17"/>
      <c r="G146" s="17"/>
      <c r="H146" s="15"/>
    </row>
    <row r="147" spans="2:20" x14ac:dyDescent="0.35">
      <c r="B147" s="17"/>
      <c r="C147" s="17"/>
      <c r="D147" s="17"/>
      <c r="E147" s="17"/>
      <c r="F147" s="17"/>
      <c r="G147" s="17"/>
      <c r="H147" s="17"/>
    </row>
    <row r="148" spans="2:20" ht="13.15" x14ac:dyDescent="0.4">
      <c r="B148" s="17"/>
      <c r="C148" s="17"/>
      <c r="D148" s="24"/>
      <c r="E148" s="17"/>
      <c r="F148" s="24"/>
      <c r="G148" s="17"/>
      <c r="H148" s="24"/>
      <c r="K148" s="70" t="s">
        <v>31</v>
      </c>
      <c r="T148" s="70" t="s">
        <v>31</v>
      </c>
    </row>
    <row r="149" spans="2:20" x14ac:dyDescent="0.35">
      <c r="B149" s="17"/>
      <c r="C149" s="17"/>
      <c r="D149" s="17"/>
      <c r="E149" s="17"/>
      <c r="F149" s="17"/>
      <c r="G149" s="17"/>
      <c r="H149" s="17"/>
      <c r="K149" s="17"/>
      <c r="T149" s="17"/>
    </row>
    <row r="150" spans="2:20" x14ac:dyDescent="0.35">
      <c r="B150" s="78"/>
      <c r="C150" s="17"/>
      <c r="D150" s="16"/>
      <c r="E150" s="17"/>
      <c r="F150" s="17"/>
      <c r="G150" s="17"/>
      <c r="H150" s="16"/>
      <c r="K150" s="57">
        <v>2717.55</v>
      </c>
      <c r="T150" s="57">
        <v>2717.55</v>
      </c>
    </row>
    <row r="151" spans="2:20" x14ac:dyDescent="0.35">
      <c r="B151" s="78"/>
      <c r="C151" s="17"/>
      <c r="D151" s="16"/>
      <c r="E151" s="17"/>
      <c r="F151" s="17"/>
      <c r="G151" s="17"/>
      <c r="H151" s="16"/>
      <c r="K151" s="57">
        <v>2717.55</v>
      </c>
      <c r="T151" s="57">
        <v>2717.55</v>
      </c>
    </row>
    <row r="152" spans="2:20" x14ac:dyDescent="0.35">
      <c r="B152" s="78"/>
      <c r="C152" s="17"/>
      <c r="D152" s="16"/>
      <c r="E152" s="17"/>
      <c r="F152" s="17"/>
      <c r="G152" s="17"/>
      <c r="H152" s="16"/>
      <c r="K152" s="57">
        <v>2717.55</v>
      </c>
      <c r="T152" s="57">
        <v>2717.55</v>
      </c>
    </row>
    <row r="153" spans="2:20" x14ac:dyDescent="0.35">
      <c r="B153" s="78"/>
      <c r="C153" s="17"/>
      <c r="D153" s="16"/>
      <c r="E153" s="17"/>
      <c r="F153" s="17"/>
      <c r="G153" s="17"/>
      <c r="H153" s="16"/>
      <c r="K153" s="57">
        <v>2717.55</v>
      </c>
      <c r="T153" s="57">
        <v>2717.55</v>
      </c>
    </row>
    <row r="154" spans="2:20" x14ac:dyDescent="0.35">
      <c r="B154" s="78"/>
      <c r="C154" s="17"/>
      <c r="D154" s="16"/>
      <c r="E154" s="17"/>
      <c r="F154" s="17"/>
      <c r="G154" s="17"/>
      <c r="H154" s="16"/>
      <c r="K154" s="57">
        <v>2717.55</v>
      </c>
      <c r="T154" s="57">
        <v>2717.55</v>
      </c>
    </row>
    <row r="155" spans="2:20" x14ac:dyDescent="0.35">
      <c r="B155" s="78"/>
      <c r="C155" s="17"/>
      <c r="D155" s="16"/>
      <c r="E155" s="17"/>
      <c r="F155" s="17"/>
      <c r="G155" s="17"/>
      <c r="H155" s="16"/>
      <c r="K155" s="57">
        <v>2717.55</v>
      </c>
      <c r="T155" s="57">
        <v>2717.55</v>
      </c>
    </row>
    <row r="156" spans="2:20" x14ac:dyDescent="0.35">
      <c r="B156" s="78"/>
      <c r="C156" s="17"/>
      <c r="D156" s="16"/>
      <c r="E156" s="17"/>
      <c r="F156" s="17"/>
      <c r="G156" s="17"/>
      <c r="H156" s="16"/>
      <c r="K156" s="57">
        <v>2717.55</v>
      </c>
      <c r="T156" s="57">
        <v>2717.55</v>
      </c>
    </row>
    <row r="157" spans="2:20" x14ac:dyDescent="0.35">
      <c r="B157" s="78"/>
      <c r="C157" s="17"/>
      <c r="D157" s="16"/>
      <c r="E157" s="17"/>
      <c r="F157" s="17"/>
      <c r="G157" s="17"/>
      <c r="H157" s="16"/>
      <c r="K157" s="57">
        <v>2703.01</v>
      </c>
      <c r="T157" s="57">
        <v>2703.01</v>
      </c>
    </row>
    <row r="158" spans="2:20" x14ac:dyDescent="0.35">
      <c r="B158" s="78"/>
      <c r="C158" s="17"/>
      <c r="D158" s="16"/>
      <c r="E158" s="17"/>
      <c r="F158" s="17"/>
      <c r="G158" s="17"/>
      <c r="H158" s="16"/>
      <c r="K158" s="57">
        <v>2650.4500000000003</v>
      </c>
      <c r="T158" s="57">
        <v>2650.4500000000003</v>
      </c>
    </row>
    <row r="159" spans="2:20" x14ac:dyDescent="0.35">
      <c r="B159" s="78"/>
      <c r="C159" s="17"/>
      <c r="D159" s="16"/>
      <c r="E159" s="17"/>
      <c r="F159" s="17"/>
      <c r="G159" s="17"/>
      <c r="H159" s="16"/>
      <c r="K159" s="57">
        <v>2650.4500000000003</v>
      </c>
      <c r="T159" s="57">
        <v>2650.4500000000003</v>
      </c>
    </row>
    <row r="160" spans="2:20" x14ac:dyDescent="0.35">
      <c r="B160" s="78"/>
      <c r="C160" s="17"/>
      <c r="D160" s="16"/>
      <c r="E160" s="17"/>
      <c r="F160" s="17"/>
      <c r="G160" s="17"/>
      <c r="H160" s="16"/>
      <c r="K160" s="57">
        <v>2650.4500000000003</v>
      </c>
      <c r="T160" s="57">
        <v>2650.4500000000003</v>
      </c>
    </row>
    <row r="161" spans="2:20" x14ac:dyDescent="0.35">
      <c r="B161" s="78"/>
      <c r="C161" s="17"/>
      <c r="D161" s="16"/>
      <c r="E161" s="17"/>
      <c r="F161" s="17"/>
      <c r="G161" s="17"/>
      <c r="H161" s="16"/>
      <c r="K161" s="40">
        <v>2650.4500000000003</v>
      </c>
      <c r="T161" s="40">
        <v>2650.4500000000003</v>
      </c>
    </row>
    <row r="162" spans="2:20" x14ac:dyDescent="0.35">
      <c r="B162" s="17"/>
      <c r="C162" s="17"/>
      <c r="D162" s="19"/>
      <c r="E162" s="17"/>
      <c r="F162" s="17"/>
      <c r="G162" s="17"/>
      <c r="H162" s="19"/>
      <c r="K162" s="32">
        <f>SUM(K150:K161)</f>
        <v>32327.660000000003</v>
      </c>
      <c r="T162" s="32">
        <f>SUM(T150:T161)</f>
        <v>32327.660000000003</v>
      </c>
    </row>
    <row r="163" spans="2:20" x14ac:dyDescent="0.35">
      <c r="B163" s="17"/>
      <c r="C163" s="17"/>
      <c r="D163" s="17"/>
      <c r="E163" s="17"/>
      <c r="F163" s="17"/>
      <c r="G163" s="17"/>
      <c r="H163" s="17"/>
    </row>
    <row r="164" spans="2:20" ht="13.15" x14ac:dyDescent="0.4">
      <c r="B164" s="24"/>
      <c r="C164" s="17"/>
      <c r="D164" s="17"/>
      <c r="E164" s="17"/>
      <c r="F164" s="17"/>
      <c r="G164" s="17"/>
      <c r="H164" s="17"/>
    </row>
    <row r="165" spans="2:20" ht="13.15" x14ac:dyDescent="0.4">
      <c r="B165" s="24"/>
      <c r="C165" s="17"/>
      <c r="D165" s="24"/>
      <c r="E165" s="17"/>
      <c r="F165" s="24"/>
      <c r="G165" s="17"/>
      <c r="H165" s="24"/>
    </row>
    <row r="166" spans="2:20" x14ac:dyDescent="0.35">
      <c r="B166" s="17"/>
      <c r="C166" s="17"/>
      <c r="D166" s="17"/>
      <c r="E166" s="17"/>
      <c r="F166" s="17"/>
      <c r="G166" s="17"/>
      <c r="H166" s="17"/>
    </row>
    <row r="167" spans="2:20" x14ac:dyDescent="0.35">
      <c r="B167" s="78"/>
      <c r="C167" s="17"/>
      <c r="D167" s="16"/>
      <c r="E167" s="17"/>
      <c r="F167" s="42"/>
      <c r="G167" s="17"/>
      <c r="H167" s="23"/>
    </row>
    <row r="168" spans="2:20" x14ac:dyDescent="0.35">
      <c r="B168" s="78"/>
      <c r="C168" s="17"/>
      <c r="D168" s="16"/>
      <c r="E168" s="17"/>
      <c r="F168" s="42"/>
      <c r="G168" s="17"/>
      <c r="H168" s="23"/>
    </row>
    <row r="169" spans="2:20" x14ac:dyDescent="0.35">
      <c r="B169" s="78"/>
      <c r="C169" s="17"/>
      <c r="D169" s="16"/>
      <c r="E169" s="17"/>
      <c r="F169" s="42"/>
      <c r="G169" s="17"/>
      <c r="H169" s="23"/>
    </row>
    <row r="170" spans="2:20" x14ac:dyDescent="0.35">
      <c r="B170" s="78"/>
      <c r="C170" s="17"/>
      <c r="D170" s="16"/>
      <c r="E170" s="17"/>
      <c r="F170" s="42"/>
      <c r="G170" s="17"/>
      <c r="H170" s="23"/>
    </row>
    <row r="171" spans="2:20" x14ac:dyDescent="0.35">
      <c r="B171" s="78"/>
      <c r="C171" s="17"/>
      <c r="D171" s="16"/>
      <c r="E171" s="17"/>
      <c r="F171" s="42"/>
      <c r="G171" s="17"/>
      <c r="H171" s="23"/>
    </row>
    <row r="172" spans="2:20" x14ac:dyDescent="0.35">
      <c r="B172" s="78"/>
      <c r="C172" s="17"/>
      <c r="D172" s="16"/>
      <c r="E172" s="17"/>
      <c r="F172" s="42"/>
      <c r="G172" s="17"/>
      <c r="H172" s="23"/>
    </row>
    <row r="173" spans="2:20" x14ac:dyDescent="0.35">
      <c r="B173" s="78"/>
      <c r="C173" s="17"/>
      <c r="D173" s="16"/>
      <c r="E173" s="17"/>
      <c r="F173" s="42"/>
      <c r="G173" s="17"/>
      <c r="H173" s="23"/>
    </row>
    <row r="174" spans="2:20" x14ac:dyDescent="0.35">
      <c r="B174" s="78"/>
      <c r="C174" s="17"/>
      <c r="D174" s="16"/>
      <c r="E174" s="17"/>
      <c r="F174" s="42"/>
      <c r="G174" s="17"/>
      <c r="H174" s="23"/>
    </row>
    <row r="175" spans="2:20" x14ac:dyDescent="0.35">
      <c r="B175" s="78"/>
      <c r="C175" s="17"/>
      <c r="D175" s="16"/>
      <c r="E175" s="17"/>
      <c r="F175" s="42"/>
      <c r="G175" s="17"/>
      <c r="H175" s="23"/>
    </row>
    <row r="176" spans="2:20" x14ac:dyDescent="0.35">
      <c r="B176" s="78"/>
      <c r="C176" s="17"/>
      <c r="D176" s="16"/>
      <c r="E176" s="17"/>
      <c r="F176" s="42"/>
      <c r="G176" s="17"/>
      <c r="H176" s="23"/>
    </row>
    <row r="177" spans="2:20" x14ac:dyDescent="0.35">
      <c r="B177" s="78"/>
      <c r="C177" s="17"/>
      <c r="D177" s="16"/>
      <c r="E177" s="17"/>
      <c r="F177" s="42"/>
      <c r="G177" s="17"/>
      <c r="H177" s="23"/>
    </row>
    <row r="178" spans="2:20" x14ac:dyDescent="0.35">
      <c r="B178" s="78"/>
      <c r="C178" s="17"/>
      <c r="D178" s="16"/>
      <c r="E178" s="17"/>
      <c r="F178" s="42"/>
      <c r="G178" s="17"/>
      <c r="H178" s="23"/>
    </row>
    <row r="179" spans="2:20" x14ac:dyDescent="0.35">
      <c r="B179" s="17"/>
      <c r="C179" s="17"/>
      <c r="D179" s="19"/>
      <c r="E179" s="17"/>
      <c r="F179" s="17"/>
      <c r="G179" s="17"/>
      <c r="H179" s="15"/>
    </row>
    <row r="180" spans="2:20" x14ac:dyDescent="0.35">
      <c r="B180" s="17"/>
      <c r="C180" s="17"/>
      <c r="D180" s="17"/>
      <c r="E180" s="17"/>
      <c r="F180" s="17"/>
      <c r="G180" s="17"/>
      <c r="H180" s="17"/>
    </row>
    <row r="181" spans="2:20" ht="13.15" x14ac:dyDescent="0.4">
      <c r="B181" s="17"/>
      <c r="C181" s="17"/>
      <c r="D181" s="24"/>
      <c r="E181" s="17"/>
      <c r="F181" s="24"/>
      <c r="G181" s="17"/>
      <c r="H181" s="24"/>
      <c r="K181" s="70" t="s">
        <v>31</v>
      </c>
      <c r="T181" s="70" t="s">
        <v>31</v>
      </c>
    </row>
    <row r="182" spans="2:20" x14ac:dyDescent="0.35">
      <c r="B182" s="17"/>
      <c r="C182" s="17"/>
      <c r="D182" s="17"/>
      <c r="E182" s="17"/>
      <c r="F182" s="17"/>
      <c r="G182" s="17"/>
      <c r="H182" s="17"/>
      <c r="K182" s="17"/>
      <c r="T182" s="17"/>
    </row>
    <row r="183" spans="2:20" x14ac:dyDescent="0.35">
      <c r="B183" s="78"/>
      <c r="C183" s="17"/>
      <c r="D183" s="16"/>
      <c r="E183" s="17"/>
      <c r="F183" s="17"/>
      <c r="G183" s="17"/>
      <c r="H183" s="16"/>
      <c r="K183" s="57">
        <v>145595.97</v>
      </c>
      <c r="T183" s="57">
        <v>145595.97</v>
      </c>
    </row>
    <row r="184" spans="2:20" x14ac:dyDescent="0.35">
      <c r="B184" s="78"/>
      <c r="C184" s="17"/>
      <c r="D184" s="16"/>
      <c r="E184" s="17"/>
      <c r="F184" s="17"/>
      <c r="G184" s="17"/>
      <c r="H184" s="16"/>
      <c r="K184" s="57">
        <v>146047.73000000001</v>
      </c>
      <c r="T184" s="57">
        <v>146047.73000000001</v>
      </c>
    </row>
    <row r="185" spans="2:20" x14ac:dyDescent="0.35">
      <c r="B185" s="78"/>
      <c r="C185" s="17"/>
      <c r="D185" s="16"/>
      <c r="E185" s="17"/>
      <c r="F185" s="17"/>
      <c r="G185" s="17"/>
      <c r="H185" s="16"/>
      <c r="K185" s="57">
        <v>146320.74</v>
      </c>
      <c r="T185" s="57">
        <v>146320.74</v>
      </c>
    </row>
    <row r="186" spans="2:20" x14ac:dyDescent="0.35">
      <c r="B186" s="78"/>
      <c r="C186" s="17"/>
      <c r="D186" s="16"/>
      <c r="E186" s="17"/>
      <c r="F186" s="17"/>
      <c r="G186" s="17"/>
      <c r="H186" s="16"/>
      <c r="K186" s="57">
        <v>147167.18</v>
      </c>
      <c r="T186" s="57">
        <v>147167.18</v>
      </c>
    </row>
    <row r="187" spans="2:20" x14ac:dyDescent="0.35">
      <c r="B187" s="78"/>
      <c r="C187" s="17"/>
      <c r="D187" s="16"/>
      <c r="E187" s="17"/>
      <c r="F187" s="17"/>
      <c r="G187" s="17"/>
      <c r="H187" s="16"/>
      <c r="K187" s="57">
        <v>148300.14000000001</v>
      </c>
      <c r="T187" s="57">
        <v>148300.14000000001</v>
      </c>
    </row>
    <row r="188" spans="2:20" x14ac:dyDescent="0.35">
      <c r="B188" s="78"/>
      <c r="C188" s="17"/>
      <c r="D188" s="16"/>
      <c r="E188" s="17"/>
      <c r="F188" s="17"/>
      <c r="G188" s="17"/>
      <c r="H188" s="16"/>
      <c r="K188" s="57">
        <v>148560.66</v>
      </c>
      <c r="T188" s="57">
        <v>148560.66</v>
      </c>
    </row>
    <row r="189" spans="2:20" x14ac:dyDescent="0.35">
      <c r="B189" s="78"/>
      <c r="C189" s="17"/>
      <c r="D189" s="16"/>
      <c r="E189" s="17"/>
      <c r="F189" s="17"/>
      <c r="G189" s="17"/>
      <c r="H189" s="16"/>
      <c r="K189" s="57">
        <v>148785.44</v>
      </c>
      <c r="T189" s="57">
        <v>148785.44</v>
      </c>
    </row>
    <row r="190" spans="2:20" x14ac:dyDescent="0.35">
      <c r="B190" s="78"/>
      <c r="C190" s="17"/>
      <c r="D190" s="16"/>
      <c r="E190" s="17"/>
      <c r="F190" s="17"/>
      <c r="G190" s="17"/>
      <c r="H190" s="16"/>
      <c r="K190" s="57">
        <v>149287.67999999999</v>
      </c>
      <c r="T190" s="57">
        <v>149287.67999999999</v>
      </c>
    </row>
    <row r="191" spans="2:20" x14ac:dyDescent="0.35">
      <c r="B191" s="78"/>
      <c r="C191" s="17"/>
      <c r="D191" s="16"/>
      <c r="E191" s="17"/>
      <c r="F191" s="17"/>
      <c r="G191" s="17"/>
      <c r="H191" s="16"/>
      <c r="K191" s="57">
        <v>149288.14000000001</v>
      </c>
      <c r="T191" s="57">
        <v>149288.14000000001</v>
      </c>
    </row>
    <row r="192" spans="2:20" x14ac:dyDescent="0.35">
      <c r="B192" s="78"/>
      <c r="C192" s="17"/>
      <c r="D192" s="16"/>
      <c r="E192" s="17"/>
      <c r="F192" s="17"/>
      <c r="G192" s="17"/>
      <c r="H192" s="16"/>
      <c r="K192" s="57">
        <v>149946.28</v>
      </c>
      <c r="T192" s="57">
        <v>149946.28</v>
      </c>
    </row>
    <row r="193" spans="2:20" x14ac:dyDescent="0.35">
      <c r="B193" s="78"/>
      <c r="C193" s="17"/>
      <c r="D193" s="16"/>
      <c r="E193" s="17"/>
      <c r="F193" s="17"/>
      <c r="G193" s="17"/>
      <c r="H193" s="16"/>
      <c r="K193" s="57">
        <v>150685.5</v>
      </c>
      <c r="T193" s="57">
        <v>150685.5</v>
      </c>
    </row>
    <row r="194" spans="2:20" x14ac:dyDescent="0.35">
      <c r="B194" s="78"/>
      <c r="C194" s="17"/>
      <c r="D194" s="16"/>
      <c r="E194" s="17"/>
      <c r="F194" s="17"/>
      <c r="G194" s="17"/>
      <c r="H194" s="16"/>
      <c r="K194" s="40">
        <v>150975.03</v>
      </c>
      <c r="T194" s="40">
        <v>150975.03</v>
      </c>
    </row>
    <row r="195" spans="2:20" x14ac:dyDescent="0.35">
      <c r="B195" s="17"/>
      <c r="C195" s="17"/>
      <c r="D195" s="19"/>
      <c r="E195" s="17"/>
      <c r="F195" s="17"/>
      <c r="G195" s="17"/>
      <c r="H195" s="19"/>
      <c r="K195" s="32">
        <f>SUM(K183:K194)</f>
        <v>1780960.4900000002</v>
      </c>
      <c r="T195" s="32">
        <f>SUM(T183:T194)</f>
        <v>1780960.4900000002</v>
      </c>
    </row>
    <row r="196" spans="2:20" x14ac:dyDescent="0.35">
      <c r="B196" s="17"/>
      <c r="C196" s="17"/>
      <c r="D196" s="17"/>
      <c r="E196" s="17"/>
      <c r="F196" s="17"/>
      <c r="G196" s="17"/>
      <c r="H196" s="17"/>
    </row>
    <row r="197" spans="2:20" ht="13.15" x14ac:dyDescent="0.4">
      <c r="B197" s="24"/>
      <c r="C197" s="17"/>
      <c r="D197" s="17"/>
      <c r="E197" s="17"/>
      <c r="F197" s="17"/>
      <c r="G197" s="17"/>
      <c r="H197" s="17"/>
    </row>
    <row r="198" spans="2:20" ht="13.15" x14ac:dyDescent="0.4">
      <c r="B198" s="24"/>
      <c r="C198" s="17"/>
      <c r="D198" s="24"/>
      <c r="E198" s="17"/>
      <c r="F198" s="24"/>
      <c r="G198" s="17"/>
      <c r="H198" s="24"/>
    </row>
    <row r="199" spans="2:20" x14ac:dyDescent="0.35">
      <c r="B199" s="17"/>
      <c r="C199" s="17"/>
      <c r="D199" s="17"/>
      <c r="E199" s="17"/>
      <c r="F199" s="17"/>
      <c r="G199" s="17"/>
      <c r="H199" s="17"/>
    </row>
    <row r="200" spans="2:20" x14ac:dyDescent="0.35">
      <c r="B200" s="78"/>
      <c r="C200" s="17"/>
      <c r="D200" s="16"/>
      <c r="E200" s="17"/>
      <c r="F200" s="42"/>
      <c r="G200" s="17"/>
      <c r="H200" s="23"/>
    </row>
    <row r="201" spans="2:20" x14ac:dyDescent="0.35">
      <c r="B201" s="78"/>
      <c r="C201" s="17"/>
      <c r="D201" s="16"/>
      <c r="E201" s="17"/>
      <c r="F201" s="42"/>
      <c r="G201" s="17"/>
      <c r="H201" s="23"/>
    </row>
    <row r="202" spans="2:20" x14ac:dyDescent="0.35">
      <c r="B202" s="78"/>
      <c r="C202" s="17"/>
      <c r="D202" s="16"/>
      <c r="E202" s="17"/>
      <c r="F202" s="42"/>
      <c r="G202" s="17"/>
      <c r="H202" s="23"/>
    </row>
    <row r="203" spans="2:20" x14ac:dyDescent="0.35">
      <c r="B203" s="78"/>
      <c r="C203" s="17"/>
      <c r="D203" s="16"/>
      <c r="E203" s="17"/>
      <c r="F203" s="42"/>
      <c r="G203" s="17"/>
      <c r="H203" s="23"/>
    </row>
    <row r="204" spans="2:20" x14ac:dyDescent="0.35">
      <c r="B204" s="78"/>
      <c r="C204" s="17"/>
      <c r="D204" s="16"/>
      <c r="E204" s="17"/>
      <c r="F204" s="42"/>
      <c r="G204" s="17"/>
      <c r="H204" s="23"/>
    </row>
    <row r="205" spans="2:20" x14ac:dyDescent="0.35">
      <c r="B205" s="78"/>
      <c r="C205" s="17"/>
      <c r="D205" s="16"/>
      <c r="E205" s="17"/>
      <c r="F205" s="42"/>
      <c r="G205" s="17"/>
      <c r="H205" s="23"/>
    </row>
    <row r="206" spans="2:20" x14ac:dyDescent="0.35">
      <c r="B206" s="78"/>
      <c r="C206" s="17"/>
      <c r="D206" s="16"/>
      <c r="E206" s="17"/>
      <c r="F206" s="42"/>
      <c r="G206" s="17"/>
      <c r="H206" s="23"/>
    </row>
    <row r="207" spans="2:20" x14ac:dyDescent="0.35">
      <c r="B207" s="78"/>
      <c r="C207" s="17"/>
      <c r="D207" s="16"/>
      <c r="E207" s="17"/>
      <c r="F207" s="42"/>
      <c r="G207" s="17"/>
      <c r="H207" s="23"/>
    </row>
    <row r="208" spans="2:20" x14ac:dyDescent="0.35">
      <c r="B208" s="78"/>
      <c r="C208" s="17"/>
      <c r="D208" s="16"/>
      <c r="E208" s="17"/>
      <c r="F208" s="42"/>
      <c r="G208" s="17"/>
      <c r="H208" s="23"/>
    </row>
    <row r="209" spans="2:20" x14ac:dyDescent="0.35">
      <c r="B209" s="78"/>
      <c r="C209" s="17"/>
      <c r="D209" s="16"/>
      <c r="E209" s="17"/>
      <c r="F209" s="42"/>
      <c r="G209" s="17"/>
      <c r="H209" s="23"/>
    </row>
    <row r="210" spans="2:20" x14ac:dyDescent="0.35">
      <c r="B210" s="78"/>
      <c r="C210" s="17"/>
      <c r="D210" s="16"/>
      <c r="E210" s="17"/>
      <c r="F210" s="42"/>
      <c r="G210" s="17"/>
      <c r="H210" s="23"/>
    </row>
    <row r="211" spans="2:20" x14ac:dyDescent="0.35">
      <c r="B211" s="78"/>
      <c r="C211" s="17"/>
      <c r="D211" s="16"/>
      <c r="E211" s="17"/>
      <c r="F211" s="42"/>
      <c r="G211" s="17"/>
      <c r="H211" s="23"/>
    </row>
    <row r="212" spans="2:20" x14ac:dyDescent="0.35">
      <c r="B212" s="17"/>
      <c r="C212" s="17"/>
      <c r="D212" s="19"/>
      <c r="E212" s="17"/>
      <c r="F212" s="17"/>
      <c r="G212" s="17"/>
      <c r="H212" s="15"/>
    </row>
    <row r="213" spans="2:20" x14ac:dyDescent="0.35">
      <c r="B213" s="17"/>
      <c r="C213" s="17"/>
      <c r="D213" s="17"/>
      <c r="E213" s="17"/>
      <c r="F213" s="17"/>
      <c r="G213" s="17"/>
      <c r="H213" s="17"/>
    </row>
    <row r="214" spans="2:20" ht="13.15" x14ac:dyDescent="0.4">
      <c r="B214" s="17"/>
      <c r="C214" s="17"/>
      <c r="D214" s="24"/>
      <c r="E214" s="17"/>
      <c r="F214" s="24"/>
      <c r="G214" s="17"/>
      <c r="H214" s="24"/>
      <c r="K214" s="70" t="s">
        <v>31</v>
      </c>
      <c r="T214" s="70" t="s">
        <v>31</v>
      </c>
    </row>
    <row r="215" spans="2:20" x14ac:dyDescent="0.35">
      <c r="B215" s="17"/>
      <c r="C215" s="17"/>
      <c r="D215" s="17"/>
      <c r="E215" s="17"/>
      <c r="F215" s="17"/>
      <c r="G215" s="17"/>
      <c r="H215" s="17"/>
      <c r="K215" s="17"/>
      <c r="T215" s="17"/>
    </row>
    <row r="216" spans="2:20" x14ac:dyDescent="0.35">
      <c r="B216" s="78"/>
      <c r="C216" s="17"/>
      <c r="D216" s="16"/>
      <c r="E216" s="17"/>
      <c r="F216" s="17"/>
      <c r="G216" s="17"/>
      <c r="H216" s="16"/>
      <c r="K216" s="57">
        <v>17191.09</v>
      </c>
      <c r="T216" s="57">
        <v>17191.09</v>
      </c>
    </row>
    <row r="217" spans="2:20" x14ac:dyDescent="0.35">
      <c r="B217" s="78"/>
      <c r="C217" s="17"/>
      <c r="D217" s="16"/>
      <c r="E217" s="17"/>
      <c r="F217" s="17"/>
      <c r="G217" s="17"/>
      <c r="H217" s="16"/>
      <c r="K217" s="57">
        <v>17289.43</v>
      </c>
      <c r="T217" s="57">
        <v>17289.43</v>
      </c>
    </row>
    <row r="218" spans="2:20" x14ac:dyDescent="0.35">
      <c r="B218" s="78"/>
      <c r="C218" s="17"/>
      <c r="D218" s="16"/>
      <c r="E218" s="17"/>
      <c r="F218" s="17"/>
      <c r="G218" s="17"/>
      <c r="H218" s="16"/>
      <c r="K218" s="57">
        <v>17386.8</v>
      </c>
      <c r="T218" s="57">
        <v>17386.8</v>
      </c>
    </row>
    <row r="219" spans="2:20" x14ac:dyDescent="0.35">
      <c r="B219" s="78"/>
      <c r="C219" s="17"/>
      <c r="D219" s="16"/>
      <c r="E219" s="17"/>
      <c r="F219" s="17"/>
      <c r="G219" s="17"/>
      <c r="H219" s="16"/>
      <c r="K219" s="57">
        <v>17437.060000000001</v>
      </c>
      <c r="T219" s="57">
        <v>17437.060000000001</v>
      </c>
    </row>
    <row r="220" spans="2:20" x14ac:dyDescent="0.35">
      <c r="B220" s="78"/>
      <c r="C220" s="17"/>
      <c r="D220" s="16"/>
      <c r="E220" s="17"/>
      <c r="F220" s="17"/>
      <c r="G220" s="17"/>
      <c r="H220" s="16"/>
      <c r="K220" s="57">
        <v>17616</v>
      </c>
      <c r="T220" s="57">
        <v>17616</v>
      </c>
    </row>
    <row r="221" spans="2:20" x14ac:dyDescent="0.35">
      <c r="B221" s="78"/>
      <c r="C221" s="17"/>
      <c r="D221" s="16"/>
      <c r="E221" s="17"/>
      <c r="F221" s="17"/>
      <c r="G221" s="17"/>
      <c r="H221" s="16"/>
      <c r="K221" s="57">
        <v>17651.79</v>
      </c>
      <c r="T221" s="57">
        <v>17651.79</v>
      </c>
    </row>
    <row r="222" spans="2:20" x14ac:dyDescent="0.35">
      <c r="B222" s="78"/>
      <c r="C222" s="17"/>
      <c r="D222" s="16"/>
      <c r="E222" s="17"/>
      <c r="F222" s="17"/>
      <c r="G222" s="17"/>
      <c r="H222" s="16"/>
      <c r="K222" s="57">
        <v>17716.650000000001</v>
      </c>
      <c r="T222" s="57">
        <v>17716.650000000001</v>
      </c>
    </row>
    <row r="223" spans="2:20" x14ac:dyDescent="0.35">
      <c r="B223" s="78"/>
      <c r="C223" s="17"/>
      <c r="D223" s="16"/>
      <c r="E223" s="17"/>
      <c r="F223" s="17"/>
      <c r="G223" s="17"/>
      <c r="H223" s="16"/>
      <c r="K223" s="57">
        <v>17919.09</v>
      </c>
      <c r="T223" s="57">
        <v>17919.09</v>
      </c>
    </row>
    <row r="224" spans="2:20" x14ac:dyDescent="0.35">
      <c r="B224" s="78"/>
      <c r="C224" s="17"/>
      <c r="D224" s="16"/>
      <c r="E224" s="17"/>
      <c r="F224" s="17"/>
      <c r="G224" s="17"/>
      <c r="H224" s="16"/>
      <c r="K224" s="57">
        <v>17934.73</v>
      </c>
      <c r="T224" s="57">
        <v>17934.73</v>
      </c>
    </row>
    <row r="225" spans="2:20" x14ac:dyDescent="0.35">
      <c r="B225" s="78"/>
      <c r="C225" s="17"/>
      <c r="D225" s="16"/>
      <c r="E225" s="17"/>
      <c r="F225" s="17"/>
      <c r="G225" s="17"/>
      <c r="H225" s="16"/>
      <c r="K225" s="57">
        <v>18149.47</v>
      </c>
      <c r="T225" s="57">
        <v>18149.47</v>
      </c>
    </row>
    <row r="226" spans="2:20" x14ac:dyDescent="0.35">
      <c r="B226" s="78"/>
      <c r="C226" s="17"/>
      <c r="D226" s="16"/>
      <c r="E226" s="17"/>
      <c r="F226" s="17"/>
      <c r="G226" s="17"/>
      <c r="H226" s="16"/>
      <c r="K226" s="57">
        <v>18270.260000000002</v>
      </c>
      <c r="T226" s="57">
        <v>18270.260000000002</v>
      </c>
    </row>
    <row r="227" spans="2:20" x14ac:dyDescent="0.35">
      <c r="B227" s="78"/>
      <c r="C227" s="17"/>
      <c r="D227" s="16"/>
      <c r="E227" s="17"/>
      <c r="F227" s="17"/>
      <c r="G227" s="17"/>
      <c r="H227" s="16"/>
      <c r="K227" s="40">
        <v>18665</v>
      </c>
      <c r="T227" s="40">
        <v>18665</v>
      </c>
    </row>
    <row r="228" spans="2:20" x14ac:dyDescent="0.35">
      <c r="B228" s="17"/>
      <c r="C228" s="17"/>
      <c r="D228" s="19"/>
      <c r="E228" s="17"/>
      <c r="F228" s="17"/>
      <c r="G228" s="17"/>
      <c r="H228" s="19"/>
      <c r="K228" s="32">
        <f>SUM(K216:K227)</f>
        <v>213227.37000000002</v>
      </c>
      <c r="T228" s="32">
        <f>SUM(T216:T227)</f>
        <v>213227.37000000002</v>
      </c>
    </row>
    <row r="229" spans="2:20" x14ac:dyDescent="0.35">
      <c r="B229" s="17"/>
      <c r="C229" s="17"/>
      <c r="D229" s="17"/>
      <c r="E229" s="17"/>
      <c r="F229" s="17"/>
      <c r="G229" s="17"/>
      <c r="H229" s="17"/>
    </row>
    <row r="230" spans="2:20" ht="13.15" x14ac:dyDescent="0.4">
      <c r="B230" s="24"/>
      <c r="C230" s="17"/>
      <c r="D230" s="17"/>
      <c r="E230" s="17"/>
      <c r="F230" s="17"/>
      <c r="G230" s="17"/>
      <c r="H230" s="17"/>
    </row>
    <row r="231" spans="2:20" ht="13.15" x14ac:dyDescent="0.4">
      <c r="B231" s="24"/>
      <c r="C231" s="17"/>
      <c r="D231" s="24"/>
      <c r="E231" s="17"/>
      <c r="F231" s="17"/>
      <c r="G231" s="17"/>
      <c r="H231" s="17"/>
    </row>
    <row r="232" spans="2:20" x14ac:dyDescent="0.35">
      <c r="B232" s="17"/>
      <c r="C232" s="17"/>
      <c r="D232" s="17"/>
      <c r="E232" s="17"/>
      <c r="F232" s="17"/>
      <c r="G232" s="17"/>
      <c r="H232" s="17"/>
    </row>
    <row r="233" spans="2:20" x14ac:dyDescent="0.35">
      <c r="B233" s="78"/>
      <c r="C233" s="17"/>
      <c r="D233" s="16"/>
      <c r="E233" s="17"/>
      <c r="F233" s="17"/>
      <c r="G233" s="17"/>
      <c r="H233" s="17"/>
    </row>
    <row r="234" spans="2:20" x14ac:dyDescent="0.35">
      <c r="B234" s="78"/>
      <c r="C234" s="17"/>
      <c r="D234" s="16"/>
      <c r="E234" s="17"/>
      <c r="F234" s="17"/>
      <c r="G234" s="17"/>
      <c r="H234" s="17"/>
    </row>
    <row r="235" spans="2:20" x14ac:dyDescent="0.35">
      <c r="B235" s="78"/>
      <c r="C235" s="17"/>
      <c r="D235" s="16"/>
      <c r="E235" s="17"/>
      <c r="F235" s="17"/>
      <c r="G235" s="17"/>
      <c r="H235" s="17"/>
    </row>
    <row r="236" spans="2:20" x14ac:dyDescent="0.35">
      <c r="B236" s="78"/>
      <c r="C236" s="17"/>
      <c r="D236" s="16"/>
      <c r="E236" s="17"/>
      <c r="F236" s="17"/>
      <c r="G236" s="17"/>
      <c r="H236" s="17"/>
    </row>
    <row r="237" spans="2:20" x14ac:dyDescent="0.35">
      <c r="B237" s="78"/>
      <c r="C237" s="17"/>
      <c r="D237" s="16"/>
      <c r="E237" s="17"/>
      <c r="F237" s="17"/>
      <c r="G237" s="17"/>
      <c r="H237" s="17"/>
    </row>
    <row r="238" spans="2:20" x14ac:dyDescent="0.35">
      <c r="B238" s="78"/>
      <c r="C238" s="17"/>
      <c r="D238" s="16"/>
      <c r="E238" s="17"/>
      <c r="F238" s="17"/>
      <c r="G238" s="17"/>
      <c r="H238" s="17"/>
    </row>
    <row r="239" spans="2:20" x14ac:dyDescent="0.35">
      <c r="B239" s="78"/>
      <c r="C239" s="17"/>
      <c r="D239" s="16"/>
      <c r="E239" s="17"/>
      <c r="F239" s="17"/>
      <c r="G239" s="17"/>
      <c r="H239" s="17"/>
    </row>
    <row r="240" spans="2:20" x14ac:dyDescent="0.35">
      <c r="B240" s="78"/>
      <c r="C240" s="17"/>
      <c r="D240" s="16"/>
      <c r="E240" s="17"/>
      <c r="F240" s="17"/>
      <c r="G240" s="17"/>
      <c r="H240" s="17"/>
    </row>
    <row r="241" spans="2:8" x14ac:dyDescent="0.35">
      <c r="B241" s="78"/>
      <c r="C241" s="17"/>
      <c r="D241" s="16"/>
      <c r="E241" s="17"/>
      <c r="F241" s="17"/>
      <c r="G241" s="17"/>
      <c r="H241" s="17"/>
    </row>
    <row r="242" spans="2:8" x14ac:dyDescent="0.35">
      <c r="B242" s="78"/>
      <c r="C242" s="17"/>
      <c r="D242" s="16"/>
      <c r="E242" s="17"/>
      <c r="F242" s="17"/>
      <c r="G242" s="17"/>
      <c r="H242" s="17"/>
    </row>
    <row r="243" spans="2:8" x14ac:dyDescent="0.35">
      <c r="B243" s="78"/>
      <c r="C243" s="17"/>
      <c r="D243" s="16"/>
      <c r="E243" s="17"/>
      <c r="F243" s="17"/>
      <c r="G243" s="17"/>
      <c r="H243" s="17"/>
    </row>
    <row r="244" spans="2:8" x14ac:dyDescent="0.35">
      <c r="B244" s="78"/>
      <c r="C244" s="17"/>
      <c r="D244" s="16"/>
      <c r="E244" s="17"/>
      <c r="F244" s="17"/>
      <c r="G244" s="17"/>
      <c r="H244" s="17"/>
    </row>
    <row r="245" spans="2:8" x14ac:dyDescent="0.35">
      <c r="B245" s="17"/>
      <c r="C245" s="17"/>
      <c r="D245" s="19"/>
      <c r="E245" s="17"/>
      <c r="F245" s="17"/>
      <c r="G245" s="17"/>
      <c r="H245" s="17"/>
    </row>
    <row r="246" spans="2:8" x14ac:dyDescent="0.35">
      <c r="B246" s="17"/>
      <c r="C246" s="17"/>
      <c r="D246" s="17"/>
      <c r="E246" s="17"/>
      <c r="F246" s="17"/>
      <c r="G246" s="17"/>
      <c r="H246" s="17"/>
    </row>
    <row r="247" spans="2:8" x14ac:dyDescent="0.35">
      <c r="B247" s="17"/>
      <c r="C247" s="17"/>
      <c r="D247" s="17"/>
      <c r="E247" s="17"/>
      <c r="F247" s="17"/>
      <c r="G247" s="17"/>
      <c r="H247" s="17"/>
    </row>
    <row r="248" spans="2:8" ht="13.15" x14ac:dyDescent="0.4">
      <c r="B248" s="24"/>
      <c r="C248" s="17"/>
      <c r="D248" s="17"/>
      <c r="E248" s="17"/>
      <c r="F248" s="17"/>
      <c r="G248" s="17"/>
      <c r="H248" s="17"/>
    </row>
    <row r="249" spans="2:8" ht="13.15" x14ac:dyDescent="0.4">
      <c r="B249" s="24"/>
      <c r="C249" s="17"/>
      <c r="D249" s="24"/>
      <c r="E249" s="17"/>
      <c r="F249" s="17"/>
      <c r="G249" s="17"/>
      <c r="H249" s="17"/>
    </row>
    <row r="250" spans="2:8" x14ac:dyDescent="0.35">
      <c r="B250" s="17"/>
      <c r="C250" s="17"/>
      <c r="D250" s="17"/>
      <c r="E250" s="17"/>
      <c r="F250" s="17"/>
      <c r="G250" s="17"/>
      <c r="H250" s="17"/>
    </row>
    <row r="251" spans="2:8" x14ac:dyDescent="0.35">
      <c r="B251" s="78"/>
      <c r="C251" s="17"/>
      <c r="D251" s="16"/>
      <c r="E251" s="17"/>
      <c r="F251" s="17"/>
      <c r="G251" s="17"/>
      <c r="H251" s="17"/>
    </row>
    <row r="252" spans="2:8" x14ac:dyDescent="0.35">
      <c r="B252" s="78"/>
      <c r="C252" s="17"/>
      <c r="D252" s="16"/>
      <c r="E252" s="17"/>
      <c r="F252" s="17"/>
      <c r="G252" s="17"/>
      <c r="H252" s="17"/>
    </row>
    <row r="253" spans="2:8" x14ac:dyDescent="0.35">
      <c r="B253" s="78"/>
      <c r="C253" s="17"/>
      <c r="D253" s="16"/>
      <c r="E253" s="17"/>
      <c r="F253" s="17"/>
      <c r="G253" s="17"/>
      <c r="H253" s="17"/>
    </row>
    <row r="254" spans="2:8" x14ac:dyDescent="0.35">
      <c r="B254" s="78"/>
      <c r="C254" s="17"/>
      <c r="D254" s="16"/>
      <c r="E254" s="17"/>
      <c r="F254" s="17"/>
      <c r="G254" s="17"/>
      <c r="H254" s="17"/>
    </row>
    <row r="255" spans="2:8" x14ac:dyDescent="0.35">
      <c r="B255" s="78"/>
      <c r="C255" s="17"/>
      <c r="D255" s="16"/>
      <c r="E255" s="17"/>
      <c r="F255" s="17"/>
      <c r="G255" s="17"/>
      <c r="H255" s="17"/>
    </row>
    <row r="256" spans="2:8" x14ac:dyDescent="0.35">
      <c r="B256" s="78"/>
      <c r="C256" s="17"/>
      <c r="D256" s="16"/>
      <c r="E256" s="17"/>
      <c r="F256" s="17"/>
      <c r="G256" s="17"/>
      <c r="H256" s="17"/>
    </row>
    <row r="257" spans="2:8" x14ac:dyDescent="0.35">
      <c r="B257" s="78"/>
      <c r="C257" s="17"/>
      <c r="D257" s="16"/>
      <c r="E257" s="17"/>
      <c r="F257" s="17"/>
      <c r="G257" s="17"/>
      <c r="H257" s="17"/>
    </row>
    <row r="258" spans="2:8" x14ac:dyDescent="0.35">
      <c r="B258" s="78"/>
      <c r="C258" s="17"/>
      <c r="D258" s="16"/>
      <c r="E258" s="17"/>
      <c r="F258" s="17"/>
      <c r="G258" s="17"/>
      <c r="H258" s="17"/>
    </row>
    <row r="259" spans="2:8" x14ac:dyDescent="0.35">
      <c r="B259" s="78"/>
      <c r="C259" s="17"/>
      <c r="D259" s="16"/>
      <c r="E259" s="17"/>
      <c r="F259" s="17"/>
      <c r="G259" s="17"/>
      <c r="H259" s="17"/>
    </row>
    <row r="260" spans="2:8" x14ac:dyDescent="0.35">
      <c r="B260" s="78"/>
      <c r="C260" s="17"/>
      <c r="D260" s="16"/>
      <c r="E260" s="17"/>
      <c r="F260" s="17"/>
      <c r="G260" s="17"/>
      <c r="H260" s="17"/>
    </row>
    <row r="261" spans="2:8" x14ac:dyDescent="0.35">
      <c r="B261" s="78"/>
      <c r="C261" s="17"/>
      <c r="D261" s="16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17"/>
      <c r="C263" s="17"/>
      <c r="D263" s="19"/>
      <c r="E263" s="17"/>
      <c r="F263" s="17"/>
      <c r="G263" s="17"/>
      <c r="H263" s="17"/>
    </row>
    <row r="264" spans="2:8" x14ac:dyDescent="0.35">
      <c r="B264" s="17"/>
      <c r="C264" s="17"/>
      <c r="D264" s="17"/>
      <c r="E264" s="17"/>
      <c r="F264" s="17"/>
      <c r="G264" s="17"/>
      <c r="H264" s="17"/>
    </row>
    <row r="265" spans="2:8" x14ac:dyDescent="0.35">
      <c r="B265" s="17"/>
      <c r="C265" s="17"/>
      <c r="D265" s="17"/>
      <c r="E265" s="17"/>
      <c r="F265" s="17"/>
      <c r="G265" s="17"/>
      <c r="H265" s="17"/>
    </row>
  </sheetData>
  <mergeCells count="5">
    <mergeCell ref="D4:H5"/>
    <mergeCell ref="M4:Q5"/>
    <mergeCell ref="AE4:AI5"/>
    <mergeCell ref="AN4:AR5"/>
    <mergeCell ref="V4:Z5"/>
  </mergeCells>
  <pageMargins left="0.75" right="0.75" top="1" bottom="1" header="0.5" footer="0.5"/>
  <pageSetup scale="71" orientation="landscape" r:id="rId1"/>
  <headerFooter alignWithMargins="0"/>
  <colBreaks count="2" manualBreakCount="2">
    <brk id="17" max="38" man="1"/>
    <brk id="26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AN92"/>
  <sheetViews>
    <sheetView view="pageBreakPreview" topLeftCell="W64" zoomScaleNormal="75" zoomScaleSheetLayoutView="100" workbookViewId="0">
      <selection activeCell="AA90" sqref="AA90"/>
    </sheetView>
  </sheetViews>
  <sheetFormatPr defaultRowHeight="12.75" x14ac:dyDescent="0.35"/>
  <cols>
    <col min="1" max="1" width="36.3984375" customWidth="1"/>
    <col min="2" max="2" width="14.1328125" customWidth="1"/>
    <col min="3" max="3" width="10.86328125" customWidth="1"/>
    <col min="4" max="4" width="13.59765625" customWidth="1"/>
    <col min="5" max="5" width="13.3984375" customWidth="1"/>
    <col min="6" max="6" width="18" customWidth="1"/>
    <col min="7" max="7" width="4" customWidth="1"/>
    <col min="8" max="8" width="15.1328125" customWidth="1"/>
    <col min="9" max="9" width="12.73046875" customWidth="1"/>
    <col min="10" max="10" width="14" customWidth="1"/>
    <col min="11" max="11" width="18.86328125" customWidth="1"/>
    <col min="12" max="12" width="3.73046875" customWidth="1"/>
    <col min="13" max="13" width="16" customWidth="1"/>
    <col min="14" max="14" width="14.3984375" customWidth="1"/>
    <col min="15" max="15" width="16.265625" customWidth="1"/>
    <col min="16" max="16" width="3.3984375" customWidth="1"/>
    <col min="17" max="17" width="43.265625" customWidth="1"/>
    <col min="18" max="18" width="12.73046875" customWidth="1"/>
    <col min="19" max="19" width="12.59765625" customWidth="1"/>
    <col min="20" max="20" width="13" customWidth="1"/>
    <col min="21" max="21" width="22.1328125" customWidth="1"/>
    <col min="22" max="22" width="6.86328125" customWidth="1"/>
    <col min="23" max="23" width="43.265625" customWidth="1"/>
    <col min="24" max="24" width="12.73046875" customWidth="1"/>
    <col min="25" max="25" width="12.59765625" customWidth="1"/>
    <col min="26" max="26" width="13" customWidth="1"/>
    <col min="27" max="27" width="22.1328125" customWidth="1"/>
    <col min="28" max="28" width="5.265625" customWidth="1"/>
    <col min="29" max="29" width="43.265625" customWidth="1"/>
    <col min="30" max="30" width="12.73046875" customWidth="1"/>
    <col min="31" max="31" width="12.59765625" customWidth="1"/>
    <col min="32" max="32" width="13" customWidth="1"/>
    <col min="33" max="33" width="22.1328125" customWidth="1"/>
    <col min="35" max="35" width="43.265625" customWidth="1"/>
    <col min="36" max="36" width="12.73046875" customWidth="1"/>
    <col min="37" max="37" width="12.59765625" customWidth="1"/>
    <col min="38" max="38" width="13" customWidth="1"/>
    <col min="39" max="39" width="22.1328125" customWidth="1"/>
  </cols>
  <sheetData>
    <row r="1" spans="1:40" ht="13.15" x14ac:dyDescent="0.4">
      <c r="A1" s="34" t="s">
        <v>35</v>
      </c>
      <c r="H1" s="1"/>
      <c r="Q1" s="1"/>
      <c r="W1" s="1"/>
      <c r="AC1" s="1"/>
      <c r="AI1" s="1"/>
    </row>
    <row r="2" spans="1:40" ht="13.15" x14ac:dyDescent="0.4">
      <c r="A2" s="34" t="s">
        <v>19</v>
      </c>
      <c r="H2" s="1"/>
      <c r="Q2" s="1"/>
      <c r="W2" s="1"/>
      <c r="AC2" s="1"/>
      <c r="AF2">
        <v>5.7669683961694557E-2</v>
      </c>
      <c r="AI2" s="1"/>
      <c r="AL2">
        <v>1.9357557589439873E-2</v>
      </c>
    </row>
    <row r="3" spans="1:40" ht="13.5" thickBot="1" x14ac:dyDescent="0.45">
      <c r="A3" s="75"/>
      <c r="B3" s="76"/>
      <c r="H3" s="1"/>
      <c r="Q3" s="1"/>
      <c r="W3" s="1"/>
      <c r="AC3" s="1"/>
      <c r="AI3" s="1"/>
    </row>
    <row r="4" spans="1:40" ht="12.75" customHeight="1" x14ac:dyDescent="0.4">
      <c r="A4" s="34"/>
      <c r="B4" s="28"/>
      <c r="D4" s="25"/>
      <c r="E4" s="25"/>
      <c r="F4" s="25"/>
      <c r="G4" s="25"/>
      <c r="H4" s="34"/>
      <c r="I4" s="28"/>
      <c r="K4" s="87"/>
      <c r="L4" s="87"/>
      <c r="M4" s="87"/>
      <c r="N4" s="87"/>
      <c r="O4" s="87"/>
      <c r="Q4" s="34"/>
      <c r="R4" s="161" t="s">
        <v>173</v>
      </c>
      <c r="S4" s="162"/>
      <c r="T4" s="162"/>
      <c r="U4" s="163"/>
      <c r="V4" s="87"/>
      <c r="W4" s="34"/>
      <c r="X4" s="149" t="s">
        <v>198</v>
      </c>
      <c r="Y4" s="150"/>
      <c r="Z4" s="150"/>
      <c r="AA4" s="150"/>
      <c r="AB4" s="151"/>
      <c r="AC4" s="34"/>
      <c r="AD4" s="155" t="s">
        <v>195</v>
      </c>
      <c r="AE4" s="156"/>
      <c r="AF4" s="156"/>
      <c r="AG4" s="156"/>
      <c r="AH4" s="157"/>
      <c r="AI4" s="34"/>
      <c r="AJ4" s="155" t="s">
        <v>194</v>
      </c>
      <c r="AK4" s="156"/>
      <c r="AL4" s="156"/>
      <c r="AM4" s="156"/>
      <c r="AN4" s="157"/>
    </row>
    <row r="5" spans="1:40" ht="13.5" thickBot="1" x14ac:dyDescent="0.45">
      <c r="B5" s="87" t="s">
        <v>137</v>
      </c>
      <c r="C5" s="87"/>
      <c r="D5" s="87" t="s">
        <v>137</v>
      </c>
      <c r="E5" s="87" t="s">
        <v>137</v>
      </c>
      <c r="F5" s="87" t="s">
        <v>137</v>
      </c>
      <c r="G5" s="25"/>
      <c r="H5" s="99">
        <v>43891</v>
      </c>
      <c r="I5" s="99">
        <v>43891</v>
      </c>
      <c r="J5" s="99">
        <v>43891</v>
      </c>
      <c r="K5" s="99">
        <v>43891</v>
      </c>
      <c r="L5" s="87"/>
      <c r="M5" s="87" t="s">
        <v>139</v>
      </c>
      <c r="N5" s="87" t="s">
        <v>139</v>
      </c>
      <c r="O5" s="87" t="s">
        <v>139</v>
      </c>
      <c r="R5" s="164"/>
      <c r="S5" s="165"/>
      <c r="T5" s="165"/>
      <c r="U5" s="166"/>
      <c r="V5" s="87"/>
      <c r="X5" s="152"/>
      <c r="Y5" s="153"/>
      <c r="Z5" s="153"/>
      <c r="AA5" s="153"/>
      <c r="AB5" s="154"/>
      <c r="AD5" s="158"/>
      <c r="AE5" s="159"/>
      <c r="AF5" s="159"/>
      <c r="AG5" s="159"/>
      <c r="AH5" s="160"/>
      <c r="AJ5" s="158"/>
      <c r="AK5" s="159"/>
      <c r="AL5" s="159"/>
      <c r="AM5" s="159"/>
      <c r="AN5" s="160"/>
    </row>
    <row r="6" spans="1:40" ht="15" x14ac:dyDescent="0.4">
      <c r="A6" s="47" t="s">
        <v>0</v>
      </c>
      <c r="B6" s="98" t="s">
        <v>20</v>
      </c>
      <c r="C6" s="98" t="s">
        <v>3</v>
      </c>
      <c r="D6" s="98" t="s">
        <v>21</v>
      </c>
      <c r="E6" s="98" t="s">
        <v>138</v>
      </c>
      <c r="F6" s="98" t="s">
        <v>17</v>
      </c>
      <c r="G6" s="33"/>
      <c r="H6" s="98" t="s">
        <v>20</v>
      </c>
      <c r="I6" s="98" t="s">
        <v>21</v>
      </c>
      <c r="J6" s="98" t="s">
        <v>138</v>
      </c>
      <c r="K6" s="98" t="s">
        <v>17</v>
      </c>
      <c r="L6" s="47"/>
      <c r="M6" s="98" t="s">
        <v>20</v>
      </c>
      <c r="N6" s="98" t="s">
        <v>141</v>
      </c>
      <c r="O6" s="98" t="s">
        <v>140</v>
      </c>
      <c r="Q6" s="98" t="s">
        <v>0</v>
      </c>
      <c r="R6" s="98" t="s">
        <v>20</v>
      </c>
      <c r="S6" s="98" t="s">
        <v>21</v>
      </c>
      <c r="T6" s="98" t="s">
        <v>138</v>
      </c>
      <c r="U6" s="98" t="s">
        <v>17</v>
      </c>
      <c r="V6" s="98"/>
      <c r="W6" s="98" t="s">
        <v>0</v>
      </c>
      <c r="X6" s="98" t="s">
        <v>20</v>
      </c>
      <c r="Y6" s="98" t="s">
        <v>21</v>
      </c>
      <c r="Z6" s="98" t="s">
        <v>138</v>
      </c>
      <c r="AA6" s="98" t="s">
        <v>17</v>
      </c>
      <c r="AC6" s="98" t="s">
        <v>0</v>
      </c>
      <c r="AD6" s="98" t="s">
        <v>20</v>
      </c>
      <c r="AE6" s="98" t="s">
        <v>21</v>
      </c>
      <c r="AF6" s="98" t="s">
        <v>138</v>
      </c>
      <c r="AG6" s="98" t="s">
        <v>17</v>
      </c>
      <c r="AI6" s="98" t="s">
        <v>0</v>
      </c>
      <c r="AJ6" s="98" t="s">
        <v>20</v>
      </c>
      <c r="AK6" s="98" t="s">
        <v>21</v>
      </c>
      <c r="AL6" s="98" t="s">
        <v>138</v>
      </c>
      <c r="AM6" s="98" t="s">
        <v>17</v>
      </c>
    </row>
    <row r="7" spans="1:40" x14ac:dyDescent="0.35">
      <c r="G7" s="17"/>
    </row>
    <row r="8" spans="1:40" x14ac:dyDescent="0.35">
      <c r="A8" t="s">
        <v>91</v>
      </c>
      <c r="B8" s="74">
        <v>375</v>
      </c>
      <c r="C8" s="92" t="s">
        <v>134</v>
      </c>
      <c r="D8" s="74">
        <v>27750</v>
      </c>
      <c r="E8" s="90">
        <v>8.4700000000000006</v>
      </c>
      <c r="F8" s="60">
        <f>B8*E8</f>
        <v>3176.2500000000005</v>
      </c>
      <c r="G8" s="17"/>
      <c r="H8" s="6">
        <v>31</v>
      </c>
      <c r="I8" s="43">
        <v>2294</v>
      </c>
      <c r="J8" s="90">
        <v>8.36</v>
      </c>
      <c r="K8" s="90">
        <f>H8*J8</f>
        <v>259.15999999999997</v>
      </c>
      <c r="L8" s="43"/>
      <c r="M8" s="8">
        <f>B8+H8</f>
        <v>406</v>
      </c>
      <c r="N8" s="6">
        <f>D8+I8</f>
        <v>30044</v>
      </c>
      <c r="O8" s="5">
        <f>F8+K8</f>
        <v>3435.4100000000003</v>
      </c>
      <c r="Q8" t="s">
        <v>91</v>
      </c>
      <c r="R8" s="43">
        <f>M8</f>
        <v>406</v>
      </c>
      <c r="S8" s="43">
        <f>N8</f>
        <v>30044</v>
      </c>
      <c r="T8" s="48">
        <f>J8</f>
        <v>8.36</v>
      </c>
      <c r="U8" s="49">
        <f>R8*T8</f>
        <v>3394.16</v>
      </c>
      <c r="V8" s="49"/>
      <c r="W8" t="s">
        <v>91</v>
      </c>
      <c r="X8" s="43">
        <f>R8</f>
        <v>406</v>
      </c>
      <c r="Y8" s="43">
        <f>S8</f>
        <v>30044</v>
      </c>
      <c r="Z8" s="48">
        <v>8.67</v>
      </c>
      <c r="AA8" s="49">
        <f>X8*Z8</f>
        <v>3520.02</v>
      </c>
      <c r="AC8" t="s">
        <v>91</v>
      </c>
      <c r="AD8" s="43">
        <f t="shared" ref="AD8:AE12" si="0">R8</f>
        <v>406</v>
      </c>
      <c r="AE8" s="43">
        <f t="shared" si="0"/>
        <v>30044</v>
      </c>
      <c r="AF8" s="48">
        <f>ROUND(T8*(1+$AF$2),2)</f>
        <v>8.84</v>
      </c>
      <c r="AG8" s="49">
        <f>AD8*AF8</f>
        <v>3589.04</v>
      </c>
      <c r="AI8" t="s">
        <v>91</v>
      </c>
      <c r="AJ8" s="43">
        <f>AD8</f>
        <v>406</v>
      </c>
      <c r="AK8" s="43">
        <f>AE8</f>
        <v>30044</v>
      </c>
      <c r="AL8" s="48">
        <f>ROUND(AF8*(1+$AL$2),2)</f>
        <v>9.01</v>
      </c>
      <c r="AM8" s="49">
        <f>AJ8*AL8</f>
        <v>3658.06</v>
      </c>
    </row>
    <row r="9" spans="1:40" x14ac:dyDescent="0.35">
      <c r="A9" t="s">
        <v>92</v>
      </c>
      <c r="B9" s="74">
        <v>5375</v>
      </c>
      <c r="C9" s="92" t="s">
        <v>134</v>
      </c>
      <c r="D9" s="74">
        <v>315009</v>
      </c>
      <c r="E9" s="90">
        <v>8.4700000000000006</v>
      </c>
      <c r="F9" s="60">
        <f>B9*E9</f>
        <v>45526.25</v>
      </c>
      <c r="G9" s="17"/>
      <c r="H9" s="6">
        <v>378</v>
      </c>
      <c r="I9" s="43">
        <v>23796</v>
      </c>
      <c r="J9" s="90">
        <v>8.36</v>
      </c>
      <c r="K9" s="90">
        <f t="shared" ref="K9:K12" si="1">H9*J9</f>
        <v>3160.08</v>
      </c>
      <c r="L9" s="43"/>
      <c r="M9" s="8">
        <f t="shared" ref="M9:M12" si="2">B9+H9</f>
        <v>5753</v>
      </c>
      <c r="N9" s="6">
        <f t="shared" ref="N9:N12" si="3">D9+I9</f>
        <v>338805</v>
      </c>
      <c r="O9" s="5">
        <f>F9+K9</f>
        <v>48686.33</v>
      </c>
      <c r="Q9" t="s">
        <v>92</v>
      </c>
      <c r="R9" s="43">
        <f t="shared" ref="R9:S12" si="4">M9</f>
        <v>5753</v>
      </c>
      <c r="S9" s="43">
        <f t="shared" si="4"/>
        <v>338805</v>
      </c>
      <c r="T9" s="48">
        <f t="shared" ref="T9:T12" si="5">J9</f>
        <v>8.36</v>
      </c>
      <c r="U9" s="49">
        <f t="shared" ref="U9:U12" si="6">R9*T9</f>
        <v>48095.079999999994</v>
      </c>
      <c r="V9" s="49"/>
      <c r="W9" t="s">
        <v>92</v>
      </c>
      <c r="X9" s="43">
        <f t="shared" ref="X9:X12" si="7">R9</f>
        <v>5753</v>
      </c>
      <c r="Y9" s="43">
        <f t="shared" ref="Y9:Y12" si="8">S9</f>
        <v>338805</v>
      </c>
      <c r="Z9" s="48">
        <v>8.67</v>
      </c>
      <c r="AA9" s="49">
        <f t="shared" ref="AA9:AA12" si="9">X9*Z9</f>
        <v>49878.51</v>
      </c>
      <c r="AC9" t="s">
        <v>92</v>
      </c>
      <c r="AD9" s="43">
        <f t="shared" si="0"/>
        <v>5753</v>
      </c>
      <c r="AE9" s="43">
        <f t="shared" si="0"/>
        <v>338805</v>
      </c>
      <c r="AF9" s="48">
        <f t="shared" ref="AF9:AF12" si="10">ROUND(T9*(1+$AF$2),2)</f>
        <v>8.84</v>
      </c>
      <c r="AG9" s="49">
        <f t="shared" ref="AG9:AG12" si="11">AD9*AF9</f>
        <v>50856.52</v>
      </c>
      <c r="AI9" t="s">
        <v>92</v>
      </c>
      <c r="AJ9" s="43">
        <f t="shared" ref="AJ9:AJ12" si="12">AD9</f>
        <v>5753</v>
      </c>
      <c r="AK9" s="43">
        <f t="shared" ref="AK9:AK12" si="13">AE9</f>
        <v>338805</v>
      </c>
      <c r="AL9" s="48">
        <f t="shared" ref="AL9:AL12" si="14">ROUND(AF9*(1+$AL$2),2)</f>
        <v>9.01</v>
      </c>
      <c r="AM9" s="49">
        <f t="shared" ref="AM9:AM12" si="15">AJ9*AL9</f>
        <v>51834.53</v>
      </c>
    </row>
    <row r="10" spans="1:40" x14ac:dyDescent="0.35">
      <c r="A10" t="s">
        <v>93</v>
      </c>
      <c r="B10" s="74">
        <v>10832</v>
      </c>
      <c r="C10" s="92" t="s">
        <v>134</v>
      </c>
      <c r="D10" s="74">
        <v>417722</v>
      </c>
      <c r="E10" s="90">
        <v>16.14</v>
      </c>
      <c r="F10" s="60">
        <f>B10*E10</f>
        <v>174828.48</v>
      </c>
      <c r="G10" s="17"/>
      <c r="H10" s="6">
        <v>1052</v>
      </c>
      <c r="I10" s="43">
        <v>41028</v>
      </c>
      <c r="J10" s="90">
        <v>16.079999999999998</v>
      </c>
      <c r="K10" s="90">
        <f t="shared" si="1"/>
        <v>16916.16</v>
      </c>
      <c r="L10" s="43"/>
      <c r="M10" s="8">
        <f t="shared" si="2"/>
        <v>11884</v>
      </c>
      <c r="N10" s="6">
        <f t="shared" si="3"/>
        <v>458750</v>
      </c>
      <c r="O10" s="5">
        <f>F10+K10</f>
        <v>191744.64000000001</v>
      </c>
      <c r="Q10" t="s">
        <v>93</v>
      </c>
      <c r="R10" s="43">
        <f t="shared" si="4"/>
        <v>11884</v>
      </c>
      <c r="S10" s="43">
        <f t="shared" si="4"/>
        <v>458750</v>
      </c>
      <c r="T10" s="48">
        <f t="shared" si="5"/>
        <v>16.079999999999998</v>
      </c>
      <c r="U10" s="49">
        <f t="shared" si="6"/>
        <v>191094.71999999997</v>
      </c>
      <c r="V10" s="49"/>
      <c r="W10" t="s">
        <v>93</v>
      </c>
      <c r="X10" s="43">
        <f t="shared" si="7"/>
        <v>11884</v>
      </c>
      <c r="Y10" s="43">
        <f t="shared" si="8"/>
        <v>458750</v>
      </c>
      <c r="Z10" s="48">
        <v>16.670000000000002</v>
      </c>
      <c r="AA10" s="49">
        <f t="shared" si="9"/>
        <v>198106.28000000003</v>
      </c>
      <c r="AC10" t="s">
        <v>93</v>
      </c>
      <c r="AD10" s="43">
        <f t="shared" si="0"/>
        <v>11884</v>
      </c>
      <c r="AE10" s="43">
        <f t="shared" si="0"/>
        <v>458750</v>
      </c>
      <c r="AF10" s="48">
        <f t="shared" si="10"/>
        <v>17.010000000000002</v>
      </c>
      <c r="AG10" s="49">
        <f t="shared" si="11"/>
        <v>202146.84000000003</v>
      </c>
      <c r="AI10" t="s">
        <v>93</v>
      </c>
      <c r="AJ10" s="43">
        <f t="shared" si="12"/>
        <v>11884</v>
      </c>
      <c r="AK10" s="43">
        <f t="shared" si="13"/>
        <v>458750</v>
      </c>
      <c r="AL10" s="48">
        <f t="shared" si="14"/>
        <v>17.34</v>
      </c>
      <c r="AM10" s="49">
        <f t="shared" si="15"/>
        <v>206068.56</v>
      </c>
    </row>
    <row r="11" spans="1:40" x14ac:dyDescent="0.35">
      <c r="A11" t="s">
        <v>94</v>
      </c>
      <c r="B11" s="74">
        <v>42</v>
      </c>
      <c r="C11" s="93" t="s">
        <v>134</v>
      </c>
      <c r="D11" s="74">
        <v>6486</v>
      </c>
      <c r="E11" s="90">
        <v>13.76</v>
      </c>
      <c r="F11" s="60">
        <f>B11*E11</f>
        <v>577.91999999999996</v>
      </c>
      <c r="G11" s="15"/>
      <c r="H11" s="6">
        <v>3</v>
      </c>
      <c r="I11" s="43">
        <v>486</v>
      </c>
      <c r="J11" s="100">
        <v>13.52</v>
      </c>
      <c r="K11" s="90">
        <f t="shared" si="1"/>
        <v>40.56</v>
      </c>
      <c r="L11" s="43"/>
      <c r="M11" s="8">
        <f t="shared" si="2"/>
        <v>45</v>
      </c>
      <c r="N11" s="6">
        <f t="shared" si="3"/>
        <v>6972</v>
      </c>
      <c r="O11" s="5">
        <f>F11+K11</f>
        <v>618.48</v>
      </c>
      <c r="Q11" t="s">
        <v>94</v>
      </c>
      <c r="R11" s="43">
        <f t="shared" si="4"/>
        <v>45</v>
      </c>
      <c r="S11" s="43">
        <f t="shared" si="4"/>
        <v>6972</v>
      </c>
      <c r="T11" s="48">
        <f t="shared" si="5"/>
        <v>13.52</v>
      </c>
      <c r="U11" s="49">
        <f t="shared" si="6"/>
        <v>608.4</v>
      </c>
      <c r="V11" s="49"/>
      <c r="W11" t="s">
        <v>94</v>
      </c>
      <c r="X11" s="43">
        <f t="shared" si="7"/>
        <v>45</v>
      </c>
      <c r="Y11" s="43">
        <f t="shared" si="8"/>
        <v>6972</v>
      </c>
      <c r="Z11" s="48">
        <v>14.02</v>
      </c>
      <c r="AA11" s="49">
        <f t="shared" si="9"/>
        <v>630.9</v>
      </c>
      <c r="AC11" t="s">
        <v>94</v>
      </c>
      <c r="AD11" s="43">
        <f t="shared" si="0"/>
        <v>45</v>
      </c>
      <c r="AE11" s="43">
        <f t="shared" si="0"/>
        <v>6972</v>
      </c>
      <c r="AF11" s="48">
        <f t="shared" si="10"/>
        <v>14.3</v>
      </c>
      <c r="AG11" s="49">
        <f t="shared" si="11"/>
        <v>643.5</v>
      </c>
      <c r="AI11" t="s">
        <v>94</v>
      </c>
      <c r="AJ11" s="43">
        <f t="shared" si="12"/>
        <v>45</v>
      </c>
      <c r="AK11" s="43">
        <f t="shared" si="13"/>
        <v>6972</v>
      </c>
      <c r="AL11" s="48">
        <f t="shared" si="14"/>
        <v>14.58</v>
      </c>
      <c r="AM11" s="49">
        <f t="shared" si="15"/>
        <v>656.1</v>
      </c>
    </row>
    <row r="12" spans="1:40" x14ac:dyDescent="0.35">
      <c r="A12" t="s">
        <v>95</v>
      </c>
      <c r="B12" s="74">
        <v>253</v>
      </c>
      <c r="C12" s="92" t="s">
        <v>134</v>
      </c>
      <c r="D12" s="74">
        <v>34155</v>
      </c>
      <c r="E12" s="90">
        <v>13.76</v>
      </c>
      <c r="F12" s="60">
        <f>B12*E12</f>
        <v>3481.2799999999997</v>
      </c>
      <c r="G12" s="15"/>
      <c r="H12" s="6">
        <v>23</v>
      </c>
      <c r="I12" s="43">
        <v>3105</v>
      </c>
      <c r="J12" s="90">
        <v>13.52</v>
      </c>
      <c r="K12" s="90">
        <f t="shared" si="1"/>
        <v>310.95999999999998</v>
      </c>
      <c r="L12" s="43"/>
      <c r="M12" s="8">
        <f t="shared" si="2"/>
        <v>276</v>
      </c>
      <c r="N12" s="6">
        <f t="shared" si="3"/>
        <v>37260</v>
      </c>
      <c r="O12" s="5">
        <f>F12+K12</f>
        <v>3792.24</v>
      </c>
      <c r="Q12" t="s">
        <v>95</v>
      </c>
      <c r="R12" s="43">
        <f t="shared" si="4"/>
        <v>276</v>
      </c>
      <c r="S12" s="43">
        <f t="shared" si="4"/>
        <v>37260</v>
      </c>
      <c r="T12" s="48">
        <f t="shared" si="5"/>
        <v>13.52</v>
      </c>
      <c r="U12" s="49">
        <f t="shared" si="6"/>
        <v>3731.52</v>
      </c>
      <c r="V12" s="49"/>
      <c r="W12" t="s">
        <v>95</v>
      </c>
      <c r="X12" s="43">
        <f t="shared" si="7"/>
        <v>276</v>
      </c>
      <c r="Y12" s="43">
        <f t="shared" si="8"/>
        <v>37260</v>
      </c>
      <c r="Z12" s="48">
        <v>14.02</v>
      </c>
      <c r="AA12" s="49">
        <f t="shared" si="9"/>
        <v>3869.52</v>
      </c>
      <c r="AC12" t="s">
        <v>95</v>
      </c>
      <c r="AD12" s="43">
        <f t="shared" si="0"/>
        <v>276</v>
      </c>
      <c r="AE12" s="43">
        <f t="shared" si="0"/>
        <v>37260</v>
      </c>
      <c r="AF12" s="48">
        <f t="shared" si="10"/>
        <v>14.3</v>
      </c>
      <c r="AG12" s="49">
        <f t="shared" si="11"/>
        <v>3946.8</v>
      </c>
      <c r="AI12" t="s">
        <v>95</v>
      </c>
      <c r="AJ12" s="43">
        <f t="shared" si="12"/>
        <v>276</v>
      </c>
      <c r="AK12" s="43">
        <f t="shared" si="13"/>
        <v>37260</v>
      </c>
      <c r="AL12" s="48">
        <f t="shared" si="14"/>
        <v>14.58</v>
      </c>
      <c r="AM12" s="49">
        <f t="shared" si="15"/>
        <v>4024.08</v>
      </c>
    </row>
    <row r="13" spans="1:40" x14ac:dyDescent="0.35">
      <c r="B13" s="74"/>
      <c r="C13" s="92"/>
      <c r="D13" s="74"/>
      <c r="E13" s="90"/>
      <c r="F13" s="60"/>
      <c r="G13" s="15"/>
      <c r="H13" s="6"/>
      <c r="I13" s="43"/>
      <c r="J13" s="90"/>
      <c r="K13" s="90"/>
      <c r="L13" s="43"/>
      <c r="N13" s="48"/>
      <c r="O13" s="5"/>
      <c r="R13" s="43"/>
      <c r="S13" s="43"/>
      <c r="T13" s="48"/>
      <c r="U13" s="49"/>
      <c r="V13" s="49"/>
      <c r="X13" s="43"/>
      <c r="Y13" s="43"/>
      <c r="Z13" s="48"/>
      <c r="AA13" s="49"/>
      <c r="AD13" s="43"/>
      <c r="AE13" s="43"/>
      <c r="AF13" s="48"/>
      <c r="AG13" s="49"/>
      <c r="AJ13" s="43"/>
      <c r="AK13" s="43"/>
      <c r="AL13" s="48"/>
      <c r="AM13" s="49"/>
    </row>
    <row r="14" spans="1:40" ht="13.15" x14ac:dyDescent="0.4">
      <c r="A14" s="89" t="s">
        <v>96</v>
      </c>
      <c r="B14" s="74">
        <f>SUM(B8:B13)</f>
        <v>16877</v>
      </c>
      <c r="C14" s="92" t="s">
        <v>134</v>
      </c>
      <c r="D14" s="74">
        <f>SUM(D8:D13)</f>
        <v>801122</v>
      </c>
      <c r="E14" s="90"/>
      <c r="F14" s="60">
        <f>SUM(F8:F13)</f>
        <v>227590.18000000002</v>
      </c>
      <c r="G14" s="15"/>
      <c r="H14" s="102">
        <f>SUM(H8:H13)</f>
        <v>1487</v>
      </c>
      <c r="I14" s="74">
        <f>SUM(I8:I13)</f>
        <v>70709</v>
      </c>
      <c r="J14" s="90"/>
      <c r="K14" s="60">
        <f>SUM(K8:K13)</f>
        <v>20686.920000000002</v>
      </c>
      <c r="L14" s="43"/>
      <c r="M14" s="8">
        <f>SUM(M8:M13)</f>
        <v>18364</v>
      </c>
      <c r="N14" s="6">
        <f>SUM(N8:N13)</f>
        <v>871831</v>
      </c>
      <c r="O14" s="5">
        <f>SUM(O8:O13)</f>
        <v>248277.1</v>
      </c>
      <c r="Q14" s="89" t="s">
        <v>96</v>
      </c>
      <c r="R14" s="8">
        <f>SUM(R8:R13)</f>
        <v>18364</v>
      </c>
      <c r="S14" s="8">
        <f>SUM(S8:S13)</f>
        <v>871831</v>
      </c>
      <c r="T14" s="48"/>
      <c r="U14" s="49">
        <f>SUM(U8:U13)</f>
        <v>246923.87999999995</v>
      </c>
      <c r="V14" s="49"/>
      <c r="W14" s="89" t="s">
        <v>96</v>
      </c>
      <c r="X14" s="8">
        <f>SUM(X8:X13)</f>
        <v>18364</v>
      </c>
      <c r="Y14" s="8">
        <f>SUM(Y8:Y13)</f>
        <v>871831</v>
      </c>
      <c r="Z14" s="48"/>
      <c r="AA14" s="49">
        <f>SUM(AA8:AA13)</f>
        <v>256005.23</v>
      </c>
      <c r="AC14" s="89" t="s">
        <v>96</v>
      </c>
      <c r="AD14" s="8">
        <f>SUM(AD8:AD13)</f>
        <v>18364</v>
      </c>
      <c r="AE14" s="8">
        <f>SUM(AE8:AE13)</f>
        <v>871831</v>
      </c>
      <c r="AF14" s="48"/>
      <c r="AG14" s="49">
        <f>SUM(AG8:AG13)</f>
        <v>261182.7</v>
      </c>
      <c r="AI14" s="89" t="s">
        <v>96</v>
      </c>
      <c r="AJ14" s="8">
        <f>SUM(AJ8:AJ13)</f>
        <v>18364</v>
      </c>
      <c r="AK14" s="8">
        <f>SUM(AK8:AK13)</f>
        <v>871831</v>
      </c>
      <c r="AL14" s="48"/>
      <c r="AM14" s="49">
        <f>SUM(AM8:AM13)</f>
        <v>266241.33</v>
      </c>
    </row>
    <row r="15" spans="1:40" ht="13.15" x14ac:dyDescent="0.4">
      <c r="A15" s="89"/>
      <c r="B15" s="74"/>
      <c r="C15" s="92"/>
      <c r="D15" s="74"/>
      <c r="E15" s="90"/>
      <c r="F15" s="60"/>
      <c r="G15" s="15"/>
      <c r="H15" s="6"/>
      <c r="I15" s="43"/>
      <c r="J15" s="90"/>
      <c r="K15" s="90"/>
      <c r="L15" s="43"/>
      <c r="N15" s="48"/>
      <c r="O15" s="5"/>
      <c r="Q15" s="89"/>
      <c r="R15" s="43"/>
      <c r="S15" s="43"/>
      <c r="T15" s="48"/>
      <c r="U15" s="49"/>
      <c r="V15" s="49"/>
      <c r="W15" s="89"/>
      <c r="X15" s="43"/>
      <c r="Y15" s="43"/>
      <c r="Z15" s="48"/>
      <c r="AA15" s="49"/>
      <c r="AC15" s="89"/>
      <c r="AD15" s="43"/>
      <c r="AE15" s="43"/>
      <c r="AF15" s="48"/>
      <c r="AG15" s="49"/>
      <c r="AI15" s="89"/>
      <c r="AJ15" s="43"/>
      <c r="AK15" s="43"/>
      <c r="AL15" s="48"/>
      <c r="AM15" s="49"/>
    </row>
    <row r="16" spans="1:40" x14ac:dyDescent="0.35">
      <c r="A16" t="s">
        <v>97</v>
      </c>
      <c r="B16" s="74">
        <v>337</v>
      </c>
      <c r="C16" s="92" t="s">
        <v>135</v>
      </c>
      <c r="D16" s="74">
        <v>31670</v>
      </c>
      <c r="E16" s="90">
        <v>15.64</v>
      </c>
      <c r="F16" s="60">
        <f t="shared" ref="F16:F40" si="16">B16*E16</f>
        <v>5270.68</v>
      </c>
      <c r="G16" s="15"/>
      <c r="H16" s="6">
        <v>27</v>
      </c>
      <c r="I16" s="43">
        <v>2700</v>
      </c>
      <c r="J16" s="90">
        <v>15.48</v>
      </c>
      <c r="K16" s="90">
        <f t="shared" ref="K16:K40" si="17">H16*J16</f>
        <v>417.96000000000004</v>
      </c>
      <c r="L16" s="43"/>
      <c r="M16" s="8">
        <f t="shared" ref="M16:M40" si="18">B16+H16</f>
        <v>364</v>
      </c>
      <c r="N16" s="6">
        <f t="shared" ref="N16:N40" si="19">D16+I16</f>
        <v>34370</v>
      </c>
      <c r="O16" s="5">
        <f t="shared" ref="O16:O40" si="20">F16+K16</f>
        <v>5688.64</v>
      </c>
      <c r="Q16" t="s">
        <v>97</v>
      </c>
      <c r="R16" s="43">
        <f t="shared" ref="R16:S40" si="21">M16</f>
        <v>364</v>
      </c>
      <c r="S16" s="43">
        <f t="shared" si="21"/>
        <v>34370</v>
      </c>
      <c r="T16" s="48">
        <f>J16</f>
        <v>15.48</v>
      </c>
      <c r="U16" s="49">
        <f t="shared" ref="U16:U37" si="22">R16*T16</f>
        <v>5634.72</v>
      </c>
      <c r="V16" s="49"/>
      <c r="W16" t="s">
        <v>97</v>
      </c>
      <c r="X16" s="43">
        <f t="shared" ref="X16:Y40" si="23">R16</f>
        <v>364</v>
      </c>
      <c r="Y16" s="43">
        <f t="shared" si="23"/>
        <v>34370</v>
      </c>
      <c r="Z16" s="49">
        <v>16.05</v>
      </c>
      <c r="AA16" s="49">
        <f t="shared" ref="AA16:AA40" si="24">X16*Z16</f>
        <v>5842.2</v>
      </c>
      <c r="AB16" s="48"/>
      <c r="AC16" t="s">
        <v>97</v>
      </c>
      <c r="AD16" s="43">
        <f t="shared" ref="AD16:AD40" si="25">R16</f>
        <v>364</v>
      </c>
      <c r="AE16" s="43">
        <f t="shared" ref="AE16:AE40" si="26">S16</f>
        <v>34370</v>
      </c>
      <c r="AF16" s="48">
        <f t="shared" ref="AF16:AF40" si="27">ROUND(T16*(1+$AF$2),2)</f>
        <v>16.37</v>
      </c>
      <c r="AG16" s="49">
        <f t="shared" ref="AG16:AG37" si="28">AD16*AF16</f>
        <v>5958.68</v>
      </c>
      <c r="AI16" t="s">
        <v>97</v>
      </c>
      <c r="AJ16" s="43">
        <f t="shared" ref="AJ16:AJ40" si="29">AD16</f>
        <v>364</v>
      </c>
      <c r="AK16" s="43">
        <f t="shared" ref="AK16:AK40" si="30">AE16</f>
        <v>34370</v>
      </c>
      <c r="AL16" s="48">
        <f t="shared" ref="AL16:AL40" si="31">ROUND(AF16*(1+$AL$2),2)</f>
        <v>16.690000000000001</v>
      </c>
      <c r="AM16" s="49">
        <f t="shared" ref="AM16:AM40" si="32">AJ16*AL16</f>
        <v>6075.1600000000008</v>
      </c>
    </row>
    <row r="17" spans="1:39" x14ac:dyDescent="0.35">
      <c r="A17" t="s">
        <v>98</v>
      </c>
      <c r="B17" s="74">
        <v>271</v>
      </c>
      <c r="C17" s="92" t="s">
        <v>135</v>
      </c>
      <c r="D17" s="74">
        <v>25360</v>
      </c>
      <c r="E17" s="90">
        <v>21.96</v>
      </c>
      <c r="F17" s="60">
        <f t="shared" si="16"/>
        <v>5951.16</v>
      </c>
      <c r="G17" s="17"/>
      <c r="H17" s="6">
        <v>23</v>
      </c>
      <c r="I17" s="43">
        <v>2300</v>
      </c>
      <c r="J17" s="90">
        <v>21.8</v>
      </c>
      <c r="K17" s="90">
        <f t="shared" si="17"/>
        <v>501.40000000000003</v>
      </c>
      <c r="L17" s="43"/>
      <c r="M17" s="8">
        <f t="shared" si="18"/>
        <v>294</v>
      </c>
      <c r="N17" s="6">
        <f t="shared" si="19"/>
        <v>27660</v>
      </c>
      <c r="O17" s="5">
        <f t="shared" si="20"/>
        <v>6452.5599999999995</v>
      </c>
      <c r="Q17" t="s">
        <v>98</v>
      </c>
      <c r="R17" s="43">
        <f t="shared" si="21"/>
        <v>294</v>
      </c>
      <c r="S17" s="43">
        <f t="shared" si="21"/>
        <v>27660</v>
      </c>
      <c r="T17" s="48">
        <f t="shared" ref="T17:T40" si="33">J17</f>
        <v>21.8</v>
      </c>
      <c r="U17" s="49">
        <f t="shared" si="22"/>
        <v>6409.2</v>
      </c>
      <c r="V17" s="49"/>
      <c r="W17" t="s">
        <v>98</v>
      </c>
      <c r="X17" s="43">
        <f t="shared" si="23"/>
        <v>294</v>
      </c>
      <c r="Y17" s="43">
        <f t="shared" si="23"/>
        <v>27660</v>
      </c>
      <c r="Z17" s="49">
        <v>22.6</v>
      </c>
      <c r="AA17" s="49">
        <f t="shared" si="24"/>
        <v>6644.4000000000005</v>
      </c>
      <c r="AB17" s="48"/>
      <c r="AC17" t="s">
        <v>98</v>
      </c>
      <c r="AD17" s="43">
        <f t="shared" si="25"/>
        <v>294</v>
      </c>
      <c r="AE17" s="43">
        <f t="shared" si="26"/>
        <v>27660</v>
      </c>
      <c r="AF17" s="48">
        <f t="shared" si="27"/>
        <v>23.06</v>
      </c>
      <c r="AG17" s="49">
        <f t="shared" si="28"/>
        <v>6779.6399999999994</v>
      </c>
      <c r="AI17" t="s">
        <v>98</v>
      </c>
      <c r="AJ17" s="43">
        <f t="shared" si="29"/>
        <v>294</v>
      </c>
      <c r="AK17" s="43">
        <f t="shared" si="30"/>
        <v>27660</v>
      </c>
      <c r="AL17" s="48">
        <f t="shared" si="31"/>
        <v>23.51</v>
      </c>
      <c r="AM17" s="49">
        <f t="shared" si="32"/>
        <v>6911.9400000000005</v>
      </c>
    </row>
    <row r="18" spans="1:39" x14ac:dyDescent="0.35">
      <c r="A18" t="s">
        <v>99</v>
      </c>
      <c r="B18" s="74">
        <v>647</v>
      </c>
      <c r="C18" s="92" t="s">
        <v>135</v>
      </c>
      <c r="D18" s="74">
        <v>22749</v>
      </c>
      <c r="E18" s="90">
        <v>16.14</v>
      </c>
      <c r="F18" s="60">
        <f t="shared" si="16"/>
        <v>10442.58</v>
      </c>
      <c r="G18" s="15"/>
      <c r="H18" s="6">
        <v>56</v>
      </c>
      <c r="I18" s="43">
        <v>2184</v>
      </c>
      <c r="J18" s="90">
        <v>16.079999999999998</v>
      </c>
      <c r="K18" s="90">
        <f t="shared" si="17"/>
        <v>900.4799999999999</v>
      </c>
      <c r="L18" s="43"/>
      <c r="M18" s="8">
        <f t="shared" si="18"/>
        <v>703</v>
      </c>
      <c r="N18" s="6">
        <f t="shared" si="19"/>
        <v>24933</v>
      </c>
      <c r="O18" s="5">
        <f t="shared" si="20"/>
        <v>11343.06</v>
      </c>
      <c r="Q18" t="s">
        <v>99</v>
      </c>
      <c r="R18" s="43">
        <f t="shared" si="21"/>
        <v>703</v>
      </c>
      <c r="S18" s="43">
        <f t="shared" si="21"/>
        <v>24933</v>
      </c>
      <c r="T18" s="48">
        <f t="shared" si="33"/>
        <v>16.079999999999998</v>
      </c>
      <c r="U18" s="49">
        <f t="shared" si="22"/>
        <v>11304.239999999998</v>
      </c>
      <c r="V18" s="49"/>
      <c r="W18" t="s">
        <v>99</v>
      </c>
      <c r="X18" s="43">
        <f t="shared" si="23"/>
        <v>703</v>
      </c>
      <c r="Y18" s="43">
        <f t="shared" si="23"/>
        <v>24933</v>
      </c>
      <c r="Z18" s="49">
        <v>16.670000000000002</v>
      </c>
      <c r="AA18" s="49">
        <f t="shared" si="24"/>
        <v>11719.010000000002</v>
      </c>
      <c r="AB18" s="48"/>
      <c r="AC18" t="s">
        <v>99</v>
      </c>
      <c r="AD18" s="43">
        <f t="shared" si="25"/>
        <v>703</v>
      </c>
      <c r="AE18" s="43">
        <f t="shared" si="26"/>
        <v>24933</v>
      </c>
      <c r="AF18" s="48">
        <f t="shared" si="27"/>
        <v>17.010000000000002</v>
      </c>
      <c r="AG18" s="49">
        <f t="shared" si="28"/>
        <v>11958.03</v>
      </c>
      <c r="AI18" t="s">
        <v>99</v>
      </c>
      <c r="AJ18" s="43">
        <f t="shared" si="29"/>
        <v>703</v>
      </c>
      <c r="AK18" s="43">
        <f t="shared" si="30"/>
        <v>24933</v>
      </c>
      <c r="AL18" s="48">
        <f t="shared" si="31"/>
        <v>17.34</v>
      </c>
      <c r="AM18" s="49">
        <f t="shared" si="32"/>
        <v>12190.02</v>
      </c>
    </row>
    <row r="19" spans="1:39" x14ac:dyDescent="0.35">
      <c r="A19" t="s">
        <v>100</v>
      </c>
      <c r="B19" s="74">
        <v>97</v>
      </c>
      <c r="C19" s="92" t="s">
        <v>135</v>
      </c>
      <c r="D19" s="74">
        <v>0</v>
      </c>
      <c r="E19" s="90">
        <v>13.22</v>
      </c>
      <c r="F19" s="60">
        <f t="shared" si="16"/>
        <v>1282.3400000000001</v>
      </c>
      <c r="G19" s="23"/>
      <c r="H19" s="6">
        <v>11</v>
      </c>
      <c r="I19" s="43">
        <v>0</v>
      </c>
      <c r="J19" s="90">
        <v>13.22</v>
      </c>
      <c r="K19" s="90">
        <f t="shared" si="17"/>
        <v>145.42000000000002</v>
      </c>
      <c r="L19" s="43"/>
      <c r="M19" s="8">
        <f t="shared" si="18"/>
        <v>108</v>
      </c>
      <c r="N19" s="6">
        <f t="shared" si="19"/>
        <v>0</v>
      </c>
      <c r="O19" s="5">
        <f t="shared" si="20"/>
        <v>1427.7600000000002</v>
      </c>
      <c r="Q19" t="s">
        <v>100</v>
      </c>
      <c r="R19" s="43">
        <f t="shared" si="21"/>
        <v>108</v>
      </c>
      <c r="S19" s="43">
        <f t="shared" si="21"/>
        <v>0</v>
      </c>
      <c r="T19" s="48">
        <f t="shared" si="33"/>
        <v>13.22</v>
      </c>
      <c r="U19" s="49">
        <f t="shared" si="22"/>
        <v>1427.76</v>
      </c>
      <c r="V19" s="49"/>
      <c r="W19" t="s">
        <v>100</v>
      </c>
      <c r="X19" s="43">
        <f t="shared" si="23"/>
        <v>108</v>
      </c>
      <c r="Y19" s="43">
        <f t="shared" si="23"/>
        <v>0</v>
      </c>
      <c r="Z19" s="49">
        <v>13.7</v>
      </c>
      <c r="AA19" s="49">
        <f t="shared" si="24"/>
        <v>1479.6</v>
      </c>
      <c r="AB19" s="48"/>
      <c r="AC19" t="s">
        <v>100</v>
      </c>
      <c r="AD19" s="43">
        <f t="shared" si="25"/>
        <v>108</v>
      </c>
      <c r="AE19" s="43">
        <f t="shared" si="26"/>
        <v>0</v>
      </c>
      <c r="AF19" s="48">
        <f t="shared" si="27"/>
        <v>13.98</v>
      </c>
      <c r="AG19" s="49">
        <f t="shared" si="28"/>
        <v>1509.8400000000001</v>
      </c>
      <c r="AI19" t="s">
        <v>100</v>
      </c>
      <c r="AJ19" s="43">
        <f t="shared" si="29"/>
        <v>108</v>
      </c>
      <c r="AK19" s="43">
        <f t="shared" si="30"/>
        <v>0</v>
      </c>
      <c r="AL19" s="48">
        <f t="shared" si="31"/>
        <v>14.25</v>
      </c>
      <c r="AM19" s="49">
        <f t="shared" si="32"/>
        <v>1539</v>
      </c>
    </row>
    <row r="20" spans="1:39" s="76" customFormat="1" x14ac:dyDescent="0.35">
      <c r="A20" s="135" t="s">
        <v>201</v>
      </c>
      <c r="B20" s="126">
        <v>0</v>
      </c>
      <c r="C20" s="127" t="s">
        <v>135</v>
      </c>
      <c r="D20" s="126">
        <v>0</v>
      </c>
      <c r="E20" s="90">
        <v>10.16</v>
      </c>
      <c r="F20" s="129">
        <f t="shared" ref="F20:F23" si="34">B20*E20</f>
        <v>0</v>
      </c>
      <c r="G20" s="134"/>
      <c r="H20" s="124">
        <v>0</v>
      </c>
      <c r="I20" s="126">
        <v>0</v>
      </c>
      <c r="J20" s="90">
        <v>10.16</v>
      </c>
      <c r="K20" s="128">
        <f t="shared" ref="K20:K23" si="35">H20*J20</f>
        <v>0</v>
      </c>
      <c r="L20" s="126"/>
      <c r="M20" s="131">
        <f t="shared" ref="M20:M23" si="36">B20+H20</f>
        <v>0</v>
      </c>
      <c r="N20" s="124">
        <f t="shared" ref="N20:N23" si="37">D20+I20</f>
        <v>0</v>
      </c>
      <c r="O20" s="128">
        <f t="shared" ref="O20:O23" si="38">F20+K20</f>
        <v>0</v>
      </c>
      <c r="Q20" s="135" t="s">
        <v>201</v>
      </c>
      <c r="R20" s="126">
        <f t="shared" ref="R20:R23" si="39">M20</f>
        <v>0</v>
      </c>
      <c r="S20" s="126">
        <f t="shared" ref="S20:S23" si="40">N20</f>
        <v>0</v>
      </c>
      <c r="T20" s="132">
        <f t="shared" ref="T20:T23" si="41">J20</f>
        <v>10.16</v>
      </c>
      <c r="U20" s="133">
        <f t="shared" ref="U20:U23" si="42">R20*T20</f>
        <v>0</v>
      </c>
      <c r="V20" s="133"/>
      <c r="W20" s="135" t="s">
        <v>201</v>
      </c>
      <c r="X20" s="126">
        <f t="shared" ref="X20:X23" si="43">R20</f>
        <v>0</v>
      </c>
      <c r="Y20" s="126">
        <f t="shared" ref="Y20:Y23" si="44">S20</f>
        <v>0</v>
      </c>
      <c r="Z20" s="137">
        <v>10.53</v>
      </c>
      <c r="AA20" s="133">
        <f t="shared" ref="AA20:AA23" si="45">X20*Z20</f>
        <v>0</v>
      </c>
      <c r="AB20" s="132"/>
      <c r="AC20" s="135" t="s">
        <v>201</v>
      </c>
      <c r="AD20" s="126">
        <f t="shared" ref="AD20:AD23" si="46">R20</f>
        <v>0</v>
      </c>
      <c r="AE20" s="126">
        <f t="shared" ref="AE20:AE23" si="47">S20</f>
        <v>0</v>
      </c>
      <c r="AF20" s="132">
        <f t="shared" ref="AF20:AF23" si="48">ROUND(T20*(1+$AF$2),2)</f>
        <v>10.75</v>
      </c>
      <c r="AG20" s="133">
        <f t="shared" ref="AG20:AG23" si="49">AD20*AF20</f>
        <v>0</v>
      </c>
      <c r="AI20" s="135" t="s">
        <v>201</v>
      </c>
      <c r="AJ20" s="126">
        <f t="shared" ref="AJ20:AJ23" si="50">AD20</f>
        <v>0</v>
      </c>
      <c r="AK20" s="126">
        <f t="shared" ref="AK20:AK23" si="51">AE20</f>
        <v>0</v>
      </c>
      <c r="AL20" s="132">
        <f t="shared" ref="AL20:AL23" si="52">ROUND(AF20*(1+$AL$2),2)</f>
        <v>10.96</v>
      </c>
      <c r="AM20" s="133">
        <f t="shared" ref="AM20:AM23" si="53">AJ20*AL20</f>
        <v>0</v>
      </c>
    </row>
    <row r="21" spans="1:39" s="76" customFormat="1" x14ac:dyDescent="0.35">
      <c r="A21" s="135" t="s">
        <v>202</v>
      </c>
      <c r="B21" s="126">
        <v>0</v>
      </c>
      <c r="C21" s="127" t="s">
        <v>135</v>
      </c>
      <c r="D21" s="126">
        <v>0</v>
      </c>
      <c r="E21" s="90">
        <v>16.32</v>
      </c>
      <c r="F21" s="129">
        <f t="shared" si="34"/>
        <v>0</v>
      </c>
      <c r="G21" s="134"/>
      <c r="H21" s="124">
        <v>0</v>
      </c>
      <c r="I21" s="126">
        <v>0</v>
      </c>
      <c r="J21" s="90">
        <v>16.32</v>
      </c>
      <c r="K21" s="128">
        <f t="shared" si="35"/>
        <v>0</v>
      </c>
      <c r="L21" s="126"/>
      <c r="M21" s="131">
        <f t="shared" si="36"/>
        <v>0</v>
      </c>
      <c r="N21" s="124">
        <f t="shared" si="37"/>
        <v>0</v>
      </c>
      <c r="O21" s="128">
        <f t="shared" si="38"/>
        <v>0</v>
      </c>
      <c r="Q21" s="135" t="s">
        <v>202</v>
      </c>
      <c r="R21" s="126">
        <f t="shared" si="39"/>
        <v>0</v>
      </c>
      <c r="S21" s="126">
        <f t="shared" si="40"/>
        <v>0</v>
      </c>
      <c r="T21" s="132">
        <f t="shared" si="41"/>
        <v>16.32</v>
      </c>
      <c r="U21" s="133">
        <f t="shared" si="42"/>
        <v>0</v>
      </c>
      <c r="V21" s="133"/>
      <c r="W21" s="135" t="s">
        <v>202</v>
      </c>
      <c r="X21" s="126">
        <f t="shared" si="43"/>
        <v>0</v>
      </c>
      <c r="Y21" s="126">
        <f t="shared" si="44"/>
        <v>0</v>
      </c>
      <c r="Z21" s="137">
        <v>16.920000000000002</v>
      </c>
      <c r="AA21" s="133">
        <f t="shared" si="45"/>
        <v>0</v>
      </c>
      <c r="AB21" s="132"/>
      <c r="AC21" s="135" t="s">
        <v>202</v>
      </c>
      <c r="AD21" s="126">
        <f t="shared" si="46"/>
        <v>0</v>
      </c>
      <c r="AE21" s="126">
        <f t="shared" si="47"/>
        <v>0</v>
      </c>
      <c r="AF21" s="132">
        <f t="shared" si="48"/>
        <v>17.260000000000002</v>
      </c>
      <c r="AG21" s="133">
        <f t="shared" si="49"/>
        <v>0</v>
      </c>
      <c r="AI21" s="135" t="s">
        <v>202</v>
      </c>
      <c r="AJ21" s="126">
        <f t="shared" si="50"/>
        <v>0</v>
      </c>
      <c r="AK21" s="126">
        <f t="shared" si="51"/>
        <v>0</v>
      </c>
      <c r="AL21" s="132">
        <f t="shared" si="52"/>
        <v>17.59</v>
      </c>
      <c r="AM21" s="133">
        <f t="shared" si="53"/>
        <v>0</v>
      </c>
    </row>
    <row r="22" spans="1:39" s="76" customFormat="1" x14ac:dyDescent="0.35">
      <c r="A22" s="135" t="s">
        <v>203</v>
      </c>
      <c r="B22" s="126">
        <v>0</v>
      </c>
      <c r="C22" s="127" t="s">
        <v>135</v>
      </c>
      <c r="D22" s="126">
        <v>0</v>
      </c>
      <c r="E22" s="90">
        <v>18.79</v>
      </c>
      <c r="F22" s="129">
        <f t="shared" si="34"/>
        <v>0</v>
      </c>
      <c r="G22" s="134"/>
      <c r="H22" s="124">
        <v>0</v>
      </c>
      <c r="I22" s="126">
        <v>0</v>
      </c>
      <c r="J22" s="90">
        <v>18.73</v>
      </c>
      <c r="K22" s="128">
        <f t="shared" si="35"/>
        <v>0</v>
      </c>
      <c r="L22" s="126"/>
      <c r="M22" s="131">
        <f t="shared" si="36"/>
        <v>0</v>
      </c>
      <c r="N22" s="124">
        <f t="shared" si="37"/>
        <v>0</v>
      </c>
      <c r="O22" s="128">
        <f t="shared" si="38"/>
        <v>0</v>
      </c>
      <c r="Q22" s="135" t="s">
        <v>203</v>
      </c>
      <c r="R22" s="126">
        <f t="shared" si="39"/>
        <v>0</v>
      </c>
      <c r="S22" s="126">
        <f t="shared" si="40"/>
        <v>0</v>
      </c>
      <c r="T22" s="132">
        <f t="shared" si="41"/>
        <v>18.73</v>
      </c>
      <c r="U22" s="133">
        <f t="shared" si="42"/>
        <v>0</v>
      </c>
      <c r="V22" s="133"/>
      <c r="W22" s="135" t="s">
        <v>203</v>
      </c>
      <c r="X22" s="126">
        <f t="shared" si="43"/>
        <v>0</v>
      </c>
      <c r="Y22" s="126">
        <f t="shared" si="44"/>
        <v>0</v>
      </c>
      <c r="Z22" s="137">
        <v>19.420000000000002</v>
      </c>
      <c r="AA22" s="133">
        <f t="shared" si="45"/>
        <v>0</v>
      </c>
      <c r="AB22" s="132"/>
      <c r="AC22" s="135" t="s">
        <v>203</v>
      </c>
      <c r="AD22" s="126">
        <f t="shared" si="46"/>
        <v>0</v>
      </c>
      <c r="AE22" s="126">
        <f t="shared" si="47"/>
        <v>0</v>
      </c>
      <c r="AF22" s="132">
        <f t="shared" si="48"/>
        <v>19.809999999999999</v>
      </c>
      <c r="AG22" s="133">
        <f t="shared" si="49"/>
        <v>0</v>
      </c>
      <c r="AI22" s="135" t="s">
        <v>203</v>
      </c>
      <c r="AJ22" s="126">
        <f t="shared" si="50"/>
        <v>0</v>
      </c>
      <c r="AK22" s="126">
        <f t="shared" si="51"/>
        <v>0</v>
      </c>
      <c r="AL22" s="132">
        <f t="shared" si="52"/>
        <v>20.190000000000001</v>
      </c>
      <c r="AM22" s="133">
        <f t="shared" si="53"/>
        <v>0</v>
      </c>
    </row>
    <row r="23" spans="1:39" s="76" customFormat="1" x14ac:dyDescent="0.35">
      <c r="A23" s="135" t="s">
        <v>203</v>
      </c>
      <c r="B23" s="126">
        <v>0</v>
      </c>
      <c r="C23" s="127" t="s">
        <v>135</v>
      </c>
      <c r="D23" s="126">
        <v>0</v>
      </c>
      <c r="E23" s="90">
        <v>16.32</v>
      </c>
      <c r="F23" s="129">
        <f t="shared" si="34"/>
        <v>0</v>
      </c>
      <c r="G23" s="134"/>
      <c r="H23" s="124">
        <v>0</v>
      </c>
      <c r="I23" s="126">
        <v>0</v>
      </c>
      <c r="J23" s="90">
        <v>16.32</v>
      </c>
      <c r="K23" s="128">
        <f t="shared" si="35"/>
        <v>0</v>
      </c>
      <c r="L23" s="126"/>
      <c r="M23" s="131">
        <f t="shared" si="36"/>
        <v>0</v>
      </c>
      <c r="N23" s="124">
        <f t="shared" si="37"/>
        <v>0</v>
      </c>
      <c r="O23" s="128">
        <f t="shared" si="38"/>
        <v>0</v>
      </c>
      <c r="Q23" s="135" t="s">
        <v>203</v>
      </c>
      <c r="R23" s="126">
        <f t="shared" si="39"/>
        <v>0</v>
      </c>
      <c r="S23" s="126">
        <f t="shared" si="40"/>
        <v>0</v>
      </c>
      <c r="T23" s="132">
        <f t="shared" si="41"/>
        <v>16.32</v>
      </c>
      <c r="U23" s="133">
        <f t="shared" si="42"/>
        <v>0</v>
      </c>
      <c r="V23" s="133"/>
      <c r="W23" s="135" t="s">
        <v>203</v>
      </c>
      <c r="X23" s="126">
        <f t="shared" si="43"/>
        <v>0</v>
      </c>
      <c r="Y23" s="126">
        <f t="shared" si="44"/>
        <v>0</v>
      </c>
      <c r="Z23" s="137">
        <v>16.920000000000002</v>
      </c>
      <c r="AA23" s="133">
        <f t="shared" si="45"/>
        <v>0</v>
      </c>
      <c r="AB23" s="132"/>
      <c r="AC23" s="135" t="s">
        <v>203</v>
      </c>
      <c r="AD23" s="126">
        <f t="shared" si="46"/>
        <v>0</v>
      </c>
      <c r="AE23" s="126">
        <f t="shared" si="47"/>
        <v>0</v>
      </c>
      <c r="AF23" s="132">
        <f t="shared" si="48"/>
        <v>17.260000000000002</v>
      </c>
      <c r="AG23" s="133">
        <f t="shared" si="49"/>
        <v>0</v>
      </c>
      <c r="AI23" s="135" t="s">
        <v>203</v>
      </c>
      <c r="AJ23" s="126">
        <f t="shared" si="50"/>
        <v>0</v>
      </c>
      <c r="AK23" s="126">
        <f t="shared" si="51"/>
        <v>0</v>
      </c>
      <c r="AL23" s="132">
        <f t="shared" si="52"/>
        <v>17.59</v>
      </c>
      <c r="AM23" s="133">
        <f t="shared" si="53"/>
        <v>0</v>
      </c>
    </row>
    <row r="24" spans="1:39" x14ac:dyDescent="0.35">
      <c r="A24" t="s">
        <v>101</v>
      </c>
      <c r="B24" s="74">
        <v>906</v>
      </c>
      <c r="C24" s="92" t="s">
        <v>135</v>
      </c>
      <c r="D24" s="74">
        <v>39226</v>
      </c>
      <c r="E24" s="90">
        <v>10.4</v>
      </c>
      <c r="F24" s="60">
        <f t="shared" si="16"/>
        <v>9422.4</v>
      </c>
      <c r="G24" s="17"/>
      <c r="H24" s="6">
        <v>81</v>
      </c>
      <c r="I24" s="43">
        <v>3564</v>
      </c>
      <c r="J24" s="90">
        <v>10.33</v>
      </c>
      <c r="K24" s="90">
        <f t="shared" si="17"/>
        <v>836.73</v>
      </c>
      <c r="L24" s="43"/>
      <c r="M24" s="8">
        <f t="shared" si="18"/>
        <v>987</v>
      </c>
      <c r="N24" s="6">
        <f t="shared" si="19"/>
        <v>42790</v>
      </c>
      <c r="O24" s="5">
        <f t="shared" si="20"/>
        <v>10259.129999999999</v>
      </c>
      <c r="Q24" t="s">
        <v>101</v>
      </c>
      <c r="R24" s="43">
        <f t="shared" si="21"/>
        <v>987</v>
      </c>
      <c r="S24" s="43">
        <f t="shared" si="21"/>
        <v>42790</v>
      </c>
      <c r="T24" s="48">
        <f t="shared" si="33"/>
        <v>10.33</v>
      </c>
      <c r="U24" s="49">
        <f t="shared" si="22"/>
        <v>10195.710000000001</v>
      </c>
      <c r="V24" s="49"/>
      <c r="W24" t="s">
        <v>101</v>
      </c>
      <c r="X24" s="43">
        <f t="shared" si="23"/>
        <v>987</v>
      </c>
      <c r="Y24" s="43">
        <f t="shared" si="23"/>
        <v>42790</v>
      </c>
      <c r="Z24" s="49">
        <v>10.71</v>
      </c>
      <c r="AA24" s="49">
        <f t="shared" si="24"/>
        <v>10570.77</v>
      </c>
      <c r="AB24" s="48"/>
      <c r="AC24" t="s">
        <v>101</v>
      </c>
      <c r="AD24" s="43">
        <f t="shared" si="25"/>
        <v>987</v>
      </c>
      <c r="AE24" s="43">
        <f t="shared" si="26"/>
        <v>42790</v>
      </c>
      <c r="AF24" s="48">
        <f t="shared" si="27"/>
        <v>10.93</v>
      </c>
      <c r="AG24" s="49">
        <f t="shared" si="28"/>
        <v>10787.91</v>
      </c>
      <c r="AI24" t="s">
        <v>101</v>
      </c>
      <c r="AJ24" s="43">
        <f t="shared" si="29"/>
        <v>987</v>
      </c>
      <c r="AK24" s="43">
        <f t="shared" si="30"/>
        <v>42790</v>
      </c>
      <c r="AL24" s="48">
        <f t="shared" si="31"/>
        <v>11.14</v>
      </c>
      <c r="AM24" s="49">
        <f t="shared" si="32"/>
        <v>10995.18</v>
      </c>
    </row>
    <row r="25" spans="1:39" x14ac:dyDescent="0.35">
      <c r="A25" t="s">
        <v>101</v>
      </c>
      <c r="B25" s="74">
        <v>48</v>
      </c>
      <c r="C25" s="92" t="s">
        <v>135</v>
      </c>
      <c r="D25" s="74">
        <v>0</v>
      </c>
      <c r="E25" s="90">
        <v>7.81</v>
      </c>
      <c r="F25" s="60">
        <f t="shared" si="16"/>
        <v>374.88</v>
      </c>
      <c r="G25" s="15"/>
      <c r="H25" s="6">
        <v>4</v>
      </c>
      <c r="I25" s="43">
        <v>0</v>
      </c>
      <c r="J25" s="90">
        <v>7.81</v>
      </c>
      <c r="K25" s="90">
        <f t="shared" si="17"/>
        <v>31.24</v>
      </c>
      <c r="L25" s="43"/>
      <c r="M25" s="8">
        <f t="shared" si="18"/>
        <v>52</v>
      </c>
      <c r="N25" s="6">
        <f t="shared" si="19"/>
        <v>0</v>
      </c>
      <c r="O25" s="5">
        <f t="shared" si="20"/>
        <v>406.12</v>
      </c>
      <c r="Q25" t="s">
        <v>101</v>
      </c>
      <c r="R25" s="43">
        <f t="shared" si="21"/>
        <v>52</v>
      </c>
      <c r="S25" s="43">
        <f t="shared" si="21"/>
        <v>0</v>
      </c>
      <c r="T25" s="48">
        <f t="shared" si="33"/>
        <v>7.81</v>
      </c>
      <c r="U25" s="49">
        <f t="shared" si="22"/>
        <v>406.12</v>
      </c>
      <c r="V25" s="49"/>
      <c r="W25" t="s">
        <v>101</v>
      </c>
      <c r="X25" s="43">
        <f t="shared" si="23"/>
        <v>52</v>
      </c>
      <c r="Y25" s="43">
        <f t="shared" si="23"/>
        <v>0</v>
      </c>
      <c r="Z25" s="49">
        <v>8.1</v>
      </c>
      <c r="AA25" s="49">
        <f t="shared" si="24"/>
        <v>421.2</v>
      </c>
      <c r="AB25" s="48"/>
      <c r="AC25" t="s">
        <v>101</v>
      </c>
      <c r="AD25" s="43">
        <f t="shared" si="25"/>
        <v>52</v>
      </c>
      <c r="AE25" s="43">
        <f t="shared" si="26"/>
        <v>0</v>
      </c>
      <c r="AF25" s="48">
        <f t="shared" si="27"/>
        <v>8.26</v>
      </c>
      <c r="AG25" s="49">
        <f t="shared" si="28"/>
        <v>429.52</v>
      </c>
      <c r="AI25" t="s">
        <v>101</v>
      </c>
      <c r="AJ25" s="43">
        <f t="shared" si="29"/>
        <v>52</v>
      </c>
      <c r="AK25" s="43">
        <f t="shared" si="30"/>
        <v>0</v>
      </c>
      <c r="AL25" s="48">
        <f t="shared" si="31"/>
        <v>8.42</v>
      </c>
      <c r="AM25" s="49">
        <f t="shared" si="32"/>
        <v>437.84</v>
      </c>
    </row>
    <row r="26" spans="1:39" x14ac:dyDescent="0.35">
      <c r="A26" t="s">
        <v>102</v>
      </c>
      <c r="B26" s="74">
        <v>165</v>
      </c>
      <c r="C26" s="92" t="s">
        <v>135</v>
      </c>
      <c r="D26" s="74">
        <v>7260</v>
      </c>
      <c r="E26" s="90">
        <v>8.23</v>
      </c>
      <c r="F26" s="60">
        <f t="shared" si="16"/>
        <v>1357.95</v>
      </c>
      <c r="G26" s="17"/>
      <c r="H26" s="6">
        <v>15</v>
      </c>
      <c r="I26" s="43">
        <v>660</v>
      </c>
      <c r="J26" s="90">
        <v>8.16</v>
      </c>
      <c r="K26" s="90">
        <f t="shared" si="17"/>
        <v>122.4</v>
      </c>
      <c r="L26" s="43"/>
      <c r="M26" s="8">
        <f t="shared" si="18"/>
        <v>180</v>
      </c>
      <c r="N26" s="6">
        <f t="shared" si="19"/>
        <v>7920</v>
      </c>
      <c r="O26" s="5">
        <f t="shared" si="20"/>
        <v>1480.3500000000001</v>
      </c>
      <c r="Q26" t="s">
        <v>102</v>
      </c>
      <c r="R26" s="43">
        <f t="shared" si="21"/>
        <v>180</v>
      </c>
      <c r="S26" s="43">
        <f t="shared" si="21"/>
        <v>7920</v>
      </c>
      <c r="T26" s="48">
        <f t="shared" si="33"/>
        <v>8.16</v>
      </c>
      <c r="U26" s="49">
        <f t="shared" si="22"/>
        <v>1468.8</v>
      </c>
      <c r="V26" s="49"/>
      <c r="W26" t="s">
        <v>102</v>
      </c>
      <c r="X26" s="43">
        <f t="shared" si="23"/>
        <v>180</v>
      </c>
      <c r="Y26" s="43">
        <f t="shared" si="23"/>
        <v>7920</v>
      </c>
      <c r="Z26" s="49">
        <v>8.4600000000000009</v>
      </c>
      <c r="AA26" s="49">
        <f t="shared" si="24"/>
        <v>1522.8000000000002</v>
      </c>
      <c r="AB26" s="48"/>
      <c r="AC26" t="s">
        <v>102</v>
      </c>
      <c r="AD26" s="43">
        <f t="shared" si="25"/>
        <v>180</v>
      </c>
      <c r="AE26" s="43">
        <f t="shared" si="26"/>
        <v>7920</v>
      </c>
      <c r="AF26" s="48">
        <f t="shared" si="27"/>
        <v>8.6300000000000008</v>
      </c>
      <c r="AG26" s="49">
        <f t="shared" si="28"/>
        <v>1553.4</v>
      </c>
      <c r="AI26" t="s">
        <v>102</v>
      </c>
      <c r="AJ26" s="43">
        <f t="shared" si="29"/>
        <v>180</v>
      </c>
      <c r="AK26" s="43">
        <f t="shared" si="30"/>
        <v>7920</v>
      </c>
      <c r="AL26" s="48">
        <f t="shared" si="31"/>
        <v>8.8000000000000007</v>
      </c>
      <c r="AM26" s="49">
        <f t="shared" si="32"/>
        <v>1584.0000000000002</v>
      </c>
    </row>
    <row r="27" spans="1:39" s="76" customFormat="1" x14ac:dyDescent="0.35">
      <c r="A27" s="76" t="s">
        <v>102</v>
      </c>
      <c r="B27" s="126">
        <v>0</v>
      </c>
      <c r="C27" s="127" t="s">
        <v>135</v>
      </c>
      <c r="D27" s="126">
        <v>0</v>
      </c>
      <c r="E27" s="90">
        <v>5.7</v>
      </c>
      <c r="F27" s="129">
        <f t="shared" ref="F27" si="54">B27*E27</f>
        <v>0</v>
      </c>
      <c r="G27" s="130"/>
      <c r="H27" s="124">
        <v>0</v>
      </c>
      <c r="I27" s="126">
        <v>0</v>
      </c>
      <c r="J27" s="90">
        <v>5.7</v>
      </c>
      <c r="K27" s="128">
        <f t="shared" ref="K27" si="55">H27*J27</f>
        <v>0</v>
      </c>
      <c r="L27" s="126"/>
      <c r="M27" s="131">
        <f t="shared" ref="M27" si="56">B27+H27</f>
        <v>0</v>
      </c>
      <c r="N27" s="124">
        <f t="shared" ref="N27" si="57">D27+I27</f>
        <v>0</v>
      </c>
      <c r="O27" s="128">
        <f t="shared" ref="O27" si="58">F27+K27</f>
        <v>0</v>
      </c>
      <c r="Q27" s="76" t="s">
        <v>102</v>
      </c>
      <c r="R27" s="126">
        <f t="shared" ref="R27" si="59">M27</f>
        <v>0</v>
      </c>
      <c r="S27" s="126">
        <f t="shared" ref="S27" si="60">N27</f>
        <v>0</v>
      </c>
      <c r="T27" s="132">
        <f t="shared" ref="T27" si="61">J27</f>
        <v>5.7</v>
      </c>
      <c r="U27" s="133">
        <f t="shared" ref="U27" si="62">R27*T27</f>
        <v>0</v>
      </c>
      <c r="V27" s="133"/>
      <c r="W27" s="76" t="s">
        <v>102</v>
      </c>
      <c r="X27" s="126">
        <f t="shared" ref="X27" si="63">R27</f>
        <v>0</v>
      </c>
      <c r="Y27" s="126">
        <f t="shared" ref="Y27" si="64">S27</f>
        <v>0</v>
      </c>
      <c r="Z27" s="137">
        <v>5.91</v>
      </c>
      <c r="AA27" s="133">
        <f t="shared" ref="AA27" si="65">X27*Z27</f>
        <v>0</v>
      </c>
      <c r="AB27" s="132"/>
      <c r="AC27" s="76" t="s">
        <v>102</v>
      </c>
      <c r="AD27" s="126">
        <f t="shared" ref="AD27" si="66">R27</f>
        <v>0</v>
      </c>
      <c r="AE27" s="126">
        <f t="shared" ref="AE27" si="67">S27</f>
        <v>0</v>
      </c>
      <c r="AF27" s="132">
        <f t="shared" ref="AF27" si="68">ROUND(T27*(1+$AF$2),2)</f>
        <v>6.03</v>
      </c>
      <c r="AG27" s="133">
        <f t="shared" ref="AG27" si="69">AD27*AF27</f>
        <v>0</v>
      </c>
      <c r="AI27" s="76" t="s">
        <v>102</v>
      </c>
      <c r="AJ27" s="126">
        <f t="shared" ref="AJ27" si="70">AD27</f>
        <v>0</v>
      </c>
      <c r="AK27" s="126">
        <f t="shared" ref="AK27" si="71">AE27</f>
        <v>0</v>
      </c>
      <c r="AL27" s="132">
        <f t="shared" ref="AL27" si="72">ROUND(AF27*(1+$AL$2),2)</f>
        <v>6.15</v>
      </c>
      <c r="AM27" s="133">
        <f t="shared" ref="AM27" si="73">AJ27*AL27</f>
        <v>0</v>
      </c>
    </row>
    <row r="28" spans="1:39" x14ac:dyDescent="0.35">
      <c r="A28" t="s">
        <v>103</v>
      </c>
      <c r="B28" s="74">
        <v>528</v>
      </c>
      <c r="C28" s="92" t="s">
        <v>135</v>
      </c>
      <c r="D28" s="74">
        <v>0</v>
      </c>
      <c r="E28" s="90">
        <v>11.62</v>
      </c>
      <c r="F28" s="60">
        <f t="shared" si="16"/>
        <v>6135.36</v>
      </c>
      <c r="G28" s="31"/>
      <c r="H28" s="6">
        <v>48</v>
      </c>
      <c r="I28" s="43">
        <v>0</v>
      </c>
      <c r="J28" s="90">
        <v>11.62</v>
      </c>
      <c r="K28" s="90">
        <f t="shared" si="17"/>
        <v>557.76</v>
      </c>
      <c r="L28" s="43"/>
      <c r="M28" s="8">
        <f t="shared" si="18"/>
        <v>576</v>
      </c>
      <c r="N28" s="6">
        <f t="shared" si="19"/>
        <v>0</v>
      </c>
      <c r="O28" s="5">
        <f t="shared" si="20"/>
        <v>6693.12</v>
      </c>
      <c r="Q28" t="s">
        <v>103</v>
      </c>
      <c r="R28" s="43">
        <f t="shared" si="21"/>
        <v>576</v>
      </c>
      <c r="S28" s="43">
        <f t="shared" si="21"/>
        <v>0</v>
      </c>
      <c r="T28" s="48">
        <f t="shared" si="33"/>
        <v>11.62</v>
      </c>
      <c r="U28" s="49">
        <f t="shared" si="22"/>
        <v>6693.12</v>
      </c>
      <c r="V28" s="49"/>
      <c r="W28" t="s">
        <v>103</v>
      </c>
      <c r="X28" s="43">
        <f t="shared" si="23"/>
        <v>576</v>
      </c>
      <c r="Y28" s="43">
        <f t="shared" si="23"/>
        <v>0</v>
      </c>
      <c r="Z28" s="49">
        <v>12.05</v>
      </c>
      <c r="AA28" s="49">
        <f t="shared" si="24"/>
        <v>6940.8</v>
      </c>
      <c r="AB28" s="48"/>
      <c r="AC28" t="s">
        <v>103</v>
      </c>
      <c r="AD28" s="43">
        <f t="shared" si="25"/>
        <v>576</v>
      </c>
      <c r="AE28" s="43">
        <f t="shared" si="26"/>
        <v>0</v>
      </c>
      <c r="AF28" s="48">
        <f t="shared" si="27"/>
        <v>12.29</v>
      </c>
      <c r="AG28" s="49">
        <f t="shared" si="28"/>
        <v>7079.0399999999991</v>
      </c>
      <c r="AI28" t="s">
        <v>103</v>
      </c>
      <c r="AJ28" s="43">
        <f t="shared" si="29"/>
        <v>576</v>
      </c>
      <c r="AK28" s="43">
        <f t="shared" si="30"/>
        <v>0</v>
      </c>
      <c r="AL28" s="48">
        <f t="shared" si="31"/>
        <v>12.53</v>
      </c>
      <c r="AM28" s="49">
        <f t="shared" si="32"/>
        <v>7217.28</v>
      </c>
    </row>
    <row r="29" spans="1:39" x14ac:dyDescent="0.35">
      <c r="A29" t="s">
        <v>104</v>
      </c>
      <c r="B29" s="74">
        <v>635</v>
      </c>
      <c r="C29" s="92" t="s">
        <v>135</v>
      </c>
      <c r="D29" s="74">
        <v>0</v>
      </c>
      <c r="E29" s="90">
        <v>15.04</v>
      </c>
      <c r="F29" s="60">
        <f t="shared" si="16"/>
        <v>9550.4</v>
      </c>
      <c r="G29" s="17"/>
      <c r="H29" s="6">
        <v>56</v>
      </c>
      <c r="I29" s="43">
        <v>0</v>
      </c>
      <c r="J29" s="90">
        <v>15.04</v>
      </c>
      <c r="K29" s="90">
        <f t="shared" si="17"/>
        <v>842.24</v>
      </c>
      <c r="L29" s="43"/>
      <c r="M29" s="8">
        <f t="shared" si="18"/>
        <v>691</v>
      </c>
      <c r="N29" s="6">
        <f t="shared" si="19"/>
        <v>0</v>
      </c>
      <c r="O29" s="5">
        <f t="shared" si="20"/>
        <v>10392.64</v>
      </c>
      <c r="Q29" t="s">
        <v>104</v>
      </c>
      <c r="R29" s="43">
        <f t="shared" si="21"/>
        <v>691</v>
      </c>
      <c r="S29" s="43">
        <f t="shared" si="21"/>
        <v>0</v>
      </c>
      <c r="T29" s="48">
        <f t="shared" si="33"/>
        <v>15.04</v>
      </c>
      <c r="U29" s="49">
        <f t="shared" si="22"/>
        <v>10392.64</v>
      </c>
      <c r="V29" s="49"/>
      <c r="W29" t="s">
        <v>104</v>
      </c>
      <c r="X29" s="43">
        <f t="shared" si="23"/>
        <v>691</v>
      </c>
      <c r="Y29" s="43">
        <f t="shared" si="23"/>
        <v>0</v>
      </c>
      <c r="Z29" s="49">
        <v>15.59</v>
      </c>
      <c r="AA29" s="49">
        <f t="shared" si="24"/>
        <v>10772.69</v>
      </c>
      <c r="AB29" s="48"/>
      <c r="AC29" t="s">
        <v>104</v>
      </c>
      <c r="AD29" s="43">
        <f t="shared" si="25"/>
        <v>691</v>
      </c>
      <c r="AE29" s="43">
        <f t="shared" si="26"/>
        <v>0</v>
      </c>
      <c r="AF29" s="48">
        <f t="shared" si="27"/>
        <v>15.91</v>
      </c>
      <c r="AG29" s="49">
        <f t="shared" si="28"/>
        <v>10993.81</v>
      </c>
      <c r="AI29" t="s">
        <v>104</v>
      </c>
      <c r="AJ29" s="43">
        <f t="shared" si="29"/>
        <v>691</v>
      </c>
      <c r="AK29" s="43">
        <f t="shared" si="30"/>
        <v>0</v>
      </c>
      <c r="AL29" s="48">
        <f t="shared" si="31"/>
        <v>16.22</v>
      </c>
      <c r="AM29" s="49">
        <f t="shared" si="32"/>
        <v>11208.019999999999</v>
      </c>
    </row>
    <row r="30" spans="1:39" x14ac:dyDescent="0.35">
      <c r="A30" t="s">
        <v>105</v>
      </c>
      <c r="B30" s="74">
        <v>11</v>
      </c>
      <c r="C30" s="92" t="s">
        <v>135</v>
      </c>
      <c r="D30" s="74">
        <v>693</v>
      </c>
      <c r="E30" s="90">
        <v>24.89</v>
      </c>
      <c r="F30" s="60">
        <f t="shared" si="16"/>
        <v>273.79000000000002</v>
      </c>
      <c r="G30" s="17"/>
      <c r="H30" s="6">
        <v>1</v>
      </c>
      <c r="I30" s="43">
        <v>63</v>
      </c>
      <c r="J30" s="90">
        <v>24.79</v>
      </c>
      <c r="K30" s="90">
        <f t="shared" si="17"/>
        <v>24.79</v>
      </c>
      <c r="L30" s="43"/>
      <c r="M30" s="8">
        <f t="shared" si="18"/>
        <v>12</v>
      </c>
      <c r="N30" s="6">
        <f t="shared" si="19"/>
        <v>756</v>
      </c>
      <c r="O30" s="5">
        <f t="shared" si="20"/>
        <v>298.58000000000004</v>
      </c>
      <c r="Q30" t="s">
        <v>105</v>
      </c>
      <c r="R30" s="43">
        <f t="shared" si="21"/>
        <v>12</v>
      </c>
      <c r="S30" s="43">
        <f t="shared" si="21"/>
        <v>756</v>
      </c>
      <c r="T30" s="48">
        <f t="shared" si="33"/>
        <v>24.79</v>
      </c>
      <c r="U30" s="49">
        <f t="shared" si="22"/>
        <v>297.48</v>
      </c>
      <c r="V30" s="49"/>
      <c r="W30" t="s">
        <v>105</v>
      </c>
      <c r="X30" s="43">
        <f t="shared" si="23"/>
        <v>12</v>
      </c>
      <c r="Y30" s="43">
        <f t="shared" si="23"/>
        <v>756</v>
      </c>
      <c r="Z30" s="49">
        <v>25.7</v>
      </c>
      <c r="AA30" s="49">
        <f t="shared" si="24"/>
        <v>308.39999999999998</v>
      </c>
      <c r="AB30" s="48"/>
      <c r="AC30" t="s">
        <v>105</v>
      </c>
      <c r="AD30" s="43">
        <f t="shared" si="25"/>
        <v>12</v>
      </c>
      <c r="AE30" s="43">
        <f t="shared" si="26"/>
        <v>756</v>
      </c>
      <c r="AF30" s="48">
        <f t="shared" si="27"/>
        <v>26.22</v>
      </c>
      <c r="AG30" s="49">
        <f t="shared" si="28"/>
        <v>314.64</v>
      </c>
      <c r="AI30" t="s">
        <v>105</v>
      </c>
      <c r="AJ30" s="43">
        <f t="shared" si="29"/>
        <v>12</v>
      </c>
      <c r="AK30" s="43">
        <f t="shared" si="30"/>
        <v>756</v>
      </c>
      <c r="AL30" s="48">
        <f t="shared" si="31"/>
        <v>26.73</v>
      </c>
      <c r="AM30" s="49">
        <f t="shared" si="32"/>
        <v>320.76</v>
      </c>
    </row>
    <row r="31" spans="1:39" x14ac:dyDescent="0.35">
      <c r="A31" t="s">
        <v>106</v>
      </c>
      <c r="B31" s="74">
        <v>176</v>
      </c>
      <c r="C31" s="92" t="s">
        <v>135</v>
      </c>
      <c r="D31" s="74">
        <v>29392</v>
      </c>
      <c r="E31" s="90">
        <v>21.67</v>
      </c>
      <c r="F31" s="60">
        <f t="shared" si="16"/>
        <v>3813.92</v>
      </c>
      <c r="G31" s="17"/>
      <c r="H31" s="6">
        <v>16</v>
      </c>
      <c r="I31" s="43">
        <v>2672</v>
      </c>
      <c r="J31" s="90">
        <v>21.4</v>
      </c>
      <c r="K31" s="90">
        <f t="shared" si="17"/>
        <v>342.4</v>
      </c>
      <c r="L31" s="43"/>
      <c r="M31" s="8">
        <f t="shared" si="18"/>
        <v>192</v>
      </c>
      <c r="N31" s="6">
        <f t="shared" si="19"/>
        <v>32064</v>
      </c>
      <c r="O31" s="5">
        <f t="shared" si="20"/>
        <v>4156.32</v>
      </c>
      <c r="Q31" t="s">
        <v>106</v>
      </c>
      <c r="R31" s="43">
        <f t="shared" si="21"/>
        <v>192</v>
      </c>
      <c r="S31" s="43">
        <f t="shared" si="21"/>
        <v>32064</v>
      </c>
      <c r="T31" s="48">
        <f t="shared" si="33"/>
        <v>21.4</v>
      </c>
      <c r="U31" s="49">
        <f t="shared" si="22"/>
        <v>4108.7999999999993</v>
      </c>
      <c r="V31" s="49"/>
      <c r="W31" t="s">
        <v>106</v>
      </c>
      <c r="X31" s="43">
        <f t="shared" si="23"/>
        <v>192</v>
      </c>
      <c r="Y31" s="43">
        <f t="shared" si="23"/>
        <v>32064</v>
      </c>
      <c r="Z31" s="49">
        <v>22.19</v>
      </c>
      <c r="AA31" s="49">
        <f t="shared" si="24"/>
        <v>4260.4800000000005</v>
      </c>
      <c r="AB31" s="48"/>
      <c r="AC31" t="s">
        <v>106</v>
      </c>
      <c r="AD31" s="43">
        <f t="shared" si="25"/>
        <v>192</v>
      </c>
      <c r="AE31" s="43">
        <f t="shared" si="26"/>
        <v>32064</v>
      </c>
      <c r="AF31" s="48">
        <f t="shared" si="27"/>
        <v>22.63</v>
      </c>
      <c r="AG31" s="49">
        <f t="shared" si="28"/>
        <v>4344.96</v>
      </c>
      <c r="AI31" t="s">
        <v>106</v>
      </c>
      <c r="AJ31" s="43">
        <f t="shared" si="29"/>
        <v>192</v>
      </c>
      <c r="AK31" s="43">
        <f t="shared" si="30"/>
        <v>32064</v>
      </c>
      <c r="AL31" s="48">
        <f t="shared" si="31"/>
        <v>23.07</v>
      </c>
      <c r="AM31" s="49">
        <f t="shared" si="32"/>
        <v>4429.4400000000005</v>
      </c>
    </row>
    <row r="32" spans="1:39" x14ac:dyDescent="0.35">
      <c r="A32" t="s">
        <v>107</v>
      </c>
      <c r="B32" s="74">
        <v>11</v>
      </c>
      <c r="C32" s="93" t="s">
        <v>135</v>
      </c>
      <c r="D32" s="74">
        <v>0</v>
      </c>
      <c r="E32" s="90">
        <v>12.29</v>
      </c>
      <c r="F32" s="60">
        <f t="shared" si="16"/>
        <v>135.19</v>
      </c>
      <c r="G32" s="17"/>
      <c r="H32" s="6">
        <v>1</v>
      </c>
      <c r="I32" s="43">
        <v>0</v>
      </c>
      <c r="J32" s="90">
        <v>12.29</v>
      </c>
      <c r="K32" s="90">
        <f t="shared" si="17"/>
        <v>12.29</v>
      </c>
      <c r="L32" s="43"/>
      <c r="M32" s="8">
        <f t="shared" si="18"/>
        <v>12</v>
      </c>
      <c r="N32" s="6">
        <f t="shared" si="19"/>
        <v>0</v>
      </c>
      <c r="O32" s="5">
        <f t="shared" si="20"/>
        <v>147.47999999999999</v>
      </c>
      <c r="Q32" t="s">
        <v>107</v>
      </c>
      <c r="R32" s="43">
        <f t="shared" si="21"/>
        <v>12</v>
      </c>
      <c r="S32" s="43">
        <f t="shared" si="21"/>
        <v>0</v>
      </c>
      <c r="T32" s="48">
        <f t="shared" si="33"/>
        <v>12.29</v>
      </c>
      <c r="U32" s="49">
        <f t="shared" si="22"/>
        <v>147.47999999999999</v>
      </c>
      <c r="V32" s="49"/>
      <c r="W32" t="s">
        <v>107</v>
      </c>
      <c r="X32" s="43">
        <f t="shared" si="23"/>
        <v>12</v>
      </c>
      <c r="Y32" s="43">
        <f t="shared" si="23"/>
        <v>0</v>
      </c>
      <c r="Z32" s="49">
        <v>12.74</v>
      </c>
      <c r="AA32" s="49">
        <f t="shared" si="24"/>
        <v>152.88</v>
      </c>
      <c r="AB32" s="48"/>
      <c r="AC32" t="s">
        <v>107</v>
      </c>
      <c r="AD32" s="43">
        <f t="shared" si="25"/>
        <v>12</v>
      </c>
      <c r="AE32" s="43">
        <f t="shared" si="26"/>
        <v>0</v>
      </c>
      <c r="AF32" s="48">
        <f t="shared" si="27"/>
        <v>13</v>
      </c>
      <c r="AG32" s="49">
        <f t="shared" si="28"/>
        <v>156</v>
      </c>
      <c r="AI32" t="s">
        <v>107</v>
      </c>
      <c r="AJ32" s="43">
        <f t="shared" si="29"/>
        <v>12</v>
      </c>
      <c r="AK32" s="43">
        <f t="shared" si="30"/>
        <v>0</v>
      </c>
      <c r="AL32" s="48">
        <f t="shared" si="31"/>
        <v>13.25</v>
      </c>
      <c r="AM32" s="49">
        <f t="shared" si="32"/>
        <v>159</v>
      </c>
    </row>
    <row r="33" spans="1:39" ht="13.15" x14ac:dyDescent="0.4">
      <c r="A33" t="s">
        <v>108</v>
      </c>
      <c r="B33" s="74">
        <v>26</v>
      </c>
      <c r="C33" s="92" t="s">
        <v>135</v>
      </c>
      <c r="D33" s="74">
        <v>8663</v>
      </c>
      <c r="E33" s="90">
        <v>36.25</v>
      </c>
      <c r="F33" s="60">
        <f t="shared" si="16"/>
        <v>942.5</v>
      </c>
      <c r="G33" s="24"/>
      <c r="H33" s="6">
        <v>2</v>
      </c>
      <c r="I33" s="43">
        <v>790</v>
      </c>
      <c r="J33" s="90">
        <v>35.619999999999997</v>
      </c>
      <c r="K33" s="90">
        <f t="shared" si="17"/>
        <v>71.239999999999995</v>
      </c>
      <c r="L33" s="43"/>
      <c r="M33" s="8">
        <f t="shared" si="18"/>
        <v>28</v>
      </c>
      <c r="N33" s="6">
        <f t="shared" si="19"/>
        <v>9453</v>
      </c>
      <c r="O33" s="5">
        <f t="shared" si="20"/>
        <v>1013.74</v>
      </c>
      <c r="Q33" t="s">
        <v>108</v>
      </c>
      <c r="R33" s="43">
        <f t="shared" si="21"/>
        <v>28</v>
      </c>
      <c r="S33" s="43">
        <f t="shared" si="21"/>
        <v>9453</v>
      </c>
      <c r="T33" s="48">
        <f t="shared" si="33"/>
        <v>35.619999999999997</v>
      </c>
      <c r="U33" s="49">
        <f t="shared" si="22"/>
        <v>997.3599999999999</v>
      </c>
      <c r="V33" s="49"/>
      <c r="W33" t="s">
        <v>108</v>
      </c>
      <c r="X33" s="43">
        <f t="shared" si="23"/>
        <v>28</v>
      </c>
      <c r="Y33" s="43">
        <f t="shared" si="23"/>
        <v>9453</v>
      </c>
      <c r="Z33" s="49">
        <v>36.93</v>
      </c>
      <c r="AA33" s="49">
        <f t="shared" si="24"/>
        <v>1034.04</v>
      </c>
      <c r="AB33" s="48"/>
      <c r="AC33" t="s">
        <v>108</v>
      </c>
      <c r="AD33" s="43">
        <f t="shared" si="25"/>
        <v>28</v>
      </c>
      <c r="AE33" s="43">
        <f t="shared" si="26"/>
        <v>9453</v>
      </c>
      <c r="AF33" s="48">
        <f t="shared" si="27"/>
        <v>37.67</v>
      </c>
      <c r="AG33" s="49">
        <f t="shared" si="28"/>
        <v>1054.76</v>
      </c>
      <c r="AI33" t="s">
        <v>108</v>
      </c>
      <c r="AJ33" s="43">
        <f t="shared" si="29"/>
        <v>28</v>
      </c>
      <c r="AK33" s="43">
        <f t="shared" si="30"/>
        <v>9453</v>
      </c>
      <c r="AL33" s="48">
        <f t="shared" si="31"/>
        <v>38.4</v>
      </c>
      <c r="AM33" s="49">
        <f t="shared" si="32"/>
        <v>1075.2</v>
      </c>
    </row>
    <row r="34" spans="1:39" s="76" customFormat="1" x14ac:dyDescent="0.35">
      <c r="A34" s="135" t="s">
        <v>204</v>
      </c>
      <c r="B34" s="126">
        <v>0</v>
      </c>
      <c r="C34" s="127" t="s">
        <v>135</v>
      </c>
      <c r="D34" s="126">
        <v>0</v>
      </c>
      <c r="E34" s="90">
        <v>20.440000000000001</v>
      </c>
      <c r="F34" s="129">
        <f t="shared" ref="F34:F35" si="74">B34*E34</f>
        <v>0</v>
      </c>
      <c r="G34" s="130"/>
      <c r="H34" s="124">
        <v>0</v>
      </c>
      <c r="I34" s="126">
        <v>0</v>
      </c>
      <c r="J34" s="90">
        <v>20.440000000000001</v>
      </c>
      <c r="K34" s="128">
        <f t="shared" ref="K34:K35" si="75">H34*J34</f>
        <v>0</v>
      </c>
      <c r="L34" s="126"/>
      <c r="M34" s="131">
        <f t="shared" ref="M34:M35" si="76">B34+H34</f>
        <v>0</v>
      </c>
      <c r="N34" s="124">
        <f t="shared" ref="N34:N35" si="77">D34+I34</f>
        <v>0</v>
      </c>
      <c r="O34" s="128">
        <f t="shared" ref="O34:O35" si="78">F34+K34</f>
        <v>0</v>
      </c>
      <c r="Q34" s="135" t="s">
        <v>204</v>
      </c>
      <c r="R34" s="126">
        <f t="shared" ref="R34:R35" si="79">M34</f>
        <v>0</v>
      </c>
      <c r="S34" s="126">
        <f t="shared" ref="S34:S35" si="80">N34</f>
        <v>0</v>
      </c>
      <c r="T34" s="132">
        <f t="shared" ref="T34:T35" si="81">J34</f>
        <v>20.440000000000001</v>
      </c>
      <c r="U34" s="133">
        <f t="shared" ref="U34:U35" si="82">R34*T34</f>
        <v>0</v>
      </c>
      <c r="V34" s="133"/>
      <c r="W34" s="135" t="s">
        <v>204</v>
      </c>
      <c r="X34" s="126">
        <f t="shared" ref="X34:X35" si="83">R34</f>
        <v>0</v>
      </c>
      <c r="Y34" s="126">
        <f t="shared" ref="Y34:Y35" si="84">S34</f>
        <v>0</v>
      </c>
      <c r="Z34" s="137">
        <v>21.19</v>
      </c>
      <c r="AA34" s="133">
        <f t="shared" ref="AA34:AA35" si="85">X34*Z34</f>
        <v>0</v>
      </c>
      <c r="AB34" s="132"/>
      <c r="AC34" s="135" t="s">
        <v>204</v>
      </c>
      <c r="AD34" s="126">
        <f t="shared" ref="AD34:AD35" si="86">R34</f>
        <v>0</v>
      </c>
      <c r="AE34" s="126">
        <f t="shared" ref="AE34:AE35" si="87">S34</f>
        <v>0</v>
      </c>
      <c r="AF34" s="132">
        <f t="shared" ref="AF34:AF35" si="88">ROUND(T34*(1+$AF$2),2)</f>
        <v>21.62</v>
      </c>
      <c r="AG34" s="133">
        <f t="shared" ref="AG34:AG35" si="89">AD34*AF34</f>
        <v>0</v>
      </c>
      <c r="AI34" s="135" t="s">
        <v>204</v>
      </c>
      <c r="AJ34" s="126">
        <f t="shared" ref="AJ34:AJ35" si="90">AD34</f>
        <v>0</v>
      </c>
      <c r="AK34" s="126">
        <f t="shared" ref="AK34:AK35" si="91">AE34</f>
        <v>0</v>
      </c>
      <c r="AL34" s="132">
        <f t="shared" ref="AL34:AL35" si="92">ROUND(AF34*(1+$AL$2),2)</f>
        <v>22.04</v>
      </c>
      <c r="AM34" s="133">
        <f t="shared" ref="AM34:AM35" si="93">AJ34*AL34</f>
        <v>0</v>
      </c>
    </row>
    <row r="35" spans="1:39" s="76" customFormat="1" ht="13.15" x14ac:dyDescent="0.4">
      <c r="A35" s="135" t="s">
        <v>205</v>
      </c>
      <c r="B35" s="126">
        <v>0</v>
      </c>
      <c r="C35" s="127" t="s">
        <v>135</v>
      </c>
      <c r="D35" s="126">
        <v>0</v>
      </c>
      <c r="E35" s="90">
        <v>14.37</v>
      </c>
      <c r="F35" s="129">
        <f t="shared" si="74"/>
        <v>0</v>
      </c>
      <c r="G35" s="136"/>
      <c r="H35" s="124">
        <v>0</v>
      </c>
      <c r="I35" s="126">
        <v>0</v>
      </c>
      <c r="J35" s="90">
        <v>14.37</v>
      </c>
      <c r="K35" s="128">
        <f t="shared" si="75"/>
        <v>0</v>
      </c>
      <c r="L35" s="126"/>
      <c r="M35" s="131">
        <f t="shared" si="76"/>
        <v>0</v>
      </c>
      <c r="N35" s="124">
        <f t="shared" si="77"/>
        <v>0</v>
      </c>
      <c r="O35" s="128">
        <f t="shared" si="78"/>
        <v>0</v>
      </c>
      <c r="Q35" s="135" t="s">
        <v>205</v>
      </c>
      <c r="R35" s="126">
        <f t="shared" si="79"/>
        <v>0</v>
      </c>
      <c r="S35" s="126">
        <f t="shared" si="80"/>
        <v>0</v>
      </c>
      <c r="T35" s="132">
        <f t="shared" si="81"/>
        <v>14.37</v>
      </c>
      <c r="U35" s="133">
        <f t="shared" si="82"/>
        <v>0</v>
      </c>
      <c r="V35" s="133"/>
      <c r="W35" s="135" t="s">
        <v>205</v>
      </c>
      <c r="X35" s="126">
        <f t="shared" si="83"/>
        <v>0</v>
      </c>
      <c r="Y35" s="126">
        <f t="shared" si="84"/>
        <v>0</v>
      </c>
      <c r="Z35" s="137">
        <v>14.9</v>
      </c>
      <c r="AA35" s="133">
        <f t="shared" si="85"/>
        <v>0</v>
      </c>
      <c r="AB35" s="132"/>
      <c r="AC35" s="135" t="s">
        <v>205</v>
      </c>
      <c r="AD35" s="126">
        <f t="shared" si="86"/>
        <v>0</v>
      </c>
      <c r="AE35" s="126">
        <f t="shared" si="87"/>
        <v>0</v>
      </c>
      <c r="AF35" s="132">
        <f t="shared" si="88"/>
        <v>15.2</v>
      </c>
      <c r="AG35" s="133">
        <f t="shared" si="89"/>
        <v>0</v>
      </c>
      <c r="AI35" s="135" t="s">
        <v>205</v>
      </c>
      <c r="AJ35" s="126">
        <f t="shared" si="90"/>
        <v>0</v>
      </c>
      <c r="AK35" s="126">
        <f t="shared" si="91"/>
        <v>0</v>
      </c>
      <c r="AL35" s="132">
        <f t="shared" si="92"/>
        <v>15.49</v>
      </c>
      <c r="AM35" s="133">
        <f t="shared" si="93"/>
        <v>0</v>
      </c>
    </row>
    <row r="36" spans="1:39" x14ac:dyDescent="0.35">
      <c r="A36" t="s">
        <v>109</v>
      </c>
      <c r="B36" s="74">
        <v>456</v>
      </c>
      <c r="C36" s="92" t="s">
        <v>135</v>
      </c>
      <c r="D36" s="74">
        <v>0</v>
      </c>
      <c r="E36" s="90">
        <v>17.239999999999998</v>
      </c>
      <c r="F36" s="60">
        <f t="shared" si="16"/>
        <v>7861.44</v>
      </c>
      <c r="G36" s="17"/>
      <c r="H36" s="6">
        <v>38</v>
      </c>
      <c r="I36" s="43">
        <v>0</v>
      </c>
      <c r="J36" s="90">
        <v>17.239999999999998</v>
      </c>
      <c r="K36" s="90">
        <f t="shared" si="17"/>
        <v>655.11999999999989</v>
      </c>
      <c r="L36" s="43"/>
      <c r="M36" s="8">
        <f t="shared" si="18"/>
        <v>494</v>
      </c>
      <c r="N36" s="6">
        <f t="shared" si="19"/>
        <v>0</v>
      </c>
      <c r="O36" s="5">
        <f t="shared" si="20"/>
        <v>8516.56</v>
      </c>
      <c r="Q36" t="s">
        <v>109</v>
      </c>
      <c r="R36" s="43">
        <f t="shared" si="21"/>
        <v>494</v>
      </c>
      <c r="S36" s="43">
        <f t="shared" si="21"/>
        <v>0</v>
      </c>
      <c r="T36" s="48">
        <f t="shared" si="33"/>
        <v>17.239999999999998</v>
      </c>
      <c r="U36" s="49">
        <f t="shared" si="22"/>
        <v>8516.56</v>
      </c>
      <c r="V36" s="49"/>
      <c r="W36" t="s">
        <v>109</v>
      </c>
      <c r="X36" s="43">
        <f t="shared" si="23"/>
        <v>494</v>
      </c>
      <c r="Y36" s="43">
        <f t="shared" si="23"/>
        <v>0</v>
      </c>
      <c r="Z36" s="49">
        <v>17.87</v>
      </c>
      <c r="AA36" s="49">
        <f t="shared" si="24"/>
        <v>8827.7800000000007</v>
      </c>
      <c r="AB36" s="48"/>
      <c r="AC36" t="s">
        <v>109</v>
      </c>
      <c r="AD36" s="43">
        <f t="shared" si="25"/>
        <v>494</v>
      </c>
      <c r="AE36" s="43">
        <f t="shared" si="26"/>
        <v>0</v>
      </c>
      <c r="AF36" s="48">
        <f t="shared" si="27"/>
        <v>18.23</v>
      </c>
      <c r="AG36" s="49">
        <f t="shared" si="28"/>
        <v>9005.6200000000008</v>
      </c>
      <c r="AI36" t="s">
        <v>109</v>
      </c>
      <c r="AJ36" s="43">
        <f t="shared" si="29"/>
        <v>494</v>
      </c>
      <c r="AK36" s="43">
        <f t="shared" si="30"/>
        <v>0</v>
      </c>
      <c r="AL36" s="48">
        <f t="shared" si="31"/>
        <v>18.579999999999998</v>
      </c>
      <c r="AM36" s="49">
        <f t="shared" si="32"/>
        <v>9178.5199999999986</v>
      </c>
    </row>
    <row r="37" spans="1:39" x14ac:dyDescent="0.35">
      <c r="A37" t="s">
        <v>110</v>
      </c>
      <c r="B37" s="74">
        <v>66</v>
      </c>
      <c r="C37" s="92" t="s">
        <v>135</v>
      </c>
      <c r="D37" s="74">
        <v>6996</v>
      </c>
      <c r="E37" s="90">
        <v>24.24</v>
      </c>
      <c r="F37" s="60">
        <f t="shared" si="16"/>
        <v>1599.84</v>
      </c>
      <c r="G37" s="23"/>
      <c r="H37" s="6">
        <v>6</v>
      </c>
      <c r="I37" s="43">
        <v>636</v>
      </c>
      <c r="J37" s="90">
        <v>24.07</v>
      </c>
      <c r="K37" s="90">
        <f t="shared" si="17"/>
        <v>144.42000000000002</v>
      </c>
      <c r="L37" s="43"/>
      <c r="M37" s="8">
        <f t="shared" si="18"/>
        <v>72</v>
      </c>
      <c r="N37" s="6">
        <f t="shared" si="19"/>
        <v>7632</v>
      </c>
      <c r="O37" s="5">
        <f t="shared" si="20"/>
        <v>1744.26</v>
      </c>
      <c r="Q37" t="s">
        <v>110</v>
      </c>
      <c r="R37" s="43">
        <f t="shared" si="21"/>
        <v>72</v>
      </c>
      <c r="S37" s="43">
        <f t="shared" si="21"/>
        <v>7632</v>
      </c>
      <c r="T37" s="48">
        <f t="shared" si="33"/>
        <v>24.07</v>
      </c>
      <c r="U37" s="49">
        <f t="shared" si="22"/>
        <v>1733.04</v>
      </c>
      <c r="V37" s="49"/>
      <c r="W37" t="s">
        <v>110</v>
      </c>
      <c r="X37" s="43">
        <f t="shared" si="23"/>
        <v>72</v>
      </c>
      <c r="Y37" s="43">
        <f t="shared" si="23"/>
        <v>7632</v>
      </c>
      <c r="Z37" s="49">
        <v>24.95</v>
      </c>
      <c r="AA37" s="49">
        <f t="shared" si="24"/>
        <v>1796.3999999999999</v>
      </c>
      <c r="AB37" s="48"/>
      <c r="AC37" t="s">
        <v>110</v>
      </c>
      <c r="AD37" s="43">
        <f t="shared" si="25"/>
        <v>72</v>
      </c>
      <c r="AE37" s="43">
        <f t="shared" si="26"/>
        <v>7632</v>
      </c>
      <c r="AF37" s="48">
        <f t="shared" si="27"/>
        <v>25.46</v>
      </c>
      <c r="AG37" s="49">
        <f t="shared" si="28"/>
        <v>1833.1200000000001</v>
      </c>
      <c r="AI37" t="s">
        <v>110</v>
      </c>
      <c r="AJ37" s="43">
        <f t="shared" si="29"/>
        <v>72</v>
      </c>
      <c r="AK37" s="43">
        <f t="shared" si="30"/>
        <v>7632</v>
      </c>
      <c r="AL37" s="48">
        <f t="shared" si="31"/>
        <v>25.95</v>
      </c>
      <c r="AM37" s="49">
        <f t="shared" si="32"/>
        <v>1868.3999999999999</v>
      </c>
    </row>
    <row r="38" spans="1:39" x14ac:dyDescent="0.35">
      <c r="A38" t="s">
        <v>111</v>
      </c>
      <c r="B38" s="74">
        <v>128</v>
      </c>
      <c r="C38" s="92" t="s">
        <v>135</v>
      </c>
      <c r="D38" s="74">
        <v>21376</v>
      </c>
      <c r="E38" s="90">
        <v>18.2</v>
      </c>
      <c r="F38" s="60">
        <f t="shared" si="16"/>
        <v>2329.6</v>
      </c>
      <c r="G38" s="23"/>
      <c r="H38" s="6">
        <v>11</v>
      </c>
      <c r="I38" s="43">
        <v>1837</v>
      </c>
      <c r="J38" s="90">
        <v>17.93</v>
      </c>
      <c r="K38" s="90">
        <f t="shared" si="17"/>
        <v>197.23</v>
      </c>
      <c r="L38" s="43"/>
      <c r="M38" s="8">
        <f t="shared" si="18"/>
        <v>139</v>
      </c>
      <c r="N38" s="6">
        <f t="shared" si="19"/>
        <v>23213</v>
      </c>
      <c r="O38" s="5">
        <f t="shared" si="20"/>
        <v>2526.83</v>
      </c>
      <c r="Q38" t="s">
        <v>111</v>
      </c>
      <c r="R38" s="43">
        <f t="shared" si="21"/>
        <v>139</v>
      </c>
      <c r="S38" s="43">
        <f t="shared" si="21"/>
        <v>23213</v>
      </c>
      <c r="T38" s="48">
        <f t="shared" si="33"/>
        <v>17.93</v>
      </c>
      <c r="U38" s="49">
        <f t="shared" ref="U38:U40" si="94">R38*T38</f>
        <v>2492.27</v>
      </c>
      <c r="V38" s="49"/>
      <c r="W38" t="s">
        <v>111</v>
      </c>
      <c r="X38" s="43">
        <f t="shared" si="23"/>
        <v>139</v>
      </c>
      <c r="Y38" s="43">
        <f t="shared" si="23"/>
        <v>23213</v>
      </c>
      <c r="Z38" s="49">
        <v>18.59</v>
      </c>
      <c r="AA38" s="49">
        <f t="shared" si="24"/>
        <v>2584.0099999999998</v>
      </c>
      <c r="AB38" s="48"/>
      <c r="AC38" t="s">
        <v>111</v>
      </c>
      <c r="AD38" s="43">
        <f t="shared" si="25"/>
        <v>139</v>
      </c>
      <c r="AE38" s="43">
        <f t="shared" si="26"/>
        <v>23213</v>
      </c>
      <c r="AF38" s="48">
        <f t="shared" si="27"/>
        <v>18.96</v>
      </c>
      <c r="AG38" s="49">
        <f t="shared" ref="AG38:AG40" si="95">AD38*AF38</f>
        <v>2635.44</v>
      </c>
      <c r="AI38" t="s">
        <v>111</v>
      </c>
      <c r="AJ38" s="43">
        <f t="shared" si="29"/>
        <v>139</v>
      </c>
      <c r="AK38" s="43">
        <f t="shared" si="30"/>
        <v>23213</v>
      </c>
      <c r="AL38" s="48">
        <f t="shared" si="31"/>
        <v>19.329999999999998</v>
      </c>
      <c r="AM38" s="49">
        <f t="shared" si="32"/>
        <v>2686.87</v>
      </c>
    </row>
    <row r="39" spans="1:39" x14ac:dyDescent="0.35">
      <c r="A39" t="s">
        <v>112</v>
      </c>
      <c r="B39" s="74">
        <v>33</v>
      </c>
      <c r="C39" s="92" t="s">
        <v>135</v>
      </c>
      <c r="D39" s="74">
        <v>5511</v>
      </c>
      <c r="E39" s="90">
        <v>21.32</v>
      </c>
      <c r="F39" s="60">
        <f t="shared" si="16"/>
        <v>703.56000000000006</v>
      </c>
      <c r="G39" s="23"/>
      <c r="H39" s="6">
        <v>3</v>
      </c>
      <c r="I39" s="43">
        <v>501</v>
      </c>
      <c r="J39" s="90">
        <v>21.05</v>
      </c>
      <c r="K39" s="90">
        <f t="shared" si="17"/>
        <v>63.150000000000006</v>
      </c>
      <c r="L39" s="43"/>
      <c r="M39" s="8">
        <f t="shared" si="18"/>
        <v>36</v>
      </c>
      <c r="N39" s="6">
        <f t="shared" si="19"/>
        <v>6012</v>
      </c>
      <c r="O39" s="5">
        <f t="shared" si="20"/>
        <v>766.71</v>
      </c>
      <c r="Q39" t="s">
        <v>112</v>
      </c>
      <c r="R39" s="43">
        <f t="shared" si="21"/>
        <v>36</v>
      </c>
      <c r="S39" s="43">
        <f t="shared" si="21"/>
        <v>6012</v>
      </c>
      <c r="T39" s="48">
        <f t="shared" si="33"/>
        <v>21.05</v>
      </c>
      <c r="U39" s="49">
        <f t="shared" si="94"/>
        <v>757.80000000000007</v>
      </c>
      <c r="V39" s="49"/>
      <c r="W39" t="s">
        <v>112</v>
      </c>
      <c r="X39" s="43">
        <f t="shared" si="23"/>
        <v>36</v>
      </c>
      <c r="Y39" s="43">
        <f t="shared" si="23"/>
        <v>6012</v>
      </c>
      <c r="Z39" s="49">
        <v>21.82</v>
      </c>
      <c r="AA39" s="49">
        <f t="shared" si="24"/>
        <v>785.52</v>
      </c>
      <c r="AB39" s="48"/>
      <c r="AC39" t="s">
        <v>112</v>
      </c>
      <c r="AD39" s="43">
        <f t="shared" si="25"/>
        <v>36</v>
      </c>
      <c r="AE39" s="43">
        <f t="shared" si="26"/>
        <v>6012</v>
      </c>
      <c r="AF39" s="48">
        <f t="shared" si="27"/>
        <v>22.26</v>
      </c>
      <c r="AG39" s="49">
        <f t="shared" si="95"/>
        <v>801.36</v>
      </c>
      <c r="AI39" t="s">
        <v>112</v>
      </c>
      <c r="AJ39" s="43">
        <f t="shared" si="29"/>
        <v>36</v>
      </c>
      <c r="AK39" s="43">
        <f t="shared" si="30"/>
        <v>6012</v>
      </c>
      <c r="AL39" s="48">
        <f t="shared" si="31"/>
        <v>22.69</v>
      </c>
      <c r="AM39" s="49">
        <f t="shared" si="32"/>
        <v>816.84</v>
      </c>
    </row>
    <row r="40" spans="1:39" x14ac:dyDescent="0.35">
      <c r="A40" t="s">
        <v>113</v>
      </c>
      <c r="B40" s="74">
        <v>11</v>
      </c>
      <c r="C40" s="92" t="s">
        <v>135</v>
      </c>
      <c r="D40" s="74">
        <v>1837</v>
      </c>
      <c r="E40" s="90">
        <v>22.3</v>
      </c>
      <c r="F40" s="60">
        <f t="shared" si="16"/>
        <v>245.3</v>
      </c>
      <c r="G40" s="23"/>
      <c r="H40" s="6">
        <v>1</v>
      </c>
      <c r="I40" s="43">
        <v>167</v>
      </c>
      <c r="J40" s="90">
        <v>22.03</v>
      </c>
      <c r="K40" s="90">
        <f t="shared" si="17"/>
        <v>22.03</v>
      </c>
      <c r="L40" s="43"/>
      <c r="M40" s="8">
        <f t="shared" si="18"/>
        <v>12</v>
      </c>
      <c r="N40" s="6">
        <f t="shared" si="19"/>
        <v>2004</v>
      </c>
      <c r="O40" s="5">
        <f t="shared" si="20"/>
        <v>267.33000000000004</v>
      </c>
      <c r="Q40" t="s">
        <v>113</v>
      </c>
      <c r="R40" s="43">
        <f t="shared" si="21"/>
        <v>12</v>
      </c>
      <c r="S40" s="43">
        <f t="shared" si="21"/>
        <v>2004</v>
      </c>
      <c r="T40" s="48">
        <f t="shared" si="33"/>
        <v>22.03</v>
      </c>
      <c r="U40" s="49">
        <f t="shared" si="94"/>
        <v>264.36</v>
      </c>
      <c r="V40" s="49"/>
      <c r="W40" t="s">
        <v>113</v>
      </c>
      <c r="X40" s="43">
        <f t="shared" si="23"/>
        <v>12</v>
      </c>
      <c r="Y40" s="43">
        <f t="shared" si="23"/>
        <v>2004</v>
      </c>
      <c r="Z40" s="49">
        <v>22.84</v>
      </c>
      <c r="AA40" s="49">
        <f t="shared" si="24"/>
        <v>274.08</v>
      </c>
      <c r="AB40" s="48"/>
      <c r="AC40" t="s">
        <v>113</v>
      </c>
      <c r="AD40" s="43">
        <f t="shared" si="25"/>
        <v>12</v>
      </c>
      <c r="AE40" s="43">
        <f t="shared" si="26"/>
        <v>2004</v>
      </c>
      <c r="AF40" s="48">
        <f t="shared" si="27"/>
        <v>23.3</v>
      </c>
      <c r="AG40" s="49">
        <f t="shared" si="95"/>
        <v>279.60000000000002</v>
      </c>
      <c r="AI40" t="s">
        <v>113</v>
      </c>
      <c r="AJ40" s="43">
        <f t="shared" si="29"/>
        <v>12</v>
      </c>
      <c r="AK40" s="43">
        <f t="shared" si="30"/>
        <v>2004</v>
      </c>
      <c r="AL40" s="48">
        <f t="shared" si="31"/>
        <v>23.75</v>
      </c>
      <c r="AM40" s="49">
        <f t="shared" si="32"/>
        <v>285</v>
      </c>
    </row>
    <row r="41" spans="1:39" s="76" customFormat="1" x14ac:dyDescent="0.35">
      <c r="A41" s="76" t="s">
        <v>111</v>
      </c>
      <c r="B41" s="126">
        <v>0</v>
      </c>
      <c r="C41" s="127" t="s">
        <v>135</v>
      </c>
      <c r="D41" s="126">
        <v>0</v>
      </c>
      <c r="E41" s="90">
        <v>8.91</v>
      </c>
      <c r="F41" s="129">
        <f t="shared" ref="F41:F44" si="96">B41*E41</f>
        <v>0</v>
      </c>
      <c r="G41" s="134"/>
      <c r="H41" s="124">
        <v>0</v>
      </c>
      <c r="I41" s="126">
        <v>0</v>
      </c>
      <c r="J41" s="90">
        <v>8.91</v>
      </c>
      <c r="K41" s="128">
        <f t="shared" ref="K41:K44" si="97">H41*J41</f>
        <v>0</v>
      </c>
      <c r="L41" s="126"/>
      <c r="M41" s="131">
        <f t="shared" ref="M41:M44" si="98">B41+H41</f>
        <v>0</v>
      </c>
      <c r="N41" s="124">
        <f t="shared" ref="N41:N44" si="99">D41+I41</f>
        <v>0</v>
      </c>
      <c r="O41" s="128">
        <f t="shared" ref="O41:O44" si="100">F41+K41</f>
        <v>0</v>
      </c>
      <c r="Q41" s="76" t="s">
        <v>111</v>
      </c>
      <c r="R41" s="126">
        <f t="shared" ref="R41:R44" si="101">M41</f>
        <v>0</v>
      </c>
      <c r="S41" s="126">
        <f t="shared" ref="S41:S44" si="102">N41</f>
        <v>0</v>
      </c>
      <c r="T41" s="132">
        <f t="shared" ref="T41:T44" si="103">J41</f>
        <v>8.91</v>
      </c>
      <c r="U41" s="133">
        <f t="shared" ref="U41:U44" si="104">R41*T41</f>
        <v>0</v>
      </c>
      <c r="V41" s="133"/>
      <c r="W41" s="76" t="s">
        <v>111</v>
      </c>
      <c r="X41" s="126">
        <f t="shared" ref="X41:X44" si="105">R41</f>
        <v>0</v>
      </c>
      <c r="Y41" s="126">
        <f t="shared" ref="Y41:Y44" si="106">S41</f>
        <v>0</v>
      </c>
      <c r="Z41" s="137">
        <v>9.24</v>
      </c>
      <c r="AA41" s="133">
        <f t="shared" ref="AA41:AA44" si="107">X41*Z41</f>
        <v>0</v>
      </c>
      <c r="AB41" s="132"/>
      <c r="AC41" s="76" t="s">
        <v>111</v>
      </c>
      <c r="AD41" s="126">
        <f t="shared" ref="AD41:AD44" si="108">R41</f>
        <v>0</v>
      </c>
      <c r="AE41" s="126">
        <f t="shared" ref="AE41:AE44" si="109">S41</f>
        <v>0</v>
      </c>
      <c r="AF41" s="132">
        <f t="shared" ref="AF41:AF44" si="110">ROUND(T41*(1+$AF$2),2)</f>
        <v>9.42</v>
      </c>
      <c r="AG41" s="133">
        <f t="shared" ref="AG41:AG44" si="111">AD41*AF41</f>
        <v>0</v>
      </c>
      <c r="AI41" s="76" t="s">
        <v>111</v>
      </c>
      <c r="AJ41" s="126">
        <f t="shared" ref="AJ41:AJ44" si="112">AD41</f>
        <v>0</v>
      </c>
      <c r="AK41" s="126">
        <f t="shared" ref="AK41:AK44" si="113">AE41</f>
        <v>0</v>
      </c>
      <c r="AL41" s="132">
        <f t="shared" ref="AL41:AL44" si="114">ROUND(AF41*(1+$AL$2),2)</f>
        <v>9.6</v>
      </c>
      <c r="AM41" s="133">
        <f t="shared" ref="AM41:AM44" si="115">AJ41*AL41</f>
        <v>0</v>
      </c>
    </row>
    <row r="42" spans="1:39" s="76" customFormat="1" x14ac:dyDescent="0.35">
      <c r="A42" s="76" t="s">
        <v>112</v>
      </c>
      <c r="B42" s="126">
        <v>0</v>
      </c>
      <c r="C42" s="127" t="s">
        <v>135</v>
      </c>
      <c r="D42" s="126">
        <v>0</v>
      </c>
      <c r="E42" s="90">
        <v>11.96</v>
      </c>
      <c r="F42" s="129">
        <f t="shared" si="96"/>
        <v>0</v>
      </c>
      <c r="G42" s="134"/>
      <c r="H42" s="124">
        <v>0</v>
      </c>
      <c r="I42" s="126">
        <v>0</v>
      </c>
      <c r="J42" s="90">
        <v>11.96</v>
      </c>
      <c r="K42" s="128">
        <f t="shared" si="97"/>
        <v>0</v>
      </c>
      <c r="L42" s="126"/>
      <c r="M42" s="131">
        <f t="shared" si="98"/>
        <v>0</v>
      </c>
      <c r="N42" s="124">
        <f t="shared" si="99"/>
        <v>0</v>
      </c>
      <c r="O42" s="128">
        <f t="shared" si="100"/>
        <v>0</v>
      </c>
      <c r="Q42" s="76" t="s">
        <v>112</v>
      </c>
      <c r="R42" s="126">
        <f t="shared" si="101"/>
        <v>0</v>
      </c>
      <c r="S42" s="126">
        <f t="shared" si="102"/>
        <v>0</v>
      </c>
      <c r="T42" s="132">
        <f t="shared" si="103"/>
        <v>11.96</v>
      </c>
      <c r="U42" s="133">
        <f t="shared" si="104"/>
        <v>0</v>
      </c>
      <c r="V42" s="133"/>
      <c r="W42" s="76" t="s">
        <v>112</v>
      </c>
      <c r="X42" s="126">
        <f t="shared" si="105"/>
        <v>0</v>
      </c>
      <c r="Y42" s="126">
        <f t="shared" si="106"/>
        <v>0</v>
      </c>
      <c r="Z42" s="137">
        <v>12.4</v>
      </c>
      <c r="AA42" s="133">
        <f t="shared" si="107"/>
        <v>0</v>
      </c>
      <c r="AB42" s="132"/>
      <c r="AC42" s="76" t="s">
        <v>112</v>
      </c>
      <c r="AD42" s="126">
        <f t="shared" si="108"/>
        <v>0</v>
      </c>
      <c r="AE42" s="126">
        <f t="shared" si="109"/>
        <v>0</v>
      </c>
      <c r="AF42" s="132">
        <f t="shared" si="110"/>
        <v>12.65</v>
      </c>
      <c r="AG42" s="133">
        <f t="shared" si="111"/>
        <v>0</v>
      </c>
      <c r="AI42" s="76" t="s">
        <v>112</v>
      </c>
      <c r="AJ42" s="126">
        <f t="shared" si="112"/>
        <v>0</v>
      </c>
      <c r="AK42" s="126">
        <f t="shared" si="113"/>
        <v>0</v>
      </c>
      <c r="AL42" s="132">
        <f t="shared" si="114"/>
        <v>12.89</v>
      </c>
      <c r="AM42" s="133">
        <f t="shared" si="115"/>
        <v>0</v>
      </c>
    </row>
    <row r="43" spans="1:39" s="76" customFormat="1" x14ac:dyDescent="0.35">
      <c r="A43" s="76" t="s">
        <v>113</v>
      </c>
      <c r="B43" s="126">
        <v>0</v>
      </c>
      <c r="C43" s="127" t="s">
        <v>135</v>
      </c>
      <c r="D43" s="126">
        <v>0</v>
      </c>
      <c r="E43" s="90">
        <v>12.9</v>
      </c>
      <c r="F43" s="129">
        <f t="shared" si="96"/>
        <v>0</v>
      </c>
      <c r="G43" s="134"/>
      <c r="H43" s="124">
        <v>0</v>
      </c>
      <c r="I43" s="126">
        <v>0</v>
      </c>
      <c r="J43" s="90">
        <v>12.9</v>
      </c>
      <c r="K43" s="128">
        <f t="shared" si="97"/>
        <v>0</v>
      </c>
      <c r="L43" s="126"/>
      <c r="M43" s="131">
        <f t="shared" si="98"/>
        <v>0</v>
      </c>
      <c r="N43" s="124">
        <f t="shared" si="99"/>
        <v>0</v>
      </c>
      <c r="O43" s="128">
        <f t="shared" si="100"/>
        <v>0</v>
      </c>
      <c r="Q43" s="76" t="s">
        <v>113</v>
      </c>
      <c r="R43" s="126">
        <f t="shared" si="101"/>
        <v>0</v>
      </c>
      <c r="S43" s="126">
        <f t="shared" si="102"/>
        <v>0</v>
      </c>
      <c r="T43" s="132">
        <f t="shared" si="103"/>
        <v>12.9</v>
      </c>
      <c r="U43" s="133">
        <f t="shared" si="104"/>
        <v>0</v>
      </c>
      <c r="V43" s="133"/>
      <c r="W43" s="76" t="s">
        <v>113</v>
      </c>
      <c r="X43" s="126">
        <f t="shared" si="105"/>
        <v>0</v>
      </c>
      <c r="Y43" s="126">
        <f t="shared" si="106"/>
        <v>0</v>
      </c>
      <c r="Z43" s="137">
        <v>13.37</v>
      </c>
      <c r="AA43" s="133">
        <f t="shared" si="107"/>
        <v>0</v>
      </c>
      <c r="AB43" s="132"/>
      <c r="AC43" s="76" t="s">
        <v>113</v>
      </c>
      <c r="AD43" s="126">
        <f t="shared" si="108"/>
        <v>0</v>
      </c>
      <c r="AE43" s="126">
        <f t="shared" si="109"/>
        <v>0</v>
      </c>
      <c r="AF43" s="132">
        <f t="shared" si="110"/>
        <v>13.64</v>
      </c>
      <c r="AG43" s="133">
        <f t="shared" si="111"/>
        <v>0</v>
      </c>
      <c r="AI43" s="76" t="s">
        <v>113</v>
      </c>
      <c r="AJ43" s="126">
        <f t="shared" si="112"/>
        <v>0</v>
      </c>
      <c r="AK43" s="126">
        <f t="shared" si="113"/>
        <v>0</v>
      </c>
      <c r="AL43" s="132">
        <f t="shared" si="114"/>
        <v>13.9</v>
      </c>
      <c r="AM43" s="133">
        <f t="shared" si="115"/>
        <v>0</v>
      </c>
    </row>
    <row r="44" spans="1:39" s="76" customFormat="1" x14ac:dyDescent="0.35">
      <c r="A44" s="135" t="s">
        <v>200</v>
      </c>
      <c r="B44" s="126">
        <v>0</v>
      </c>
      <c r="C44" s="127" t="s">
        <v>135</v>
      </c>
      <c r="D44" s="126">
        <v>0</v>
      </c>
      <c r="E44" s="90">
        <v>26.27</v>
      </c>
      <c r="F44" s="129">
        <f t="shared" si="96"/>
        <v>0</v>
      </c>
      <c r="G44" s="130"/>
      <c r="H44" s="124">
        <v>0</v>
      </c>
      <c r="I44" s="126">
        <v>0</v>
      </c>
      <c r="J44" s="90">
        <v>26.27</v>
      </c>
      <c r="K44" s="128">
        <f t="shared" si="97"/>
        <v>0</v>
      </c>
      <c r="L44" s="126"/>
      <c r="M44" s="131">
        <f t="shared" si="98"/>
        <v>0</v>
      </c>
      <c r="N44" s="124">
        <f t="shared" si="99"/>
        <v>0</v>
      </c>
      <c r="O44" s="128">
        <f t="shared" si="100"/>
        <v>0</v>
      </c>
      <c r="Q44" s="135" t="s">
        <v>200</v>
      </c>
      <c r="R44" s="126">
        <f t="shared" si="101"/>
        <v>0</v>
      </c>
      <c r="S44" s="126">
        <f t="shared" si="102"/>
        <v>0</v>
      </c>
      <c r="T44" s="132">
        <f t="shared" si="103"/>
        <v>26.27</v>
      </c>
      <c r="U44" s="133">
        <f t="shared" si="104"/>
        <v>0</v>
      </c>
      <c r="V44" s="133"/>
      <c r="W44" s="135" t="s">
        <v>200</v>
      </c>
      <c r="X44" s="126">
        <f t="shared" si="105"/>
        <v>0</v>
      </c>
      <c r="Y44" s="126">
        <f t="shared" si="106"/>
        <v>0</v>
      </c>
      <c r="Z44" s="137">
        <v>27.23</v>
      </c>
      <c r="AA44" s="133">
        <f t="shared" si="107"/>
        <v>0</v>
      </c>
      <c r="AB44" s="132"/>
      <c r="AC44" s="135" t="s">
        <v>200</v>
      </c>
      <c r="AD44" s="126">
        <f t="shared" si="108"/>
        <v>0</v>
      </c>
      <c r="AE44" s="126">
        <f t="shared" si="109"/>
        <v>0</v>
      </c>
      <c r="AF44" s="132">
        <f t="shared" si="110"/>
        <v>27.78</v>
      </c>
      <c r="AG44" s="133">
        <f t="shared" si="111"/>
        <v>0</v>
      </c>
      <c r="AI44" s="135" t="s">
        <v>200</v>
      </c>
      <c r="AJ44" s="126">
        <f t="shared" si="112"/>
        <v>0</v>
      </c>
      <c r="AK44" s="126">
        <f t="shared" si="113"/>
        <v>0</v>
      </c>
      <c r="AL44" s="132">
        <f t="shared" si="114"/>
        <v>28.32</v>
      </c>
      <c r="AM44" s="133">
        <f t="shared" si="115"/>
        <v>0</v>
      </c>
    </row>
    <row r="45" spans="1:39" x14ac:dyDescent="0.35">
      <c r="B45" s="74"/>
      <c r="C45" s="92"/>
      <c r="D45" s="74"/>
      <c r="E45" s="80"/>
      <c r="F45" s="60"/>
      <c r="G45" s="23"/>
      <c r="H45" s="6"/>
      <c r="I45" s="43"/>
      <c r="J45" s="90"/>
      <c r="K45" s="90"/>
      <c r="L45" s="43"/>
      <c r="N45" s="48"/>
      <c r="O45" s="5"/>
      <c r="R45" s="43"/>
      <c r="S45" s="43"/>
      <c r="T45" s="48"/>
      <c r="U45" s="49"/>
      <c r="V45" s="49"/>
      <c r="X45" s="43"/>
      <c r="Y45" s="43"/>
      <c r="Z45" s="48"/>
      <c r="AA45" s="49"/>
      <c r="AB45" s="48"/>
      <c r="AD45" s="43"/>
      <c r="AE45" s="43"/>
      <c r="AF45" s="48"/>
      <c r="AG45" s="49"/>
      <c r="AJ45" s="43"/>
      <c r="AK45" s="43"/>
      <c r="AL45" s="48"/>
      <c r="AM45" s="49"/>
    </row>
    <row r="46" spans="1:39" ht="13.15" x14ac:dyDescent="0.4">
      <c r="A46" s="89" t="s">
        <v>114</v>
      </c>
      <c r="B46" s="43">
        <f>SUM(B16:B45)</f>
        <v>4552</v>
      </c>
      <c r="C46" s="94" t="s">
        <v>135</v>
      </c>
      <c r="D46" s="43">
        <f>SUM(D16:D45)</f>
        <v>200733</v>
      </c>
      <c r="E46" s="48"/>
      <c r="F46" s="60">
        <f>SUM(F16:F45)</f>
        <v>67692.89</v>
      </c>
      <c r="G46" s="23"/>
      <c r="H46" s="6">
        <f>SUM(H16:H45)</f>
        <v>400</v>
      </c>
      <c r="I46" s="43">
        <f>SUM(I16:I45)</f>
        <v>18074</v>
      </c>
      <c r="J46" s="5"/>
      <c r="K46" s="90">
        <f>SUM(K16:K45)</f>
        <v>5888.2999999999984</v>
      </c>
      <c r="M46" s="8">
        <f>SUM(M16:M45)</f>
        <v>4952</v>
      </c>
      <c r="N46" s="6">
        <f>SUM(N16:N45)</f>
        <v>218807</v>
      </c>
      <c r="O46" s="5">
        <f>SUM(O16:O45)</f>
        <v>73581.190000000017</v>
      </c>
      <c r="Q46" s="89" t="s">
        <v>114</v>
      </c>
      <c r="R46" s="8">
        <f>SUM(R16:R45)</f>
        <v>4952</v>
      </c>
      <c r="S46" s="8">
        <f>SUM(S16:S45)</f>
        <v>218807</v>
      </c>
      <c r="T46" s="48"/>
      <c r="U46" s="49">
        <f>SUM(U16:U45)</f>
        <v>73247.460000000021</v>
      </c>
      <c r="V46" s="49"/>
      <c r="W46" s="89" t="s">
        <v>114</v>
      </c>
      <c r="X46" s="8">
        <f>SUM(X16:X45)</f>
        <v>4952</v>
      </c>
      <c r="Y46" s="8">
        <f>SUM(Y16:Y45)</f>
        <v>218807</v>
      </c>
      <c r="Z46" s="48"/>
      <c r="AA46" s="49">
        <f>SUM(AA16:AA45)</f>
        <v>75937.06</v>
      </c>
      <c r="AB46" s="48"/>
      <c r="AC46" s="89" t="s">
        <v>114</v>
      </c>
      <c r="AD46" s="8">
        <f>SUM(AD16:AD45)</f>
        <v>4952</v>
      </c>
      <c r="AE46" s="8">
        <f>SUM(AE16:AE45)</f>
        <v>218807</v>
      </c>
      <c r="AF46" s="48"/>
      <c r="AG46" s="49">
        <f>SUM(AG16:AG45)</f>
        <v>77475.37</v>
      </c>
      <c r="AI46" s="89" t="s">
        <v>114</v>
      </c>
      <c r="AJ46" s="8">
        <f>SUM(AJ16:AJ45)</f>
        <v>4952</v>
      </c>
      <c r="AK46" s="8">
        <f>SUM(AK16:AK45)</f>
        <v>218807</v>
      </c>
      <c r="AL46" s="48"/>
      <c r="AM46" s="49">
        <f>SUM(AM16:AM45)</f>
        <v>78978.469999999987</v>
      </c>
    </row>
    <row r="47" spans="1:39" x14ac:dyDescent="0.35">
      <c r="B47" s="43"/>
      <c r="C47" s="94"/>
      <c r="D47" s="43"/>
      <c r="E47" s="48"/>
      <c r="F47" s="5"/>
      <c r="G47" s="23"/>
      <c r="I47" s="43"/>
      <c r="J47" s="5"/>
      <c r="L47" s="43"/>
      <c r="O47" s="5"/>
      <c r="R47" s="43"/>
      <c r="S47" s="43"/>
      <c r="X47" s="43"/>
      <c r="Y47" s="43"/>
      <c r="AB47" s="48"/>
      <c r="AD47" s="43"/>
      <c r="AE47" s="43"/>
      <c r="AJ47" s="43"/>
      <c r="AK47" s="43"/>
    </row>
    <row r="48" spans="1:39" x14ac:dyDescent="0.35">
      <c r="A48" t="s">
        <v>115</v>
      </c>
      <c r="B48" s="16">
        <v>99386</v>
      </c>
      <c r="C48" s="95" t="s">
        <v>136</v>
      </c>
      <c r="D48" s="16">
        <v>7287969</v>
      </c>
      <c r="E48" s="23">
        <v>10.41</v>
      </c>
      <c r="F48" s="60">
        <f>B48*E48</f>
        <v>1034608.26</v>
      </c>
      <c r="G48" s="23"/>
      <c r="H48" s="6">
        <v>8556</v>
      </c>
      <c r="I48" s="6">
        <v>625194</v>
      </c>
      <c r="J48" s="5">
        <v>10.32</v>
      </c>
      <c r="K48" s="90">
        <f t="shared" ref="K48:K65" si="116">H48*J48</f>
        <v>88297.919999999998</v>
      </c>
      <c r="M48" s="8">
        <f t="shared" ref="M48:M65" si="117">B48+H48</f>
        <v>107942</v>
      </c>
      <c r="N48" s="6">
        <f t="shared" ref="N48:N65" si="118">D48+I48</f>
        <v>7913163</v>
      </c>
      <c r="O48" s="5">
        <f t="shared" ref="O48:O65" si="119">F48+K48</f>
        <v>1122906.18</v>
      </c>
      <c r="Q48" t="s">
        <v>115</v>
      </c>
      <c r="R48" s="43">
        <f t="shared" ref="R48:S65" si="120">M48</f>
        <v>107942</v>
      </c>
      <c r="S48" s="43">
        <f t="shared" si="120"/>
        <v>7913163</v>
      </c>
      <c r="T48" s="7">
        <f>J48</f>
        <v>10.32</v>
      </c>
      <c r="U48" s="7">
        <f>R48*T48</f>
        <v>1113961.44</v>
      </c>
      <c r="V48" s="7"/>
      <c r="W48" t="s">
        <v>115</v>
      </c>
      <c r="X48" s="43">
        <f t="shared" ref="X48:Y65" si="121">R48</f>
        <v>107942</v>
      </c>
      <c r="Y48" s="43">
        <f t="shared" si="121"/>
        <v>7913163</v>
      </c>
      <c r="Z48" s="7">
        <v>10.71</v>
      </c>
      <c r="AA48" s="49">
        <f t="shared" ref="AA48:AA65" si="122">X48*Z48</f>
        <v>1156058.82</v>
      </c>
      <c r="AB48" s="48"/>
      <c r="AC48" t="s">
        <v>115</v>
      </c>
      <c r="AD48" s="43">
        <f t="shared" ref="AD48:AD65" si="123">R48</f>
        <v>107942</v>
      </c>
      <c r="AE48" s="43">
        <f t="shared" ref="AE48:AE65" si="124">S48</f>
        <v>7913163</v>
      </c>
      <c r="AF48" s="48">
        <f t="shared" ref="AF48:AF65" si="125">ROUND(T48*(1+$AF$2),2)</f>
        <v>10.92</v>
      </c>
      <c r="AG48" s="7">
        <f>AD48*AF48</f>
        <v>1178726.6399999999</v>
      </c>
      <c r="AI48" t="s">
        <v>115</v>
      </c>
      <c r="AJ48" s="43">
        <f t="shared" ref="AJ48:AJ65" si="126">AD48</f>
        <v>107942</v>
      </c>
      <c r="AK48" s="43">
        <f t="shared" ref="AK48:AK65" si="127">AE48</f>
        <v>7913163</v>
      </c>
      <c r="AL48" s="48">
        <f t="shared" ref="AL48:AL65" si="128">ROUND(AF48*(1+$AL$2),2)</f>
        <v>11.13</v>
      </c>
      <c r="AM48" s="7">
        <f>AJ48*AL48</f>
        <v>1201394.4600000002</v>
      </c>
    </row>
    <row r="49" spans="1:39" ht="13.15" x14ac:dyDescent="0.4">
      <c r="A49" t="s">
        <v>116</v>
      </c>
      <c r="B49" s="16">
        <v>48076</v>
      </c>
      <c r="C49" s="95" t="s">
        <v>136</v>
      </c>
      <c r="D49" s="16">
        <v>2137416</v>
      </c>
      <c r="E49" s="23">
        <v>10.41</v>
      </c>
      <c r="F49" s="60">
        <f t="shared" ref="F49:F65" si="129">B49*E49</f>
        <v>500471.16000000003</v>
      </c>
      <c r="G49" s="23"/>
      <c r="H49" s="101">
        <v>3936</v>
      </c>
      <c r="I49" s="6">
        <v>175622</v>
      </c>
      <c r="J49" s="5">
        <v>10.32</v>
      </c>
      <c r="K49" s="90">
        <f t="shared" si="116"/>
        <v>40619.520000000004</v>
      </c>
      <c r="M49" s="8">
        <f t="shared" si="117"/>
        <v>52012</v>
      </c>
      <c r="N49" s="6">
        <f t="shared" si="118"/>
        <v>2313038</v>
      </c>
      <c r="O49" s="5">
        <f t="shared" si="119"/>
        <v>541090.68000000005</v>
      </c>
      <c r="Q49" t="s">
        <v>116</v>
      </c>
      <c r="R49" s="43">
        <f t="shared" si="120"/>
        <v>52012</v>
      </c>
      <c r="S49" s="43">
        <f t="shared" si="120"/>
        <v>2313038</v>
      </c>
      <c r="T49" s="7">
        <f t="shared" ref="T49:T65" si="130">J49</f>
        <v>10.32</v>
      </c>
      <c r="U49" s="7">
        <f t="shared" ref="U49:U65" si="131">R49*T49</f>
        <v>536763.84</v>
      </c>
      <c r="V49" s="7"/>
      <c r="W49" t="s">
        <v>116</v>
      </c>
      <c r="X49" s="43">
        <f t="shared" si="121"/>
        <v>52012</v>
      </c>
      <c r="Y49" s="43">
        <f t="shared" si="121"/>
        <v>2313038</v>
      </c>
      <c r="Z49" s="7">
        <v>10.71</v>
      </c>
      <c r="AA49" s="49">
        <f t="shared" si="122"/>
        <v>557048.52</v>
      </c>
      <c r="AB49" s="48"/>
      <c r="AC49" t="s">
        <v>116</v>
      </c>
      <c r="AD49" s="43">
        <f t="shared" si="123"/>
        <v>52012</v>
      </c>
      <c r="AE49" s="43">
        <f t="shared" si="124"/>
        <v>2313038</v>
      </c>
      <c r="AF49" s="48">
        <f t="shared" si="125"/>
        <v>10.92</v>
      </c>
      <c r="AG49" s="7">
        <f t="shared" ref="AG49:AG65" si="132">AD49*AF49</f>
        <v>567971.04</v>
      </c>
      <c r="AI49" t="s">
        <v>116</v>
      </c>
      <c r="AJ49" s="43">
        <f t="shared" si="126"/>
        <v>52012</v>
      </c>
      <c r="AK49" s="43">
        <f t="shared" si="127"/>
        <v>2313038</v>
      </c>
      <c r="AL49" s="48">
        <f t="shared" si="128"/>
        <v>11.13</v>
      </c>
      <c r="AM49" s="7">
        <f t="shared" ref="AM49:AM65" si="133">AJ49*AL49</f>
        <v>578893.56000000006</v>
      </c>
    </row>
    <row r="50" spans="1:39" x14ac:dyDescent="0.35">
      <c r="A50" t="s">
        <v>117</v>
      </c>
      <c r="B50" s="16">
        <v>976</v>
      </c>
      <c r="C50" s="95" t="s">
        <v>136</v>
      </c>
      <c r="D50" s="16">
        <v>0</v>
      </c>
      <c r="E50" s="23">
        <v>7.51</v>
      </c>
      <c r="F50" s="60">
        <f t="shared" si="129"/>
        <v>7329.76</v>
      </c>
      <c r="G50" s="23"/>
      <c r="H50" s="6">
        <v>86</v>
      </c>
      <c r="I50" s="6">
        <v>0</v>
      </c>
      <c r="J50" s="5">
        <v>7.51</v>
      </c>
      <c r="K50" s="90">
        <f t="shared" si="116"/>
        <v>645.86</v>
      </c>
      <c r="M50" s="8">
        <f t="shared" si="117"/>
        <v>1062</v>
      </c>
      <c r="N50" s="6">
        <f t="shared" si="118"/>
        <v>0</v>
      </c>
      <c r="O50" s="5">
        <f t="shared" si="119"/>
        <v>7975.62</v>
      </c>
      <c r="Q50" t="s">
        <v>117</v>
      </c>
      <c r="R50" s="43">
        <f t="shared" si="120"/>
        <v>1062</v>
      </c>
      <c r="S50" s="43">
        <f t="shared" si="120"/>
        <v>0</v>
      </c>
      <c r="T50" s="7">
        <f t="shared" si="130"/>
        <v>7.51</v>
      </c>
      <c r="U50" s="7">
        <f t="shared" si="131"/>
        <v>7975.62</v>
      </c>
      <c r="V50" s="7"/>
      <c r="W50" t="s">
        <v>117</v>
      </c>
      <c r="X50" s="43">
        <f t="shared" si="121"/>
        <v>1062</v>
      </c>
      <c r="Y50" s="43">
        <f t="shared" si="121"/>
        <v>0</v>
      </c>
      <c r="Z50" s="7">
        <v>7.79</v>
      </c>
      <c r="AA50" s="49">
        <f t="shared" si="122"/>
        <v>8272.98</v>
      </c>
      <c r="AB50" s="48"/>
      <c r="AC50" t="s">
        <v>117</v>
      </c>
      <c r="AD50" s="43">
        <f t="shared" si="123"/>
        <v>1062</v>
      </c>
      <c r="AE50" s="43">
        <f t="shared" si="124"/>
        <v>0</v>
      </c>
      <c r="AF50" s="48">
        <f t="shared" si="125"/>
        <v>7.94</v>
      </c>
      <c r="AG50" s="7">
        <f t="shared" si="132"/>
        <v>8432.2800000000007</v>
      </c>
      <c r="AI50" t="s">
        <v>117</v>
      </c>
      <c r="AJ50" s="43">
        <f t="shared" si="126"/>
        <v>1062</v>
      </c>
      <c r="AK50" s="43">
        <f t="shared" si="127"/>
        <v>0</v>
      </c>
      <c r="AL50" s="48">
        <f t="shared" si="128"/>
        <v>8.09</v>
      </c>
      <c r="AM50" s="7">
        <f t="shared" si="133"/>
        <v>8591.58</v>
      </c>
    </row>
    <row r="51" spans="1:39" x14ac:dyDescent="0.35">
      <c r="A51" t="s">
        <v>118</v>
      </c>
      <c r="B51" s="16">
        <v>302</v>
      </c>
      <c r="C51" s="95" t="s">
        <v>136</v>
      </c>
      <c r="D51" s="16">
        <v>0</v>
      </c>
      <c r="E51" s="23">
        <v>7.51</v>
      </c>
      <c r="F51" s="60">
        <f t="shared" si="129"/>
        <v>2268.02</v>
      </c>
      <c r="G51" s="23"/>
      <c r="H51" s="6">
        <v>20</v>
      </c>
      <c r="I51" s="6">
        <v>0</v>
      </c>
      <c r="J51" s="5">
        <v>7.51</v>
      </c>
      <c r="K51" s="90">
        <f t="shared" si="116"/>
        <v>150.19999999999999</v>
      </c>
      <c r="M51" s="8">
        <f t="shared" si="117"/>
        <v>322</v>
      </c>
      <c r="N51" s="6">
        <f t="shared" si="118"/>
        <v>0</v>
      </c>
      <c r="O51" s="5">
        <f t="shared" si="119"/>
        <v>2418.2199999999998</v>
      </c>
      <c r="Q51" t="s">
        <v>118</v>
      </c>
      <c r="R51" s="43">
        <f t="shared" si="120"/>
        <v>322</v>
      </c>
      <c r="S51" s="43">
        <f t="shared" si="120"/>
        <v>0</v>
      </c>
      <c r="T51" s="7">
        <f t="shared" si="130"/>
        <v>7.51</v>
      </c>
      <c r="U51" s="7">
        <f t="shared" si="131"/>
        <v>2418.2199999999998</v>
      </c>
      <c r="V51" s="7"/>
      <c r="W51" t="s">
        <v>118</v>
      </c>
      <c r="X51" s="43">
        <f t="shared" si="121"/>
        <v>322</v>
      </c>
      <c r="Y51" s="43">
        <f t="shared" si="121"/>
        <v>0</v>
      </c>
      <c r="Z51" s="7">
        <v>7.79</v>
      </c>
      <c r="AA51" s="49">
        <f t="shared" si="122"/>
        <v>2508.38</v>
      </c>
      <c r="AB51" s="48"/>
      <c r="AC51" t="s">
        <v>118</v>
      </c>
      <c r="AD51" s="43">
        <f t="shared" si="123"/>
        <v>322</v>
      </c>
      <c r="AE51" s="43">
        <f t="shared" si="124"/>
        <v>0</v>
      </c>
      <c r="AF51" s="48">
        <f t="shared" si="125"/>
        <v>7.94</v>
      </c>
      <c r="AG51" s="7">
        <f t="shared" si="132"/>
        <v>2556.6800000000003</v>
      </c>
      <c r="AI51" t="s">
        <v>118</v>
      </c>
      <c r="AJ51" s="43">
        <f t="shared" si="126"/>
        <v>322</v>
      </c>
      <c r="AK51" s="43">
        <f t="shared" si="127"/>
        <v>0</v>
      </c>
      <c r="AL51" s="48">
        <f t="shared" si="128"/>
        <v>8.09</v>
      </c>
      <c r="AM51" s="7">
        <f t="shared" si="133"/>
        <v>2604.98</v>
      </c>
    </row>
    <row r="52" spans="1:39" x14ac:dyDescent="0.35">
      <c r="A52" t="s">
        <v>119</v>
      </c>
      <c r="B52" s="16">
        <v>85603</v>
      </c>
      <c r="C52" s="95" t="s">
        <v>136</v>
      </c>
      <c r="D52" s="16">
        <v>1947914</v>
      </c>
      <c r="E52" s="23">
        <v>13.28</v>
      </c>
      <c r="F52" s="60">
        <f t="shared" si="129"/>
        <v>1136807.8399999999</v>
      </c>
      <c r="G52" s="23"/>
      <c r="H52" s="6">
        <v>8769</v>
      </c>
      <c r="I52" s="6">
        <v>199011</v>
      </c>
      <c r="J52" s="5">
        <v>13.24</v>
      </c>
      <c r="K52" s="90">
        <f t="shared" si="116"/>
        <v>116101.56</v>
      </c>
      <c r="M52" s="8">
        <f t="shared" si="117"/>
        <v>94372</v>
      </c>
      <c r="N52" s="6">
        <f t="shared" si="118"/>
        <v>2146925</v>
      </c>
      <c r="O52" s="5">
        <f t="shared" si="119"/>
        <v>1252909.3999999999</v>
      </c>
      <c r="Q52" t="s">
        <v>119</v>
      </c>
      <c r="R52" s="43">
        <f t="shared" si="120"/>
        <v>94372</v>
      </c>
      <c r="S52" s="43">
        <f t="shared" si="120"/>
        <v>2146925</v>
      </c>
      <c r="T52" s="7">
        <f t="shared" si="130"/>
        <v>13.24</v>
      </c>
      <c r="U52" s="7">
        <f t="shared" si="131"/>
        <v>1249485.28</v>
      </c>
      <c r="V52" s="7"/>
      <c r="W52" t="s">
        <v>119</v>
      </c>
      <c r="X52" s="43">
        <f t="shared" si="121"/>
        <v>94372</v>
      </c>
      <c r="Y52" s="43">
        <f t="shared" si="121"/>
        <v>2146925</v>
      </c>
      <c r="Z52" s="7">
        <v>13.73</v>
      </c>
      <c r="AA52" s="49">
        <f t="shared" si="122"/>
        <v>1295727.56</v>
      </c>
      <c r="AB52" s="48"/>
      <c r="AC52" t="s">
        <v>119</v>
      </c>
      <c r="AD52" s="43">
        <f t="shared" si="123"/>
        <v>94372</v>
      </c>
      <c r="AE52" s="43">
        <f t="shared" si="124"/>
        <v>2146925</v>
      </c>
      <c r="AF52" s="48">
        <f t="shared" si="125"/>
        <v>14</v>
      </c>
      <c r="AG52" s="7">
        <f t="shared" si="132"/>
        <v>1321208</v>
      </c>
      <c r="AI52" t="s">
        <v>119</v>
      </c>
      <c r="AJ52" s="43">
        <f t="shared" si="126"/>
        <v>94372</v>
      </c>
      <c r="AK52" s="43">
        <f t="shared" si="127"/>
        <v>2146925</v>
      </c>
      <c r="AL52" s="48">
        <f t="shared" si="128"/>
        <v>14.27</v>
      </c>
      <c r="AM52" s="7">
        <f t="shared" si="133"/>
        <v>1346688.44</v>
      </c>
    </row>
    <row r="53" spans="1:39" ht="13.15" x14ac:dyDescent="0.4">
      <c r="A53" t="s">
        <v>120</v>
      </c>
      <c r="B53" s="16">
        <v>514</v>
      </c>
      <c r="C53" s="95" t="s">
        <v>136</v>
      </c>
      <c r="D53" s="16">
        <v>0</v>
      </c>
      <c r="E53" s="23">
        <v>11.55</v>
      </c>
      <c r="F53" s="60">
        <f t="shared" si="129"/>
        <v>5936.7000000000007</v>
      </c>
      <c r="G53" s="23"/>
      <c r="H53" s="101">
        <v>55</v>
      </c>
      <c r="I53" s="6">
        <v>0</v>
      </c>
      <c r="J53" s="5">
        <v>11.55</v>
      </c>
      <c r="K53" s="90">
        <f t="shared" si="116"/>
        <v>635.25</v>
      </c>
      <c r="M53" s="8">
        <f t="shared" si="117"/>
        <v>569</v>
      </c>
      <c r="N53" s="6">
        <f t="shared" si="118"/>
        <v>0</v>
      </c>
      <c r="O53" s="5">
        <f t="shared" si="119"/>
        <v>6571.9500000000007</v>
      </c>
      <c r="Q53" t="s">
        <v>120</v>
      </c>
      <c r="R53" s="43">
        <f t="shared" si="120"/>
        <v>569</v>
      </c>
      <c r="S53" s="43">
        <f t="shared" si="120"/>
        <v>0</v>
      </c>
      <c r="T53" s="7">
        <f t="shared" si="130"/>
        <v>11.55</v>
      </c>
      <c r="U53" s="7">
        <f t="shared" si="131"/>
        <v>6571.9500000000007</v>
      </c>
      <c r="V53" s="7"/>
      <c r="W53" t="s">
        <v>120</v>
      </c>
      <c r="X53" s="43">
        <f t="shared" si="121"/>
        <v>569</v>
      </c>
      <c r="Y53" s="43">
        <f t="shared" si="121"/>
        <v>0</v>
      </c>
      <c r="Z53" s="7">
        <v>11.97</v>
      </c>
      <c r="AA53" s="49">
        <f t="shared" si="122"/>
        <v>6810.93</v>
      </c>
      <c r="AB53" s="48"/>
      <c r="AC53" t="s">
        <v>120</v>
      </c>
      <c r="AD53" s="43">
        <f t="shared" si="123"/>
        <v>569</v>
      </c>
      <c r="AE53" s="43">
        <f t="shared" si="124"/>
        <v>0</v>
      </c>
      <c r="AF53" s="48">
        <f t="shared" si="125"/>
        <v>12.22</v>
      </c>
      <c r="AG53" s="7">
        <f t="shared" si="132"/>
        <v>6953.18</v>
      </c>
      <c r="AI53" t="s">
        <v>120</v>
      </c>
      <c r="AJ53" s="43">
        <f t="shared" si="126"/>
        <v>569</v>
      </c>
      <c r="AK53" s="43">
        <f t="shared" si="127"/>
        <v>0</v>
      </c>
      <c r="AL53" s="48">
        <f t="shared" si="128"/>
        <v>12.46</v>
      </c>
      <c r="AM53" s="7">
        <f t="shared" si="133"/>
        <v>7089.7400000000007</v>
      </c>
    </row>
    <row r="54" spans="1:39" ht="13.15" x14ac:dyDescent="0.4">
      <c r="A54" t="s">
        <v>121</v>
      </c>
      <c r="B54" s="16">
        <v>7032</v>
      </c>
      <c r="C54" s="95" t="s">
        <v>136</v>
      </c>
      <c r="D54" s="16">
        <v>511275</v>
      </c>
      <c r="E54" s="23">
        <v>23.05</v>
      </c>
      <c r="F54" s="60">
        <f t="shared" si="129"/>
        <v>162087.6</v>
      </c>
      <c r="G54" s="23"/>
      <c r="H54" s="101">
        <v>723</v>
      </c>
      <c r="I54" s="16">
        <v>52686</v>
      </c>
      <c r="J54" s="23">
        <v>22.93</v>
      </c>
      <c r="K54" s="90">
        <f t="shared" si="116"/>
        <v>16578.39</v>
      </c>
      <c r="L54" s="17"/>
      <c r="M54" s="8">
        <f t="shared" si="117"/>
        <v>7755</v>
      </c>
      <c r="N54" s="6">
        <f t="shared" si="118"/>
        <v>563961</v>
      </c>
      <c r="O54" s="5">
        <f t="shared" si="119"/>
        <v>178665.99</v>
      </c>
      <c r="Q54" t="s">
        <v>121</v>
      </c>
      <c r="R54" s="43">
        <f t="shared" si="120"/>
        <v>7755</v>
      </c>
      <c r="S54" s="43">
        <f t="shared" si="120"/>
        <v>563961</v>
      </c>
      <c r="T54" s="7">
        <f t="shared" si="130"/>
        <v>22.93</v>
      </c>
      <c r="U54" s="7">
        <f t="shared" si="131"/>
        <v>177822.15</v>
      </c>
      <c r="V54" s="7"/>
      <c r="W54" t="s">
        <v>121</v>
      </c>
      <c r="X54" s="43">
        <f t="shared" si="121"/>
        <v>7755</v>
      </c>
      <c r="Y54" s="43">
        <f t="shared" si="121"/>
        <v>563961</v>
      </c>
      <c r="Z54" s="7">
        <v>23.77</v>
      </c>
      <c r="AA54" s="49">
        <f t="shared" si="122"/>
        <v>184336.35</v>
      </c>
      <c r="AB54" s="48"/>
      <c r="AC54" t="s">
        <v>121</v>
      </c>
      <c r="AD54" s="43">
        <f t="shared" si="123"/>
        <v>7755</v>
      </c>
      <c r="AE54" s="43">
        <f t="shared" si="124"/>
        <v>563961</v>
      </c>
      <c r="AF54" s="48">
        <f t="shared" si="125"/>
        <v>24.25</v>
      </c>
      <c r="AG54" s="7">
        <f t="shared" si="132"/>
        <v>188058.75</v>
      </c>
      <c r="AI54" t="s">
        <v>121</v>
      </c>
      <c r="AJ54" s="43">
        <f t="shared" si="126"/>
        <v>7755</v>
      </c>
      <c r="AK54" s="43">
        <f t="shared" si="127"/>
        <v>563961</v>
      </c>
      <c r="AL54" s="48">
        <f t="shared" si="128"/>
        <v>24.72</v>
      </c>
      <c r="AM54" s="7">
        <f t="shared" si="133"/>
        <v>191703.59999999998</v>
      </c>
    </row>
    <row r="55" spans="1:39" ht="13.15" x14ac:dyDescent="0.4">
      <c r="A55" t="s">
        <v>122</v>
      </c>
      <c r="B55" s="16">
        <v>565</v>
      </c>
      <c r="C55" s="95" t="s">
        <v>136</v>
      </c>
      <c r="D55" s="16">
        <v>0</v>
      </c>
      <c r="E55" s="23">
        <v>17.63</v>
      </c>
      <c r="F55" s="60">
        <f t="shared" si="129"/>
        <v>9960.9499999999989</v>
      </c>
      <c r="G55" s="23"/>
      <c r="H55" s="101">
        <v>79</v>
      </c>
      <c r="I55" s="16">
        <v>0</v>
      </c>
      <c r="J55" s="23">
        <v>17.63</v>
      </c>
      <c r="K55" s="90">
        <f t="shared" si="116"/>
        <v>1392.77</v>
      </c>
      <c r="L55" s="17"/>
      <c r="M55" s="8">
        <f t="shared" si="117"/>
        <v>644</v>
      </c>
      <c r="N55" s="6">
        <f t="shared" si="118"/>
        <v>0</v>
      </c>
      <c r="O55" s="5">
        <f t="shared" si="119"/>
        <v>11353.72</v>
      </c>
      <c r="Q55" t="s">
        <v>122</v>
      </c>
      <c r="R55" s="43">
        <f t="shared" si="120"/>
        <v>644</v>
      </c>
      <c r="S55" s="43">
        <f t="shared" si="120"/>
        <v>0</v>
      </c>
      <c r="T55" s="7">
        <f t="shared" si="130"/>
        <v>17.63</v>
      </c>
      <c r="U55" s="7">
        <f t="shared" si="131"/>
        <v>11353.72</v>
      </c>
      <c r="V55" s="7"/>
      <c r="W55" t="s">
        <v>122</v>
      </c>
      <c r="X55" s="43">
        <f t="shared" si="121"/>
        <v>644</v>
      </c>
      <c r="Y55" s="43">
        <f t="shared" si="121"/>
        <v>0</v>
      </c>
      <c r="Z55" s="7">
        <v>18.28</v>
      </c>
      <c r="AA55" s="49">
        <f t="shared" si="122"/>
        <v>11772.320000000002</v>
      </c>
      <c r="AB55" s="48"/>
      <c r="AC55" t="s">
        <v>122</v>
      </c>
      <c r="AD55" s="43">
        <f t="shared" si="123"/>
        <v>644</v>
      </c>
      <c r="AE55" s="43">
        <f t="shared" si="124"/>
        <v>0</v>
      </c>
      <c r="AF55" s="48">
        <f t="shared" si="125"/>
        <v>18.649999999999999</v>
      </c>
      <c r="AG55" s="7">
        <f t="shared" si="132"/>
        <v>12010.599999999999</v>
      </c>
      <c r="AI55" t="s">
        <v>122</v>
      </c>
      <c r="AJ55" s="43">
        <f t="shared" si="126"/>
        <v>644</v>
      </c>
      <c r="AK55" s="43">
        <f t="shared" si="127"/>
        <v>0</v>
      </c>
      <c r="AL55" s="48">
        <f t="shared" si="128"/>
        <v>19.010000000000002</v>
      </c>
      <c r="AM55" s="7">
        <f t="shared" si="133"/>
        <v>12242.44</v>
      </c>
    </row>
    <row r="56" spans="1:39" ht="13.15" x14ac:dyDescent="0.4">
      <c r="A56" t="s">
        <v>123</v>
      </c>
      <c r="B56" s="16">
        <v>586</v>
      </c>
      <c r="C56" s="95" t="s">
        <v>136</v>
      </c>
      <c r="D56" s="16">
        <v>83388</v>
      </c>
      <c r="E56" s="23">
        <v>35.32</v>
      </c>
      <c r="F56" s="60">
        <f t="shared" si="129"/>
        <v>20697.52</v>
      </c>
      <c r="G56" s="23"/>
      <c r="H56" s="101">
        <v>67</v>
      </c>
      <c r="I56" s="16">
        <v>9581</v>
      </c>
      <c r="J56" s="23">
        <v>35.090000000000003</v>
      </c>
      <c r="K56" s="90">
        <f t="shared" si="116"/>
        <v>2351.0300000000002</v>
      </c>
      <c r="L56" s="17"/>
      <c r="M56" s="8">
        <f t="shared" si="117"/>
        <v>653</v>
      </c>
      <c r="N56" s="6">
        <f t="shared" si="118"/>
        <v>92969</v>
      </c>
      <c r="O56" s="5">
        <f t="shared" si="119"/>
        <v>23048.55</v>
      </c>
      <c r="Q56" t="s">
        <v>123</v>
      </c>
      <c r="R56" s="43">
        <f t="shared" si="120"/>
        <v>653</v>
      </c>
      <c r="S56" s="43">
        <f t="shared" si="120"/>
        <v>92969</v>
      </c>
      <c r="T56" s="7">
        <f t="shared" si="130"/>
        <v>35.090000000000003</v>
      </c>
      <c r="U56" s="7">
        <f t="shared" si="131"/>
        <v>22913.77</v>
      </c>
      <c r="V56" s="7"/>
      <c r="W56" t="s">
        <v>123</v>
      </c>
      <c r="X56" s="43">
        <f t="shared" si="121"/>
        <v>653</v>
      </c>
      <c r="Y56" s="43">
        <f t="shared" si="121"/>
        <v>92969</v>
      </c>
      <c r="Z56" s="7">
        <v>36.380000000000003</v>
      </c>
      <c r="AA56" s="49">
        <f t="shared" si="122"/>
        <v>23756.140000000003</v>
      </c>
      <c r="AB56" s="48"/>
      <c r="AC56" t="s">
        <v>123</v>
      </c>
      <c r="AD56" s="43">
        <f t="shared" si="123"/>
        <v>653</v>
      </c>
      <c r="AE56" s="43">
        <f t="shared" si="124"/>
        <v>92969</v>
      </c>
      <c r="AF56" s="48">
        <f t="shared" si="125"/>
        <v>37.11</v>
      </c>
      <c r="AG56" s="7">
        <f t="shared" si="132"/>
        <v>24232.829999999998</v>
      </c>
      <c r="AI56" t="s">
        <v>123</v>
      </c>
      <c r="AJ56" s="43">
        <f t="shared" si="126"/>
        <v>653</v>
      </c>
      <c r="AK56" s="43">
        <f t="shared" si="127"/>
        <v>92969</v>
      </c>
      <c r="AL56" s="48">
        <f t="shared" si="128"/>
        <v>37.83</v>
      </c>
      <c r="AM56" s="7">
        <f t="shared" si="133"/>
        <v>24702.989999999998</v>
      </c>
    </row>
    <row r="57" spans="1:39" ht="13.15" x14ac:dyDescent="0.4">
      <c r="A57" t="s">
        <v>124</v>
      </c>
      <c r="B57" s="16">
        <v>334</v>
      </c>
      <c r="C57" s="95" t="s">
        <v>136</v>
      </c>
      <c r="D57" s="16">
        <v>0</v>
      </c>
      <c r="E57" s="23">
        <v>25.28</v>
      </c>
      <c r="F57" s="60">
        <f t="shared" si="129"/>
        <v>8443.52</v>
      </c>
      <c r="G57" s="23"/>
      <c r="H57" s="101">
        <v>37</v>
      </c>
      <c r="I57" s="16">
        <v>0</v>
      </c>
      <c r="J57" s="23">
        <v>25.28</v>
      </c>
      <c r="K57" s="90">
        <f t="shared" si="116"/>
        <v>935.36</v>
      </c>
      <c r="L57" s="17"/>
      <c r="M57" s="8">
        <f t="shared" si="117"/>
        <v>371</v>
      </c>
      <c r="N57" s="6">
        <f t="shared" si="118"/>
        <v>0</v>
      </c>
      <c r="O57" s="5">
        <f t="shared" si="119"/>
        <v>9378.880000000001</v>
      </c>
      <c r="Q57" t="s">
        <v>124</v>
      </c>
      <c r="R57" s="43">
        <f t="shared" si="120"/>
        <v>371</v>
      </c>
      <c r="S57" s="43">
        <f t="shared" si="120"/>
        <v>0</v>
      </c>
      <c r="T57" s="7">
        <f t="shared" si="130"/>
        <v>25.28</v>
      </c>
      <c r="U57" s="7">
        <f t="shared" si="131"/>
        <v>9378.880000000001</v>
      </c>
      <c r="V57" s="7"/>
      <c r="W57" t="s">
        <v>124</v>
      </c>
      <c r="X57" s="43">
        <f t="shared" si="121"/>
        <v>371</v>
      </c>
      <c r="Y57" s="43">
        <f t="shared" si="121"/>
        <v>0</v>
      </c>
      <c r="Z57" s="7">
        <v>26.21</v>
      </c>
      <c r="AA57" s="49">
        <f t="shared" si="122"/>
        <v>9723.91</v>
      </c>
      <c r="AB57" s="48"/>
      <c r="AC57" t="s">
        <v>124</v>
      </c>
      <c r="AD57" s="43">
        <f t="shared" si="123"/>
        <v>371</v>
      </c>
      <c r="AE57" s="43">
        <f t="shared" si="124"/>
        <v>0</v>
      </c>
      <c r="AF57" s="48">
        <f t="shared" si="125"/>
        <v>26.74</v>
      </c>
      <c r="AG57" s="7">
        <f t="shared" si="132"/>
        <v>9920.5399999999991</v>
      </c>
      <c r="AI57" t="s">
        <v>124</v>
      </c>
      <c r="AJ57" s="43">
        <f t="shared" si="126"/>
        <v>371</v>
      </c>
      <c r="AK57" s="43">
        <f t="shared" si="127"/>
        <v>0</v>
      </c>
      <c r="AL57" s="48">
        <f t="shared" si="128"/>
        <v>27.26</v>
      </c>
      <c r="AM57" s="7">
        <f t="shared" si="133"/>
        <v>10113.460000000001</v>
      </c>
    </row>
    <row r="58" spans="1:39" ht="12.75" customHeight="1" x14ac:dyDescent="0.35">
      <c r="A58" t="s">
        <v>125</v>
      </c>
      <c r="B58" s="84">
        <v>6347</v>
      </c>
      <c r="C58" s="96" t="s">
        <v>136</v>
      </c>
      <c r="D58" s="84">
        <v>668018</v>
      </c>
      <c r="E58" s="91">
        <v>16.649999999999999</v>
      </c>
      <c r="F58" s="60">
        <f t="shared" si="129"/>
        <v>105677.54999999999</v>
      </c>
      <c r="G58" s="15"/>
      <c r="H58" s="6">
        <v>537</v>
      </c>
      <c r="I58" s="16">
        <v>56505</v>
      </c>
      <c r="J58" s="23">
        <v>16.48</v>
      </c>
      <c r="K58" s="90">
        <f t="shared" si="116"/>
        <v>8849.76</v>
      </c>
      <c r="L58" s="17"/>
      <c r="M58" s="8">
        <f t="shared" si="117"/>
        <v>6884</v>
      </c>
      <c r="N58" s="6">
        <f t="shared" si="118"/>
        <v>724523</v>
      </c>
      <c r="O58" s="5">
        <f t="shared" si="119"/>
        <v>114527.30999999998</v>
      </c>
      <c r="Q58" t="s">
        <v>125</v>
      </c>
      <c r="R58" s="43">
        <f t="shared" si="120"/>
        <v>6884</v>
      </c>
      <c r="S58" s="43">
        <f t="shared" si="120"/>
        <v>724523</v>
      </c>
      <c r="T58" s="7">
        <f t="shared" si="130"/>
        <v>16.48</v>
      </c>
      <c r="U58" s="7">
        <f t="shared" si="131"/>
        <v>113448.32000000001</v>
      </c>
      <c r="V58" s="7"/>
      <c r="W58" t="s">
        <v>125</v>
      </c>
      <c r="X58" s="43">
        <f t="shared" si="121"/>
        <v>6884</v>
      </c>
      <c r="Y58" s="43">
        <f t="shared" si="121"/>
        <v>724523</v>
      </c>
      <c r="Z58" s="7">
        <v>17.079999999999998</v>
      </c>
      <c r="AA58" s="49">
        <f t="shared" si="122"/>
        <v>117578.71999999999</v>
      </c>
      <c r="AB58" s="48"/>
      <c r="AC58" t="s">
        <v>125</v>
      </c>
      <c r="AD58" s="43">
        <f t="shared" si="123"/>
        <v>6884</v>
      </c>
      <c r="AE58" s="43">
        <f t="shared" si="124"/>
        <v>724523</v>
      </c>
      <c r="AF58" s="48">
        <f t="shared" si="125"/>
        <v>17.43</v>
      </c>
      <c r="AG58" s="7">
        <f t="shared" si="132"/>
        <v>119988.12</v>
      </c>
      <c r="AI58" t="s">
        <v>125</v>
      </c>
      <c r="AJ58" s="43">
        <f t="shared" si="126"/>
        <v>6884</v>
      </c>
      <c r="AK58" s="43">
        <f t="shared" si="127"/>
        <v>724523</v>
      </c>
      <c r="AL58" s="48">
        <f t="shared" si="128"/>
        <v>17.77</v>
      </c>
      <c r="AM58" s="7">
        <f t="shared" si="133"/>
        <v>122328.68</v>
      </c>
    </row>
    <row r="59" spans="1:39" x14ac:dyDescent="0.35">
      <c r="A59" t="s">
        <v>126</v>
      </c>
      <c r="B59" s="6">
        <v>613</v>
      </c>
      <c r="C59" s="97" t="s">
        <v>136</v>
      </c>
      <c r="D59" s="6">
        <v>0</v>
      </c>
      <c r="E59" s="5">
        <v>9.5299999999999994</v>
      </c>
      <c r="F59" s="60">
        <f t="shared" si="129"/>
        <v>5841.8899999999994</v>
      </c>
      <c r="G59" s="8"/>
      <c r="H59" s="6">
        <v>33</v>
      </c>
      <c r="I59" s="6">
        <v>0</v>
      </c>
      <c r="J59" s="5">
        <v>9.5299999999999994</v>
      </c>
      <c r="K59" s="90">
        <f t="shared" si="116"/>
        <v>314.48999999999995</v>
      </c>
      <c r="M59" s="8">
        <f t="shared" si="117"/>
        <v>646</v>
      </c>
      <c r="N59" s="6">
        <f t="shared" si="118"/>
        <v>0</v>
      </c>
      <c r="O59" s="5">
        <f t="shared" si="119"/>
        <v>6156.3799999999992</v>
      </c>
      <c r="Q59" t="s">
        <v>126</v>
      </c>
      <c r="R59" s="43">
        <f t="shared" si="120"/>
        <v>646</v>
      </c>
      <c r="S59" s="43">
        <f t="shared" si="120"/>
        <v>0</v>
      </c>
      <c r="T59" s="7">
        <f t="shared" si="130"/>
        <v>9.5299999999999994</v>
      </c>
      <c r="U59" s="7">
        <f t="shared" si="131"/>
        <v>6156.3799999999992</v>
      </c>
      <c r="V59" s="7"/>
      <c r="W59" t="s">
        <v>126</v>
      </c>
      <c r="X59" s="43">
        <f t="shared" si="121"/>
        <v>646</v>
      </c>
      <c r="Y59" s="43">
        <f t="shared" si="121"/>
        <v>0</v>
      </c>
      <c r="Z59" s="7">
        <v>9.8800000000000008</v>
      </c>
      <c r="AA59" s="49">
        <f t="shared" si="122"/>
        <v>6382.4800000000005</v>
      </c>
      <c r="AB59" s="48"/>
      <c r="AC59" t="s">
        <v>126</v>
      </c>
      <c r="AD59" s="43">
        <f t="shared" si="123"/>
        <v>646</v>
      </c>
      <c r="AE59" s="43">
        <f t="shared" si="124"/>
        <v>0</v>
      </c>
      <c r="AF59" s="48">
        <f t="shared" si="125"/>
        <v>10.08</v>
      </c>
      <c r="AG59" s="7">
        <f t="shared" si="132"/>
        <v>6511.68</v>
      </c>
      <c r="AI59" t="s">
        <v>126</v>
      </c>
      <c r="AJ59" s="43">
        <f t="shared" si="126"/>
        <v>646</v>
      </c>
      <c r="AK59" s="43">
        <f t="shared" si="127"/>
        <v>0</v>
      </c>
      <c r="AL59" s="48">
        <f t="shared" si="128"/>
        <v>10.28</v>
      </c>
      <c r="AM59" s="7">
        <f t="shared" si="133"/>
        <v>6640.8799999999992</v>
      </c>
    </row>
    <row r="60" spans="1:39" x14ac:dyDescent="0.35">
      <c r="A60" t="s">
        <v>127</v>
      </c>
      <c r="B60" s="6">
        <v>166</v>
      </c>
      <c r="C60" s="94" t="s">
        <v>136</v>
      </c>
      <c r="D60" s="6">
        <v>0</v>
      </c>
      <c r="E60" s="5">
        <v>10.61</v>
      </c>
      <c r="F60" s="60">
        <f t="shared" si="129"/>
        <v>1761.26</v>
      </c>
      <c r="G60" s="8"/>
      <c r="H60" s="6">
        <v>15</v>
      </c>
      <c r="I60" s="6">
        <v>0</v>
      </c>
      <c r="J60" s="5">
        <v>10.61</v>
      </c>
      <c r="K60" s="90">
        <f t="shared" si="116"/>
        <v>159.14999999999998</v>
      </c>
      <c r="M60" s="8">
        <f t="shared" si="117"/>
        <v>181</v>
      </c>
      <c r="N60" s="6">
        <f t="shared" si="118"/>
        <v>0</v>
      </c>
      <c r="O60" s="5">
        <f t="shared" si="119"/>
        <v>1920.4099999999999</v>
      </c>
      <c r="Q60" t="s">
        <v>127</v>
      </c>
      <c r="R60" s="43">
        <f t="shared" si="120"/>
        <v>181</v>
      </c>
      <c r="S60" s="43">
        <f t="shared" si="120"/>
        <v>0</v>
      </c>
      <c r="T60" s="7">
        <f t="shared" si="130"/>
        <v>10.61</v>
      </c>
      <c r="U60" s="7">
        <f t="shared" si="131"/>
        <v>1920.4099999999999</v>
      </c>
      <c r="V60" s="7"/>
      <c r="W60" t="s">
        <v>127</v>
      </c>
      <c r="X60" s="43">
        <f t="shared" si="121"/>
        <v>181</v>
      </c>
      <c r="Y60" s="43">
        <f t="shared" si="121"/>
        <v>0</v>
      </c>
      <c r="Z60" s="7">
        <v>11</v>
      </c>
      <c r="AA60" s="49">
        <f t="shared" si="122"/>
        <v>1991</v>
      </c>
      <c r="AB60" s="48"/>
      <c r="AC60" t="s">
        <v>127</v>
      </c>
      <c r="AD60" s="43">
        <f t="shared" si="123"/>
        <v>181</v>
      </c>
      <c r="AE60" s="43">
        <f t="shared" si="124"/>
        <v>0</v>
      </c>
      <c r="AF60" s="48">
        <f t="shared" si="125"/>
        <v>11.22</v>
      </c>
      <c r="AG60" s="7">
        <f t="shared" si="132"/>
        <v>2030.8200000000002</v>
      </c>
      <c r="AI60" t="s">
        <v>127</v>
      </c>
      <c r="AJ60" s="43">
        <f t="shared" si="126"/>
        <v>181</v>
      </c>
      <c r="AK60" s="43">
        <f t="shared" si="127"/>
        <v>0</v>
      </c>
      <c r="AL60" s="48">
        <f t="shared" si="128"/>
        <v>11.44</v>
      </c>
      <c r="AM60" s="7">
        <f t="shared" si="133"/>
        <v>2070.64</v>
      </c>
    </row>
    <row r="61" spans="1:39" x14ac:dyDescent="0.35">
      <c r="A61" t="s">
        <v>128</v>
      </c>
      <c r="B61" s="16">
        <v>612</v>
      </c>
      <c r="C61" s="94" t="s">
        <v>136</v>
      </c>
      <c r="D61" s="6">
        <v>0</v>
      </c>
      <c r="E61" s="5">
        <v>10.61</v>
      </c>
      <c r="F61" s="60">
        <f t="shared" si="129"/>
        <v>6493.32</v>
      </c>
      <c r="G61" s="8"/>
      <c r="H61" s="6">
        <v>52</v>
      </c>
      <c r="I61" s="6">
        <v>0</v>
      </c>
      <c r="J61" s="5">
        <v>10.61</v>
      </c>
      <c r="K61" s="90">
        <f t="shared" si="116"/>
        <v>551.72</v>
      </c>
      <c r="M61" s="8">
        <f t="shared" si="117"/>
        <v>664</v>
      </c>
      <c r="N61" s="6">
        <f t="shared" si="118"/>
        <v>0</v>
      </c>
      <c r="O61" s="5">
        <f t="shared" si="119"/>
        <v>7045.04</v>
      </c>
      <c r="Q61" t="s">
        <v>128</v>
      </c>
      <c r="R61" s="43">
        <f t="shared" si="120"/>
        <v>664</v>
      </c>
      <c r="S61" s="43">
        <f t="shared" si="120"/>
        <v>0</v>
      </c>
      <c r="T61" s="7">
        <f t="shared" si="130"/>
        <v>10.61</v>
      </c>
      <c r="U61" s="7">
        <f t="shared" si="131"/>
        <v>7045.04</v>
      </c>
      <c r="V61" s="7"/>
      <c r="W61" t="s">
        <v>128</v>
      </c>
      <c r="X61" s="43">
        <f t="shared" si="121"/>
        <v>664</v>
      </c>
      <c r="Y61" s="43">
        <f t="shared" si="121"/>
        <v>0</v>
      </c>
      <c r="Z61" s="7">
        <v>11</v>
      </c>
      <c r="AA61" s="49">
        <f t="shared" si="122"/>
        <v>7304</v>
      </c>
      <c r="AB61" s="48"/>
      <c r="AC61" t="s">
        <v>128</v>
      </c>
      <c r="AD61" s="43">
        <f t="shared" si="123"/>
        <v>664</v>
      </c>
      <c r="AE61" s="43">
        <f t="shared" si="124"/>
        <v>0</v>
      </c>
      <c r="AF61" s="48">
        <f t="shared" si="125"/>
        <v>11.22</v>
      </c>
      <c r="AG61" s="7">
        <f t="shared" si="132"/>
        <v>7450.0800000000008</v>
      </c>
      <c r="AI61" t="s">
        <v>128</v>
      </c>
      <c r="AJ61" s="43">
        <f t="shared" si="126"/>
        <v>664</v>
      </c>
      <c r="AK61" s="43">
        <f t="shared" si="127"/>
        <v>0</v>
      </c>
      <c r="AL61" s="48">
        <f t="shared" si="128"/>
        <v>11.44</v>
      </c>
      <c r="AM61" s="7">
        <f t="shared" si="133"/>
        <v>7596.16</v>
      </c>
    </row>
    <row r="62" spans="1:39" x14ac:dyDescent="0.35">
      <c r="A62" t="s">
        <v>129</v>
      </c>
      <c r="B62" s="84">
        <v>299</v>
      </c>
      <c r="C62" s="96" t="s">
        <v>136</v>
      </c>
      <c r="D62" s="84">
        <v>0</v>
      </c>
      <c r="E62" s="91">
        <v>11.85</v>
      </c>
      <c r="F62" s="60">
        <f t="shared" si="129"/>
        <v>3543.15</v>
      </c>
      <c r="G62" s="8"/>
      <c r="H62" s="6">
        <v>24</v>
      </c>
      <c r="I62" s="6">
        <v>0</v>
      </c>
      <c r="J62" s="5">
        <v>11.85</v>
      </c>
      <c r="K62" s="90">
        <f t="shared" si="116"/>
        <v>284.39999999999998</v>
      </c>
      <c r="M62" s="8">
        <f t="shared" si="117"/>
        <v>323</v>
      </c>
      <c r="N62" s="6">
        <f t="shared" si="118"/>
        <v>0</v>
      </c>
      <c r="O62" s="5">
        <f t="shared" si="119"/>
        <v>3827.55</v>
      </c>
      <c r="Q62" t="s">
        <v>129</v>
      </c>
      <c r="R62" s="43">
        <f t="shared" si="120"/>
        <v>323</v>
      </c>
      <c r="S62" s="43">
        <f t="shared" si="120"/>
        <v>0</v>
      </c>
      <c r="T62" s="7">
        <f t="shared" si="130"/>
        <v>11.85</v>
      </c>
      <c r="U62" s="7">
        <f t="shared" si="131"/>
        <v>3827.5499999999997</v>
      </c>
      <c r="V62" s="7"/>
      <c r="W62" t="s">
        <v>129</v>
      </c>
      <c r="X62" s="43">
        <f t="shared" si="121"/>
        <v>323</v>
      </c>
      <c r="Y62" s="43">
        <f t="shared" si="121"/>
        <v>0</v>
      </c>
      <c r="Z62" s="7">
        <v>12.28</v>
      </c>
      <c r="AA62" s="49">
        <f t="shared" si="122"/>
        <v>3966.4399999999996</v>
      </c>
      <c r="AB62" s="48"/>
      <c r="AC62" t="s">
        <v>129</v>
      </c>
      <c r="AD62" s="43">
        <f t="shared" si="123"/>
        <v>323</v>
      </c>
      <c r="AE62" s="43">
        <f t="shared" si="124"/>
        <v>0</v>
      </c>
      <c r="AF62" s="48">
        <f t="shared" si="125"/>
        <v>12.53</v>
      </c>
      <c r="AG62" s="7">
        <f t="shared" si="132"/>
        <v>4047.1899999999996</v>
      </c>
      <c r="AI62" t="s">
        <v>129</v>
      </c>
      <c r="AJ62" s="43">
        <f t="shared" si="126"/>
        <v>323</v>
      </c>
      <c r="AK62" s="43">
        <f t="shared" si="127"/>
        <v>0</v>
      </c>
      <c r="AL62" s="48">
        <f t="shared" si="128"/>
        <v>12.77</v>
      </c>
      <c r="AM62" s="7">
        <f t="shared" si="133"/>
        <v>4124.71</v>
      </c>
    </row>
    <row r="63" spans="1:39" x14ac:dyDescent="0.35">
      <c r="A63" t="s">
        <v>130</v>
      </c>
      <c r="B63" s="16">
        <v>1740</v>
      </c>
      <c r="C63" s="97" t="s">
        <v>136</v>
      </c>
      <c r="D63" s="6">
        <v>182468</v>
      </c>
      <c r="E63" s="5">
        <v>18.05</v>
      </c>
      <c r="F63" s="60">
        <f t="shared" si="129"/>
        <v>31407</v>
      </c>
      <c r="H63" s="6">
        <v>138</v>
      </c>
      <c r="I63" s="6">
        <v>14628</v>
      </c>
      <c r="J63" s="5">
        <v>17.88</v>
      </c>
      <c r="K63" s="90">
        <f t="shared" si="116"/>
        <v>2467.44</v>
      </c>
      <c r="M63" s="8">
        <f t="shared" si="117"/>
        <v>1878</v>
      </c>
      <c r="N63" s="6">
        <f t="shared" si="118"/>
        <v>197096</v>
      </c>
      <c r="O63" s="5">
        <f t="shared" si="119"/>
        <v>33874.44</v>
      </c>
      <c r="Q63" t="s">
        <v>130</v>
      </c>
      <c r="R63" s="43">
        <f t="shared" si="120"/>
        <v>1878</v>
      </c>
      <c r="S63" s="43">
        <f t="shared" si="120"/>
        <v>197096</v>
      </c>
      <c r="T63" s="7">
        <f t="shared" si="130"/>
        <v>17.88</v>
      </c>
      <c r="U63" s="7">
        <f t="shared" si="131"/>
        <v>33578.639999999999</v>
      </c>
      <c r="V63" s="7"/>
      <c r="W63" t="s">
        <v>130</v>
      </c>
      <c r="X63" s="43">
        <f t="shared" si="121"/>
        <v>1878</v>
      </c>
      <c r="Y63" s="43">
        <f t="shared" si="121"/>
        <v>197096</v>
      </c>
      <c r="Z63" s="7">
        <v>18.54</v>
      </c>
      <c r="AA63" s="49">
        <f t="shared" si="122"/>
        <v>34818.119999999995</v>
      </c>
      <c r="AB63" s="48"/>
      <c r="AC63" t="s">
        <v>130</v>
      </c>
      <c r="AD63" s="43">
        <f t="shared" si="123"/>
        <v>1878</v>
      </c>
      <c r="AE63" s="43">
        <f t="shared" si="124"/>
        <v>197096</v>
      </c>
      <c r="AF63" s="48">
        <f t="shared" si="125"/>
        <v>18.91</v>
      </c>
      <c r="AG63" s="7">
        <f t="shared" si="132"/>
        <v>35512.980000000003</v>
      </c>
      <c r="AI63" t="s">
        <v>130</v>
      </c>
      <c r="AJ63" s="43">
        <f t="shared" si="126"/>
        <v>1878</v>
      </c>
      <c r="AK63" s="43">
        <f t="shared" si="127"/>
        <v>197096</v>
      </c>
      <c r="AL63" s="48">
        <f t="shared" si="128"/>
        <v>19.28</v>
      </c>
      <c r="AM63" s="7">
        <f t="shared" si="133"/>
        <v>36207.840000000004</v>
      </c>
    </row>
    <row r="64" spans="1:39" x14ac:dyDescent="0.35">
      <c r="A64" t="s">
        <v>131</v>
      </c>
      <c r="B64" s="16">
        <v>2632</v>
      </c>
      <c r="C64" s="94" t="s">
        <v>136</v>
      </c>
      <c r="D64" s="6">
        <v>437320</v>
      </c>
      <c r="E64" s="5">
        <v>22.45</v>
      </c>
      <c r="F64" s="60">
        <f t="shared" si="129"/>
        <v>59088.4</v>
      </c>
      <c r="H64" s="6">
        <v>226</v>
      </c>
      <c r="I64" s="6">
        <v>37569</v>
      </c>
      <c r="J64" s="5">
        <v>22.18</v>
      </c>
      <c r="K64" s="90">
        <f t="shared" si="116"/>
        <v>5012.68</v>
      </c>
      <c r="M64" s="8">
        <f t="shared" si="117"/>
        <v>2858</v>
      </c>
      <c r="N64" s="6">
        <f t="shared" si="118"/>
        <v>474889</v>
      </c>
      <c r="O64" s="5">
        <f t="shared" si="119"/>
        <v>64101.08</v>
      </c>
      <c r="Q64" t="s">
        <v>131</v>
      </c>
      <c r="R64" s="43">
        <f t="shared" si="120"/>
        <v>2858</v>
      </c>
      <c r="S64" s="43">
        <f t="shared" si="120"/>
        <v>474889</v>
      </c>
      <c r="T64" s="7">
        <f t="shared" si="130"/>
        <v>22.18</v>
      </c>
      <c r="U64" s="7">
        <f t="shared" si="131"/>
        <v>63390.44</v>
      </c>
      <c r="V64" s="7"/>
      <c r="W64" t="s">
        <v>131</v>
      </c>
      <c r="X64" s="43">
        <f t="shared" si="121"/>
        <v>2858</v>
      </c>
      <c r="Y64" s="43">
        <f t="shared" si="121"/>
        <v>474889</v>
      </c>
      <c r="Z64" s="7">
        <v>22.99</v>
      </c>
      <c r="AA64" s="49">
        <f t="shared" si="122"/>
        <v>65705.42</v>
      </c>
      <c r="AB64" s="48"/>
      <c r="AC64" t="s">
        <v>131</v>
      </c>
      <c r="AD64" s="43">
        <f t="shared" si="123"/>
        <v>2858</v>
      </c>
      <c r="AE64" s="43">
        <f t="shared" si="124"/>
        <v>474889</v>
      </c>
      <c r="AF64" s="48">
        <f t="shared" si="125"/>
        <v>23.46</v>
      </c>
      <c r="AG64" s="7">
        <f t="shared" si="132"/>
        <v>67048.680000000008</v>
      </c>
      <c r="AI64" t="s">
        <v>131</v>
      </c>
      <c r="AJ64" s="43">
        <f t="shared" si="126"/>
        <v>2858</v>
      </c>
      <c r="AK64" s="43">
        <f t="shared" si="127"/>
        <v>474889</v>
      </c>
      <c r="AL64" s="48">
        <f t="shared" si="128"/>
        <v>23.91</v>
      </c>
      <c r="AM64" s="7">
        <f t="shared" si="133"/>
        <v>68334.78</v>
      </c>
    </row>
    <row r="65" spans="1:39" x14ac:dyDescent="0.35">
      <c r="A65" t="s">
        <v>132</v>
      </c>
      <c r="B65" s="16">
        <v>1137</v>
      </c>
      <c r="C65" s="94" t="s">
        <v>136</v>
      </c>
      <c r="D65" s="6">
        <v>444796</v>
      </c>
      <c r="E65" s="5">
        <v>39.58</v>
      </c>
      <c r="F65" s="60">
        <f t="shared" si="129"/>
        <v>45002.46</v>
      </c>
      <c r="H65" s="6">
        <v>92</v>
      </c>
      <c r="I65" s="6">
        <v>36340</v>
      </c>
      <c r="J65" s="5">
        <v>38.950000000000003</v>
      </c>
      <c r="K65" s="90">
        <f t="shared" si="116"/>
        <v>3583.4</v>
      </c>
      <c r="M65" s="8">
        <f t="shared" si="117"/>
        <v>1229</v>
      </c>
      <c r="N65" s="6">
        <f t="shared" si="118"/>
        <v>481136</v>
      </c>
      <c r="O65" s="5">
        <f t="shared" si="119"/>
        <v>48585.86</v>
      </c>
      <c r="Q65" t="s">
        <v>132</v>
      </c>
      <c r="R65" s="43">
        <f t="shared" si="120"/>
        <v>1229</v>
      </c>
      <c r="S65" s="43">
        <f t="shared" si="120"/>
        <v>481136</v>
      </c>
      <c r="T65" s="7">
        <f t="shared" si="130"/>
        <v>38.950000000000003</v>
      </c>
      <c r="U65" s="7">
        <f t="shared" si="131"/>
        <v>47869.55</v>
      </c>
      <c r="V65" s="7"/>
      <c r="W65" t="s">
        <v>132</v>
      </c>
      <c r="X65" s="43">
        <f t="shared" si="121"/>
        <v>1229</v>
      </c>
      <c r="Y65" s="43">
        <f t="shared" si="121"/>
        <v>481136</v>
      </c>
      <c r="Z65" s="7">
        <v>40.380000000000003</v>
      </c>
      <c r="AA65" s="49">
        <f t="shared" si="122"/>
        <v>49627.020000000004</v>
      </c>
      <c r="AB65" s="48"/>
      <c r="AC65" t="s">
        <v>132</v>
      </c>
      <c r="AD65" s="43">
        <f t="shared" si="123"/>
        <v>1229</v>
      </c>
      <c r="AE65" s="43">
        <f t="shared" si="124"/>
        <v>481136</v>
      </c>
      <c r="AF65" s="48">
        <f t="shared" si="125"/>
        <v>41.2</v>
      </c>
      <c r="AG65" s="7">
        <f t="shared" si="132"/>
        <v>50634.8</v>
      </c>
      <c r="AI65" t="s">
        <v>132</v>
      </c>
      <c r="AJ65" s="43">
        <f t="shared" si="126"/>
        <v>1229</v>
      </c>
      <c r="AK65" s="43">
        <f t="shared" si="127"/>
        <v>481136</v>
      </c>
      <c r="AL65" s="48">
        <f t="shared" si="128"/>
        <v>42</v>
      </c>
      <c r="AM65" s="7">
        <f t="shared" si="133"/>
        <v>51618</v>
      </c>
    </row>
    <row r="66" spans="1:39" x14ac:dyDescent="0.35">
      <c r="B66" s="84"/>
      <c r="C66" s="96"/>
      <c r="D66" s="79"/>
      <c r="E66" s="79"/>
      <c r="F66" s="91"/>
      <c r="G66" s="8"/>
      <c r="H66" s="6"/>
      <c r="K66" s="16"/>
      <c r="O66" s="5"/>
      <c r="AB66" s="48"/>
    </row>
    <row r="67" spans="1:39" ht="13.15" x14ac:dyDescent="0.4">
      <c r="A67" s="89" t="s">
        <v>133</v>
      </c>
      <c r="B67" s="16">
        <f>SUM(B48:B66)</f>
        <v>256920</v>
      </c>
      <c r="C67" s="97" t="s">
        <v>136</v>
      </c>
      <c r="D67" s="6">
        <f>SUM(D48:D66)</f>
        <v>13700564</v>
      </c>
      <c r="E67" s="46"/>
      <c r="F67" s="5">
        <f>SUM(F48:F66)</f>
        <v>3147426.36</v>
      </c>
      <c r="H67" s="6">
        <f>SUM(H48:H66)</f>
        <v>23445</v>
      </c>
      <c r="I67" s="8">
        <f>SUM(I48:I66)</f>
        <v>1207136</v>
      </c>
      <c r="K67" s="7">
        <f>SUM(K48:K66)</f>
        <v>288930.90000000008</v>
      </c>
      <c r="M67" s="6">
        <f>SUM(M48:M66)</f>
        <v>280365</v>
      </c>
      <c r="N67" s="8">
        <f>SUM(N48:N66)</f>
        <v>14907700</v>
      </c>
      <c r="O67" s="5">
        <f>SUM(O48:O66)</f>
        <v>3436357.26</v>
      </c>
      <c r="Q67" s="89" t="s">
        <v>133</v>
      </c>
      <c r="R67" s="6">
        <f>SUM(R48:R66)</f>
        <v>280365</v>
      </c>
      <c r="S67" s="6">
        <f>SUM(S48:S66)</f>
        <v>14907700</v>
      </c>
      <c r="U67" s="7">
        <f>SUM(U48:U66)</f>
        <v>3415881.1999999997</v>
      </c>
      <c r="V67" s="7"/>
      <c r="W67" s="89" t="s">
        <v>133</v>
      </c>
      <c r="X67" s="6">
        <f>SUM(X48:X66)</f>
        <v>280365</v>
      </c>
      <c r="Y67" s="6">
        <f>SUM(Y48:Y66)</f>
        <v>14907700</v>
      </c>
      <c r="AA67" s="7">
        <f>SUM(AA48:AA66)</f>
        <v>3543389.1100000003</v>
      </c>
      <c r="AC67" s="89" t="s">
        <v>133</v>
      </c>
      <c r="AD67" s="6">
        <f>SUM(AD48:AD66)</f>
        <v>280365</v>
      </c>
      <c r="AE67" s="6">
        <f>SUM(AE48:AE66)</f>
        <v>14907700</v>
      </c>
      <c r="AG67" s="7">
        <f>SUM(AG48:AG66)</f>
        <v>3613294.89</v>
      </c>
      <c r="AI67" s="89" t="s">
        <v>133</v>
      </c>
      <c r="AJ67" s="6">
        <f>SUM(AJ48:AJ66)</f>
        <v>280365</v>
      </c>
      <c r="AK67" s="6">
        <f>SUM(AK48:AK66)</f>
        <v>14907700</v>
      </c>
      <c r="AM67" s="7">
        <f>SUM(AM48:AM66)</f>
        <v>3682946.9400000009</v>
      </c>
    </row>
    <row r="68" spans="1:39" x14ac:dyDescent="0.35">
      <c r="B68" s="16"/>
      <c r="F68" s="5"/>
      <c r="O68" s="5"/>
    </row>
    <row r="69" spans="1:39" ht="13.15" x14ac:dyDescent="0.4">
      <c r="A69" s="1" t="s">
        <v>139</v>
      </c>
      <c r="B69" s="16">
        <f>B14+B46+B67</f>
        <v>278349</v>
      </c>
      <c r="D69" s="16">
        <f>D14+D46+D67</f>
        <v>14702419</v>
      </c>
      <c r="F69" s="23">
        <f>F14+F46+F67</f>
        <v>3442709.4299999997</v>
      </c>
      <c r="H69" s="16">
        <f>H14+H46+H67</f>
        <v>25332</v>
      </c>
      <c r="I69" s="16">
        <f>I14+I46+I67</f>
        <v>1295919</v>
      </c>
      <c r="K69" s="23">
        <f>K14+K46+K67</f>
        <v>315506.12000000011</v>
      </c>
      <c r="M69" s="16">
        <f>M14+M46+M67</f>
        <v>303681</v>
      </c>
      <c r="N69" s="16">
        <f>N14+N46+N67</f>
        <v>15998338</v>
      </c>
      <c r="O69" s="23">
        <f>O14+O46+O67</f>
        <v>3758215.55</v>
      </c>
      <c r="Q69" s="1" t="s">
        <v>17</v>
      </c>
      <c r="R69" s="16">
        <f>R14+R46+R67</f>
        <v>303681</v>
      </c>
      <c r="S69" s="16">
        <f>S14+S46+S67</f>
        <v>15998338</v>
      </c>
      <c r="U69" s="23">
        <f>U14+U46+U67</f>
        <v>3736052.5399999996</v>
      </c>
      <c r="V69" s="23"/>
      <c r="W69" s="1" t="s">
        <v>17</v>
      </c>
      <c r="X69" s="16">
        <f>X14+X46+X67</f>
        <v>303681</v>
      </c>
      <c r="Y69" s="16">
        <f>Y14+Y46+Y67</f>
        <v>15998338</v>
      </c>
      <c r="AA69" s="23">
        <f>AA14+AA46+AA67</f>
        <v>3875331.4000000004</v>
      </c>
      <c r="AC69" s="1" t="s">
        <v>17</v>
      </c>
      <c r="AD69" s="16">
        <f>AD14+AD46+AD67</f>
        <v>303681</v>
      </c>
      <c r="AE69" s="16">
        <f>AE14+AE46+AE67</f>
        <v>15998338</v>
      </c>
      <c r="AG69" s="23">
        <f>AG14+AG46+AG67</f>
        <v>3951952.96</v>
      </c>
      <c r="AI69" s="1" t="s">
        <v>17</v>
      </c>
      <c r="AJ69" s="16">
        <f>AJ14+AJ46+AJ67</f>
        <v>303681</v>
      </c>
      <c r="AK69" s="16">
        <f>AK14+AK46+AK67</f>
        <v>15998338</v>
      </c>
      <c r="AM69" s="23">
        <f>AM14+AM46+AM67</f>
        <v>4028166.7400000007</v>
      </c>
    </row>
    <row r="70" spans="1:39" x14ac:dyDescent="0.35">
      <c r="B70" s="84"/>
      <c r="C70" s="79"/>
      <c r="D70" s="79"/>
      <c r="E70" s="79"/>
      <c r="F70" s="79"/>
      <c r="G70" s="8"/>
      <c r="K70" s="16"/>
    </row>
    <row r="71" spans="1:39" ht="13.15" x14ac:dyDescent="0.4">
      <c r="A71" s="108" t="s">
        <v>175</v>
      </c>
      <c r="O71" s="5">
        <v>-73409.752420000004</v>
      </c>
      <c r="Q71" s="1" t="s">
        <v>175</v>
      </c>
      <c r="U71" s="7">
        <f>O77+O69-U69</f>
        <v>-51246.742419999558</v>
      </c>
      <c r="V71" s="7"/>
      <c r="W71" s="1" t="s">
        <v>175</v>
      </c>
      <c r="Y71">
        <f>Y69/X69</f>
        <v>52.68139264557216</v>
      </c>
      <c r="AA71" s="7">
        <f>U71</f>
        <v>-51246.742419999558</v>
      </c>
      <c r="AC71" s="1" t="s">
        <v>175</v>
      </c>
      <c r="AG71" s="7">
        <f>U71</f>
        <v>-51246.742419999558</v>
      </c>
      <c r="AI71" s="1" t="s">
        <v>175</v>
      </c>
      <c r="AM71" s="7">
        <f>AG71</f>
        <v>-51246.742419999558</v>
      </c>
    </row>
    <row r="72" spans="1:39" ht="13.15" x14ac:dyDescent="0.4">
      <c r="Q72" s="1"/>
      <c r="W72" s="1"/>
      <c r="AC72" s="1"/>
      <c r="AI72" s="1"/>
    </row>
    <row r="73" spans="1:39" ht="13.5" thickBot="1" x14ac:dyDescent="0.45">
      <c r="A73" s="108" t="s">
        <v>17</v>
      </c>
      <c r="O73" s="13">
        <f>O69+O71</f>
        <v>3684805.79758</v>
      </c>
      <c r="Q73" s="1" t="s">
        <v>33</v>
      </c>
      <c r="U73" s="7">
        <f>U69+U71</f>
        <v>3684805.79758</v>
      </c>
      <c r="V73" s="7"/>
      <c r="W73" s="1" t="s">
        <v>33</v>
      </c>
      <c r="AA73" s="7">
        <f>AA69+AA71</f>
        <v>3824084.6575800008</v>
      </c>
      <c r="AC73" s="1" t="s">
        <v>33</v>
      </c>
      <c r="AG73" s="7">
        <f>AG69+AG71</f>
        <v>3900706.2175800004</v>
      </c>
      <c r="AI73" s="1" t="s">
        <v>33</v>
      </c>
      <c r="AM73" s="7">
        <f>AM69+AM71</f>
        <v>3976919.9975800011</v>
      </c>
    </row>
    <row r="74" spans="1:39" ht="13.5" thickTop="1" x14ac:dyDescent="0.4">
      <c r="Q74" s="1"/>
      <c r="W74" s="1"/>
      <c r="AC74" s="1"/>
      <c r="AI74" s="1"/>
    </row>
    <row r="75" spans="1:39" ht="13.15" x14ac:dyDescent="0.4">
      <c r="A75" s="14" t="s">
        <v>18</v>
      </c>
      <c r="B75" s="16"/>
      <c r="C75" s="46"/>
      <c r="D75" s="46"/>
      <c r="E75" s="46"/>
      <c r="F75" s="17"/>
      <c r="O75" s="5">
        <f>3643797.43+73409.75</f>
        <v>3717207.18</v>
      </c>
      <c r="Q75" s="1" t="s">
        <v>23</v>
      </c>
      <c r="U75" s="83">
        <f>O81</f>
        <v>0.9888709548744925</v>
      </c>
      <c r="V75" s="83"/>
      <c r="W75" s="1" t="s">
        <v>23</v>
      </c>
      <c r="AA75" s="83">
        <f>U75</f>
        <v>0.9888709548744925</v>
      </c>
      <c r="AC75" s="1" t="s">
        <v>23</v>
      </c>
      <c r="AG75" s="83">
        <f>U75</f>
        <v>0.9888709548744925</v>
      </c>
      <c r="AI75" s="1" t="s">
        <v>23</v>
      </c>
      <c r="AM75" s="83">
        <f>AG75</f>
        <v>0.9888709548744925</v>
      </c>
    </row>
    <row r="76" spans="1:39" x14ac:dyDescent="0.35">
      <c r="B76" s="16"/>
    </row>
    <row r="77" spans="1:39" ht="13.5" thickBot="1" x14ac:dyDescent="0.45">
      <c r="A77" s="108" t="s">
        <v>175</v>
      </c>
      <c r="O77" s="5">
        <v>-73409.752420000004</v>
      </c>
      <c r="Q77" s="1" t="s">
        <v>7</v>
      </c>
      <c r="U77" s="13">
        <f>U73*U75</f>
        <v>3643797.4275800004</v>
      </c>
      <c r="V77" s="15"/>
      <c r="W77" s="1" t="s">
        <v>7</v>
      </c>
      <c r="AA77" s="13">
        <f>AA73*AA75</f>
        <v>3781526.246862032</v>
      </c>
      <c r="AC77" s="1" t="s">
        <v>7</v>
      </c>
      <c r="AE77" s="20"/>
      <c r="AG77" s="13">
        <f>AG73*AG75</f>
        <v>3857295.0820632051</v>
      </c>
      <c r="AI77" s="1" t="s">
        <v>7</v>
      </c>
      <c r="AK77" s="20"/>
      <c r="AM77" s="13">
        <f>AM73*AM75</f>
        <v>3932660.6754664001</v>
      </c>
    </row>
    <row r="78" spans="1:39" ht="13.15" thickTop="1" x14ac:dyDescent="0.35">
      <c r="B78" s="17"/>
    </row>
    <row r="79" spans="1:39" ht="13.15" thickBot="1" x14ac:dyDescent="0.4">
      <c r="A79" s="108" t="s">
        <v>177</v>
      </c>
      <c r="O79" s="13">
        <f>O75+O77</f>
        <v>3643797.4275800004</v>
      </c>
      <c r="Q79" s="27" t="s">
        <v>38</v>
      </c>
      <c r="U79" s="7">
        <f>O83</f>
        <v>404482.04000000004</v>
      </c>
      <c r="V79" s="7"/>
      <c r="W79" s="27" t="s">
        <v>38</v>
      </c>
      <c r="AA79" s="7">
        <f>U79</f>
        <v>404482.04000000004</v>
      </c>
      <c r="AC79" s="108" t="s">
        <v>186</v>
      </c>
      <c r="AG79" s="7">
        <f>AG77-AA77</f>
        <v>75768.835201173089</v>
      </c>
      <c r="AI79" s="108" t="s">
        <v>186</v>
      </c>
      <c r="AM79" s="7">
        <f>AM77-AG77</f>
        <v>75365.593403195031</v>
      </c>
    </row>
    <row r="80" spans="1:39" ht="13.5" thickTop="1" x14ac:dyDescent="0.4">
      <c r="Q80" s="24"/>
      <c r="W80" s="24"/>
    </row>
    <row r="81" spans="1:39" x14ac:dyDescent="0.35">
      <c r="A81" t="s">
        <v>23</v>
      </c>
      <c r="O81" s="52">
        <f>O79/O73</f>
        <v>0.9888709548744925</v>
      </c>
      <c r="Q81" s="27" t="s">
        <v>39</v>
      </c>
      <c r="W81" s="27" t="s">
        <v>39</v>
      </c>
      <c r="AC81" s="27" t="s">
        <v>38</v>
      </c>
      <c r="AG81" s="7">
        <f>U79</f>
        <v>404482.04000000004</v>
      </c>
      <c r="AI81" s="27" t="s">
        <v>38</v>
      </c>
      <c r="AM81" s="7">
        <f>AG81</f>
        <v>404482.04000000004</v>
      </c>
    </row>
    <row r="82" spans="1:39" ht="13.15" x14ac:dyDescent="0.4">
      <c r="Q82" s="37"/>
      <c r="W82" s="37"/>
      <c r="AC82" s="24"/>
      <c r="AI82" s="24"/>
    </row>
    <row r="83" spans="1:39" x14ac:dyDescent="0.35">
      <c r="A83" s="27" t="s">
        <v>38</v>
      </c>
      <c r="O83" s="5">
        <v>404482.04000000004</v>
      </c>
      <c r="Q83" s="85" t="s">
        <v>17</v>
      </c>
      <c r="U83" s="7">
        <f>U77+U79</f>
        <v>4048279.4675800004</v>
      </c>
      <c r="V83" s="7"/>
      <c r="W83" s="85" t="s">
        <v>17</v>
      </c>
      <c r="AA83" s="7">
        <f>AA77+AA79</f>
        <v>4186008.286862032</v>
      </c>
      <c r="AC83" s="27" t="s">
        <v>39</v>
      </c>
      <c r="AI83" s="27" t="s">
        <v>39</v>
      </c>
    </row>
    <row r="84" spans="1:39" ht="13.15" x14ac:dyDescent="0.4">
      <c r="A84" s="24"/>
      <c r="AC84" s="37"/>
      <c r="AI84" s="37"/>
    </row>
    <row r="85" spans="1:39" x14ac:dyDescent="0.35">
      <c r="A85" s="27" t="s">
        <v>39</v>
      </c>
      <c r="AC85" s="85" t="s">
        <v>17</v>
      </c>
      <c r="AG85" s="7">
        <f>AG77+AG81</f>
        <v>4261777.1220632046</v>
      </c>
      <c r="AI85" s="85" t="s">
        <v>17</v>
      </c>
      <c r="AM85" s="7">
        <f>AM77+AM81</f>
        <v>4337142.7154664006</v>
      </c>
    </row>
    <row r="86" spans="1:39" x14ac:dyDescent="0.35">
      <c r="A86" s="37"/>
    </row>
    <row r="87" spans="1:39" x14ac:dyDescent="0.35">
      <c r="A87" s="85" t="s">
        <v>17</v>
      </c>
      <c r="O87" s="7">
        <f>O75+O77+O83+O85</f>
        <v>4048279.4675800004</v>
      </c>
    </row>
    <row r="89" spans="1:39" x14ac:dyDescent="0.35">
      <c r="O89" s="7"/>
      <c r="AG89" s="7"/>
    </row>
    <row r="92" spans="1:39" x14ac:dyDescent="0.35">
      <c r="AG92" s="7"/>
    </row>
  </sheetData>
  <mergeCells count="4">
    <mergeCell ref="R4:U5"/>
    <mergeCell ref="AD4:AH5"/>
    <mergeCell ref="X4:AB5"/>
    <mergeCell ref="AJ4:AN5"/>
  </mergeCells>
  <phoneticPr fontId="0" type="noConversion"/>
  <pageMargins left="0.75" right="0.75" top="1" bottom="1" header="0.5" footer="0.5"/>
  <pageSetup scale="48" orientation="landscape" r:id="rId1"/>
  <headerFooter alignWithMargins="0"/>
  <rowBreaks count="1" manualBreakCount="1">
    <brk id="89" max="22" man="1"/>
  </rowBreaks>
  <colBreaks count="1" manualBreakCount="1">
    <brk id="15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T286"/>
  <sheetViews>
    <sheetView view="pageBreakPreview" zoomScale="110" zoomScaleNormal="100" zoomScaleSheetLayoutView="110" workbookViewId="0"/>
  </sheetViews>
  <sheetFormatPr defaultRowHeight="12.75" x14ac:dyDescent="0.35"/>
  <cols>
    <col min="1" max="1" width="4.73046875" customWidth="1"/>
    <col min="2" max="2" width="26.7304687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2.265625" customWidth="1"/>
    <col min="10" max="10" width="4.73046875" customWidth="1"/>
    <col min="11" max="11" width="25.132812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4.59765625" customWidth="1"/>
    <col min="19" max="19" width="4.73046875" customWidth="1"/>
    <col min="20" max="20" width="25.132812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  <col min="46" max="46" width="15" bestFit="1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36</v>
      </c>
      <c r="J2" s="34"/>
      <c r="S2" s="34"/>
    </row>
    <row r="3" spans="1:44" ht="13.15" x14ac:dyDescent="0.4">
      <c r="A3" s="34"/>
      <c r="B3" s="28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25"/>
      <c r="J4" s="34"/>
      <c r="K4" s="28"/>
      <c r="M4" s="149" t="s">
        <v>173</v>
      </c>
      <c r="N4" s="150"/>
      <c r="O4" s="150"/>
      <c r="P4" s="150"/>
      <c r="Q4" s="151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25"/>
      <c r="M5" s="152"/>
      <c r="N5" s="153"/>
      <c r="O5" s="153"/>
      <c r="P5" s="153"/>
      <c r="Q5" s="154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s="14" t="s">
        <v>148</v>
      </c>
      <c r="D10" s="6">
        <f>698928</f>
        <v>698928</v>
      </c>
      <c r="F10" s="5">
        <v>12.82</v>
      </c>
      <c r="H10" s="7">
        <f>D10*F10</f>
        <v>8960256.9600000009</v>
      </c>
      <c r="I10" s="7"/>
      <c r="K10" s="108" t="s">
        <v>14</v>
      </c>
      <c r="M10" s="6">
        <f>D10+D11+D12+D13</f>
        <v>757441</v>
      </c>
      <c r="O10" s="5">
        <v>12.82</v>
      </c>
      <c r="Q10" s="7">
        <f>M10*O10</f>
        <v>9710393.620000001</v>
      </c>
      <c r="T10" s="108" t="s">
        <v>14</v>
      </c>
      <c r="V10" s="6">
        <v>1</v>
      </c>
      <c r="X10" s="5">
        <v>13.29</v>
      </c>
      <c r="Z10" s="7">
        <f>V10*X10</f>
        <v>13.29</v>
      </c>
      <c r="AC10" s="108" t="s">
        <v>14</v>
      </c>
      <c r="AE10" s="6">
        <f>V10</f>
        <v>1</v>
      </c>
      <c r="AG10" s="5">
        <v>24</v>
      </c>
      <c r="AI10" s="7">
        <f>AE10*AG10</f>
        <v>24</v>
      </c>
      <c r="AL10" s="108" t="s">
        <v>14</v>
      </c>
      <c r="AN10" s="6">
        <f>AE10</f>
        <v>1</v>
      </c>
      <c r="AP10" s="5">
        <v>24</v>
      </c>
      <c r="AR10" s="7">
        <f>AN10*AP10</f>
        <v>24</v>
      </c>
    </row>
    <row r="11" spans="1:44" x14ac:dyDescent="0.35">
      <c r="B11" s="14" t="s">
        <v>149</v>
      </c>
      <c r="D11" s="6">
        <f>10891</f>
        <v>10891</v>
      </c>
      <c r="F11" s="5">
        <v>12.82</v>
      </c>
      <c r="H11" s="7">
        <f t="shared" ref="H11:H13" si="0">D11*F11</f>
        <v>139622.62</v>
      </c>
      <c r="I11" s="7"/>
      <c r="K11" s="112" t="s">
        <v>142</v>
      </c>
      <c r="L11" s="112"/>
      <c r="M11" s="113">
        <f>D14</f>
        <v>1377489</v>
      </c>
      <c r="N11" s="112"/>
      <c r="O11" s="114">
        <v>0.3</v>
      </c>
      <c r="P11" s="112"/>
      <c r="Q11" s="115">
        <f>M11*O11</f>
        <v>413246.7</v>
      </c>
      <c r="T11" s="112" t="s">
        <v>142</v>
      </c>
      <c r="U11" s="112"/>
      <c r="V11" s="113">
        <f>M11/M10</f>
        <v>1.8186089741643243</v>
      </c>
      <c r="W11" s="112"/>
      <c r="X11" s="114">
        <v>0.3</v>
      </c>
      <c r="Y11" s="112"/>
      <c r="Z11" s="115">
        <f>V11*X11</f>
        <v>0.54558269224929723</v>
      </c>
      <c r="AC11" s="112" t="s">
        <v>142</v>
      </c>
      <c r="AD11" s="10"/>
      <c r="AE11" s="9">
        <f>V11</f>
        <v>1.8186089741643243</v>
      </c>
      <c r="AF11" s="10"/>
      <c r="AG11" s="22">
        <v>0.3</v>
      </c>
      <c r="AH11" s="10"/>
      <c r="AI11" s="11">
        <f>AE11*AG11</f>
        <v>0.54558269224929723</v>
      </c>
      <c r="AL11" s="112" t="s">
        <v>142</v>
      </c>
      <c r="AM11" s="10"/>
      <c r="AN11" s="9">
        <f>AE11</f>
        <v>1.8186089741643243</v>
      </c>
      <c r="AO11" s="10"/>
      <c r="AP11" s="22">
        <v>0.3</v>
      </c>
      <c r="AQ11" s="10"/>
      <c r="AR11" s="11">
        <f>AN11*AP11</f>
        <v>0.54558269224929723</v>
      </c>
    </row>
    <row r="12" spans="1:44" x14ac:dyDescent="0.35">
      <c r="B12" s="14" t="s">
        <v>150</v>
      </c>
      <c r="D12" s="6">
        <v>289</v>
      </c>
      <c r="F12" s="5">
        <v>12.82</v>
      </c>
      <c r="H12" s="7">
        <f t="shared" si="0"/>
        <v>3704.98</v>
      </c>
      <c r="I12" s="7"/>
      <c r="M12" s="6"/>
      <c r="O12" s="5"/>
      <c r="Q12" s="7">
        <f>SUM(Q10:Q11)</f>
        <v>10123640.32</v>
      </c>
      <c r="V12" s="6"/>
      <c r="X12" s="5"/>
      <c r="Z12" s="7">
        <f>SUM(Z10:Z11)</f>
        <v>13.835582692249297</v>
      </c>
      <c r="AE12" s="6"/>
      <c r="AG12" s="5"/>
      <c r="AI12" s="7">
        <f>SUM(AI10:AI11)</f>
        <v>24.545582692249297</v>
      </c>
      <c r="AN12" s="6"/>
      <c r="AP12" s="5"/>
      <c r="AR12" s="7">
        <f>SUM(AR10:AR11)</f>
        <v>24.545582692249297</v>
      </c>
    </row>
    <row r="13" spans="1:44" x14ac:dyDescent="0.35">
      <c r="B13" s="14" t="s">
        <v>151</v>
      </c>
      <c r="D13" s="6">
        <f>47333</f>
        <v>47333</v>
      </c>
      <c r="F13" s="5">
        <v>12.82</v>
      </c>
      <c r="H13" s="7">
        <f t="shared" si="0"/>
        <v>606809.06000000006</v>
      </c>
      <c r="I13" s="7"/>
      <c r="AE13" s="6"/>
      <c r="AG13" s="5"/>
      <c r="AI13" s="7"/>
      <c r="AN13" s="6"/>
      <c r="AP13" s="5"/>
      <c r="AR13" s="7"/>
    </row>
    <row r="14" spans="1:44" ht="13.15" x14ac:dyDescent="0.4">
      <c r="B14" s="26" t="s">
        <v>142</v>
      </c>
      <c r="C14" s="10"/>
      <c r="D14" s="9">
        <v>1377489</v>
      </c>
      <c r="E14" s="10"/>
      <c r="F14" s="22">
        <v>0.3</v>
      </c>
      <c r="G14" s="10"/>
      <c r="H14" s="11">
        <f>D14*F14</f>
        <v>413246.7</v>
      </c>
      <c r="I14" s="7"/>
      <c r="J14" s="1" t="s">
        <v>5</v>
      </c>
      <c r="M14" t="s">
        <v>6</v>
      </c>
      <c r="S14" s="1" t="s">
        <v>5</v>
      </c>
      <c r="V14" t="s">
        <v>6</v>
      </c>
      <c r="AB14" s="1" t="s">
        <v>5</v>
      </c>
      <c r="AE14" t="s">
        <v>6</v>
      </c>
      <c r="AK14" s="1" t="s">
        <v>5</v>
      </c>
      <c r="AN14" t="s">
        <v>6</v>
      </c>
    </row>
    <row r="15" spans="1:44" x14ac:dyDescent="0.35">
      <c r="H15" s="7">
        <f>SUM(H10:H14)</f>
        <v>10123640.32</v>
      </c>
      <c r="I15" s="7"/>
      <c r="K15" s="108" t="s">
        <v>174</v>
      </c>
      <c r="M15" s="6">
        <f>D26</f>
        <v>771524660</v>
      </c>
      <c r="O15" s="45">
        <v>8.1350000000000006E-2</v>
      </c>
      <c r="Q15" s="7">
        <f>M15*O15</f>
        <v>62763531.091000006</v>
      </c>
      <c r="T15" s="108" t="s">
        <v>174</v>
      </c>
      <c r="V15" s="6">
        <f>M15/M10</f>
        <v>1018.5937386542319</v>
      </c>
      <c r="X15" s="45">
        <v>8.4330000000000002E-2</v>
      </c>
      <c r="Z15" s="7">
        <f>V15*X15</f>
        <v>85.898009980711379</v>
      </c>
      <c r="AC15" s="108" t="s">
        <v>174</v>
      </c>
      <c r="AE15" s="6">
        <f>V15</f>
        <v>1018.5937386542319</v>
      </c>
      <c r="AG15" s="45">
        <v>7.8469999999999998E-2</v>
      </c>
      <c r="AI15" s="7">
        <f>AE15*AG15</f>
        <v>79.929050672197576</v>
      </c>
      <c r="AL15" s="108" t="s">
        <v>174</v>
      </c>
      <c r="AN15" s="6">
        <f>AE15</f>
        <v>1018.5937386542319</v>
      </c>
      <c r="AP15" s="45">
        <v>8.3129999999999996E-2</v>
      </c>
      <c r="AR15" s="7">
        <f>AN15*AP15</f>
        <v>84.675697494326286</v>
      </c>
    </row>
    <row r="16" spans="1:44" x14ac:dyDescent="0.35">
      <c r="K16" s="111"/>
      <c r="L16" s="17"/>
      <c r="M16" s="16"/>
      <c r="N16" s="17"/>
      <c r="O16" s="44"/>
      <c r="P16" s="17"/>
      <c r="Q16" s="15"/>
      <c r="T16" s="111"/>
      <c r="U16" s="17"/>
      <c r="V16" s="16"/>
      <c r="W16" s="17"/>
      <c r="X16" s="44"/>
      <c r="Y16" s="17"/>
      <c r="Z16" s="15"/>
      <c r="AC16" s="27"/>
      <c r="AD16" s="17"/>
      <c r="AE16" s="16"/>
      <c r="AF16" s="17"/>
      <c r="AG16" s="44"/>
      <c r="AH16" s="17"/>
      <c r="AI16" s="15"/>
      <c r="AL16" s="27"/>
      <c r="AM16" s="17"/>
      <c r="AN16" s="16"/>
      <c r="AO16" s="17"/>
      <c r="AP16" s="44"/>
      <c r="AQ16" s="17"/>
      <c r="AR16" s="15"/>
    </row>
    <row r="17" spans="1:46" ht="13.15" x14ac:dyDescent="0.4">
      <c r="A17" s="1" t="s">
        <v>5</v>
      </c>
      <c r="D17" t="s">
        <v>6</v>
      </c>
      <c r="AC17" s="108" t="s">
        <v>175</v>
      </c>
      <c r="AD17" s="17"/>
      <c r="AE17" s="19"/>
      <c r="AF17" s="17"/>
      <c r="AG17" s="54"/>
      <c r="AH17" s="17"/>
      <c r="AI17" s="15">
        <f>Z18</f>
        <v>-3.1358603062944836</v>
      </c>
      <c r="AL17" s="108" t="s">
        <v>175</v>
      </c>
      <c r="AM17" s="17"/>
      <c r="AN17" s="19"/>
      <c r="AO17" s="17"/>
      <c r="AP17" s="54"/>
      <c r="AQ17" s="17"/>
      <c r="AR17" s="15">
        <f>AI17</f>
        <v>-3.1358603062944836</v>
      </c>
    </row>
    <row r="18" spans="1:46" ht="13.15" x14ac:dyDescent="0.4">
      <c r="B18" s="14" t="s">
        <v>48</v>
      </c>
      <c r="D18" s="6">
        <v>638096670</v>
      </c>
      <c r="F18" s="45">
        <v>8.294E-2</v>
      </c>
      <c r="H18" s="7">
        <f>D18*F18</f>
        <v>52923737.809799999</v>
      </c>
      <c r="J18" s="1"/>
      <c r="K18" s="108" t="s">
        <v>175</v>
      </c>
      <c r="Q18" s="7">
        <f>H44+(0.00159*(D18+D19+D20+D21))</f>
        <v>-2375229.1662599999</v>
      </c>
      <c r="S18" s="1"/>
      <c r="T18" s="108" t="s">
        <v>175</v>
      </c>
      <c r="V18">
        <f>Q18/M15</f>
        <v>-3.0786173007872489E-3</v>
      </c>
      <c r="Z18" s="7">
        <f>V15*V18</f>
        <v>-3.1358603062944836</v>
      </c>
    </row>
    <row r="19" spans="1:46" x14ac:dyDescent="0.35">
      <c r="B19" s="27" t="s">
        <v>49</v>
      </c>
      <c r="C19" s="17"/>
      <c r="D19" s="16">
        <v>11142688</v>
      </c>
      <c r="E19" s="17"/>
      <c r="F19" s="45">
        <v>8.294E-2</v>
      </c>
      <c r="G19" s="17"/>
      <c r="H19" s="15">
        <f>D19*F19</f>
        <v>924174.54272000003</v>
      </c>
      <c r="I19" s="7"/>
      <c r="AC19" t="s">
        <v>33</v>
      </c>
      <c r="AI19" s="7">
        <f>AI12+AI15+AI17</f>
        <v>101.33877305815238</v>
      </c>
      <c r="AL19" t="s">
        <v>33</v>
      </c>
      <c r="AR19" s="7">
        <f>AR12+AR15+AR17</f>
        <v>106.08541988028109</v>
      </c>
    </row>
    <row r="20" spans="1:46" x14ac:dyDescent="0.35">
      <c r="B20" s="27" t="s">
        <v>143</v>
      </c>
      <c r="C20" s="17"/>
      <c r="D20" s="16">
        <v>110872</v>
      </c>
      <c r="E20" s="17"/>
      <c r="F20" s="45">
        <v>8.294E-2</v>
      </c>
      <c r="G20" s="17"/>
      <c r="H20" s="15">
        <f>D20*F20</f>
        <v>9195.7236799999991</v>
      </c>
      <c r="I20" s="15"/>
    </row>
    <row r="21" spans="1:46" ht="13.15" x14ac:dyDescent="0.4">
      <c r="B21" s="27" t="s">
        <v>71</v>
      </c>
      <c r="C21" s="17"/>
      <c r="D21" s="16">
        <v>50037156</v>
      </c>
      <c r="E21" s="17"/>
      <c r="F21" s="45">
        <v>8.294E-2</v>
      </c>
      <c r="G21" s="17"/>
      <c r="H21" s="15">
        <f t="shared" ref="H21:H25" si="1">D21*F21</f>
        <v>4150081.7186400001</v>
      </c>
      <c r="I21" s="15"/>
      <c r="K21" s="1" t="s">
        <v>17</v>
      </c>
      <c r="Q21" s="7">
        <f>Q12+Q15+Q18</f>
        <v>70511942.244740009</v>
      </c>
      <c r="T21" s="1" t="s">
        <v>17</v>
      </c>
      <c r="Z21" s="7">
        <f>Z12+Z15+Z18</f>
        <v>96.597732366666179</v>
      </c>
      <c r="AC21" t="s">
        <v>34</v>
      </c>
      <c r="AI21" s="83">
        <v>1</v>
      </c>
      <c r="AL21" t="s">
        <v>34</v>
      </c>
      <c r="AR21" s="83">
        <f>AI21</f>
        <v>1</v>
      </c>
    </row>
    <row r="22" spans="1:46" x14ac:dyDescent="0.35">
      <c r="B22" s="14" t="s">
        <v>50</v>
      </c>
      <c r="C22" s="17"/>
      <c r="D22" s="6">
        <v>66126280</v>
      </c>
      <c r="E22" s="17"/>
      <c r="F22" s="45">
        <v>8.1350000000000006E-2</v>
      </c>
      <c r="G22" s="17"/>
      <c r="H22" s="15">
        <f t="shared" si="1"/>
        <v>5379372.8780000005</v>
      </c>
      <c r="I22" s="15"/>
    </row>
    <row r="23" spans="1:46" ht="13.5" thickBot="1" x14ac:dyDescent="0.45">
      <c r="B23" s="27" t="s">
        <v>51</v>
      </c>
      <c r="C23" s="17"/>
      <c r="D23" s="16">
        <v>1251031</v>
      </c>
      <c r="E23" s="17"/>
      <c r="F23" s="44">
        <v>8.1350000000000006E-2</v>
      </c>
      <c r="G23" s="17"/>
      <c r="H23" s="15">
        <f t="shared" si="1"/>
        <v>101771.37185000001</v>
      </c>
      <c r="I23" s="15"/>
      <c r="K23" t="s">
        <v>34</v>
      </c>
      <c r="Q23" s="83">
        <f>H48</f>
        <v>0.99753732290996489</v>
      </c>
      <c r="T23" t="s">
        <v>34</v>
      </c>
      <c r="Z23" s="83">
        <v>1</v>
      </c>
      <c r="AC23" s="1" t="s">
        <v>7</v>
      </c>
      <c r="AI23" s="13">
        <f>AI19*AI21</f>
        <v>101.33877305815238</v>
      </c>
      <c r="AL23" s="1" t="s">
        <v>7</v>
      </c>
      <c r="AR23" s="13">
        <f>AR19*AR21</f>
        <v>106.08541988028109</v>
      </c>
    </row>
    <row r="24" spans="1:46" ht="13.15" thickTop="1" x14ac:dyDescent="0.35">
      <c r="B24" s="27" t="s">
        <v>144</v>
      </c>
      <c r="C24" s="17"/>
      <c r="D24" s="16">
        <v>19832</v>
      </c>
      <c r="E24" s="17"/>
      <c r="F24" s="44">
        <v>8.1350000000000006E-2</v>
      </c>
      <c r="G24" s="17"/>
      <c r="H24" s="15">
        <f t="shared" si="1"/>
        <v>1613.3332</v>
      </c>
      <c r="I24" s="7"/>
    </row>
    <row r="25" spans="1:46" ht="13.5" thickBot="1" x14ac:dyDescent="0.45">
      <c r="B25" s="26" t="s">
        <v>72</v>
      </c>
      <c r="C25" s="10"/>
      <c r="D25" s="9">
        <v>4740131</v>
      </c>
      <c r="E25" s="10"/>
      <c r="F25" s="51">
        <v>8.1350000000000006E-2</v>
      </c>
      <c r="G25" s="10"/>
      <c r="H25" s="11">
        <f t="shared" si="1"/>
        <v>385609.65685000003</v>
      </c>
      <c r="I25" s="7"/>
      <c r="K25" s="1" t="s">
        <v>7</v>
      </c>
      <c r="Q25" s="13">
        <f>Q21*Q23</f>
        <v>70338294.100000009</v>
      </c>
      <c r="T25" s="1" t="s">
        <v>7</v>
      </c>
      <c r="Z25" s="13">
        <f>Z21*Z23</f>
        <v>96.597732366666179</v>
      </c>
      <c r="AC25" t="s">
        <v>12</v>
      </c>
      <c r="AI25" s="5">
        <f>AI23-Z25</f>
        <v>4.7410406914862051</v>
      </c>
      <c r="AL25" t="s">
        <v>12</v>
      </c>
      <c r="AR25" s="5">
        <f>AR23-AI23</f>
        <v>4.7466468221287101</v>
      </c>
      <c r="AT25" s="7"/>
    </row>
    <row r="26" spans="1:46" ht="13.15" thickTop="1" x14ac:dyDescent="0.35">
      <c r="D26" s="8">
        <f>SUM(D18:D25)</f>
        <v>771524660</v>
      </c>
      <c r="H26" s="7">
        <f>SUM(H18:H25)</f>
        <v>63875557.034739994</v>
      </c>
      <c r="I26" s="7"/>
    </row>
    <row r="27" spans="1:46" x14ac:dyDescent="0.35">
      <c r="I27" s="7"/>
      <c r="K27" s="108" t="s">
        <v>176</v>
      </c>
      <c r="M27" s="53"/>
      <c r="Q27" s="7">
        <f>H54</f>
        <v>7887816.0724568292</v>
      </c>
      <c r="T27" s="108" t="s">
        <v>176</v>
      </c>
      <c r="V27" s="53"/>
      <c r="Z27" s="7">
        <f>Q27</f>
        <v>7887816.0724568292</v>
      </c>
      <c r="AC27" s="108" t="s">
        <v>15</v>
      </c>
      <c r="AI27" s="21">
        <f>AI25/Z25</f>
        <v>4.9080248317736261E-2</v>
      </c>
      <c r="AL27" s="108" t="s">
        <v>15</v>
      </c>
      <c r="AR27" s="21">
        <f>AR25/AI23</f>
        <v>4.6839395020155689E-2</v>
      </c>
    </row>
    <row r="28" spans="1:46" x14ac:dyDescent="0.35">
      <c r="B28" s="109" t="s">
        <v>178</v>
      </c>
      <c r="D28" s="8"/>
      <c r="H28" s="15">
        <f>H44</f>
        <v>-3487255.11</v>
      </c>
      <c r="I28" s="7"/>
      <c r="Q28" s="5"/>
      <c r="Z28" s="5"/>
    </row>
    <row r="29" spans="1:46" x14ac:dyDescent="0.35">
      <c r="B29" s="3"/>
      <c r="D29" s="8"/>
      <c r="H29" s="15"/>
      <c r="K29" s="108" t="s">
        <v>39</v>
      </c>
      <c r="Q29" s="7">
        <f>H56</f>
        <v>4666.75</v>
      </c>
      <c r="T29" s="108" t="s">
        <v>39</v>
      </c>
      <c r="Z29" s="7">
        <f>Q29</f>
        <v>4666.75</v>
      </c>
    </row>
    <row r="30" spans="1:46" x14ac:dyDescent="0.35">
      <c r="B30" s="35" t="s">
        <v>16</v>
      </c>
      <c r="D30" s="8"/>
      <c r="H30" s="15">
        <f>H68</f>
        <v>0</v>
      </c>
      <c r="I30" s="15"/>
    </row>
    <row r="32" spans="1:46" ht="13.5" thickBot="1" x14ac:dyDescent="0.45">
      <c r="B32" s="1" t="s">
        <v>7</v>
      </c>
      <c r="H32" s="13">
        <f>H15+H26+H28+H30</f>
        <v>70511942.244739994</v>
      </c>
      <c r="K32" s="1" t="s">
        <v>179</v>
      </c>
      <c r="Q32" s="7">
        <f>Q25+Q27+Q29</f>
        <v>78230776.922456831</v>
      </c>
      <c r="T32" s="1" t="s">
        <v>179</v>
      </c>
      <c r="Z32" s="7">
        <f>Z25+Z27+Z29</f>
        <v>7892579.4201891962</v>
      </c>
    </row>
    <row r="33" spans="1:44" ht="13.15" thickTop="1" x14ac:dyDescent="0.35">
      <c r="AE33" s="71">
        <f>AE11/365</f>
        <v>4.9824903401762309E-3</v>
      </c>
    </row>
    <row r="34" spans="1:44" x14ac:dyDescent="0.35">
      <c r="B34" s="14" t="s">
        <v>41</v>
      </c>
      <c r="H34" s="5">
        <v>67092737.539999992</v>
      </c>
      <c r="AE34" s="8">
        <f>AE10+AE33</f>
        <v>1.0049824903401763</v>
      </c>
    </row>
    <row r="35" spans="1:44" x14ac:dyDescent="0.35">
      <c r="B35" s="14" t="s">
        <v>42</v>
      </c>
      <c r="H35" s="23">
        <v>1163906.6400000001</v>
      </c>
      <c r="Q35" s="30"/>
      <c r="Z35" s="30"/>
      <c r="AE35">
        <f>AE15/AE34</f>
        <v>1013.5437666276637</v>
      </c>
    </row>
    <row r="36" spans="1:44" x14ac:dyDescent="0.35">
      <c r="B36" s="14" t="s">
        <v>145</v>
      </c>
      <c r="H36" s="23">
        <v>14099.150000000001</v>
      </c>
      <c r="Q36" s="30"/>
      <c r="Z36" s="30"/>
    </row>
    <row r="37" spans="1:44" ht="13.15" x14ac:dyDescent="0.4">
      <c r="B37" s="26" t="s">
        <v>73</v>
      </c>
      <c r="C37" s="10"/>
      <c r="D37" s="10"/>
      <c r="E37" s="10"/>
      <c r="F37" s="10"/>
      <c r="G37" s="10"/>
      <c r="H37" s="22">
        <v>5554805.879999999</v>
      </c>
      <c r="K37" s="24"/>
      <c r="L37" s="17"/>
      <c r="M37" s="24"/>
      <c r="N37" s="17"/>
      <c r="O37" s="24"/>
      <c r="P37" s="17"/>
      <c r="Q37" s="81"/>
      <c r="T37" s="24"/>
      <c r="U37" s="17"/>
      <c r="V37" s="24"/>
      <c r="W37" s="17"/>
      <c r="X37" s="24"/>
      <c r="Y37" s="17"/>
      <c r="Z37" s="81"/>
    </row>
    <row r="38" spans="1:44" x14ac:dyDescent="0.35">
      <c r="B38" s="14"/>
      <c r="H38" s="5">
        <f>SUM(H34:H37)</f>
        <v>73825549.209999993</v>
      </c>
    </row>
    <row r="39" spans="1:44" x14ac:dyDescent="0.35">
      <c r="AI39" s="7">
        <f>'Residential ETS'!AI24+'Res &amp; Farm'!AI25</f>
        <v>5.1127586301206023</v>
      </c>
      <c r="AR39" s="7">
        <f>'Residential ETS'!AR24+'Res &amp; Farm'!AR25</f>
        <v>5.1259508411433998</v>
      </c>
    </row>
    <row r="40" spans="1:44" x14ac:dyDescent="0.35">
      <c r="B40" s="14" t="s">
        <v>43</v>
      </c>
      <c r="H40" s="5">
        <v>-3174761.62</v>
      </c>
    </row>
    <row r="41" spans="1:44" x14ac:dyDescent="0.35">
      <c r="B41" s="14" t="s">
        <v>44</v>
      </c>
      <c r="H41" s="5">
        <v>-55487.520000000004</v>
      </c>
    </row>
    <row r="42" spans="1:44" x14ac:dyDescent="0.35">
      <c r="B42" s="14" t="s">
        <v>146</v>
      </c>
      <c r="H42" s="5">
        <v>-1129.1500000000001</v>
      </c>
      <c r="AI42" s="7">
        <f>AI44/2</f>
        <v>3587011.5102910278</v>
      </c>
    </row>
    <row r="43" spans="1:44" x14ac:dyDescent="0.35">
      <c r="B43" s="26" t="s">
        <v>74</v>
      </c>
      <c r="C43" s="10"/>
      <c r="D43" s="10"/>
      <c r="E43" s="10"/>
      <c r="F43" s="10"/>
      <c r="G43" s="10"/>
      <c r="H43" s="22">
        <v>-255876.81999999998</v>
      </c>
      <c r="AR43" s="7">
        <f>AI39+AR39</f>
        <v>10.238709471264002</v>
      </c>
    </row>
    <row r="44" spans="1:44" x14ac:dyDescent="0.35">
      <c r="B44" s="14"/>
      <c r="H44" s="5">
        <f>SUM(H40:H43)</f>
        <v>-3487255.11</v>
      </c>
      <c r="AI44" s="7">
        <v>7174023.0205820557</v>
      </c>
    </row>
    <row r="45" spans="1:44" x14ac:dyDescent="0.35">
      <c r="B45" s="14"/>
      <c r="H45" s="5"/>
    </row>
    <row r="46" spans="1:44" ht="13.15" x14ac:dyDescent="0.4">
      <c r="A46" s="1" t="s">
        <v>177</v>
      </c>
      <c r="B46" s="14"/>
      <c r="H46" s="5">
        <f>H38+H44</f>
        <v>70338294.099999994</v>
      </c>
    </row>
    <row r="47" spans="1:44" ht="13.15" x14ac:dyDescent="0.4">
      <c r="A47" s="1"/>
      <c r="B47" s="14"/>
      <c r="H47" s="5"/>
    </row>
    <row r="48" spans="1:44" ht="13.15" x14ac:dyDescent="0.4">
      <c r="A48" s="1" t="s">
        <v>23</v>
      </c>
      <c r="B48" s="14"/>
      <c r="H48" s="110">
        <f>H46/H32</f>
        <v>0.99753732290996489</v>
      </c>
    </row>
    <row r="50" spans="2:26" x14ac:dyDescent="0.35">
      <c r="B50" s="27" t="s">
        <v>45</v>
      </c>
      <c r="C50" s="17"/>
      <c r="D50" s="17"/>
      <c r="E50" s="17"/>
      <c r="F50" s="17"/>
      <c r="G50" s="17"/>
      <c r="H50" s="23">
        <v>7163179.5094051268</v>
      </c>
    </row>
    <row r="51" spans="2:26" x14ac:dyDescent="0.35">
      <c r="B51" s="27" t="s">
        <v>46</v>
      </c>
      <c r="C51" s="17"/>
      <c r="D51" s="17"/>
      <c r="E51" s="17"/>
      <c r="F51" s="17"/>
      <c r="G51" s="17"/>
      <c r="H51" s="23">
        <v>124323.6981068084</v>
      </c>
      <c r="K51" s="17"/>
      <c r="L51" s="17"/>
      <c r="M51" s="17"/>
      <c r="N51" s="17"/>
      <c r="O51" s="17"/>
      <c r="P51" s="17"/>
      <c r="Q51" s="17"/>
      <c r="T51" s="17"/>
      <c r="U51" s="17"/>
      <c r="V51" s="17"/>
      <c r="W51" s="17"/>
      <c r="X51" s="17"/>
      <c r="Y51" s="17"/>
      <c r="Z51" s="17"/>
    </row>
    <row r="52" spans="2:26" x14ac:dyDescent="0.35">
      <c r="B52" s="27" t="s">
        <v>147</v>
      </c>
      <c r="C52" s="17"/>
      <c r="D52" s="17"/>
      <c r="E52" s="17"/>
      <c r="F52" s="17"/>
      <c r="G52" s="17"/>
      <c r="H52" s="23">
        <v>2455.8729703935819</v>
      </c>
      <c r="K52" s="17"/>
      <c r="L52" s="17"/>
      <c r="M52" s="17"/>
      <c r="N52" s="17"/>
      <c r="O52" s="17"/>
      <c r="P52" s="17"/>
      <c r="Q52" s="17"/>
      <c r="T52" s="17"/>
      <c r="U52" s="17"/>
      <c r="V52" s="17"/>
      <c r="W52" s="17"/>
      <c r="X52" s="17"/>
      <c r="Y52" s="17"/>
      <c r="Z52" s="17"/>
    </row>
    <row r="53" spans="2:26" x14ac:dyDescent="0.35">
      <c r="B53" s="26" t="s">
        <v>75</v>
      </c>
      <c r="C53" s="10"/>
      <c r="D53" s="10"/>
      <c r="E53" s="10"/>
      <c r="F53" s="10"/>
      <c r="G53" s="10"/>
      <c r="H53" s="22">
        <v>597856.99197450012</v>
      </c>
      <c r="K53" s="17"/>
      <c r="L53" s="17"/>
      <c r="M53" s="17"/>
      <c r="N53" s="17"/>
      <c r="O53" s="17"/>
      <c r="P53" s="17"/>
      <c r="Q53" s="17"/>
      <c r="T53" s="17"/>
      <c r="U53" s="17"/>
      <c r="V53" s="17"/>
      <c r="W53" s="17"/>
      <c r="X53" s="17"/>
      <c r="Y53" s="17"/>
      <c r="Z53" s="17"/>
    </row>
    <row r="54" spans="2:26" x14ac:dyDescent="0.35">
      <c r="B54" s="27"/>
      <c r="C54" s="17"/>
      <c r="D54" s="17"/>
      <c r="E54" s="17"/>
      <c r="F54" s="17"/>
      <c r="G54" s="17"/>
      <c r="H54" s="23">
        <f>SUM(H50:H53)</f>
        <v>7887816.0724568292</v>
      </c>
      <c r="K54" s="17"/>
      <c r="L54" s="17"/>
      <c r="M54" s="17"/>
      <c r="N54" s="17"/>
      <c r="O54" s="17"/>
      <c r="P54" s="17"/>
      <c r="Q54" s="17"/>
      <c r="T54" s="17"/>
      <c r="U54" s="17"/>
      <c r="V54" s="17"/>
      <c r="W54" s="17"/>
      <c r="X54" s="17"/>
      <c r="Y54" s="17"/>
      <c r="Z54" s="17"/>
    </row>
    <row r="55" spans="2:26" ht="13.15" x14ac:dyDescent="0.4">
      <c r="B55" s="24"/>
      <c r="C55" s="17"/>
      <c r="D55" s="24"/>
      <c r="E55" s="17"/>
      <c r="F55" s="24"/>
      <c r="G55" s="17"/>
      <c r="H55" s="24"/>
      <c r="K55" s="17"/>
      <c r="L55" s="17"/>
      <c r="M55" s="17"/>
      <c r="N55" s="17"/>
      <c r="O55" s="17"/>
      <c r="P55" s="17"/>
      <c r="Q55" s="17"/>
      <c r="T55" s="17"/>
      <c r="U55" s="17"/>
      <c r="V55" s="17"/>
      <c r="W55" s="17"/>
      <c r="X55" s="17"/>
      <c r="Y55" s="17"/>
      <c r="Z55" s="17"/>
    </row>
    <row r="56" spans="2:26" x14ac:dyDescent="0.35">
      <c r="B56" s="27" t="s">
        <v>39</v>
      </c>
      <c r="C56" s="17"/>
      <c r="D56" s="17"/>
      <c r="E56" s="17"/>
      <c r="F56" s="17"/>
      <c r="G56" s="17"/>
      <c r="H56" s="23">
        <f>4521+145.75</f>
        <v>4666.75</v>
      </c>
      <c r="K56" s="16"/>
      <c r="L56" s="17"/>
      <c r="M56" s="16"/>
      <c r="N56" s="17"/>
      <c r="O56" s="42"/>
      <c r="P56" s="17"/>
      <c r="Q56" s="23"/>
      <c r="T56" s="16"/>
      <c r="U56" s="17"/>
      <c r="V56" s="16"/>
      <c r="W56" s="17"/>
      <c r="X56" s="42"/>
      <c r="Y56" s="17"/>
      <c r="Z56" s="23"/>
    </row>
    <row r="57" spans="2:26" x14ac:dyDescent="0.35">
      <c r="B57" s="37"/>
      <c r="C57" s="17"/>
      <c r="D57" s="16"/>
      <c r="E57" s="17"/>
      <c r="F57" s="42"/>
      <c r="G57" s="17"/>
      <c r="H57" s="23"/>
      <c r="K57" s="16"/>
      <c r="L57" s="17"/>
      <c r="M57" s="16"/>
      <c r="N57" s="17"/>
      <c r="O57" s="42"/>
      <c r="P57" s="17"/>
      <c r="Q57" s="23"/>
      <c r="T57" s="16"/>
      <c r="U57" s="17"/>
      <c r="V57" s="16"/>
      <c r="W57" s="17"/>
      <c r="X57" s="42"/>
      <c r="Y57" s="17"/>
      <c r="Z57" s="23"/>
    </row>
    <row r="58" spans="2:26" x14ac:dyDescent="0.35">
      <c r="B58" s="85" t="s">
        <v>17</v>
      </c>
      <c r="C58" s="17"/>
      <c r="D58" s="16"/>
      <c r="E58" s="17"/>
      <c r="F58" s="42"/>
      <c r="G58" s="17"/>
      <c r="H58" s="23">
        <f>H38+H44+H54+H56</f>
        <v>78230776.922456831</v>
      </c>
      <c r="K58" s="16"/>
      <c r="L58" s="17"/>
      <c r="M58" s="16"/>
      <c r="N58" s="17"/>
      <c r="O58" s="42"/>
      <c r="P58" s="17"/>
      <c r="Q58" s="23"/>
      <c r="T58" s="16"/>
      <c r="U58" s="17"/>
      <c r="V58" s="16"/>
      <c r="W58" s="17"/>
      <c r="X58" s="42"/>
      <c r="Y58" s="17"/>
      <c r="Z58" s="23"/>
    </row>
    <row r="59" spans="2:26" x14ac:dyDescent="0.35">
      <c r="K59" s="16"/>
      <c r="L59" s="17"/>
      <c r="M59" s="16"/>
      <c r="N59" s="17"/>
      <c r="O59" s="42"/>
      <c r="P59" s="17"/>
      <c r="Q59" s="23"/>
      <c r="T59" s="16"/>
      <c r="U59" s="17"/>
      <c r="V59" s="16"/>
      <c r="W59" s="17"/>
      <c r="X59" s="42"/>
      <c r="Y59" s="17"/>
      <c r="Z59" s="23"/>
    </row>
    <row r="60" spans="2:26" x14ac:dyDescent="0.35">
      <c r="B60" s="37"/>
      <c r="C60" s="17"/>
      <c r="D60" s="16"/>
      <c r="E60" s="17"/>
      <c r="F60" s="42"/>
      <c r="G60" s="17"/>
      <c r="H60" s="23"/>
      <c r="K60" s="16"/>
      <c r="L60" s="17"/>
      <c r="M60" s="16"/>
      <c r="N60" s="17"/>
      <c r="O60" s="42"/>
      <c r="P60" s="17"/>
      <c r="Q60" s="23"/>
      <c r="T60" s="16"/>
      <c r="U60" s="17"/>
      <c r="V60" s="16"/>
      <c r="W60" s="17"/>
      <c r="X60" s="42"/>
      <c r="Y60" s="17"/>
      <c r="Z60" s="23"/>
    </row>
    <row r="61" spans="2:26" x14ac:dyDescent="0.35">
      <c r="B61" s="37"/>
      <c r="C61" s="17"/>
      <c r="D61" s="16"/>
      <c r="E61" s="17"/>
      <c r="F61" s="42"/>
      <c r="G61" s="17"/>
      <c r="H61" s="23"/>
      <c r="K61" s="16"/>
      <c r="L61" s="17"/>
      <c r="M61" s="16"/>
      <c r="N61" s="17"/>
      <c r="O61" s="42"/>
      <c r="P61" s="17"/>
      <c r="Q61" s="23"/>
      <c r="T61" s="16"/>
      <c r="U61" s="17"/>
      <c r="V61" s="16"/>
      <c r="W61" s="17"/>
      <c r="X61" s="42"/>
      <c r="Y61" s="17"/>
      <c r="Z61" s="23"/>
    </row>
    <row r="62" spans="2:26" x14ac:dyDescent="0.35">
      <c r="B62" s="37"/>
      <c r="C62" s="17"/>
      <c r="D62" s="16"/>
      <c r="E62" s="17"/>
      <c r="F62" s="42"/>
      <c r="G62" s="17"/>
      <c r="H62" s="23"/>
      <c r="K62" s="16"/>
      <c r="L62" s="17"/>
      <c r="M62" s="16"/>
      <c r="N62" s="17"/>
      <c r="O62" s="42"/>
      <c r="P62" s="17"/>
      <c r="Q62" s="23"/>
      <c r="T62" s="16"/>
      <c r="U62" s="17"/>
      <c r="V62" s="16"/>
      <c r="W62" s="17"/>
      <c r="X62" s="42"/>
      <c r="Y62" s="17"/>
      <c r="Z62" s="23"/>
    </row>
    <row r="63" spans="2:26" x14ac:dyDescent="0.35">
      <c r="B63" s="37"/>
      <c r="C63" s="17"/>
      <c r="D63" s="16"/>
      <c r="E63" s="17"/>
      <c r="F63" s="42"/>
      <c r="G63" s="17"/>
      <c r="H63" s="23"/>
      <c r="K63" s="16"/>
      <c r="L63" s="17"/>
      <c r="M63" s="16"/>
      <c r="N63" s="17"/>
      <c r="O63" s="42"/>
      <c r="P63" s="17"/>
      <c r="Q63" s="23"/>
      <c r="T63" s="16"/>
      <c r="U63" s="17"/>
      <c r="V63" s="16"/>
      <c r="W63" s="17"/>
      <c r="X63" s="42"/>
      <c r="Y63" s="17"/>
      <c r="Z63" s="23"/>
    </row>
    <row r="64" spans="2:26" x14ac:dyDescent="0.35">
      <c r="B64" s="37"/>
      <c r="C64" s="17"/>
      <c r="D64" s="16"/>
      <c r="E64" s="17"/>
      <c r="F64" s="42"/>
      <c r="G64" s="17"/>
      <c r="H64" s="23"/>
      <c r="K64" s="16"/>
      <c r="L64" s="17"/>
      <c r="M64" s="16"/>
      <c r="N64" s="17"/>
      <c r="O64" s="42"/>
      <c r="P64" s="17"/>
      <c r="Q64" s="23"/>
      <c r="T64" s="16"/>
      <c r="U64" s="17"/>
      <c r="V64" s="16"/>
      <c r="W64" s="17"/>
      <c r="X64" s="42"/>
      <c r="Y64" s="17"/>
      <c r="Z64" s="23"/>
    </row>
    <row r="65" spans="2:26" x14ac:dyDescent="0.35">
      <c r="B65" s="37"/>
      <c r="C65" s="17"/>
      <c r="D65" s="16"/>
      <c r="E65" s="17"/>
      <c r="F65" s="42"/>
      <c r="G65" s="17"/>
      <c r="H65" s="23"/>
      <c r="K65" s="16"/>
      <c r="L65" s="17"/>
      <c r="M65" s="16"/>
      <c r="N65" s="17"/>
      <c r="O65" s="42"/>
      <c r="P65" s="17"/>
      <c r="Q65" s="23"/>
      <c r="T65" s="16"/>
      <c r="U65" s="17"/>
      <c r="V65" s="16"/>
      <c r="W65" s="17"/>
      <c r="X65" s="42"/>
      <c r="Y65" s="17"/>
      <c r="Z65" s="23"/>
    </row>
    <row r="66" spans="2:26" x14ac:dyDescent="0.35">
      <c r="B66" s="37"/>
      <c r="C66" s="17"/>
      <c r="D66" s="16"/>
      <c r="E66" s="17"/>
      <c r="F66" s="42"/>
      <c r="G66" s="17"/>
      <c r="H66" s="23"/>
      <c r="K66" s="16"/>
      <c r="L66" s="17"/>
      <c r="M66" s="16"/>
      <c r="N66" s="17"/>
      <c r="O66" s="42"/>
      <c r="P66" s="17"/>
      <c r="Q66" s="23"/>
      <c r="T66" s="16"/>
      <c r="U66" s="17"/>
      <c r="V66" s="16"/>
      <c r="W66" s="17"/>
      <c r="X66" s="42"/>
      <c r="Y66" s="17"/>
      <c r="Z66" s="23"/>
    </row>
    <row r="67" spans="2:26" x14ac:dyDescent="0.35">
      <c r="B67" s="37"/>
      <c r="C67" s="17"/>
      <c r="D67" s="16"/>
      <c r="E67" s="17"/>
      <c r="F67" s="42"/>
      <c r="G67" s="17"/>
      <c r="H67" s="36"/>
      <c r="K67" s="16"/>
      <c r="L67" s="17"/>
      <c r="M67" s="16"/>
      <c r="N67" s="17"/>
      <c r="O67" s="42"/>
      <c r="P67" s="17"/>
      <c r="Q67" s="23"/>
      <c r="T67" s="16"/>
      <c r="U67" s="17"/>
      <c r="V67" s="16"/>
      <c r="W67" s="17"/>
      <c r="X67" s="42"/>
      <c r="Y67" s="17"/>
      <c r="Z67" s="23"/>
    </row>
    <row r="68" spans="2:26" x14ac:dyDescent="0.35">
      <c r="B68" s="17"/>
      <c r="C68" s="17"/>
      <c r="D68" s="19"/>
      <c r="E68" s="17"/>
      <c r="F68" s="17"/>
      <c r="G68" s="17"/>
      <c r="H68" s="15"/>
      <c r="K68" s="19"/>
      <c r="L68" s="17"/>
      <c r="M68" s="19"/>
      <c r="N68" s="17"/>
      <c r="O68" s="17"/>
      <c r="P68" s="17"/>
      <c r="Q68" s="15"/>
      <c r="T68" s="19"/>
      <c r="U68" s="17"/>
      <c r="V68" s="19"/>
      <c r="W68" s="17"/>
      <c r="X68" s="17"/>
      <c r="Y68" s="17"/>
      <c r="Z68" s="15"/>
    </row>
    <row r="69" spans="2:26" x14ac:dyDescent="0.35">
      <c r="B69" s="17"/>
      <c r="C69" s="17"/>
      <c r="D69" s="19"/>
      <c r="E69" s="17"/>
      <c r="F69" s="17"/>
      <c r="G69" s="17"/>
      <c r="H69" s="15"/>
      <c r="K69" s="17"/>
      <c r="L69" s="17"/>
      <c r="M69" s="17"/>
      <c r="N69" s="17"/>
      <c r="O69" s="17"/>
      <c r="T69" s="17"/>
      <c r="U69" s="17"/>
      <c r="V69" s="17"/>
      <c r="W69" s="17"/>
      <c r="X69" s="17"/>
    </row>
    <row r="70" spans="2:26" ht="13.15" x14ac:dyDescent="0.4">
      <c r="B70" s="17"/>
      <c r="C70" s="17"/>
      <c r="D70" s="24"/>
      <c r="E70" s="17"/>
      <c r="F70" s="24"/>
      <c r="G70" s="17"/>
      <c r="H70" s="15"/>
      <c r="K70" s="70" t="s">
        <v>31</v>
      </c>
      <c r="L70" s="17"/>
      <c r="M70" s="77"/>
      <c r="N70" s="17"/>
      <c r="O70" s="17"/>
      <c r="T70" s="70" t="s">
        <v>31</v>
      </c>
      <c r="U70" s="17"/>
      <c r="V70" s="77"/>
      <c r="W70" s="17"/>
      <c r="X70" s="17"/>
    </row>
    <row r="71" spans="2:26" x14ac:dyDescent="0.35">
      <c r="B71" s="17"/>
      <c r="C71" s="17"/>
      <c r="D71" s="8"/>
      <c r="E71" s="17"/>
      <c r="F71" s="17"/>
      <c r="G71" s="17"/>
      <c r="H71" s="15"/>
      <c r="K71" s="17"/>
      <c r="L71" s="17"/>
      <c r="M71" s="17"/>
      <c r="N71" s="17"/>
      <c r="O71" s="17"/>
      <c r="T71" s="17"/>
      <c r="U71" s="17"/>
      <c r="V71" s="17"/>
      <c r="W71" s="17"/>
      <c r="X71" s="17"/>
    </row>
    <row r="72" spans="2:26" x14ac:dyDescent="0.35">
      <c r="B72" s="78"/>
      <c r="C72" s="17"/>
      <c r="D72" s="16"/>
      <c r="E72" s="17"/>
      <c r="F72" s="17"/>
      <c r="G72" s="17"/>
      <c r="H72" s="15"/>
      <c r="K72" s="57">
        <v>552735.09</v>
      </c>
      <c r="L72" s="17"/>
      <c r="M72" s="32"/>
      <c r="N72" s="17"/>
      <c r="O72" s="17"/>
      <c r="T72" s="57">
        <v>552735.09</v>
      </c>
      <c r="U72" s="17"/>
      <c r="V72" s="32"/>
      <c r="W72" s="17"/>
      <c r="X72" s="17"/>
    </row>
    <row r="73" spans="2:26" x14ac:dyDescent="0.35">
      <c r="B73" s="78"/>
      <c r="C73" s="17"/>
      <c r="D73" s="16"/>
      <c r="E73" s="17"/>
      <c r="F73" s="17"/>
      <c r="G73" s="17"/>
      <c r="H73" s="16"/>
      <c r="K73" s="57">
        <v>552404.52</v>
      </c>
      <c r="L73" s="17"/>
      <c r="M73" s="32"/>
      <c r="N73" s="17"/>
      <c r="O73" s="17"/>
      <c r="T73" s="57">
        <v>552404.52</v>
      </c>
      <c r="U73" s="17"/>
      <c r="V73" s="32"/>
      <c r="W73" s="17"/>
      <c r="X73" s="17"/>
    </row>
    <row r="74" spans="2:26" x14ac:dyDescent="0.35">
      <c r="B74" s="78"/>
      <c r="C74" s="17"/>
      <c r="D74" s="16"/>
      <c r="E74" s="17"/>
      <c r="F74" s="17"/>
      <c r="G74" s="17"/>
      <c r="H74" s="16"/>
      <c r="K74" s="57">
        <v>551210.19999999995</v>
      </c>
      <c r="L74" s="17"/>
      <c r="M74" s="32"/>
      <c r="N74" s="17"/>
      <c r="O74" s="17"/>
      <c r="T74" s="57">
        <v>551210.19999999995</v>
      </c>
      <c r="U74" s="17"/>
      <c r="V74" s="32"/>
      <c r="W74" s="17"/>
      <c r="X74" s="17"/>
    </row>
    <row r="75" spans="2:26" x14ac:dyDescent="0.35">
      <c r="B75" s="78"/>
      <c r="C75" s="17"/>
      <c r="D75" s="73"/>
      <c r="E75" s="17"/>
      <c r="F75" s="17"/>
      <c r="G75" s="17"/>
      <c r="H75" s="16"/>
      <c r="K75" s="57">
        <v>550194.51</v>
      </c>
      <c r="L75" s="17"/>
      <c r="M75" s="32"/>
      <c r="N75" s="17"/>
      <c r="O75" s="17"/>
      <c r="T75" s="57">
        <v>550194.51</v>
      </c>
      <c r="U75" s="17"/>
      <c r="V75" s="32"/>
      <c r="W75" s="17"/>
      <c r="X75" s="17"/>
    </row>
    <row r="76" spans="2:26" x14ac:dyDescent="0.35">
      <c r="B76" s="78"/>
      <c r="C76" s="17"/>
      <c r="D76" s="16"/>
      <c r="E76" s="17"/>
      <c r="F76" s="17"/>
      <c r="G76" s="17"/>
      <c r="H76" s="16"/>
      <c r="K76" s="57">
        <v>550231.56000000006</v>
      </c>
      <c r="L76" s="17"/>
      <c r="M76" s="32"/>
      <c r="N76" s="17"/>
      <c r="O76" s="17"/>
      <c r="T76" s="57">
        <v>550231.56000000006</v>
      </c>
      <c r="U76" s="17"/>
      <c r="V76" s="32"/>
      <c r="W76" s="17"/>
      <c r="X76" s="17"/>
    </row>
    <row r="77" spans="2:26" x14ac:dyDescent="0.35">
      <c r="B77" s="78"/>
      <c r="C77" s="17"/>
      <c r="D77" s="16"/>
      <c r="E77" s="17"/>
      <c r="F77" s="17"/>
      <c r="G77" s="17"/>
      <c r="H77" s="16"/>
      <c r="K77" s="57">
        <v>550626.48</v>
      </c>
      <c r="L77" s="17"/>
      <c r="M77" s="32"/>
      <c r="N77" s="17"/>
      <c r="O77" s="17"/>
      <c r="T77" s="57">
        <v>550626.48</v>
      </c>
      <c r="U77" s="17"/>
      <c r="V77" s="32"/>
      <c r="W77" s="17"/>
      <c r="X77" s="17"/>
    </row>
    <row r="78" spans="2:26" x14ac:dyDescent="0.35">
      <c r="B78" s="78"/>
      <c r="C78" s="17"/>
      <c r="D78" s="16"/>
      <c r="E78" s="17"/>
      <c r="F78" s="17"/>
      <c r="G78" s="17"/>
      <c r="H78" s="16"/>
      <c r="K78" s="57">
        <v>549500.01</v>
      </c>
      <c r="L78" s="17"/>
      <c r="M78" s="32"/>
      <c r="N78" s="17"/>
      <c r="O78" s="17"/>
      <c r="T78" s="57">
        <v>549500.01</v>
      </c>
      <c r="U78" s="17"/>
      <c r="V78" s="32"/>
      <c r="W78" s="17"/>
      <c r="X78" s="17"/>
    </row>
    <row r="79" spans="2:26" x14ac:dyDescent="0.35">
      <c r="B79" s="78"/>
      <c r="C79" s="17"/>
      <c r="D79" s="16"/>
      <c r="E79" s="17"/>
      <c r="F79" s="17"/>
      <c r="G79" s="17"/>
      <c r="H79" s="16"/>
      <c r="K79" s="57">
        <v>550649.96</v>
      </c>
      <c r="L79" s="17"/>
      <c r="M79" s="32"/>
      <c r="N79" s="17"/>
      <c r="O79" s="17"/>
      <c r="T79" s="57">
        <v>550649.96</v>
      </c>
      <c r="U79" s="17"/>
      <c r="V79" s="32"/>
      <c r="W79" s="17"/>
      <c r="X79" s="17"/>
    </row>
    <row r="80" spans="2:26" x14ac:dyDescent="0.35">
      <c r="B80" s="78"/>
      <c r="C80" s="17"/>
      <c r="D80" s="16"/>
      <c r="E80" s="17"/>
      <c r="F80" s="17"/>
      <c r="G80" s="17"/>
      <c r="H80" s="16"/>
      <c r="K80" s="57">
        <v>549919.36</v>
      </c>
      <c r="L80" s="17"/>
      <c r="M80" s="32"/>
      <c r="N80" s="17"/>
      <c r="O80" s="17"/>
      <c r="T80" s="57">
        <v>549919.36</v>
      </c>
      <c r="U80" s="17"/>
      <c r="V80" s="32"/>
      <c r="W80" s="17"/>
      <c r="X80" s="17"/>
    </row>
    <row r="81" spans="2:24" x14ac:dyDescent="0.35">
      <c r="B81" s="78"/>
      <c r="C81" s="17"/>
      <c r="D81" s="16"/>
      <c r="E81" s="17"/>
      <c r="F81" s="17"/>
      <c r="G81" s="17"/>
      <c r="H81" s="16"/>
      <c r="K81" s="57">
        <v>549822.25</v>
      </c>
      <c r="L81" s="17"/>
      <c r="M81" s="32"/>
      <c r="N81" s="17"/>
      <c r="O81" s="17"/>
      <c r="T81" s="57">
        <v>549822.25</v>
      </c>
      <c r="U81" s="17"/>
      <c r="V81" s="32"/>
      <c r="W81" s="17"/>
      <c r="X81" s="17"/>
    </row>
    <row r="82" spans="2:24" x14ac:dyDescent="0.35">
      <c r="B82" s="78"/>
      <c r="C82" s="17"/>
      <c r="D82" s="16"/>
      <c r="E82" s="17"/>
      <c r="F82" s="17"/>
      <c r="G82" s="17"/>
      <c r="H82" s="16"/>
      <c r="K82" s="57">
        <v>550431.82999999996</v>
      </c>
      <c r="L82" s="17"/>
      <c r="M82" s="32"/>
      <c r="N82" s="17"/>
      <c r="O82" s="17"/>
      <c r="T82" s="57">
        <v>550431.82999999996</v>
      </c>
      <c r="U82" s="17"/>
      <c r="V82" s="32"/>
      <c r="W82" s="17"/>
      <c r="X82" s="17"/>
    </row>
    <row r="83" spans="2:24" x14ac:dyDescent="0.35">
      <c r="B83" s="78"/>
      <c r="C83" s="17"/>
      <c r="D83" s="16"/>
      <c r="E83" s="17"/>
      <c r="F83" s="17"/>
      <c r="G83" s="17"/>
      <c r="H83" s="16"/>
      <c r="K83" s="40">
        <v>549890.36</v>
      </c>
      <c r="L83" s="17"/>
      <c r="M83" s="32"/>
      <c r="N83" s="17"/>
      <c r="O83" s="17"/>
      <c r="T83" s="40">
        <v>549890.36</v>
      </c>
      <c r="U83" s="17"/>
      <c r="V83" s="32"/>
      <c r="W83" s="17"/>
      <c r="X83" s="17"/>
    </row>
    <row r="84" spans="2:24" x14ac:dyDescent="0.35">
      <c r="B84" s="17"/>
      <c r="C84" s="17"/>
      <c r="D84" s="19"/>
      <c r="E84" s="17"/>
      <c r="F84" s="17"/>
      <c r="G84" s="17"/>
      <c r="H84" s="19"/>
      <c r="K84" s="32">
        <f>SUM(K72:K83)</f>
        <v>6607616.1300000008</v>
      </c>
      <c r="L84" s="17"/>
      <c r="M84" s="17"/>
      <c r="N84" s="17"/>
      <c r="O84" s="17"/>
      <c r="T84" s="32">
        <f>SUM(T72:T83)</f>
        <v>6607616.1300000008</v>
      </c>
      <c r="U84" s="17"/>
      <c r="V84" s="17"/>
      <c r="W84" s="17"/>
      <c r="X84" s="17"/>
    </row>
    <row r="85" spans="2:24" x14ac:dyDescent="0.35">
      <c r="B85" s="17"/>
      <c r="C85" s="17"/>
      <c r="D85" s="17"/>
      <c r="E85" s="17"/>
      <c r="F85" s="17"/>
      <c r="G85" s="17"/>
      <c r="H85" s="17"/>
      <c r="K85" s="17"/>
      <c r="L85" s="17"/>
      <c r="M85" s="17"/>
      <c r="N85" s="17"/>
      <c r="O85" s="17"/>
      <c r="T85" s="17"/>
      <c r="U85" s="17"/>
      <c r="V85" s="17"/>
      <c r="W85" s="17"/>
      <c r="X85" s="17"/>
    </row>
    <row r="86" spans="2:24" ht="13.15" x14ac:dyDescent="0.4">
      <c r="B86" s="24"/>
      <c r="C86" s="17"/>
      <c r="D86" s="17"/>
      <c r="E86" s="17"/>
      <c r="F86" s="17"/>
      <c r="G86" s="17"/>
      <c r="H86" s="17"/>
    </row>
    <row r="87" spans="2:24" ht="13.15" x14ac:dyDescent="0.4">
      <c r="B87" s="24"/>
      <c r="C87" s="17"/>
      <c r="D87" s="24"/>
      <c r="E87" s="17"/>
      <c r="F87" s="24"/>
      <c r="G87" s="17"/>
      <c r="H87" s="24"/>
    </row>
    <row r="88" spans="2:24" x14ac:dyDescent="0.35">
      <c r="B88" s="17"/>
      <c r="C88" s="17"/>
      <c r="D88" s="17"/>
      <c r="E88" s="17"/>
      <c r="F88" s="17"/>
      <c r="G88" s="17"/>
      <c r="H88" s="17"/>
    </row>
    <row r="89" spans="2:24" x14ac:dyDescent="0.35">
      <c r="B89" s="78"/>
      <c r="C89" s="17"/>
      <c r="D89" s="16"/>
      <c r="E89" s="17"/>
      <c r="F89" s="42"/>
      <c r="G89" s="17"/>
      <c r="H89" s="23"/>
    </row>
    <row r="90" spans="2:24" x14ac:dyDescent="0.35">
      <c r="B90" s="78"/>
      <c r="C90" s="17"/>
      <c r="D90" s="16"/>
      <c r="E90" s="17"/>
      <c r="F90" s="42"/>
      <c r="G90" s="17"/>
      <c r="H90" s="23"/>
    </row>
    <row r="91" spans="2:24" x14ac:dyDescent="0.35">
      <c r="B91" s="78"/>
      <c r="C91" s="17"/>
      <c r="D91" s="16"/>
      <c r="E91" s="17"/>
      <c r="F91" s="42"/>
      <c r="G91" s="17"/>
      <c r="H91" s="23"/>
    </row>
    <row r="92" spans="2:24" x14ac:dyDescent="0.35">
      <c r="B92" s="78"/>
      <c r="C92" s="17"/>
      <c r="D92" s="16"/>
      <c r="E92" s="17"/>
      <c r="F92" s="42"/>
      <c r="G92" s="17"/>
      <c r="H92" s="23"/>
    </row>
    <row r="93" spans="2:24" x14ac:dyDescent="0.35">
      <c r="B93" s="78"/>
      <c r="C93" s="17"/>
      <c r="D93" s="16"/>
      <c r="E93" s="17"/>
      <c r="F93" s="42"/>
      <c r="G93" s="17"/>
      <c r="H93" s="23"/>
    </row>
    <row r="94" spans="2:24" x14ac:dyDescent="0.35">
      <c r="B94" s="78"/>
      <c r="C94" s="17"/>
      <c r="D94" s="16"/>
      <c r="E94" s="17"/>
      <c r="F94" s="42"/>
      <c r="G94" s="17"/>
      <c r="H94" s="23"/>
    </row>
    <row r="95" spans="2:24" x14ac:dyDescent="0.35">
      <c r="B95" s="78"/>
      <c r="C95" s="17"/>
      <c r="D95" s="16"/>
      <c r="E95" s="17"/>
      <c r="F95" s="42"/>
      <c r="G95" s="17"/>
      <c r="H95" s="23"/>
    </row>
    <row r="96" spans="2:24" x14ac:dyDescent="0.35">
      <c r="B96" s="78"/>
      <c r="C96" s="17"/>
      <c r="D96" s="16"/>
      <c r="E96" s="17"/>
      <c r="F96" s="42"/>
      <c r="G96" s="17"/>
      <c r="H96" s="23"/>
    </row>
    <row r="97" spans="2:20" x14ac:dyDescent="0.35">
      <c r="B97" s="78"/>
      <c r="C97" s="17"/>
      <c r="D97" s="16"/>
      <c r="E97" s="17"/>
      <c r="F97" s="42"/>
      <c r="G97" s="17"/>
      <c r="H97" s="23"/>
    </row>
    <row r="98" spans="2:20" x14ac:dyDescent="0.35">
      <c r="B98" s="78"/>
      <c r="C98" s="17"/>
      <c r="D98" s="16"/>
      <c r="E98" s="17"/>
      <c r="F98" s="42"/>
      <c r="G98" s="17"/>
      <c r="H98" s="23"/>
    </row>
    <row r="99" spans="2:20" x14ac:dyDescent="0.35">
      <c r="B99" s="78"/>
      <c r="C99" s="17"/>
      <c r="D99" s="16"/>
      <c r="E99" s="17"/>
      <c r="F99" s="42"/>
      <c r="G99" s="17"/>
      <c r="H99" s="23"/>
    </row>
    <row r="100" spans="2:20" x14ac:dyDescent="0.35">
      <c r="B100" s="78"/>
      <c r="C100" s="17"/>
      <c r="D100" s="16"/>
      <c r="E100" s="17"/>
      <c r="F100" s="42"/>
      <c r="G100" s="17"/>
      <c r="H100" s="23"/>
    </row>
    <row r="101" spans="2:20" x14ac:dyDescent="0.35">
      <c r="B101" s="17"/>
      <c r="C101" s="17"/>
      <c r="D101" s="19"/>
      <c r="E101" s="17"/>
      <c r="F101" s="17"/>
      <c r="G101" s="17"/>
      <c r="H101" s="15"/>
    </row>
    <row r="102" spans="2:20" x14ac:dyDescent="0.35">
      <c r="B102" s="17"/>
      <c r="C102" s="17"/>
      <c r="D102" s="17"/>
      <c r="E102" s="17"/>
      <c r="F102" s="17"/>
      <c r="G102" s="17"/>
      <c r="H102" s="17"/>
    </row>
    <row r="103" spans="2:20" ht="13.15" x14ac:dyDescent="0.4">
      <c r="B103" s="17"/>
      <c r="C103" s="17"/>
      <c r="D103" s="24"/>
      <c r="E103" s="17"/>
      <c r="F103" s="24"/>
      <c r="G103" s="17"/>
      <c r="H103" s="24"/>
      <c r="K103" s="70" t="s">
        <v>31</v>
      </c>
      <c r="T103" s="70" t="s">
        <v>31</v>
      </c>
    </row>
    <row r="104" spans="2:20" x14ac:dyDescent="0.35">
      <c r="B104" s="17"/>
      <c r="C104" s="17"/>
      <c r="D104" s="17"/>
      <c r="E104" s="17"/>
      <c r="F104" s="17"/>
      <c r="G104" s="17"/>
      <c r="H104" s="17"/>
      <c r="K104" s="17"/>
      <c r="T104" s="17"/>
    </row>
    <row r="105" spans="2:20" x14ac:dyDescent="0.35">
      <c r="B105" s="78"/>
      <c r="C105" s="17"/>
      <c r="D105" s="16"/>
      <c r="E105" s="17"/>
      <c r="F105" s="17"/>
      <c r="G105" s="17"/>
      <c r="H105" s="16"/>
      <c r="K105" s="57">
        <v>33356.550000000003</v>
      </c>
      <c r="T105" s="57">
        <v>33356.550000000003</v>
      </c>
    </row>
    <row r="106" spans="2:20" x14ac:dyDescent="0.35">
      <c r="B106" s="78"/>
      <c r="C106" s="17"/>
      <c r="D106" s="16"/>
      <c r="E106" s="17"/>
      <c r="F106" s="17"/>
      <c r="G106" s="17"/>
      <c r="H106" s="16"/>
      <c r="K106" s="57">
        <v>33326.36</v>
      </c>
      <c r="T106" s="57">
        <v>33326.36</v>
      </c>
    </row>
    <row r="107" spans="2:20" x14ac:dyDescent="0.35">
      <c r="B107" s="78"/>
      <c r="C107" s="17"/>
      <c r="D107" s="16"/>
      <c r="E107" s="17"/>
      <c r="F107" s="17"/>
      <c r="G107" s="17"/>
      <c r="H107" s="16"/>
      <c r="K107" s="57">
        <v>33287.21</v>
      </c>
      <c r="T107" s="57">
        <v>33287.21</v>
      </c>
    </row>
    <row r="108" spans="2:20" x14ac:dyDescent="0.35">
      <c r="B108" s="78"/>
      <c r="C108" s="17"/>
      <c r="D108" s="16"/>
      <c r="E108" s="17"/>
      <c r="F108" s="17"/>
      <c r="G108" s="17"/>
      <c r="H108" s="16"/>
      <c r="K108" s="57">
        <v>33307.32</v>
      </c>
      <c r="T108" s="57">
        <v>33307.32</v>
      </c>
    </row>
    <row r="109" spans="2:20" x14ac:dyDescent="0.35">
      <c r="B109" s="78"/>
      <c r="C109" s="17"/>
      <c r="D109" s="16"/>
      <c r="E109" s="17"/>
      <c r="F109" s="17"/>
      <c r="G109" s="17"/>
      <c r="H109" s="16"/>
      <c r="K109" s="57">
        <v>33395.67</v>
      </c>
      <c r="T109" s="57">
        <v>33395.67</v>
      </c>
    </row>
    <row r="110" spans="2:20" x14ac:dyDescent="0.35">
      <c r="B110" s="78"/>
      <c r="C110" s="17"/>
      <c r="D110" s="16"/>
      <c r="E110" s="17"/>
      <c r="F110" s="17"/>
      <c r="G110" s="17"/>
      <c r="H110" s="16"/>
      <c r="K110" s="57">
        <v>33399.040000000001</v>
      </c>
      <c r="T110" s="57">
        <v>33399.040000000001</v>
      </c>
    </row>
    <row r="111" spans="2:20" x14ac:dyDescent="0.35">
      <c r="B111" s="78"/>
      <c r="C111" s="17"/>
      <c r="D111" s="16"/>
      <c r="E111" s="17"/>
      <c r="F111" s="17"/>
      <c r="G111" s="17"/>
      <c r="H111" s="16"/>
      <c r="K111" s="57">
        <v>33485.15</v>
      </c>
      <c r="T111" s="57">
        <v>33485.15</v>
      </c>
    </row>
    <row r="112" spans="2:20" x14ac:dyDescent="0.35">
      <c r="B112" s="78"/>
      <c r="C112" s="17"/>
      <c r="D112" s="16"/>
      <c r="E112" s="17"/>
      <c r="F112" s="17"/>
      <c r="G112" s="17"/>
      <c r="H112" s="16"/>
      <c r="K112" s="57">
        <v>33537.79</v>
      </c>
      <c r="T112" s="57">
        <v>33537.79</v>
      </c>
    </row>
    <row r="113" spans="2:20" x14ac:dyDescent="0.35">
      <c r="B113" s="78"/>
      <c r="C113" s="17"/>
      <c r="D113" s="16"/>
      <c r="E113" s="17"/>
      <c r="F113" s="17"/>
      <c r="G113" s="17"/>
      <c r="H113" s="16"/>
      <c r="K113" s="57">
        <v>33622.699999999997</v>
      </c>
      <c r="T113" s="57">
        <v>33622.699999999997</v>
      </c>
    </row>
    <row r="114" spans="2:20" x14ac:dyDescent="0.35">
      <c r="B114" s="78"/>
      <c r="C114" s="17"/>
      <c r="D114" s="16"/>
      <c r="E114" s="17"/>
      <c r="F114" s="17"/>
      <c r="G114" s="17"/>
      <c r="H114" s="16"/>
      <c r="K114" s="57">
        <v>33616.01</v>
      </c>
      <c r="T114" s="57">
        <v>33616.01</v>
      </c>
    </row>
    <row r="115" spans="2:20" x14ac:dyDescent="0.35">
      <c r="B115" s="78"/>
      <c r="C115" s="17"/>
      <c r="D115" s="16"/>
      <c r="E115" s="17"/>
      <c r="F115" s="17"/>
      <c r="G115" s="17"/>
      <c r="H115" s="16"/>
      <c r="K115" s="57">
        <v>33679.730000000003</v>
      </c>
      <c r="T115" s="57">
        <v>33679.730000000003</v>
      </c>
    </row>
    <row r="116" spans="2:20" x14ac:dyDescent="0.35">
      <c r="B116" s="78"/>
      <c r="C116" s="17"/>
      <c r="D116" s="16"/>
      <c r="E116" s="17"/>
      <c r="F116" s="17"/>
      <c r="G116" s="17"/>
      <c r="H116" s="16"/>
      <c r="K116" s="40">
        <v>33646.17</v>
      </c>
      <c r="T116" s="40">
        <v>33646.17</v>
      </c>
    </row>
    <row r="117" spans="2:20" x14ac:dyDescent="0.35">
      <c r="B117" s="17"/>
      <c r="C117" s="17"/>
      <c r="D117" s="19"/>
      <c r="E117" s="17"/>
      <c r="F117" s="17"/>
      <c r="G117" s="17"/>
      <c r="H117" s="19"/>
      <c r="K117" s="32">
        <f>SUM(K105:K116)</f>
        <v>401659.69999999995</v>
      </c>
      <c r="T117" s="32">
        <f>SUM(T105:T116)</f>
        <v>401659.69999999995</v>
      </c>
    </row>
    <row r="118" spans="2:20" x14ac:dyDescent="0.35">
      <c r="B118" s="17"/>
      <c r="C118" s="17"/>
      <c r="D118" s="17"/>
      <c r="E118" s="17"/>
      <c r="F118" s="17"/>
      <c r="G118" s="17"/>
      <c r="H118" s="17"/>
    </row>
    <row r="119" spans="2:20" ht="13.15" x14ac:dyDescent="0.4">
      <c r="B119" s="24"/>
      <c r="C119" s="17"/>
      <c r="D119" s="17"/>
      <c r="E119" s="17"/>
      <c r="F119" s="17"/>
      <c r="G119" s="17"/>
      <c r="H119" s="17"/>
    </row>
    <row r="120" spans="2:20" ht="13.15" x14ac:dyDescent="0.4">
      <c r="B120" s="24"/>
      <c r="C120" s="17"/>
      <c r="D120" s="24"/>
      <c r="E120" s="17"/>
      <c r="F120" s="24"/>
      <c r="G120" s="17"/>
      <c r="H120" s="24"/>
    </row>
    <row r="121" spans="2:20" x14ac:dyDescent="0.35">
      <c r="B121" s="17"/>
      <c r="C121" s="17"/>
      <c r="D121" s="17"/>
      <c r="E121" s="17"/>
      <c r="F121" s="17"/>
      <c r="G121" s="17"/>
      <c r="H121" s="17"/>
    </row>
    <row r="122" spans="2:20" x14ac:dyDescent="0.35">
      <c r="B122" s="78"/>
      <c r="C122" s="17"/>
      <c r="D122" s="16"/>
      <c r="E122" s="17"/>
      <c r="F122" s="42"/>
      <c r="G122" s="17"/>
      <c r="H122" s="23"/>
    </row>
    <row r="123" spans="2:20" x14ac:dyDescent="0.35">
      <c r="B123" s="78"/>
      <c r="C123" s="17"/>
      <c r="D123" s="16"/>
      <c r="E123" s="17"/>
      <c r="F123" s="42"/>
      <c r="G123" s="17"/>
      <c r="H123" s="23"/>
    </row>
    <row r="124" spans="2:20" x14ac:dyDescent="0.35">
      <c r="B124" s="78"/>
      <c r="C124" s="17"/>
      <c r="D124" s="16"/>
      <c r="E124" s="17"/>
      <c r="F124" s="42"/>
      <c r="G124" s="17"/>
      <c r="H124" s="23"/>
    </row>
    <row r="125" spans="2:20" x14ac:dyDescent="0.35">
      <c r="B125" s="78"/>
      <c r="C125" s="17"/>
      <c r="D125" s="16"/>
      <c r="E125" s="17"/>
      <c r="F125" s="42"/>
      <c r="G125" s="17"/>
      <c r="H125" s="23"/>
    </row>
    <row r="126" spans="2:20" x14ac:dyDescent="0.35">
      <c r="B126" s="78"/>
      <c r="C126" s="17"/>
      <c r="D126" s="16"/>
      <c r="E126" s="17"/>
      <c r="F126" s="42"/>
      <c r="G126" s="17"/>
      <c r="H126" s="23"/>
    </row>
    <row r="127" spans="2:20" x14ac:dyDescent="0.35">
      <c r="B127" s="78"/>
      <c r="C127" s="17"/>
      <c r="D127" s="16"/>
      <c r="E127" s="17"/>
      <c r="F127" s="42"/>
      <c r="G127" s="17"/>
      <c r="H127" s="23"/>
    </row>
    <row r="128" spans="2:20" x14ac:dyDescent="0.35">
      <c r="B128" s="78"/>
      <c r="C128" s="17"/>
      <c r="D128" s="16"/>
      <c r="E128" s="17"/>
      <c r="F128" s="42"/>
      <c r="G128" s="17"/>
      <c r="H128" s="23"/>
    </row>
    <row r="129" spans="2:20" x14ac:dyDescent="0.35">
      <c r="B129" s="78"/>
      <c r="C129" s="17"/>
      <c r="D129" s="16"/>
      <c r="E129" s="17"/>
      <c r="F129" s="42"/>
      <c r="G129" s="17"/>
      <c r="H129" s="23"/>
    </row>
    <row r="130" spans="2:20" x14ac:dyDescent="0.35">
      <c r="B130" s="78"/>
      <c r="C130" s="17"/>
      <c r="D130" s="16"/>
      <c r="E130" s="17"/>
      <c r="F130" s="42"/>
      <c r="G130" s="17"/>
      <c r="H130" s="23"/>
    </row>
    <row r="131" spans="2:20" x14ac:dyDescent="0.35">
      <c r="B131" s="78"/>
      <c r="C131" s="17"/>
      <c r="D131" s="16"/>
      <c r="E131" s="17"/>
      <c r="F131" s="42"/>
      <c r="G131" s="17"/>
      <c r="H131" s="23"/>
    </row>
    <row r="132" spans="2:20" x14ac:dyDescent="0.35">
      <c r="B132" s="78"/>
      <c r="C132" s="17"/>
      <c r="D132" s="16"/>
      <c r="E132" s="17"/>
      <c r="F132" s="42"/>
      <c r="G132" s="17"/>
      <c r="H132" s="23"/>
    </row>
    <row r="133" spans="2:20" x14ac:dyDescent="0.35">
      <c r="B133" s="78"/>
      <c r="C133" s="17"/>
      <c r="D133" s="16"/>
      <c r="E133" s="17"/>
      <c r="F133" s="42"/>
      <c r="G133" s="17"/>
      <c r="H133" s="23"/>
    </row>
    <row r="134" spans="2:20" x14ac:dyDescent="0.35">
      <c r="B134" s="17"/>
      <c r="C134" s="17"/>
      <c r="D134" s="19"/>
      <c r="E134" s="17"/>
      <c r="F134" s="17"/>
      <c r="G134" s="17"/>
      <c r="H134" s="15"/>
    </row>
    <row r="135" spans="2:20" x14ac:dyDescent="0.35">
      <c r="B135" s="17"/>
      <c r="C135" s="17"/>
      <c r="D135" s="17"/>
      <c r="E135" s="17"/>
      <c r="F135" s="17"/>
      <c r="G135" s="17"/>
      <c r="H135" s="17"/>
    </row>
    <row r="136" spans="2:20" ht="13.15" x14ac:dyDescent="0.4">
      <c r="B136" s="17"/>
      <c r="C136" s="17"/>
      <c r="D136" s="24"/>
      <c r="E136" s="17"/>
      <c r="F136" s="24"/>
      <c r="G136" s="17"/>
      <c r="H136" s="24"/>
      <c r="K136" s="70" t="s">
        <v>31</v>
      </c>
      <c r="T136" s="70" t="s">
        <v>31</v>
      </c>
    </row>
    <row r="137" spans="2:20" x14ac:dyDescent="0.35">
      <c r="B137" s="17"/>
      <c r="C137" s="17"/>
      <c r="D137" s="17"/>
      <c r="E137" s="17"/>
      <c r="F137" s="17"/>
      <c r="G137" s="17"/>
      <c r="H137" s="17"/>
      <c r="K137" s="17"/>
      <c r="T137" s="17"/>
    </row>
    <row r="138" spans="2:20" x14ac:dyDescent="0.35">
      <c r="B138" s="78"/>
      <c r="C138" s="17"/>
      <c r="D138" s="16"/>
      <c r="E138" s="17"/>
      <c r="F138" s="17"/>
      <c r="G138" s="17"/>
      <c r="H138" s="16"/>
      <c r="K138" s="57">
        <v>9796.6</v>
      </c>
      <c r="T138" s="57">
        <v>9796.6</v>
      </c>
    </row>
    <row r="139" spans="2:20" x14ac:dyDescent="0.35">
      <c r="B139" s="78"/>
      <c r="C139" s="17"/>
      <c r="D139" s="16"/>
      <c r="E139" s="17"/>
      <c r="F139" s="17"/>
      <c r="G139" s="17"/>
      <c r="H139" s="16"/>
      <c r="K139" s="57">
        <v>9763.0500000000011</v>
      </c>
      <c r="T139" s="57">
        <v>9763.0500000000011</v>
      </c>
    </row>
    <row r="140" spans="2:20" x14ac:dyDescent="0.35">
      <c r="B140" s="78"/>
      <c r="C140" s="17"/>
      <c r="D140" s="16"/>
      <c r="E140" s="17"/>
      <c r="F140" s="17"/>
      <c r="G140" s="17"/>
      <c r="H140" s="16"/>
      <c r="K140" s="57">
        <v>9763.0500000000011</v>
      </c>
      <c r="T140" s="57">
        <v>9763.0500000000011</v>
      </c>
    </row>
    <row r="141" spans="2:20" x14ac:dyDescent="0.35">
      <c r="B141" s="78"/>
      <c r="C141" s="17"/>
      <c r="D141" s="16"/>
      <c r="E141" s="17"/>
      <c r="F141" s="17"/>
      <c r="G141" s="17"/>
      <c r="H141" s="16"/>
      <c r="K141" s="57">
        <v>9763.0500000000011</v>
      </c>
      <c r="T141" s="57">
        <v>9763.0500000000011</v>
      </c>
    </row>
    <row r="142" spans="2:20" x14ac:dyDescent="0.35">
      <c r="B142" s="78"/>
      <c r="C142" s="17"/>
      <c r="D142" s="16"/>
      <c r="E142" s="17"/>
      <c r="F142" s="17"/>
      <c r="G142" s="17"/>
      <c r="H142" s="16"/>
      <c r="K142" s="57">
        <v>9763.0500000000011</v>
      </c>
      <c r="T142" s="57">
        <v>9763.0500000000011</v>
      </c>
    </row>
    <row r="143" spans="2:20" x14ac:dyDescent="0.35">
      <c r="B143" s="78"/>
      <c r="C143" s="17"/>
      <c r="D143" s="16"/>
      <c r="E143" s="17"/>
      <c r="F143" s="17"/>
      <c r="G143" s="17"/>
      <c r="H143" s="16"/>
      <c r="K143" s="57">
        <v>9763.0500000000011</v>
      </c>
      <c r="T143" s="57">
        <v>9763.0500000000011</v>
      </c>
    </row>
    <row r="144" spans="2:20" x14ac:dyDescent="0.35">
      <c r="B144" s="78"/>
      <c r="C144" s="17"/>
      <c r="D144" s="16"/>
      <c r="E144" s="17"/>
      <c r="F144" s="17"/>
      <c r="G144" s="17"/>
      <c r="H144" s="16"/>
      <c r="K144" s="57">
        <v>9745.16</v>
      </c>
      <c r="T144" s="57">
        <v>9745.16</v>
      </c>
    </row>
    <row r="145" spans="2:20" x14ac:dyDescent="0.35">
      <c r="B145" s="78"/>
      <c r="C145" s="17"/>
      <c r="D145" s="16"/>
      <c r="E145" s="17"/>
      <c r="F145" s="17"/>
      <c r="G145" s="17"/>
      <c r="H145" s="16"/>
      <c r="K145" s="57">
        <v>9729.5</v>
      </c>
      <c r="T145" s="57">
        <v>9729.5</v>
      </c>
    </row>
    <row r="146" spans="2:20" x14ac:dyDescent="0.35">
      <c r="B146" s="78"/>
      <c r="C146" s="17"/>
      <c r="D146" s="16"/>
      <c r="E146" s="17"/>
      <c r="F146" s="17"/>
      <c r="G146" s="17"/>
      <c r="H146" s="16"/>
      <c r="K146" s="57">
        <v>9729.5</v>
      </c>
      <c r="T146" s="57">
        <v>9729.5</v>
      </c>
    </row>
    <row r="147" spans="2:20" x14ac:dyDescent="0.35">
      <c r="B147" s="78"/>
      <c r="C147" s="17"/>
      <c r="D147" s="16"/>
      <c r="E147" s="17"/>
      <c r="F147" s="17"/>
      <c r="G147" s="17"/>
      <c r="H147" s="16"/>
      <c r="K147" s="57">
        <v>9707.14</v>
      </c>
      <c r="T147" s="57">
        <v>9707.14</v>
      </c>
    </row>
    <row r="148" spans="2:20" x14ac:dyDescent="0.35">
      <c r="B148" s="78"/>
      <c r="C148" s="17"/>
      <c r="D148" s="16"/>
      <c r="E148" s="17"/>
      <c r="F148" s="17"/>
      <c r="G148" s="17"/>
      <c r="H148" s="16"/>
      <c r="K148" s="57">
        <v>9662.4</v>
      </c>
      <c r="T148" s="57">
        <v>9662.4</v>
      </c>
    </row>
    <row r="149" spans="2:20" x14ac:dyDescent="0.35">
      <c r="B149" s="78"/>
      <c r="C149" s="17"/>
      <c r="D149" s="16"/>
      <c r="E149" s="17"/>
      <c r="F149" s="17"/>
      <c r="G149" s="17"/>
      <c r="H149" s="16"/>
      <c r="K149" s="40">
        <v>9661.2800000000007</v>
      </c>
      <c r="T149" s="40">
        <v>9661.2800000000007</v>
      </c>
    </row>
    <row r="150" spans="2:20" x14ac:dyDescent="0.35">
      <c r="B150" s="17"/>
      <c r="C150" s="17"/>
      <c r="D150" s="19"/>
      <c r="E150" s="17"/>
      <c r="F150" s="17"/>
      <c r="G150" s="17"/>
      <c r="H150" s="19"/>
      <c r="K150" s="32">
        <f>SUM(K138:K149)</f>
        <v>116846.83</v>
      </c>
      <c r="T150" s="32">
        <f>SUM(T138:T149)</f>
        <v>116846.83</v>
      </c>
    </row>
    <row r="151" spans="2:20" x14ac:dyDescent="0.35">
      <c r="B151" s="17"/>
      <c r="C151" s="17"/>
      <c r="D151" s="17"/>
      <c r="E151" s="17"/>
      <c r="F151" s="17"/>
      <c r="G151" s="17"/>
      <c r="H151" s="17"/>
    </row>
    <row r="152" spans="2:20" ht="13.15" x14ac:dyDescent="0.4">
      <c r="B152" s="24"/>
      <c r="C152" s="17"/>
      <c r="D152" s="17"/>
      <c r="E152" s="17"/>
      <c r="F152" s="17"/>
      <c r="G152" s="17"/>
      <c r="H152" s="17"/>
    </row>
    <row r="153" spans="2:20" ht="13.15" x14ac:dyDescent="0.4">
      <c r="B153" s="24"/>
      <c r="C153" s="17"/>
      <c r="D153" s="24"/>
      <c r="E153" s="17"/>
      <c r="F153" s="24"/>
      <c r="G153" s="17"/>
      <c r="H153" s="24"/>
    </row>
    <row r="154" spans="2:20" x14ac:dyDescent="0.35">
      <c r="B154" s="17"/>
      <c r="C154" s="17"/>
      <c r="D154" s="17"/>
      <c r="E154" s="17"/>
      <c r="F154" s="17"/>
      <c r="G154" s="17"/>
      <c r="H154" s="17"/>
    </row>
    <row r="155" spans="2:20" x14ac:dyDescent="0.35">
      <c r="B155" s="78"/>
      <c r="C155" s="17"/>
      <c r="D155" s="16"/>
      <c r="E155" s="17"/>
      <c r="F155" s="42"/>
      <c r="G155" s="17"/>
      <c r="H155" s="23"/>
    </row>
    <row r="156" spans="2:20" x14ac:dyDescent="0.35">
      <c r="B156" s="78"/>
      <c r="C156" s="17"/>
      <c r="D156" s="16"/>
      <c r="E156" s="17"/>
      <c r="F156" s="42"/>
      <c r="G156" s="17"/>
      <c r="H156" s="23"/>
    </row>
    <row r="157" spans="2:20" x14ac:dyDescent="0.35">
      <c r="B157" s="78"/>
      <c r="C157" s="17"/>
      <c r="D157" s="16"/>
      <c r="E157" s="17"/>
      <c r="F157" s="42"/>
      <c r="G157" s="17"/>
      <c r="H157" s="23"/>
    </row>
    <row r="158" spans="2:20" x14ac:dyDescent="0.35">
      <c r="B158" s="78"/>
      <c r="C158" s="17"/>
      <c r="D158" s="16"/>
      <c r="E158" s="17"/>
      <c r="F158" s="42"/>
      <c r="G158" s="17"/>
      <c r="H158" s="23"/>
    </row>
    <row r="159" spans="2:20" x14ac:dyDescent="0.35">
      <c r="B159" s="78"/>
      <c r="C159" s="17"/>
      <c r="D159" s="16"/>
      <c r="E159" s="17"/>
      <c r="F159" s="42"/>
      <c r="G159" s="17"/>
      <c r="H159" s="23"/>
    </row>
    <row r="160" spans="2:20" x14ac:dyDescent="0.35">
      <c r="B160" s="78"/>
      <c r="C160" s="17"/>
      <c r="D160" s="16"/>
      <c r="E160" s="17"/>
      <c r="F160" s="42"/>
      <c r="G160" s="17"/>
      <c r="H160" s="23"/>
    </row>
    <row r="161" spans="2:20" x14ac:dyDescent="0.35">
      <c r="B161" s="78"/>
      <c r="C161" s="17"/>
      <c r="D161" s="16"/>
      <c r="E161" s="17"/>
      <c r="F161" s="42"/>
      <c r="G161" s="17"/>
      <c r="H161" s="23"/>
    </row>
    <row r="162" spans="2:20" x14ac:dyDescent="0.35">
      <c r="B162" s="78"/>
      <c r="C162" s="17"/>
      <c r="D162" s="16"/>
      <c r="E162" s="17"/>
      <c r="F162" s="42"/>
      <c r="G162" s="17"/>
      <c r="H162" s="23"/>
    </row>
    <row r="163" spans="2:20" x14ac:dyDescent="0.35">
      <c r="B163" s="78"/>
      <c r="C163" s="17"/>
      <c r="D163" s="16"/>
      <c r="E163" s="17"/>
      <c r="F163" s="42"/>
      <c r="G163" s="17"/>
      <c r="H163" s="23"/>
    </row>
    <row r="164" spans="2:20" x14ac:dyDescent="0.35">
      <c r="B164" s="78"/>
      <c r="C164" s="17"/>
      <c r="D164" s="16"/>
      <c r="E164" s="17"/>
      <c r="F164" s="42"/>
      <c r="G164" s="17"/>
      <c r="H164" s="23"/>
    </row>
    <row r="165" spans="2:20" x14ac:dyDescent="0.35">
      <c r="B165" s="78"/>
      <c r="C165" s="17"/>
      <c r="D165" s="16"/>
      <c r="E165" s="17"/>
      <c r="F165" s="42"/>
      <c r="G165" s="17"/>
      <c r="H165" s="23"/>
    </row>
    <row r="166" spans="2:20" x14ac:dyDescent="0.35">
      <c r="B166" s="78"/>
      <c r="C166" s="17"/>
      <c r="D166" s="16"/>
      <c r="E166" s="17"/>
      <c r="F166" s="42"/>
      <c r="G166" s="17"/>
      <c r="H166" s="23"/>
    </row>
    <row r="167" spans="2:20" x14ac:dyDescent="0.35">
      <c r="B167" s="17"/>
      <c r="C167" s="17"/>
      <c r="D167" s="19"/>
      <c r="E167" s="17"/>
      <c r="F167" s="17"/>
      <c r="G167" s="17"/>
      <c r="H167" s="15"/>
    </row>
    <row r="168" spans="2:20" x14ac:dyDescent="0.35">
      <c r="B168" s="17"/>
      <c r="C168" s="17"/>
      <c r="D168" s="17"/>
      <c r="E168" s="17"/>
      <c r="F168" s="17"/>
      <c r="G168" s="17"/>
      <c r="H168" s="17"/>
    </row>
    <row r="169" spans="2:20" ht="13.15" x14ac:dyDescent="0.4">
      <c r="B169" s="17"/>
      <c r="C169" s="17"/>
      <c r="D169" s="24"/>
      <c r="E169" s="17"/>
      <c r="F169" s="24"/>
      <c r="G169" s="17"/>
      <c r="H169" s="24"/>
      <c r="K169" s="70" t="s">
        <v>31</v>
      </c>
      <c r="T169" s="70" t="s">
        <v>31</v>
      </c>
    </row>
    <row r="170" spans="2:20" x14ac:dyDescent="0.35">
      <c r="B170" s="17"/>
      <c r="C170" s="17"/>
      <c r="D170" s="17"/>
      <c r="E170" s="17"/>
      <c r="F170" s="17"/>
      <c r="G170" s="17"/>
      <c r="H170" s="17"/>
      <c r="K170" s="17"/>
      <c r="T170" s="17"/>
    </row>
    <row r="171" spans="2:20" x14ac:dyDescent="0.35">
      <c r="B171" s="78"/>
      <c r="C171" s="17"/>
      <c r="D171" s="16"/>
      <c r="E171" s="17"/>
      <c r="F171" s="17"/>
      <c r="G171" s="17"/>
      <c r="H171" s="16"/>
      <c r="K171" s="57">
        <v>2717.55</v>
      </c>
      <c r="T171" s="57">
        <v>2717.55</v>
      </c>
    </row>
    <row r="172" spans="2:20" x14ac:dyDescent="0.35">
      <c r="B172" s="78"/>
      <c r="C172" s="17"/>
      <c r="D172" s="16"/>
      <c r="E172" s="17"/>
      <c r="F172" s="17"/>
      <c r="G172" s="17"/>
      <c r="H172" s="16"/>
      <c r="K172" s="57">
        <v>2717.55</v>
      </c>
      <c r="T172" s="57">
        <v>2717.55</v>
      </c>
    </row>
    <row r="173" spans="2:20" x14ac:dyDescent="0.35">
      <c r="B173" s="78"/>
      <c r="C173" s="17"/>
      <c r="D173" s="16"/>
      <c r="E173" s="17"/>
      <c r="F173" s="17"/>
      <c r="G173" s="17"/>
      <c r="H173" s="16"/>
      <c r="K173" s="57">
        <v>2717.55</v>
      </c>
      <c r="T173" s="57">
        <v>2717.55</v>
      </c>
    </row>
    <row r="174" spans="2:20" x14ac:dyDescent="0.35">
      <c r="B174" s="78"/>
      <c r="C174" s="17"/>
      <c r="D174" s="16"/>
      <c r="E174" s="17"/>
      <c r="F174" s="17"/>
      <c r="G174" s="17"/>
      <c r="H174" s="16"/>
      <c r="K174" s="57">
        <v>2717.55</v>
      </c>
      <c r="T174" s="57">
        <v>2717.55</v>
      </c>
    </row>
    <row r="175" spans="2:20" x14ac:dyDescent="0.35">
      <c r="B175" s="78"/>
      <c r="C175" s="17"/>
      <c r="D175" s="16"/>
      <c r="E175" s="17"/>
      <c r="F175" s="17"/>
      <c r="G175" s="17"/>
      <c r="H175" s="16"/>
      <c r="K175" s="57">
        <v>2717.55</v>
      </c>
      <c r="T175" s="57">
        <v>2717.55</v>
      </c>
    </row>
    <row r="176" spans="2:20" x14ac:dyDescent="0.35">
      <c r="B176" s="78"/>
      <c r="C176" s="17"/>
      <c r="D176" s="16"/>
      <c r="E176" s="17"/>
      <c r="F176" s="17"/>
      <c r="G176" s="17"/>
      <c r="H176" s="16"/>
      <c r="K176" s="57">
        <v>2717.55</v>
      </c>
      <c r="T176" s="57">
        <v>2717.55</v>
      </c>
    </row>
    <row r="177" spans="2:20" x14ac:dyDescent="0.35">
      <c r="B177" s="78"/>
      <c r="C177" s="17"/>
      <c r="D177" s="16"/>
      <c r="E177" s="17"/>
      <c r="F177" s="17"/>
      <c r="G177" s="17"/>
      <c r="H177" s="16"/>
      <c r="K177" s="57">
        <v>2717.55</v>
      </c>
      <c r="T177" s="57">
        <v>2717.55</v>
      </c>
    </row>
    <row r="178" spans="2:20" x14ac:dyDescent="0.35">
      <c r="B178" s="78"/>
      <c r="C178" s="17"/>
      <c r="D178" s="16"/>
      <c r="E178" s="17"/>
      <c r="F178" s="17"/>
      <c r="G178" s="17"/>
      <c r="H178" s="16"/>
      <c r="K178" s="57">
        <v>2703.01</v>
      </c>
      <c r="T178" s="57">
        <v>2703.01</v>
      </c>
    </row>
    <row r="179" spans="2:20" x14ac:dyDescent="0.35">
      <c r="B179" s="78"/>
      <c r="C179" s="17"/>
      <c r="D179" s="16"/>
      <c r="E179" s="17"/>
      <c r="F179" s="17"/>
      <c r="G179" s="17"/>
      <c r="H179" s="16"/>
      <c r="K179" s="57">
        <v>2650.4500000000003</v>
      </c>
      <c r="T179" s="57">
        <v>2650.4500000000003</v>
      </c>
    </row>
    <row r="180" spans="2:20" x14ac:dyDescent="0.35">
      <c r="B180" s="78"/>
      <c r="C180" s="17"/>
      <c r="D180" s="16"/>
      <c r="E180" s="17"/>
      <c r="F180" s="17"/>
      <c r="G180" s="17"/>
      <c r="H180" s="16"/>
      <c r="K180" s="57">
        <v>2650.4500000000003</v>
      </c>
      <c r="T180" s="57">
        <v>2650.4500000000003</v>
      </c>
    </row>
    <row r="181" spans="2:20" x14ac:dyDescent="0.35">
      <c r="B181" s="78"/>
      <c r="C181" s="17"/>
      <c r="D181" s="16"/>
      <c r="E181" s="17"/>
      <c r="F181" s="17"/>
      <c r="G181" s="17"/>
      <c r="H181" s="16"/>
      <c r="K181" s="57">
        <v>2650.4500000000003</v>
      </c>
      <c r="T181" s="57">
        <v>2650.4500000000003</v>
      </c>
    </row>
    <row r="182" spans="2:20" x14ac:dyDescent="0.35">
      <c r="B182" s="78"/>
      <c r="C182" s="17"/>
      <c r="D182" s="16"/>
      <c r="E182" s="17"/>
      <c r="F182" s="17"/>
      <c r="G182" s="17"/>
      <c r="H182" s="16"/>
      <c r="K182" s="40">
        <v>2650.4500000000003</v>
      </c>
      <c r="T182" s="40">
        <v>2650.4500000000003</v>
      </c>
    </row>
    <row r="183" spans="2:20" x14ac:dyDescent="0.35">
      <c r="B183" s="17"/>
      <c r="C183" s="17"/>
      <c r="D183" s="19"/>
      <c r="E183" s="17"/>
      <c r="F183" s="17"/>
      <c r="G183" s="17"/>
      <c r="H183" s="19"/>
      <c r="K183" s="32">
        <f>SUM(K171:K182)</f>
        <v>32327.660000000003</v>
      </c>
      <c r="T183" s="32">
        <f>SUM(T171:T182)</f>
        <v>32327.660000000003</v>
      </c>
    </row>
    <row r="184" spans="2:20" x14ac:dyDescent="0.35">
      <c r="B184" s="17"/>
      <c r="C184" s="17"/>
      <c r="D184" s="17"/>
      <c r="E184" s="17"/>
      <c r="F184" s="17"/>
      <c r="G184" s="17"/>
      <c r="H184" s="17"/>
    </row>
    <row r="185" spans="2:20" ht="13.15" x14ac:dyDescent="0.4">
      <c r="B185" s="24"/>
      <c r="C185" s="17"/>
      <c r="D185" s="17"/>
      <c r="E185" s="17"/>
      <c r="F185" s="17"/>
      <c r="G185" s="17"/>
      <c r="H185" s="17"/>
    </row>
    <row r="186" spans="2:20" ht="13.15" x14ac:dyDescent="0.4">
      <c r="B186" s="24"/>
      <c r="C186" s="17"/>
      <c r="D186" s="24"/>
      <c r="E186" s="17"/>
      <c r="F186" s="24"/>
      <c r="G186" s="17"/>
      <c r="H186" s="24"/>
    </row>
    <row r="187" spans="2:20" x14ac:dyDescent="0.35">
      <c r="B187" s="17"/>
      <c r="C187" s="17"/>
      <c r="D187" s="17"/>
      <c r="E187" s="17"/>
      <c r="F187" s="17"/>
      <c r="G187" s="17"/>
      <c r="H187" s="17"/>
    </row>
    <row r="188" spans="2:20" x14ac:dyDescent="0.35">
      <c r="B188" s="78"/>
      <c r="C188" s="17"/>
      <c r="D188" s="16"/>
      <c r="E188" s="17"/>
      <c r="F188" s="42"/>
      <c r="G188" s="17"/>
      <c r="H188" s="23"/>
    </row>
    <row r="189" spans="2:20" x14ac:dyDescent="0.35">
      <c r="B189" s="78"/>
      <c r="C189" s="17"/>
      <c r="D189" s="16"/>
      <c r="E189" s="17"/>
      <c r="F189" s="42"/>
      <c r="G189" s="17"/>
      <c r="H189" s="23"/>
    </row>
    <row r="190" spans="2:20" x14ac:dyDescent="0.35">
      <c r="B190" s="78"/>
      <c r="C190" s="17"/>
      <c r="D190" s="16"/>
      <c r="E190" s="17"/>
      <c r="F190" s="42"/>
      <c r="G190" s="17"/>
      <c r="H190" s="23"/>
    </row>
    <row r="191" spans="2:20" x14ac:dyDescent="0.35">
      <c r="B191" s="78"/>
      <c r="C191" s="17"/>
      <c r="D191" s="16"/>
      <c r="E191" s="17"/>
      <c r="F191" s="42"/>
      <c r="G191" s="17"/>
      <c r="H191" s="23"/>
    </row>
    <row r="192" spans="2:20" x14ac:dyDescent="0.35">
      <c r="B192" s="78"/>
      <c r="C192" s="17"/>
      <c r="D192" s="16"/>
      <c r="E192" s="17"/>
      <c r="F192" s="42"/>
      <c r="G192" s="17"/>
      <c r="H192" s="23"/>
    </row>
    <row r="193" spans="2:20" x14ac:dyDescent="0.35">
      <c r="B193" s="78"/>
      <c r="C193" s="17"/>
      <c r="D193" s="16"/>
      <c r="E193" s="17"/>
      <c r="F193" s="42"/>
      <c r="G193" s="17"/>
      <c r="H193" s="23"/>
    </row>
    <row r="194" spans="2:20" x14ac:dyDescent="0.35">
      <c r="B194" s="78"/>
      <c r="C194" s="17"/>
      <c r="D194" s="16"/>
      <c r="E194" s="17"/>
      <c r="F194" s="42"/>
      <c r="G194" s="17"/>
      <c r="H194" s="23"/>
    </row>
    <row r="195" spans="2:20" x14ac:dyDescent="0.35">
      <c r="B195" s="78"/>
      <c r="C195" s="17"/>
      <c r="D195" s="16"/>
      <c r="E195" s="17"/>
      <c r="F195" s="42"/>
      <c r="G195" s="17"/>
      <c r="H195" s="23"/>
    </row>
    <row r="196" spans="2:20" x14ac:dyDescent="0.35">
      <c r="B196" s="78"/>
      <c r="C196" s="17"/>
      <c r="D196" s="16"/>
      <c r="E196" s="17"/>
      <c r="F196" s="42"/>
      <c r="G196" s="17"/>
      <c r="H196" s="23"/>
    </row>
    <row r="197" spans="2:20" x14ac:dyDescent="0.35">
      <c r="B197" s="78"/>
      <c r="C197" s="17"/>
      <c r="D197" s="16"/>
      <c r="E197" s="17"/>
      <c r="F197" s="42"/>
      <c r="G197" s="17"/>
      <c r="H197" s="23"/>
    </row>
    <row r="198" spans="2:20" x14ac:dyDescent="0.35">
      <c r="B198" s="78"/>
      <c r="C198" s="17"/>
      <c r="D198" s="16"/>
      <c r="E198" s="17"/>
      <c r="F198" s="42"/>
      <c r="G198" s="17"/>
      <c r="H198" s="23"/>
    </row>
    <row r="199" spans="2:20" x14ac:dyDescent="0.35">
      <c r="B199" s="78"/>
      <c r="C199" s="17"/>
      <c r="D199" s="16"/>
      <c r="E199" s="17"/>
      <c r="F199" s="42"/>
      <c r="G199" s="17"/>
      <c r="H199" s="23"/>
    </row>
    <row r="200" spans="2:20" x14ac:dyDescent="0.35">
      <c r="B200" s="17"/>
      <c r="C200" s="17"/>
      <c r="D200" s="19"/>
      <c r="E200" s="17"/>
      <c r="F200" s="17"/>
      <c r="G200" s="17"/>
      <c r="H200" s="15"/>
    </row>
    <row r="201" spans="2:20" x14ac:dyDescent="0.35">
      <c r="B201" s="17"/>
      <c r="C201" s="17"/>
      <c r="D201" s="17"/>
      <c r="E201" s="17"/>
      <c r="F201" s="17"/>
      <c r="G201" s="17"/>
      <c r="H201" s="17"/>
    </row>
    <row r="202" spans="2:20" ht="13.15" x14ac:dyDescent="0.4">
      <c r="B202" s="17"/>
      <c r="C202" s="17"/>
      <c r="D202" s="24"/>
      <c r="E202" s="17"/>
      <c r="F202" s="24"/>
      <c r="G202" s="17"/>
      <c r="H202" s="24"/>
      <c r="K202" s="70" t="s">
        <v>31</v>
      </c>
      <c r="T202" s="70" t="s">
        <v>31</v>
      </c>
    </row>
    <row r="203" spans="2:20" x14ac:dyDescent="0.35">
      <c r="B203" s="17"/>
      <c r="C203" s="17"/>
      <c r="D203" s="17"/>
      <c r="E203" s="17"/>
      <c r="F203" s="17"/>
      <c r="G203" s="17"/>
      <c r="H203" s="17"/>
      <c r="K203" s="17"/>
      <c r="T203" s="17"/>
    </row>
    <row r="204" spans="2:20" x14ac:dyDescent="0.35">
      <c r="B204" s="78"/>
      <c r="C204" s="17"/>
      <c r="D204" s="16"/>
      <c r="E204" s="17"/>
      <c r="F204" s="17"/>
      <c r="G204" s="17"/>
      <c r="H204" s="16"/>
      <c r="K204" s="57">
        <v>145595.97</v>
      </c>
      <c r="T204" s="57">
        <v>145595.97</v>
      </c>
    </row>
    <row r="205" spans="2:20" x14ac:dyDescent="0.35">
      <c r="B205" s="78"/>
      <c r="C205" s="17"/>
      <c r="D205" s="16"/>
      <c r="E205" s="17"/>
      <c r="F205" s="17"/>
      <c r="G205" s="17"/>
      <c r="H205" s="16"/>
      <c r="K205" s="57">
        <v>146047.73000000001</v>
      </c>
      <c r="T205" s="57">
        <v>146047.73000000001</v>
      </c>
    </row>
    <row r="206" spans="2:20" x14ac:dyDescent="0.35">
      <c r="B206" s="78"/>
      <c r="C206" s="17"/>
      <c r="D206" s="16"/>
      <c r="E206" s="17"/>
      <c r="F206" s="17"/>
      <c r="G206" s="17"/>
      <c r="H206" s="16"/>
      <c r="K206" s="57">
        <v>146320.74</v>
      </c>
      <c r="T206" s="57">
        <v>146320.74</v>
      </c>
    </row>
    <row r="207" spans="2:20" x14ac:dyDescent="0.35">
      <c r="B207" s="78"/>
      <c r="C207" s="17"/>
      <c r="D207" s="16"/>
      <c r="E207" s="17"/>
      <c r="F207" s="17"/>
      <c r="G207" s="17"/>
      <c r="H207" s="16"/>
      <c r="K207" s="57">
        <v>147167.18</v>
      </c>
      <c r="T207" s="57">
        <v>147167.18</v>
      </c>
    </row>
    <row r="208" spans="2:20" x14ac:dyDescent="0.35">
      <c r="B208" s="78"/>
      <c r="C208" s="17"/>
      <c r="D208" s="16"/>
      <c r="E208" s="17"/>
      <c r="F208" s="17"/>
      <c r="G208" s="17"/>
      <c r="H208" s="16"/>
      <c r="K208" s="57">
        <v>148300.14000000001</v>
      </c>
      <c r="T208" s="57">
        <v>148300.14000000001</v>
      </c>
    </row>
    <row r="209" spans="2:20" x14ac:dyDescent="0.35">
      <c r="B209" s="78"/>
      <c r="C209" s="17"/>
      <c r="D209" s="16"/>
      <c r="E209" s="17"/>
      <c r="F209" s="17"/>
      <c r="G209" s="17"/>
      <c r="H209" s="16"/>
      <c r="K209" s="57">
        <v>148560.66</v>
      </c>
      <c r="T209" s="57">
        <v>148560.66</v>
      </c>
    </row>
    <row r="210" spans="2:20" x14ac:dyDescent="0.35">
      <c r="B210" s="78"/>
      <c r="C210" s="17"/>
      <c r="D210" s="16"/>
      <c r="E210" s="17"/>
      <c r="F210" s="17"/>
      <c r="G210" s="17"/>
      <c r="H210" s="16"/>
      <c r="K210" s="57">
        <v>148785.44</v>
      </c>
      <c r="T210" s="57">
        <v>148785.44</v>
      </c>
    </row>
    <row r="211" spans="2:20" x14ac:dyDescent="0.35">
      <c r="B211" s="78"/>
      <c r="C211" s="17"/>
      <c r="D211" s="16"/>
      <c r="E211" s="17"/>
      <c r="F211" s="17"/>
      <c r="G211" s="17"/>
      <c r="H211" s="16"/>
      <c r="K211" s="57">
        <v>149287.67999999999</v>
      </c>
      <c r="T211" s="57">
        <v>149287.67999999999</v>
      </c>
    </row>
    <row r="212" spans="2:20" x14ac:dyDescent="0.35">
      <c r="B212" s="78"/>
      <c r="C212" s="17"/>
      <c r="D212" s="16"/>
      <c r="E212" s="17"/>
      <c r="F212" s="17"/>
      <c r="G212" s="17"/>
      <c r="H212" s="16"/>
      <c r="K212" s="57">
        <v>149288.14000000001</v>
      </c>
      <c r="T212" s="57">
        <v>149288.14000000001</v>
      </c>
    </row>
    <row r="213" spans="2:20" x14ac:dyDescent="0.35">
      <c r="B213" s="78"/>
      <c r="C213" s="17"/>
      <c r="D213" s="16"/>
      <c r="E213" s="17"/>
      <c r="F213" s="17"/>
      <c r="G213" s="17"/>
      <c r="H213" s="16"/>
      <c r="K213" s="57">
        <v>149946.28</v>
      </c>
      <c r="T213" s="57">
        <v>149946.28</v>
      </c>
    </row>
    <row r="214" spans="2:20" x14ac:dyDescent="0.35">
      <c r="B214" s="78"/>
      <c r="C214" s="17"/>
      <c r="D214" s="16"/>
      <c r="E214" s="17"/>
      <c r="F214" s="17"/>
      <c r="G214" s="17"/>
      <c r="H214" s="16"/>
      <c r="K214" s="57">
        <v>150685.5</v>
      </c>
      <c r="T214" s="57">
        <v>150685.5</v>
      </c>
    </row>
    <row r="215" spans="2:20" x14ac:dyDescent="0.35">
      <c r="B215" s="78"/>
      <c r="C215" s="17"/>
      <c r="D215" s="16"/>
      <c r="E215" s="17"/>
      <c r="F215" s="17"/>
      <c r="G215" s="17"/>
      <c r="H215" s="16"/>
      <c r="K215" s="40">
        <v>150975.03</v>
      </c>
      <c r="T215" s="40">
        <v>150975.03</v>
      </c>
    </row>
    <row r="216" spans="2:20" x14ac:dyDescent="0.35">
      <c r="B216" s="17"/>
      <c r="C216" s="17"/>
      <c r="D216" s="19"/>
      <c r="E216" s="17"/>
      <c r="F216" s="17"/>
      <c r="G216" s="17"/>
      <c r="H216" s="19"/>
      <c r="K216" s="32">
        <f>SUM(K204:K215)</f>
        <v>1780960.4900000002</v>
      </c>
      <c r="T216" s="32">
        <f>SUM(T204:T215)</f>
        <v>1780960.4900000002</v>
      </c>
    </row>
    <row r="217" spans="2:20" x14ac:dyDescent="0.35">
      <c r="B217" s="17"/>
      <c r="C217" s="17"/>
      <c r="D217" s="17"/>
      <c r="E217" s="17"/>
      <c r="F217" s="17"/>
      <c r="G217" s="17"/>
      <c r="H217" s="17"/>
    </row>
    <row r="218" spans="2:20" ht="13.15" x14ac:dyDescent="0.4">
      <c r="B218" s="24"/>
      <c r="C218" s="17"/>
      <c r="D218" s="17"/>
      <c r="E218" s="17"/>
      <c r="F218" s="17"/>
      <c r="G218" s="17"/>
      <c r="H218" s="17"/>
    </row>
    <row r="219" spans="2:20" ht="13.15" x14ac:dyDescent="0.4">
      <c r="B219" s="24"/>
      <c r="C219" s="17"/>
      <c r="D219" s="24"/>
      <c r="E219" s="17"/>
      <c r="F219" s="24"/>
      <c r="G219" s="17"/>
      <c r="H219" s="24"/>
    </row>
    <row r="220" spans="2:20" x14ac:dyDescent="0.35">
      <c r="B220" s="17"/>
      <c r="C220" s="17"/>
      <c r="D220" s="17"/>
      <c r="E220" s="17"/>
      <c r="F220" s="17"/>
      <c r="G220" s="17"/>
      <c r="H220" s="17"/>
    </row>
    <row r="221" spans="2:20" x14ac:dyDescent="0.35">
      <c r="B221" s="78"/>
      <c r="C221" s="17"/>
      <c r="D221" s="16"/>
      <c r="E221" s="17"/>
      <c r="F221" s="42"/>
      <c r="G221" s="17"/>
      <c r="H221" s="23"/>
    </row>
    <row r="222" spans="2:20" x14ac:dyDescent="0.35">
      <c r="B222" s="78"/>
      <c r="C222" s="17"/>
      <c r="D222" s="16"/>
      <c r="E222" s="17"/>
      <c r="F222" s="42"/>
      <c r="G222" s="17"/>
      <c r="H222" s="23"/>
    </row>
    <row r="223" spans="2:20" x14ac:dyDescent="0.35">
      <c r="B223" s="78"/>
      <c r="C223" s="17"/>
      <c r="D223" s="16"/>
      <c r="E223" s="17"/>
      <c r="F223" s="42"/>
      <c r="G223" s="17"/>
      <c r="H223" s="23"/>
    </row>
    <row r="224" spans="2:20" x14ac:dyDescent="0.35">
      <c r="B224" s="78"/>
      <c r="C224" s="17"/>
      <c r="D224" s="16"/>
      <c r="E224" s="17"/>
      <c r="F224" s="42"/>
      <c r="G224" s="17"/>
      <c r="H224" s="23"/>
    </row>
    <row r="225" spans="2:20" x14ac:dyDescent="0.35">
      <c r="B225" s="78"/>
      <c r="C225" s="17"/>
      <c r="D225" s="16"/>
      <c r="E225" s="17"/>
      <c r="F225" s="42"/>
      <c r="G225" s="17"/>
      <c r="H225" s="23"/>
    </row>
    <row r="226" spans="2:20" x14ac:dyDescent="0.35">
      <c r="B226" s="78"/>
      <c r="C226" s="17"/>
      <c r="D226" s="16"/>
      <c r="E226" s="17"/>
      <c r="F226" s="42"/>
      <c r="G226" s="17"/>
      <c r="H226" s="23"/>
    </row>
    <row r="227" spans="2:20" x14ac:dyDescent="0.35">
      <c r="B227" s="78"/>
      <c r="C227" s="17"/>
      <c r="D227" s="16"/>
      <c r="E227" s="17"/>
      <c r="F227" s="42"/>
      <c r="G227" s="17"/>
      <c r="H227" s="23"/>
    </row>
    <row r="228" spans="2:20" x14ac:dyDescent="0.35">
      <c r="B228" s="78"/>
      <c r="C228" s="17"/>
      <c r="D228" s="16"/>
      <c r="E228" s="17"/>
      <c r="F228" s="42"/>
      <c r="G228" s="17"/>
      <c r="H228" s="23"/>
    </row>
    <row r="229" spans="2:20" x14ac:dyDescent="0.35">
      <c r="B229" s="78"/>
      <c r="C229" s="17"/>
      <c r="D229" s="16"/>
      <c r="E229" s="17"/>
      <c r="F229" s="42"/>
      <c r="G229" s="17"/>
      <c r="H229" s="23"/>
    </row>
    <row r="230" spans="2:20" x14ac:dyDescent="0.35">
      <c r="B230" s="78"/>
      <c r="C230" s="17"/>
      <c r="D230" s="16"/>
      <c r="E230" s="17"/>
      <c r="F230" s="42"/>
      <c r="G230" s="17"/>
      <c r="H230" s="23"/>
    </row>
    <row r="231" spans="2:20" x14ac:dyDescent="0.35">
      <c r="B231" s="78"/>
      <c r="C231" s="17"/>
      <c r="D231" s="16"/>
      <c r="E231" s="17"/>
      <c r="F231" s="42"/>
      <c r="G231" s="17"/>
      <c r="H231" s="23"/>
    </row>
    <row r="232" spans="2:20" x14ac:dyDescent="0.35">
      <c r="B232" s="78"/>
      <c r="C232" s="17"/>
      <c r="D232" s="16"/>
      <c r="E232" s="17"/>
      <c r="F232" s="42"/>
      <c r="G232" s="17"/>
      <c r="H232" s="23"/>
    </row>
    <row r="233" spans="2:20" x14ac:dyDescent="0.35">
      <c r="B233" s="17"/>
      <c r="C233" s="17"/>
      <c r="D233" s="19"/>
      <c r="E233" s="17"/>
      <c r="F233" s="17"/>
      <c r="G233" s="17"/>
      <c r="H233" s="15"/>
    </row>
    <row r="234" spans="2:20" x14ac:dyDescent="0.35">
      <c r="B234" s="17"/>
      <c r="C234" s="17"/>
      <c r="D234" s="17"/>
      <c r="E234" s="17"/>
      <c r="F234" s="17"/>
      <c r="G234" s="17"/>
      <c r="H234" s="17"/>
    </row>
    <row r="235" spans="2:20" ht="13.15" x14ac:dyDescent="0.4">
      <c r="B235" s="17"/>
      <c r="C235" s="17"/>
      <c r="D235" s="24"/>
      <c r="E235" s="17"/>
      <c r="F235" s="24"/>
      <c r="G235" s="17"/>
      <c r="H235" s="24"/>
      <c r="K235" s="70" t="s">
        <v>31</v>
      </c>
      <c r="T235" s="70" t="s">
        <v>31</v>
      </c>
    </row>
    <row r="236" spans="2:20" x14ac:dyDescent="0.35">
      <c r="B236" s="17"/>
      <c r="C236" s="17"/>
      <c r="D236" s="17"/>
      <c r="E236" s="17"/>
      <c r="F236" s="17"/>
      <c r="G236" s="17"/>
      <c r="H236" s="17"/>
      <c r="K236" s="17"/>
      <c r="T236" s="17"/>
    </row>
    <row r="237" spans="2:20" x14ac:dyDescent="0.35">
      <c r="B237" s="78"/>
      <c r="C237" s="17"/>
      <c r="D237" s="16"/>
      <c r="E237" s="17"/>
      <c r="F237" s="17"/>
      <c r="G237" s="17"/>
      <c r="H237" s="16"/>
      <c r="K237" s="57">
        <v>17191.09</v>
      </c>
      <c r="T237" s="57">
        <v>17191.09</v>
      </c>
    </row>
    <row r="238" spans="2:20" x14ac:dyDescent="0.35">
      <c r="B238" s="78"/>
      <c r="C238" s="17"/>
      <c r="D238" s="16"/>
      <c r="E238" s="17"/>
      <c r="F238" s="17"/>
      <c r="G238" s="17"/>
      <c r="H238" s="16"/>
      <c r="K238" s="57">
        <v>17289.43</v>
      </c>
      <c r="T238" s="57">
        <v>17289.43</v>
      </c>
    </row>
    <row r="239" spans="2:20" x14ac:dyDescent="0.35">
      <c r="B239" s="78"/>
      <c r="C239" s="17"/>
      <c r="D239" s="16"/>
      <c r="E239" s="17"/>
      <c r="F239" s="17"/>
      <c r="G239" s="17"/>
      <c r="H239" s="16"/>
      <c r="K239" s="57">
        <v>17386.8</v>
      </c>
      <c r="T239" s="57">
        <v>17386.8</v>
      </c>
    </row>
    <row r="240" spans="2:20" x14ac:dyDescent="0.35">
      <c r="B240" s="78"/>
      <c r="C240" s="17"/>
      <c r="D240" s="16"/>
      <c r="E240" s="17"/>
      <c r="F240" s="17"/>
      <c r="G240" s="17"/>
      <c r="H240" s="16"/>
      <c r="K240" s="57">
        <v>17437.060000000001</v>
      </c>
      <c r="T240" s="57">
        <v>17437.060000000001</v>
      </c>
    </row>
    <row r="241" spans="2:20" x14ac:dyDescent="0.35">
      <c r="B241" s="78"/>
      <c r="C241" s="17"/>
      <c r="D241" s="16"/>
      <c r="E241" s="17"/>
      <c r="F241" s="17"/>
      <c r="G241" s="17"/>
      <c r="H241" s="16"/>
      <c r="K241" s="57">
        <v>17616</v>
      </c>
      <c r="T241" s="57">
        <v>17616</v>
      </c>
    </row>
    <row r="242" spans="2:20" x14ac:dyDescent="0.35">
      <c r="B242" s="78"/>
      <c r="C242" s="17"/>
      <c r="D242" s="16"/>
      <c r="E242" s="17"/>
      <c r="F242" s="17"/>
      <c r="G242" s="17"/>
      <c r="H242" s="16"/>
      <c r="K242" s="57">
        <v>17651.79</v>
      </c>
      <c r="T242" s="57">
        <v>17651.79</v>
      </c>
    </row>
    <row r="243" spans="2:20" x14ac:dyDescent="0.35">
      <c r="B243" s="78"/>
      <c r="C243" s="17"/>
      <c r="D243" s="16"/>
      <c r="E243" s="17"/>
      <c r="F243" s="17"/>
      <c r="G243" s="17"/>
      <c r="H243" s="16"/>
      <c r="K243" s="57">
        <v>17716.650000000001</v>
      </c>
      <c r="T243" s="57">
        <v>17716.650000000001</v>
      </c>
    </row>
    <row r="244" spans="2:20" x14ac:dyDescent="0.35">
      <c r="B244" s="78"/>
      <c r="C244" s="17"/>
      <c r="D244" s="16"/>
      <c r="E244" s="17"/>
      <c r="F244" s="17"/>
      <c r="G244" s="17"/>
      <c r="H244" s="16"/>
      <c r="K244" s="57">
        <v>17919.09</v>
      </c>
      <c r="T244" s="57">
        <v>17919.09</v>
      </c>
    </row>
    <row r="245" spans="2:20" x14ac:dyDescent="0.35">
      <c r="B245" s="78"/>
      <c r="C245" s="17"/>
      <c r="D245" s="16"/>
      <c r="E245" s="17"/>
      <c r="F245" s="17"/>
      <c r="G245" s="17"/>
      <c r="H245" s="16"/>
      <c r="K245" s="57">
        <v>17934.73</v>
      </c>
      <c r="T245" s="57">
        <v>17934.73</v>
      </c>
    </row>
    <row r="246" spans="2:20" x14ac:dyDescent="0.35">
      <c r="B246" s="78"/>
      <c r="C246" s="17"/>
      <c r="D246" s="16"/>
      <c r="E246" s="17"/>
      <c r="F246" s="17"/>
      <c r="G246" s="17"/>
      <c r="H246" s="16"/>
      <c r="K246" s="57">
        <v>18149.47</v>
      </c>
      <c r="T246" s="57">
        <v>18149.47</v>
      </c>
    </row>
    <row r="247" spans="2:20" x14ac:dyDescent="0.35">
      <c r="B247" s="78"/>
      <c r="C247" s="17"/>
      <c r="D247" s="16"/>
      <c r="E247" s="17"/>
      <c r="F247" s="17"/>
      <c r="G247" s="17"/>
      <c r="H247" s="16"/>
      <c r="K247" s="57">
        <v>18270.260000000002</v>
      </c>
      <c r="T247" s="57">
        <v>18270.260000000002</v>
      </c>
    </row>
    <row r="248" spans="2:20" x14ac:dyDescent="0.35">
      <c r="B248" s="78"/>
      <c r="C248" s="17"/>
      <c r="D248" s="16"/>
      <c r="E248" s="17"/>
      <c r="F248" s="17"/>
      <c r="G248" s="17"/>
      <c r="H248" s="16"/>
      <c r="K248" s="40">
        <v>18665</v>
      </c>
      <c r="T248" s="40">
        <v>18665</v>
      </c>
    </row>
    <row r="249" spans="2:20" x14ac:dyDescent="0.35">
      <c r="B249" s="17"/>
      <c r="C249" s="17"/>
      <c r="D249" s="19"/>
      <c r="E249" s="17"/>
      <c r="F249" s="17"/>
      <c r="G249" s="17"/>
      <c r="H249" s="19"/>
      <c r="K249" s="32">
        <f>SUM(K237:K248)</f>
        <v>213227.37000000002</v>
      </c>
      <c r="T249" s="32">
        <f>SUM(T237:T248)</f>
        <v>213227.37000000002</v>
      </c>
    </row>
    <row r="250" spans="2:20" x14ac:dyDescent="0.35">
      <c r="B250" s="17"/>
      <c r="C250" s="17"/>
      <c r="D250" s="17"/>
      <c r="E250" s="17"/>
      <c r="F250" s="17"/>
      <c r="G250" s="17"/>
      <c r="H250" s="17"/>
    </row>
    <row r="251" spans="2:20" ht="13.15" x14ac:dyDescent="0.4">
      <c r="B251" s="24"/>
      <c r="C251" s="17"/>
      <c r="D251" s="17"/>
      <c r="E251" s="17"/>
      <c r="F251" s="17"/>
      <c r="G251" s="17"/>
      <c r="H251" s="17"/>
    </row>
    <row r="252" spans="2:20" ht="13.15" x14ac:dyDescent="0.4">
      <c r="B252" s="24"/>
      <c r="C252" s="17"/>
      <c r="D252" s="24"/>
      <c r="E252" s="17"/>
      <c r="F252" s="17"/>
      <c r="G252" s="17"/>
      <c r="H252" s="17"/>
    </row>
    <row r="253" spans="2:20" x14ac:dyDescent="0.35">
      <c r="B253" s="17"/>
      <c r="C253" s="17"/>
      <c r="D253" s="17"/>
      <c r="E253" s="17"/>
      <c r="F253" s="17"/>
      <c r="G253" s="17"/>
      <c r="H253" s="17"/>
    </row>
    <row r="254" spans="2:20" x14ac:dyDescent="0.35">
      <c r="B254" s="78"/>
      <c r="C254" s="17"/>
      <c r="D254" s="16"/>
      <c r="E254" s="17"/>
      <c r="F254" s="17"/>
      <c r="G254" s="17"/>
      <c r="H254" s="17"/>
    </row>
    <row r="255" spans="2:20" x14ac:dyDescent="0.35">
      <c r="B255" s="78"/>
      <c r="C255" s="17"/>
      <c r="D255" s="16"/>
      <c r="E255" s="17"/>
      <c r="F255" s="17"/>
      <c r="G255" s="17"/>
      <c r="H255" s="17"/>
    </row>
    <row r="256" spans="2:20" x14ac:dyDescent="0.35">
      <c r="B256" s="78"/>
      <c r="C256" s="17"/>
      <c r="D256" s="16"/>
      <c r="E256" s="17"/>
      <c r="F256" s="17"/>
      <c r="G256" s="17"/>
      <c r="H256" s="17"/>
    </row>
    <row r="257" spans="2:8" x14ac:dyDescent="0.35">
      <c r="B257" s="78"/>
      <c r="C257" s="17"/>
      <c r="D257" s="16"/>
      <c r="E257" s="17"/>
      <c r="F257" s="17"/>
      <c r="G257" s="17"/>
      <c r="H257" s="17"/>
    </row>
    <row r="258" spans="2:8" x14ac:dyDescent="0.35">
      <c r="B258" s="78"/>
      <c r="C258" s="17"/>
      <c r="D258" s="16"/>
      <c r="E258" s="17"/>
      <c r="F258" s="17"/>
      <c r="G258" s="17"/>
      <c r="H258" s="17"/>
    </row>
    <row r="259" spans="2:8" x14ac:dyDescent="0.35">
      <c r="B259" s="78"/>
      <c r="C259" s="17"/>
      <c r="D259" s="16"/>
      <c r="E259" s="17"/>
      <c r="F259" s="17"/>
      <c r="G259" s="17"/>
      <c r="H259" s="17"/>
    </row>
    <row r="260" spans="2:8" x14ac:dyDescent="0.35">
      <c r="B260" s="78"/>
      <c r="C260" s="17"/>
      <c r="D260" s="16"/>
      <c r="E260" s="17"/>
      <c r="F260" s="17"/>
      <c r="G260" s="17"/>
      <c r="H260" s="17"/>
    </row>
    <row r="261" spans="2:8" x14ac:dyDescent="0.35">
      <c r="B261" s="78"/>
      <c r="C261" s="17"/>
      <c r="D261" s="16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78"/>
      <c r="C263" s="17"/>
      <c r="D263" s="16"/>
      <c r="E263" s="17"/>
      <c r="F263" s="17"/>
      <c r="G263" s="17"/>
      <c r="H263" s="17"/>
    </row>
    <row r="264" spans="2:8" x14ac:dyDescent="0.35">
      <c r="B264" s="78"/>
      <c r="C264" s="17"/>
      <c r="D264" s="16"/>
      <c r="E264" s="17"/>
      <c r="F264" s="17"/>
      <c r="G264" s="17"/>
      <c r="H264" s="17"/>
    </row>
    <row r="265" spans="2:8" x14ac:dyDescent="0.35">
      <c r="B265" s="78"/>
      <c r="C265" s="17"/>
      <c r="D265" s="16"/>
      <c r="E265" s="17"/>
      <c r="F265" s="17"/>
      <c r="G265" s="17"/>
      <c r="H265" s="17"/>
    </row>
    <row r="266" spans="2:8" x14ac:dyDescent="0.35">
      <c r="B266" s="17"/>
      <c r="C266" s="17"/>
      <c r="D266" s="19"/>
      <c r="E266" s="17"/>
      <c r="F266" s="17"/>
      <c r="G266" s="17"/>
      <c r="H266" s="17"/>
    </row>
    <row r="267" spans="2:8" x14ac:dyDescent="0.35">
      <c r="B267" s="17"/>
      <c r="C267" s="17"/>
      <c r="D267" s="17"/>
      <c r="E267" s="17"/>
      <c r="F267" s="17"/>
      <c r="G267" s="17"/>
      <c r="H267" s="17"/>
    </row>
    <row r="268" spans="2:8" x14ac:dyDescent="0.35">
      <c r="B268" s="17"/>
      <c r="C268" s="17"/>
      <c r="D268" s="17"/>
      <c r="E268" s="17"/>
      <c r="F268" s="17"/>
      <c r="G268" s="17"/>
      <c r="H268" s="17"/>
    </row>
    <row r="269" spans="2:8" ht="13.15" x14ac:dyDescent="0.4">
      <c r="B269" s="24"/>
      <c r="C269" s="17"/>
      <c r="D269" s="17"/>
      <c r="E269" s="17"/>
      <c r="F269" s="17"/>
      <c r="G269" s="17"/>
      <c r="H269" s="17"/>
    </row>
    <row r="270" spans="2:8" ht="13.15" x14ac:dyDescent="0.4">
      <c r="B270" s="24"/>
      <c r="C270" s="17"/>
      <c r="D270" s="24"/>
      <c r="E270" s="17"/>
      <c r="F270" s="17"/>
      <c r="G270" s="17"/>
      <c r="H270" s="17"/>
    </row>
    <row r="271" spans="2:8" x14ac:dyDescent="0.35">
      <c r="B271" s="17"/>
      <c r="C271" s="17"/>
      <c r="D271" s="17"/>
      <c r="E271" s="17"/>
      <c r="F271" s="17"/>
      <c r="G271" s="17"/>
      <c r="H271" s="17"/>
    </row>
    <row r="272" spans="2:8" x14ac:dyDescent="0.35">
      <c r="B272" s="78"/>
      <c r="C272" s="17"/>
      <c r="D272" s="16"/>
      <c r="E272" s="17"/>
      <c r="F272" s="17"/>
      <c r="G272" s="17"/>
      <c r="H272" s="17"/>
    </row>
    <row r="273" spans="2:8" x14ac:dyDescent="0.35">
      <c r="B273" s="78"/>
      <c r="C273" s="17"/>
      <c r="D273" s="16"/>
      <c r="E273" s="17"/>
      <c r="F273" s="17"/>
      <c r="G273" s="17"/>
      <c r="H273" s="17"/>
    </row>
    <row r="274" spans="2:8" x14ac:dyDescent="0.35">
      <c r="B274" s="78"/>
      <c r="C274" s="17"/>
      <c r="D274" s="16"/>
      <c r="E274" s="17"/>
      <c r="F274" s="17"/>
      <c r="G274" s="17"/>
      <c r="H274" s="17"/>
    </row>
    <row r="275" spans="2:8" x14ac:dyDescent="0.35">
      <c r="B275" s="78"/>
      <c r="C275" s="17"/>
      <c r="D275" s="16"/>
      <c r="E275" s="17"/>
      <c r="F275" s="17"/>
      <c r="G275" s="17"/>
      <c r="H275" s="17"/>
    </row>
    <row r="276" spans="2:8" x14ac:dyDescent="0.35">
      <c r="B276" s="78"/>
      <c r="C276" s="17"/>
      <c r="D276" s="16"/>
      <c r="E276" s="17"/>
      <c r="F276" s="17"/>
      <c r="G276" s="17"/>
      <c r="H276" s="17"/>
    </row>
    <row r="277" spans="2:8" x14ac:dyDescent="0.35">
      <c r="B277" s="78"/>
      <c r="C277" s="17"/>
      <c r="D277" s="16"/>
      <c r="E277" s="17"/>
      <c r="F277" s="17"/>
      <c r="G277" s="17"/>
      <c r="H277" s="17"/>
    </row>
    <row r="278" spans="2:8" x14ac:dyDescent="0.35">
      <c r="B278" s="78"/>
      <c r="C278" s="17"/>
      <c r="D278" s="16"/>
      <c r="E278" s="17"/>
      <c r="F278" s="17"/>
      <c r="G278" s="17"/>
      <c r="H278" s="17"/>
    </row>
    <row r="279" spans="2:8" x14ac:dyDescent="0.35">
      <c r="B279" s="78"/>
      <c r="C279" s="17"/>
      <c r="D279" s="16"/>
      <c r="E279" s="17"/>
      <c r="F279" s="17"/>
      <c r="G279" s="17"/>
      <c r="H279" s="17"/>
    </row>
    <row r="280" spans="2:8" x14ac:dyDescent="0.35">
      <c r="B280" s="78"/>
      <c r="C280" s="17"/>
      <c r="D280" s="16"/>
      <c r="E280" s="17"/>
      <c r="F280" s="17"/>
      <c r="G280" s="17"/>
      <c r="H280" s="17"/>
    </row>
    <row r="281" spans="2:8" x14ac:dyDescent="0.35">
      <c r="B281" s="78"/>
      <c r="C281" s="17"/>
      <c r="D281" s="16"/>
      <c r="E281" s="17"/>
      <c r="F281" s="17"/>
      <c r="G281" s="17"/>
      <c r="H281" s="17"/>
    </row>
    <row r="282" spans="2:8" x14ac:dyDescent="0.35">
      <c r="B282" s="78"/>
      <c r="C282" s="17"/>
      <c r="D282" s="16"/>
      <c r="E282" s="17"/>
      <c r="F282" s="17"/>
      <c r="G282" s="17"/>
      <c r="H282" s="17"/>
    </row>
    <row r="283" spans="2:8" x14ac:dyDescent="0.35">
      <c r="B283" s="78"/>
      <c r="C283" s="17"/>
      <c r="D283" s="16"/>
      <c r="E283" s="17"/>
      <c r="F283" s="17"/>
      <c r="G283" s="17"/>
      <c r="H283" s="17"/>
    </row>
    <row r="284" spans="2:8" x14ac:dyDescent="0.35">
      <c r="B284" s="17"/>
      <c r="C284" s="17"/>
      <c r="D284" s="19"/>
      <c r="E284" s="17"/>
      <c r="F284" s="17"/>
      <c r="G284" s="17"/>
      <c r="H284" s="17"/>
    </row>
    <row r="285" spans="2:8" x14ac:dyDescent="0.35">
      <c r="B285" s="17"/>
      <c r="C285" s="17"/>
      <c r="D285" s="17"/>
      <c r="E285" s="17"/>
      <c r="F285" s="17"/>
      <c r="G285" s="17"/>
      <c r="H285" s="17"/>
    </row>
    <row r="286" spans="2:8" x14ac:dyDescent="0.35">
      <c r="B286" s="17"/>
      <c r="C286" s="17"/>
      <c r="D286" s="17"/>
      <c r="E286" s="17"/>
      <c r="F286" s="17"/>
      <c r="G286" s="17"/>
      <c r="H286" s="17"/>
    </row>
  </sheetData>
  <mergeCells count="5">
    <mergeCell ref="D4:H5"/>
    <mergeCell ref="M4:Q5"/>
    <mergeCell ref="AE4:AI5"/>
    <mergeCell ref="AN4:AR5"/>
    <mergeCell ref="V4:Z5"/>
  </mergeCells>
  <phoneticPr fontId="0" type="noConversion"/>
  <pageMargins left="0.75" right="0.75" top="1" bottom="1" header="0.5" footer="0.5"/>
  <pageSetup scale="63" orientation="landscape" r:id="rId1"/>
  <headerFooter alignWithMargins="0"/>
  <colBreaks count="2" manualBreakCount="2">
    <brk id="18" max="57" man="1"/>
    <brk id="2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274"/>
  <sheetViews>
    <sheetView view="pageBreakPreview" zoomScale="110" zoomScaleNormal="100" zoomScaleSheetLayoutView="110" workbookViewId="0">
      <selection activeCell="B3" sqref="B3"/>
    </sheetView>
  </sheetViews>
  <sheetFormatPr defaultRowHeight="12.75" x14ac:dyDescent="0.35"/>
  <cols>
    <col min="1" max="1" width="4.73046875" customWidth="1"/>
    <col min="2" max="2" width="25.132812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1.86328125" customWidth="1"/>
    <col min="10" max="10" width="4.73046875" customWidth="1"/>
    <col min="11" max="11" width="25.132812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4.59765625" customWidth="1"/>
    <col min="19" max="19" width="4.73046875" customWidth="1"/>
    <col min="20" max="20" width="25.132812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40</v>
      </c>
      <c r="J2" s="34"/>
      <c r="S2" s="34"/>
    </row>
    <row r="3" spans="1:44" ht="13.15" x14ac:dyDescent="0.4">
      <c r="A3" s="34"/>
      <c r="B3" s="28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25"/>
      <c r="J4" s="34"/>
      <c r="K4" s="28"/>
      <c r="M4" s="149" t="s">
        <v>173</v>
      </c>
      <c r="N4" s="150"/>
      <c r="O4" s="150"/>
      <c r="P4" s="150"/>
      <c r="Q4" s="151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25"/>
      <c r="M5" s="152"/>
      <c r="N5" s="153"/>
      <c r="O5" s="153"/>
      <c r="P5" s="153"/>
      <c r="Q5" s="154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s="14" t="s">
        <v>152</v>
      </c>
      <c r="D10" s="6">
        <v>54573</v>
      </c>
      <c r="F10" s="5">
        <v>23.79</v>
      </c>
      <c r="H10" s="7">
        <f>D10*F10</f>
        <v>1298291.67</v>
      </c>
      <c r="I10" s="7"/>
      <c r="K10" s="108" t="s">
        <v>14</v>
      </c>
      <c r="M10" s="6">
        <f>D10</f>
        <v>54573</v>
      </c>
      <c r="O10" s="5">
        <v>23.79</v>
      </c>
      <c r="Q10" s="7">
        <f>M10*O10</f>
        <v>1298291.67</v>
      </c>
      <c r="T10" s="108" t="s">
        <v>14</v>
      </c>
      <c r="V10" s="6">
        <v>1</v>
      </c>
      <c r="X10" s="5">
        <v>24.66</v>
      </c>
      <c r="Z10" s="7">
        <f>V10*X10</f>
        <v>24.66</v>
      </c>
      <c r="AC10" s="108" t="s">
        <v>14</v>
      </c>
      <c r="AE10" s="6">
        <f>V10</f>
        <v>1</v>
      </c>
      <c r="AG10" s="5">
        <v>40</v>
      </c>
      <c r="AI10" s="7">
        <f>AE10*AG10</f>
        <v>40</v>
      </c>
      <c r="AL10" s="108" t="s">
        <v>14</v>
      </c>
      <c r="AN10" s="6">
        <f>AE10</f>
        <v>1</v>
      </c>
      <c r="AP10" s="5">
        <v>40</v>
      </c>
      <c r="AR10" s="7">
        <f>AN10*AP10</f>
        <v>40</v>
      </c>
    </row>
    <row r="11" spans="1:44" x14ac:dyDescent="0.35">
      <c r="B11" s="26" t="s">
        <v>153</v>
      </c>
      <c r="C11" s="10"/>
      <c r="D11" s="9">
        <v>41</v>
      </c>
      <c r="E11" s="10"/>
      <c r="F11" s="22">
        <v>23.79</v>
      </c>
      <c r="G11" s="10"/>
      <c r="H11" s="11">
        <f>D11*F11</f>
        <v>975.39</v>
      </c>
    </row>
    <row r="12" spans="1:44" x14ac:dyDescent="0.35">
      <c r="B12" s="14"/>
      <c r="D12" s="8">
        <f>SUM(D10:D11)</f>
        <v>54614</v>
      </c>
      <c r="F12" s="23"/>
      <c r="H12" s="7">
        <f>SUM(H10:H11)</f>
        <v>1299267.0599999998</v>
      </c>
    </row>
    <row r="13" spans="1:44" ht="13.15" x14ac:dyDescent="0.4">
      <c r="J13" s="1" t="s">
        <v>5</v>
      </c>
      <c r="M13" t="s">
        <v>6</v>
      </c>
      <c r="S13" s="1" t="s">
        <v>5</v>
      </c>
      <c r="V13" t="s">
        <v>6</v>
      </c>
    </row>
    <row r="14" spans="1:44" ht="13.15" x14ac:dyDescent="0.4">
      <c r="A14" s="1" t="s">
        <v>5</v>
      </c>
      <c r="D14" t="s">
        <v>6</v>
      </c>
      <c r="K14" s="108" t="s">
        <v>174</v>
      </c>
      <c r="M14" s="6">
        <f>D19</f>
        <v>69249365</v>
      </c>
      <c r="O14" s="45">
        <f>F17</f>
        <v>9.3100000000000002E-2</v>
      </c>
      <c r="Q14" s="7">
        <f>M14*O14</f>
        <v>6447115.8815000001</v>
      </c>
      <c r="T14" s="108" t="s">
        <v>174</v>
      </c>
      <c r="V14" s="6">
        <f>M14/M10</f>
        <v>1268.930881571473</v>
      </c>
      <c r="X14" s="45">
        <v>9.6519999999999995E-2</v>
      </c>
      <c r="Z14" s="7">
        <f>V14*X14</f>
        <v>122.47720868927857</v>
      </c>
      <c r="AB14" s="1" t="s">
        <v>5</v>
      </c>
      <c r="AE14" t="s">
        <v>6</v>
      </c>
      <c r="AK14" s="1" t="s">
        <v>5</v>
      </c>
      <c r="AN14" t="s">
        <v>6</v>
      </c>
    </row>
    <row r="15" spans="1:44" x14ac:dyDescent="0.35">
      <c r="B15" s="27" t="s">
        <v>154</v>
      </c>
      <c r="D15" s="6">
        <v>63846265</v>
      </c>
      <c r="F15" s="45">
        <v>9.4689999999999996E-2</v>
      </c>
      <c r="H15" s="7">
        <f>D15*F15</f>
        <v>6045602.8328499999</v>
      </c>
      <c r="I15" s="7"/>
      <c r="AC15" s="108" t="s">
        <v>174</v>
      </c>
      <c r="AE15" s="6">
        <f>V14</f>
        <v>1268.930881571473</v>
      </c>
      <c r="AG15" s="45">
        <v>8.6679999999999993E-2</v>
      </c>
      <c r="AI15" s="7">
        <f>AE15*AG15</f>
        <v>109.99092881461527</v>
      </c>
      <c r="AL15" s="108" t="s">
        <v>174</v>
      </c>
      <c r="AN15" s="6">
        <f>AE15</f>
        <v>1268.930881571473</v>
      </c>
      <c r="AP15" s="45">
        <v>8.8929999999999995E-2</v>
      </c>
      <c r="AR15" s="7">
        <f>AN15*AP15</f>
        <v>112.8460232981511</v>
      </c>
    </row>
    <row r="16" spans="1:44" x14ac:dyDescent="0.35">
      <c r="B16" s="27" t="s">
        <v>155</v>
      </c>
      <c r="D16" s="6">
        <v>70166</v>
      </c>
      <c r="F16" s="45">
        <v>9.4689999999999996E-2</v>
      </c>
      <c r="H16" s="7">
        <f t="shared" ref="H16:H18" si="0">D16*F16</f>
        <v>6644.01854</v>
      </c>
      <c r="I16" s="7"/>
      <c r="K16" s="108" t="s">
        <v>175</v>
      </c>
      <c r="M16" s="6"/>
      <c r="O16" s="45"/>
      <c r="Q16" s="7">
        <f>H34+(0.00159*(D15+D16))</f>
        <v>-211617.42470999999</v>
      </c>
      <c r="T16" s="108" t="s">
        <v>175</v>
      </c>
      <c r="V16" s="6">
        <f>Q16/M14</f>
        <v>-3.0558753096147522E-3</v>
      </c>
      <c r="X16" s="45"/>
      <c r="Z16" s="7">
        <f>V14*V16</f>
        <v>-3.8776945506019458</v>
      </c>
      <c r="AE16" s="6"/>
      <c r="AG16" s="45"/>
      <c r="AI16" s="7"/>
      <c r="AN16" s="6"/>
      <c r="AP16" s="45"/>
      <c r="AR16" s="7"/>
    </row>
    <row r="17" spans="2:44" x14ac:dyDescent="0.35">
      <c r="B17" s="14" t="s">
        <v>156</v>
      </c>
      <c r="C17" s="17"/>
      <c r="D17" s="16">
        <v>5327696</v>
      </c>
      <c r="E17" s="17"/>
      <c r="F17" s="44">
        <v>9.3100000000000002E-2</v>
      </c>
      <c r="G17" s="17"/>
      <c r="H17" s="7">
        <f t="shared" si="0"/>
        <v>496008.4976</v>
      </c>
      <c r="I17" s="7"/>
      <c r="M17" s="6"/>
      <c r="O17" s="45"/>
      <c r="Q17" s="7"/>
      <c r="V17" s="6"/>
      <c r="X17" s="45"/>
      <c r="Z17" s="7"/>
      <c r="AC17" s="108" t="s">
        <v>175</v>
      </c>
      <c r="AE17" s="6"/>
      <c r="AG17" s="45"/>
      <c r="AI17" s="7">
        <f>Z16</f>
        <v>-3.8776945506019458</v>
      </c>
      <c r="AL17" s="108" t="s">
        <v>175</v>
      </c>
      <c r="AN17" s="6"/>
      <c r="AP17" s="45"/>
      <c r="AR17" s="7">
        <f>AI17</f>
        <v>-3.8776945506019458</v>
      </c>
    </row>
    <row r="18" spans="2:44" x14ac:dyDescent="0.35">
      <c r="B18" s="26" t="s">
        <v>157</v>
      </c>
      <c r="C18" s="10"/>
      <c r="D18" s="9">
        <v>5238</v>
      </c>
      <c r="E18" s="10"/>
      <c r="F18" s="51">
        <v>9.3100000000000002E-2</v>
      </c>
      <c r="G18" s="10"/>
      <c r="H18" s="11">
        <f t="shared" si="0"/>
        <v>487.65780000000001</v>
      </c>
      <c r="I18" s="7"/>
      <c r="K18" t="s">
        <v>33</v>
      </c>
      <c r="Q18" s="5">
        <f>Q10+Q14+Q16</f>
        <v>7533790.1267900001</v>
      </c>
      <c r="T18" t="s">
        <v>33</v>
      </c>
      <c r="Z18" s="5">
        <f>Z10+Z14+Z16</f>
        <v>143.25951413867662</v>
      </c>
      <c r="AE18" s="6"/>
      <c r="AG18" s="45"/>
      <c r="AI18" s="7"/>
      <c r="AN18" s="6"/>
      <c r="AP18" s="45"/>
      <c r="AR18" s="7"/>
    </row>
    <row r="19" spans="2:44" x14ac:dyDescent="0.35">
      <c r="B19" s="27"/>
      <c r="C19" s="17"/>
      <c r="D19" s="16">
        <f>SUM(D15:D18)</f>
        <v>69249365</v>
      </c>
      <c r="E19" s="17"/>
      <c r="F19" s="44"/>
      <c r="G19" s="17"/>
      <c r="H19" s="15">
        <f>SUM(H15:H18)</f>
        <v>6548743.00679</v>
      </c>
      <c r="I19" s="15"/>
      <c r="AC19" t="s">
        <v>33</v>
      </c>
      <c r="AI19" s="7">
        <f>AI10+AI15+AI17</f>
        <v>146.11323426401333</v>
      </c>
      <c r="AL19" t="s">
        <v>33</v>
      </c>
      <c r="AR19" s="7">
        <f>AR10+AR15+AR17</f>
        <v>148.96832874754915</v>
      </c>
    </row>
    <row r="20" spans="2:44" x14ac:dyDescent="0.35">
      <c r="B20" s="41"/>
      <c r="C20" s="17"/>
      <c r="D20" s="19"/>
      <c r="E20" s="17"/>
      <c r="F20" s="54"/>
      <c r="G20" s="17"/>
      <c r="H20" s="15"/>
      <c r="I20" s="7"/>
      <c r="K20" t="s">
        <v>34</v>
      </c>
      <c r="Q20" s="83">
        <f>H38</f>
        <v>0.99500725051309258</v>
      </c>
      <c r="T20" t="s">
        <v>34</v>
      </c>
      <c r="Z20" s="83">
        <v>1</v>
      </c>
    </row>
    <row r="21" spans="2:44" x14ac:dyDescent="0.35">
      <c r="B21" s="35" t="s">
        <v>26</v>
      </c>
      <c r="D21" s="8"/>
      <c r="H21" s="15">
        <f>F72+F105+F138+F171+F204+F237</f>
        <v>0</v>
      </c>
      <c r="I21" s="7"/>
      <c r="AC21" t="s">
        <v>34</v>
      </c>
      <c r="AI21" s="83">
        <v>1</v>
      </c>
      <c r="AL21" t="s">
        <v>34</v>
      </c>
      <c r="AR21" s="83">
        <f>AI21</f>
        <v>1</v>
      </c>
    </row>
    <row r="22" spans="2:44" ht="13.5" thickBot="1" x14ac:dyDescent="0.45">
      <c r="B22" s="3"/>
      <c r="D22" s="8"/>
      <c r="H22" s="15"/>
      <c r="I22" s="7"/>
      <c r="K22" s="1" t="s">
        <v>180</v>
      </c>
      <c r="Q22" s="13">
        <f>Q18*Q20</f>
        <v>7496175.8000000007</v>
      </c>
      <c r="T22" s="1" t="s">
        <v>180</v>
      </c>
      <c r="Z22" s="13">
        <f>Z18*Z20</f>
        <v>143.25951413867662</v>
      </c>
    </row>
    <row r="23" spans="2:44" ht="13.9" thickTop="1" thickBot="1" x14ac:dyDescent="0.45">
      <c r="B23" s="108" t="s">
        <v>175</v>
      </c>
      <c r="H23" s="7">
        <f>H34</f>
        <v>-313244.55</v>
      </c>
      <c r="AC23" s="1" t="s">
        <v>7</v>
      </c>
      <c r="AI23" s="13">
        <f>AI19*AI21</f>
        <v>146.11323426401333</v>
      </c>
      <c r="AL23" s="1" t="s">
        <v>7</v>
      </c>
      <c r="AR23" s="13">
        <f>AR19*AR21</f>
        <v>148.96832874754915</v>
      </c>
    </row>
    <row r="24" spans="2:44" ht="13.15" thickTop="1" x14ac:dyDescent="0.35">
      <c r="I24" s="15"/>
      <c r="K24" s="108" t="s">
        <v>176</v>
      </c>
      <c r="Q24" s="5">
        <f>H42</f>
        <v>837427.71671898116</v>
      </c>
      <c r="T24" s="108" t="s">
        <v>176</v>
      </c>
      <c r="Z24" s="5">
        <f>Q24</f>
        <v>837427.71671898116</v>
      </c>
    </row>
    <row r="25" spans="2:44" x14ac:dyDescent="0.35">
      <c r="AC25" t="s">
        <v>12</v>
      </c>
      <c r="AI25" s="5">
        <f>AI23-Z22</f>
        <v>2.8537201253367073</v>
      </c>
      <c r="AL25" t="s">
        <v>12</v>
      </c>
      <c r="AR25" s="5">
        <f>AR23-AI23</f>
        <v>2.8550944835358223</v>
      </c>
    </row>
    <row r="26" spans="2:44" ht="13.5" thickBot="1" x14ac:dyDescent="0.45">
      <c r="B26" s="1" t="s">
        <v>7</v>
      </c>
      <c r="H26" s="13">
        <f>H10+H19+H21+H23</f>
        <v>7533790.1267900001</v>
      </c>
      <c r="K26" s="108" t="s">
        <v>39</v>
      </c>
      <c r="Q26" s="103">
        <f>H44</f>
        <v>33</v>
      </c>
      <c r="T26" s="108" t="s">
        <v>39</v>
      </c>
      <c r="Z26" s="103">
        <f>Q26</f>
        <v>33</v>
      </c>
    </row>
    <row r="27" spans="2:44" ht="13.15" thickTop="1" x14ac:dyDescent="0.35">
      <c r="AC27" t="s">
        <v>15</v>
      </c>
      <c r="AI27" s="21">
        <f>AI25/Z22</f>
        <v>1.9919934410598923E-2</v>
      </c>
      <c r="AL27" t="s">
        <v>15</v>
      </c>
      <c r="AR27" s="21">
        <f>AR25/AI23</f>
        <v>1.9540286668194108E-2</v>
      </c>
    </row>
    <row r="28" spans="2:44" x14ac:dyDescent="0.35">
      <c r="B28" s="14" t="s">
        <v>158</v>
      </c>
      <c r="H28" s="5">
        <v>7801176.7300000004</v>
      </c>
      <c r="K28" s="108" t="s">
        <v>179</v>
      </c>
      <c r="Q28" s="7">
        <f>Q22+Q24+Q26</f>
        <v>8333636.5167189818</v>
      </c>
      <c r="T28" s="108" t="s">
        <v>179</v>
      </c>
      <c r="Z28" s="7">
        <f>Z22+Z24+Z26</f>
        <v>837603.97623311984</v>
      </c>
    </row>
    <row r="29" spans="2:44" x14ac:dyDescent="0.35">
      <c r="B29" s="26" t="s">
        <v>159</v>
      </c>
      <c r="C29" s="10"/>
      <c r="D29" s="10"/>
      <c r="E29" s="10"/>
      <c r="F29" s="10"/>
      <c r="G29" s="10"/>
      <c r="H29" s="22">
        <v>8243.6200000000008</v>
      </c>
    </row>
    <row r="30" spans="2:44" x14ac:dyDescent="0.35">
      <c r="H30" s="5">
        <f>SUM(H28:H29)</f>
        <v>7809420.3500000006</v>
      </c>
      <c r="AI30" s="7">
        <f>AI25+'Small Commercial ETS'!AI27</f>
        <v>2.8537201253367073</v>
      </c>
      <c r="AR30" s="7">
        <f>AR25+'Small Commercial ETS'!AR27</f>
        <v>2.8550944835358223</v>
      </c>
    </row>
    <row r="32" spans="2:44" x14ac:dyDescent="0.35">
      <c r="B32" s="14" t="s">
        <v>160</v>
      </c>
      <c r="H32" s="5">
        <v>-312671.5</v>
      </c>
      <c r="AI32" s="7">
        <f>AI34/2</f>
        <v>155054.11895543963</v>
      </c>
    </row>
    <row r="33" spans="2:44" x14ac:dyDescent="0.35">
      <c r="B33" s="26" t="s">
        <v>161</v>
      </c>
      <c r="C33" s="10"/>
      <c r="D33" s="10"/>
      <c r="E33" s="10"/>
      <c r="F33" s="10"/>
      <c r="G33" s="10"/>
      <c r="H33" s="22">
        <v>-573.05000000000007</v>
      </c>
    </row>
    <row r="34" spans="2:44" x14ac:dyDescent="0.35">
      <c r="H34" s="5">
        <f>SUM(H32:H33)</f>
        <v>-313244.55</v>
      </c>
      <c r="AI34" s="7">
        <v>310108.23791087925</v>
      </c>
      <c r="AR34" s="7">
        <f>AI30+AR30</f>
        <v>5.7088146088725296</v>
      </c>
    </row>
    <row r="36" spans="2:44" x14ac:dyDescent="0.35">
      <c r="B36" s="108" t="s">
        <v>177</v>
      </c>
      <c r="H36" s="5">
        <f>H30+H34</f>
        <v>7496175.8000000007</v>
      </c>
    </row>
    <row r="38" spans="2:44" x14ac:dyDescent="0.35">
      <c r="B38" t="s">
        <v>23</v>
      </c>
      <c r="H38" s="52">
        <f>H36/H26</f>
        <v>0.99500725051309258</v>
      </c>
    </row>
    <row r="39" spans="2:44" x14ac:dyDescent="0.35">
      <c r="Q39" s="30"/>
      <c r="Z39" s="30"/>
    </row>
    <row r="40" spans="2:44" x14ac:dyDescent="0.35">
      <c r="B40" s="27" t="s">
        <v>162</v>
      </c>
      <c r="C40" s="17"/>
      <c r="D40" s="17"/>
      <c r="E40" s="17"/>
      <c r="F40" s="17"/>
      <c r="G40" s="17"/>
      <c r="H40" s="23">
        <v>836179.29318017676</v>
      </c>
      <c r="Q40" s="30"/>
      <c r="Z40" s="30"/>
    </row>
    <row r="41" spans="2:44" x14ac:dyDescent="0.35">
      <c r="B41" s="26" t="s">
        <v>163</v>
      </c>
      <c r="C41" s="10"/>
      <c r="D41" s="10"/>
      <c r="E41" s="10"/>
      <c r="F41" s="10"/>
      <c r="G41" s="10"/>
      <c r="H41" s="22">
        <v>1248.4235388043567</v>
      </c>
      <c r="Q41" s="30"/>
      <c r="Z41" s="30"/>
    </row>
    <row r="42" spans="2:44" ht="13.15" x14ac:dyDescent="0.4">
      <c r="B42" s="27"/>
      <c r="C42" s="17"/>
      <c r="D42" s="17"/>
      <c r="E42" s="17"/>
      <c r="F42" s="17"/>
      <c r="G42" s="17"/>
      <c r="H42" s="23">
        <f>SUM(H40:H41)</f>
        <v>837427.71671898116</v>
      </c>
      <c r="K42" s="24"/>
      <c r="L42" s="17"/>
      <c r="M42" s="24"/>
      <c r="N42" s="17"/>
      <c r="O42" s="24"/>
      <c r="P42" s="17"/>
      <c r="Q42" s="81"/>
      <c r="T42" s="24"/>
      <c r="U42" s="17"/>
      <c r="V42" s="24"/>
      <c r="W42" s="17"/>
      <c r="X42" s="24"/>
      <c r="Y42" s="17"/>
      <c r="Z42" s="81"/>
    </row>
    <row r="43" spans="2:44" ht="13.15" x14ac:dyDescent="0.4">
      <c r="B43" s="24"/>
      <c r="C43" s="17"/>
      <c r="D43" s="24"/>
      <c r="E43" s="17"/>
      <c r="F43" s="24"/>
      <c r="G43" s="17"/>
      <c r="H43" s="24"/>
      <c r="K43" s="17"/>
      <c r="L43" s="17"/>
      <c r="M43" s="17"/>
      <c r="N43" s="17"/>
      <c r="O43" s="17"/>
      <c r="P43" s="17"/>
      <c r="Q43" s="17"/>
      <c r="T43" s="17"/>
      <c r="U43" s="17"/>
      <c r="V43" s="17"/>
      <c r="W43" s="17"/>
      <c r="X43" s="17"/>
      <c r="Y43" s="17"/>
      <c r="Z43" s="17"/>
    </row>
    <row r="44" spans="2:44" x14ac:dyDescent="0.35">
      <c r="B44" s="27" t="s">
        <v>39</v>
      </c>
      <c r="C44" s="17"/>
      <c r="D44" s="17"/>
      <c r="E44" s="17"/>
      <c r="F44" s="17"/>
      <c r="G44" s="17"/>
      <c r="H44" s="23">
        <v>33</v>
      </c>
      <c r="K44" s="16"/>
      <c r="L44" s="17"/>
      <c r="M44" s="16"/>
      <c r="N44" s="17"/>
      <c r="O44" s="42"/>
      <c r="P44" s="17"/>
      <c r="Q44" s="23"/>
      <c r="T44" s="16"/>
      <c r="U44" s="17"/>
      <c r="V44" s="16"/>
      <c r="W44" s="17"/>
      <c r="X44" s="42"/>
      <c r="Y44" s="17"/>
      <c r="Z44" s="23"/>
    </row>
    <row r="45" spans="2:44" x14ac:dyDescent="0.35">
      <c r="B45" s="37"/>
      <c r="C45" s="17"/>
      <c r="D45" s="16"/>
      <c r="E45" s="17"/>
      <c r="F45" s="42"/>
      <c r="G45" s="17"/>
      <c r="H45" s="23"/>
      <c r="K45" s="16"/>
      <c r="L45" s="17"/>
      <c r="M45" s="16"/>
      <c r="N45" s="17"/>
      <c r="O45" s="42"/>
      <c r="P45" s="17"/>
      <c r="Q45" s="23"/>
      <c r="T45" s="16"/>
      <c r="U45" s="17"/>
      <c r="V45" s="16"/>
      <c r="W45" s="17"/>
      <c r="X45" s="42"/>
      <c r="Y45" s="17"/>
      <c r="Z45" s="23"/>
    </row>
    <row r="46" spans="2:44" x14ac:dyDescent="0.35">
      <c r="B46" s="85" t="s">
        <v>17</v>
      </c>
      <c r="C46" s="17"/>
      <c r="D46" s="16"/>
      <c r="E46" s="17"/>
      <c r="F46" s="42"/>
      <c r="G46" s="17"/>
      <c r="H46" s="23">
        <f>H30+H34+H42+H44</f>
        <v>8333636.5167189818</v>
      </c>
      <c r="K46" s="16"/>
      <c r="L46" s="17"/>
      <c r="M46" s="16"/>
      <c r="N46" s="17"/>
      <c r="O46" s="42"/>
      <c r="P46" s="17"/>
      <c r="Q46" s="23"/>
      <c r="T46" s="16"/>
      <c r="U46" s="17"/>
      <c r="V46" s="16"/>
      <c r="W46" s="17"/>
      <c r="X46" s="42"/>
      <c r="Y46" s="17"/>
      <c r="Z46" s="23"/>
    </row>
    <row r="47" spans="2:44" x14ac:dyDescent="0.35">
      <c r="K47" s="16"/>
      <c r="L47" s="17"/>
      <c r="M47" s="16"/>
      <c r="N47" s="17"/>
      <c r="O47" s="42"/>
      <c r="P47" s="17"/>
      <c r="Q47" s="23"/>
      <c r="T47" s="16"/>
      <c r="U47" s="17"/>
      <c r="V47" s="16"/>
      <c r="W47" s="17"/>
      <c r="X47" s="42"/>
      <c r="Y47" s="17"/>
      <c r="Z47" s="23"/>
    </row>
    <row r="48" spans="2:44" x14ac:dyDescent="0.35">
      <c r="K48" s="16"/>
      <c r="L48" s="17"/>
      <c r="M48" s="16"/>
      <c r="N48" s="17"/>
      <c r="O48" s="42"/>
      <c r="P48" s="17"/>
      <c r="Q48" s="23"/>
      <c r="T48" s="16"/>
      <c r="U48" s="17"/>
      <c r="V48" s="16"/>
      <c r="W48" s="17"/>
      <c r="X48" s="42"/>
      <c r="Y48" s="17"/>
      <c r="Z48" s="23"/>
    </row>
    <row r="49" spans="2:26" x14ac:dyDescent="0.35">
      <c r="K49" s="16"/>
      <c r="L49" s="17"/>
      <c r="M49" s="16"/>
      <c r="N49" s="17"/>
      <c r="O49" s="42"/>
      <c r="P49" s="17"/>
      <c r="Q49" s="23"/>
      <c r="T49" s="16"/>
      <c r="U49" s="17"/>
      <c r="V49" s="16"/>
      <c r="W49" s="17"/>
      <c r="X49" s="42"/>
      <c r="Y49" s="17"/>
      <c r="Z49" s="23"/>
    </row>
    <row r="50" spans="2:26" x14ac:dyDescent="0.35">
      <c r="K50" s="16"/>
      <c r="L50" s="17"/>
      <c r="M50" s="16"/>
      <c r="N50" s="17"/>
      <c r="O50" s="42"/>
      <c r="P50" s="17"/>
      <c r="Q50" s="23"/>
      <c r="T50" s="16"/>
      <c r="U50" s="17"/>
      <c r="V50" s="16"/>
      <c r="W50" s="17"/>
      <c r="X50" s="42"/>
      <c r="Y50" s="17"/>
      <c r="Z50" s="23"/>
    </row>
    <row r="51" spans="2:26" x14ac:dyDescent="0.35">
      <c r="B51" s="37"/>
      <c r="C51" s="17"/>
      <c r="D51" s="16"/>
      <c r="E51" s="17"/>
      <c r="F51" s="42"/>
      <c r="G51" s="17"/>
      <c r="H51" s="23"/>
      <c r="K51" s="16"/>
      <c r="L51" s="17"/>
      <c r="M51" s="16"/>
      <c r="N51" s="17"/>
      <c r="O51" s="42"/>
      <c r="P51" s="17"/>
      <c r="Q51" s="23"/>
      <c r="T51" s="16"/>
      <c r="U51" s="17"/>
      <c r="V51" s="16"/>
      <c r="W51" s="17"/>
      <c r="X51" s="42"/>
      <c r="Y51" s="17"/>
      <c r="Z51" s="23"/>
    </row>
    <row r="52" spans="2:26" x14ac:dyDescent="0.35">
      <c r="B52" s="37"/>
      <c r="C52" s="17"/>
      <c r="D52" s="16"/>
      <c r="E52" s="17"/>
      <c r="F52" s="42"/>
      <c r="G52" s="17"/>
      <c r="H52" s="23"/>
      <c r="K52" s="16"/>
      <c r="L52" s="17"/>
      <c r="M52" s="16"/>
      <c r="N52" s="17"/>
      <c r="O52" s="42"/>
      <c r="P52" s="17"/>
      <c r="Q52" s="23"/>
      <c r="T52" s="16"/>
      <c r="U52" s="17"/>
      <c r="V52" s="16"/>
      <c r="W52" s="17"/>
      <c r="X52" s="42"/>
      <c r="Y52" s="17"/>
      <c r="Z52" s="23"/>
    </row>
    <row r="53" spans="2:26" x14ac:dyDescent="0.35">
      <c r="B53" s="37"/>
      <c r="C53" s="17"/>
      <c r="D53" s="16"/>
      <c r="E53" s="17"/>
      <c r="F53" s="42"/>
      <c r="G53" s="17"/>
      <c r="H53" s="23"/>
      <c r="K53" s="16"/>
      <c r="L53" s="17"/>
      <c r="M53" s="16"/>
      <c r="N53" s="17"/>
      <c r="O53" s="42"/>
      <c r="P53" s="17"/>
      <c r="Q53" s="23"/>
      <c r="T53" s="16"/>
      <c r="U53" s="17"/>
      <c r="V53" s="16"/>
      <c r="W53" s="17"/>
      <c r="X53" s="42"/>
      <c r="Y53" s="17"/>
      <c r="Z53" s="23"/>
    </row>
    <row r="54" spans="2:26" x14ac:dyDescent="0.35">
      <c r="B54" s="37"/>
      <c r="C54" s="17"/>
      <c r="D54" s="16"/>
      <c r="E54" s="17"/>
      <c r="F54" s="42"/>
      <c r="G54" s="17"/>
      <c r="H54" s="23"/>
      <c r="K54" s="16"/>
      <c r="L54" s="17"/>
      <c r="M54" s="16"/>
      <c r="N54" s="17"/>
      <c r="O54" s="42"/>
      <c r="P54" s="17"/>
      <c r="Q54" s="23"/>
      <c r="T54" s="16"/>
      <c r="U54" s="17"/>
      <c r="V54" s="16"/>
      <c r="W54" s="17"/>
      <c r="X54" s="42"/>
      <c r="Y54" s="17"/>
      <c r="Z54" s="23"/>
    </row>
    <row r="55" spans="2:26" x14ac:dyDescent="0.35">
      <c r="B55" s="37"/>
      <c r="C55" s="17"/>
      <c r="D55" s="16"/>
      <c r="E55" s="17"/>
      <c r="F55" s="42"/>
      <c r="G55" s="17"/>
      <c r="H55" s="23"/>
      <c r="K55" s="16"/>
      <c r="L55" s="17"/>
      <c r="M55" s="16"/>
      <c r="N55" s="17"/>
      <c r="O55" s="42"/>
      <c r="P55" s="17"/>
      <c r="Q55" s="23"/>
      <c r="T55" s="16"/>
      <c r="U55" s="17"/>
      <c r="V55" s="16"/>
      <c r="W55" s="17"/>
      <c r="X55" s="42"/>
      <c r="Y55" s="17"/>
      <c r="Z55" s="23"/>
    </row>
    <row r="56" spans="2:26" x14ac:dyDescent="0.35">
      <c r="B56" s="37"/>
      <c r="C56" s="17"/>
      <c r="D56" s="16"/>
      <c r="E56" s="17"/>
      <c r="F56" s="42"/>
      <c r="G56" s="17"/>
      <c r="H56" s="36"/>
      <c r="K56" s="19"/>
      <c r="L56" s="17"/>
      <c r="M56" s="19"/>
      <c r="N56" s="17"/>
      <c r="O56" s="17"/>
      <c r="P56" s="17"/>
      <c r="Q56" s="15"/>
      <c r="T56" s="19"/>
      <c r="U56" s="17"/>
      <c r="V56" s="19"/>
      <c r="W56" s="17"/>
      <c r="X56" s="17"/>
      <c r="Y56" s="17"/>
      <c r="Z56" s="15"/>
    </row>
    <row r="57" spans="2:26" x14ac:dyDescent="0.35">
      <c r="B57" s="37"/>
      <c r="C57" s="17"/>
      <c r="D57" s="16"/>
      <c r="E57" s="17"/>
      <c r="F57" s="42"/>
      <c r="G57" s="17"/>
      <c r="H57" s="23"/>
      <c r="K57" s="17"/>
      <c r="L57" s="17"/>
      <c r="M57" s="17"/>
      <c r="N57" s="17"/>
      <c r="O57" s="17"/>
      <c r="T57" s="17"/>
      <c r="U57" s="17"/>
      <c r="V57" s="17"/>
      <c r="W57" s="17"/>
      <c r="X57" s="17"/>
    </row>
    <row r="58" spans="2:26" ht="13.15" x14ac:dyDescent="0.4">
      <c r="B58" s="37"/>
      <c r="C58" s="17"/>
      <c r="D58" s="16"/>
      <c r="E58" s="17"/>
      <c r="F58" s="42"/>
      <c r="G58" s="17"/>
      <c r="H58" s="23"/>
      <c r="K58" s="70" t="s">
        <v>31</v>
      </c>
      <c r="L58" s="17"/>
      <c r="M58" s="77"/>
      <c r="N58" s="17"/>
      <c r="O58" s="17"/>
      <c r="T58" s="70" t="s">
        <v>31</v>
      </c>
      <c r="U58" s="17"/>
      <c r="V58" s="77"/>
      <c r="W58" s="17"/>
      <c r="X58" s="17"/>
    </row>
    <row r="59" spans="2:26" x14ac:dyDescent="0.35">
      <c r="B59" s="37"/>
      <c r="C59" s="17"/>
      <c r="D59" s="16"/>
      <c r="E59" s="17"/>
      <c r="F59" s="42"/>
      <c r="G59" s="17"/>
      <c r="H59" s="23"/>
      <c r="K59" s="17"/>
      <c r="L59" s="17"/>
      <c r="M59" s="17"/>
      <c r="N59" s="17"/>
      <c r="O59" s="17"/>
      <c r="T59" s="17"/>
      <c r="U59" s="17"/>
      <c r="V59" s="17"/>
      <c r="W59" s="17"/>
      <c r="X59" s="17"/>
    </row>
    <row r="60" spans="2:26" x14ac:dyDescent="0.35">
      <c r="B60" s="78"/>
      <c r="C60" s="17"/>
      <c r="D60" s="16"/>
      <c r="E60" s="17"/>
      <c r="F60" s="17"/>
      <c r="G60" s="17"/>
      <c r="H60" s="16"/>
      <c r="K60" s="57">
        <v>552735.09</v>
      </c>
      <c r="L60" s="17"/>
      <c r="M60" s="32"/>
      <c r="N60" s="17"/>
      <c r="O60" s="17"/>
      <c r="T60" s="57">
        <v>552735.09</v>
      </c>
      <c r="U60" s="17"/>
      <c r="V60" s="32"/>
      <c r="W60" s="17"/>
      <c r="X60" s="17"/>
    </row>
    <row r="61" spans="2:26" x14ac:dyDescent="0.35">
      <c r="B61" s="78"/>
      <c r="C61" s="17"/>
      <c r="D61" s="16"/>
      <c r="E61" s="17"/>
      <c r="F61" s="17"/>
      <c r="G61" s="17"/>
      <c r="H61" s="16"/>
      <c r="K61" s="57">
        <v>552404.52</v>
      </c>
      <c r="L61" s="17"/>
      <c r="M61" s="32"/>
      <c r="N61" s="17"/>
      <c r="O61" s="17"/>
      <c r="T61" s="57">
        <v>552404.52</v>
      </c>
      <c r="U61" s="17"/>
      <c r="V61" s="32"/>
      <c r="W61" s="17"/>
      <c r="X61" s="17"/>
    </row>
    <row r="62" spans="2:26" x14ac:dyDescent="0.35">
      <c r="B62" s="78"/>
      <c r="C62" s="17"/>
      <c r="D62" s="16"/>
      <c r="E62" s="17"/>
      <c r="F62" s="17"/>
      <c r="G62" s="17"/>
      <c r="H62" s="16"/>
      <c r="K62" s="57">
        <v>551210.19999999995</v>
      </c>
      <c r="L62" s="17"/>
      <c r="M62" s="32"/>
      <c r="N62" s="17"/>
      <c r="O62" s="17"/>
      <c r="T62" s="57">
        <v>551210.19999999995</v>
      </c>
      <c r="U62" s="17"/>
      <c r="V62" s="32"/>
      <c r="W62" s="17"/>
      <c r="X62" s="17"/>
    </row>
    <row r="63" spans="2:26" x14ac:dyDescent="0.35">
      <c r="B63" s="78"/>
      <c r="C63" s="17"/>
      <c r="D63" s="16"/>
      <c r="E63" s="17"/>
      <c r="F63" s="17"/>
      <c r="G63" s="17"/>
      <c r="H63" s="16"/>
      <c r="K63" s="57">
        <v>550194.51</v>
      </c>
      <c r="L63" s="17"/>
      <c r="M63" s="32"/>
      <c r="N63" s="17"/>
      <c r="O63" s="17"/>
      <c r="T63" s="57">
        <v>550194.51</v>
      </c>
      <c r="U63" s="17"/>
      <c r="V63" s="32"/>
      <c r="W63" s="17"/>
      <c r="X63" s="17"/>
    </row>
    <row r="64" spans="2:26" x14ac:dyDescent="0.35">
      <c r="B64" s="78"/>
      <c r="C64" s="17"/>
      <c r="D64" s="16"/>
      <c r="E64" s="17"/>
      <c r="F64" s="17"/>
      <c r="G64" s="17"/>
      <c r="H64" s="16"/>
      <c r="K64" s="57">
        <v>550231.56000000006</v>
      </c>
      <c r="L64" s="17"/>
      <c r="M64" s="32"/>
      <c r="N64" s="17"/>
      <c r="O64" s="17"/>
      <c r="T64" s="57">
        <v>550231.56000000006</v>
      </c>
      <c r="U64" s="17"/>
      <c r="V64" s="32"/>
      <c r="W64" s="17"/>
      <c r="X64" s="17"/>
    </row>
    <row r="65" spans="2:24" x14ac:dyDescent="0.35">
      <c r="B65" s="78"/>
      <c r="C65" s="17"/>
      <c r="D65" s="16"/>
      <c r="E65" s="17"/>
      <c r="F65" s="17"/>
      <c r="G65" s="17"/>
      <c r="H65" s="16"/>
      <c r="K65" s="57">
        <v>550626.48</v>
      </c>
      <c r="L65" s="17"/>
      <c r="M65" s="32"/>
      <c r="N65" s="17"/>
      <c r="O65" s="17"/>
      <c r="T65" s="57">
        <v>550626.48</v>
      </c>
      <c r="U65" s="17"/>
      <c r="V65" s="32"/>
      <c r="W65" s="17"/>
      <c r="X65" s="17"/>
    </row>
    <row r="66" spans="2:24" x14ac:dyDescent="0.35">
      <c r="B66" s="78"/>
      <c r="C66" s="17"/>
      <c r="D66" s="16"/>
      <c r="E66" s="17"/>
      <c r="F66" s="17"/>
      <c r="G66" s="17"/>
      <c r="H66" s="16"/>
      <c r="K66" s="57">
        <v>549500.01</v>
      </c>
      <c r="L66" s="17"/>
      <c r="M66" s="32"/>
      <c r="N66" s="17"/>
      <c r="O66" s="17"/>
      <c r="T66" s="57">
        <v>549500.01</v>
      </c>
      <c r="U66" s="17"/>
      <c r="V66" s="32"/>
      <c r="W66" s="17"/>
      <c r="X66" s="17"/>
    </row>
    <row r="67" spans="2:24" x14ac:dyDescent="0.35">
      <c r="B67" s="78"/>
      <c r="C67" s="17"/>
      <c r="D67" s="16"/>
      <c r="E67" s="17"/>
      <c r="F67" s="17"/>
      <c r="G67" s="17"/>
      <c r="H67" s="16"/>
      <c r="K67" s="57">
        <v>550649.96</v>
      </c>
      <c r="L67" s="17"/>
      <c r="M67" s="32"/>
      <c r="N67" s="17"/>
      <c r="O67" s="17"/>
      <c r="T67" s="57">
        <v>550649.96</v>
      </c>
      <c r="U67" s="17"/>
      <c r="V67" s="32"/>
      <c r="W67" s="17"/>
      <c r="X67" s="17"/>
    </row>
    <row r="68" spans="2:24" x14ac:dyDescent="0.35">
      <c r="B68" s="78"/>
      <c r="C68" s="17"/>
      <c r="D68" s="16"/>
      <c r="E68" s="17"/>
      <c r="F68" s="17"/>
      <c r="G68" s="17"/>
      <c r="H68" s="16"/>
      <c r="K68" s="57">
        <v>549919.36</v>
      </c>
      <c r="L68" s="17"/>
      <c r="M68" s="32"/>
      <c r="N68" s="17"/>
      <c r="O68" s="17"/>
      <c r="T68" s="57">
        <v>549919.36</v>
      </c>
      <c r="U68" s="17"/>
      <c r="V68" s="32"/>
      <c r="W68" s="17"/>
      <c r="X68" s="17"/>
    </row>
    <row r="69" spans="2:24" x14ac:dyDescent="0.35">
      <c r="B69" s="78"/>
      <c r="C69" s="17"/>
      <c r="D69" s="16"/>
      <c r="E69" s="17"/>
      <c r="F69" s="17"/>
      <c r="G69" s="17"/>
      <c r="H69" s="16"/>
      <c r="K69" s="57">
        <v>549822.25</v>
      </c>
      <c r="L69" s="17"/>
      <c r="M69" s="32"/>
      <c r="N69" s="17"/>
      <c r="O69" s="17"/>
      <c r="T69" s="57">
        <v>549822.25</v>
      </c>
      <c r="U69" s="17"/>
      <c r="V69" s="32"/>
      <c r="W69" s="17"/>
      <c r="X69" s="17"/>
    </row>
    <row r="70" spans="2:24" x14ac:dyDescent="0.35">
      <c r="B70" s="78"/>
      <c r="C70" s="17"/>
      <c r="D70" s="16"/>
      <c r="E70" s="17"/>
      <c r="F70" s="17"/>
      <c r="G70" s="17"/>
      <c r="H70" s="16"/>
      <c r="K70" s="57">
        <v>550431.82999999996</v>
      </c>
      <c r="L70" s="17"/>
      <c r="M70" s="32"/>
      <c r="N70" s="17"/>
      <c r="O70" s="17"/>
      <c r="T70" s="57">
        <v>550431.82999999996</v>
      </c>
      <c r="U70" s="17"/>
      <c r="V70" s="32"/>
      <c r="W70" s="17"/>
      <c r="X70" s="17"/>
    </row>
    <row r="71" spans="2:24" x14ac:dyDescent="0.35">
      <c r="B71" s="78"/>
      <c r="C71" s="17"/>
      <c r="D71" s="16"/>
      <c r="E71" s="17"/>
      <c r="F71" s="17"/>
      <c r="G71" s="17"/>
      <c r="H71" s="16"/>
      <c r="K71" s="40">
        <v>549890.36</v>
      </c>
      <c r="L71" s="17"/>
      <c r="M71" s="32"/>
      <c r="N71" s="17"/>
      <c r="O71" s="17"/>
      <c r="T71" s="40">
        <v>549890.36</v>
      </c>
      <c r="U71" s="17"/>
      <c r="V71" s="32"/>
      <c r="W71" s="17"/>
      <c r="X71" s="17"/>
    </row>
    <row r="72" spans="2:24" x14ac:dyDescent="0.35">
      <c r="B72" s="17"/>
      <c r="C72" s="17"/>
      <c r="D72" s="19"/>
      <c r="E72" s="17"/>
      <c r="F72" s="17"/>
      <c r="G72" s="17"/>
      <c r="H72" s="19"/>
      <c r="K72" s="32">
        <f>SUM(K60:K71)</f>
        <v>6607616.1300000008</v>
      </c>
      <c r="L72" s="17"/>
      <c r="M72" s="17"/>
      <c r="N72" s="17"/>
      <c r="O72" s="17"/>
      <c r="T72" s="32">
        <f>SUM(T60:T71)</f>
        <v>6607616.1300000008</v>
      </c>
      <c r="U72" s="17"/>
      <c r="V72" s="17"/>
      <c r="W72" s="17"/>
      <c r="X72" s="17"/>
    </row>
    <row r="73" spans="2:24" x14ac:dyDescent="0.35">
      <c r="B73" s="17"/>
      <c r="C73" s="17"/>
      <c r="D73" s="17"/>
      <c r="E73" s="17"/>
      <c r="F73" s="17"/>
      <c r="G73" s="17"/>
      <c r="H73" s="17"/>
      <c r="K73" s="17"/>
      <c r="L73" s="17"/>
      <c r="M73" s="17"/>
      <c r="N73" s="17"/>
      <c r="O73" s="17"/>
      <c r="T73" s="17"/>
      <c r="U73" s="17"/>
      <c r="V73" s="17"/>
      <c r="W73" s="17"/>
      <c r="X73" s="17"/>
    </row>
    <row r="74" spans="2:24" ht="13.15" x14ac:dyDescent="0.4">
      <c r="B74" s="24"/>
      <c r="C74" s="17"/>
      <c r="D74" s="17"/>
      <c r="E74" s="17"/>
      <c r="F74" s="17"/>
      <c r="G74" s="17"/>
      <c r="H74" s="17"/>
    </row>
    <row r="75" spans="2:24" ht="13.15" x14ac:dyDescent="0.4">
      <c r="B75" s="24"/>
      <c r="C75" s="17"/>
      <c r="D75" s="24"/>
      <c r="E75" s="17"/>
      <c r="F75" s="24"/>
      <c r="G75" s="17"/>
      <c r="H75" s="24"/>
    </row>
    <row r="76" spans="2:24" x14ac:dyDescent="0.35">
      <c r="B76" s="17"/>
      <c r="C76" s="17"/>
      <c r="D76" s="17"/>
      <c r="E76" s="17"/>
      <c r="F76" s="17"/>
      <c r="G76" s="17"/>
      <c r="H76" s="17"/>
    </row>
    <row r="77" spans="2:24" x14ac:dyDescent="0.35">
      <c r="B77" s="78"/>
      <c r="C77" s="17"/>
      <c r="D77" s="16"/>
      <c r="E77" s="17"/>
      <c r="F77" s="42"/>
      <c r="G77" s="17"/>
      <c r="H77" s="23"/>
    </row>
    <row r="78" spans="2:24" x14ac:dyDescent="0.35">
      <c r="B78" s="78"/>
      <c r="C78" s="17"/>
      <c r="D78" s="16"/>
      <c r="E78" s="17"/>
      <c r="F78" s="42"/>
      <c r="G78" s="17"/>
      <c r="H78" s="23"/>
    </row>
    <row r="79" spans="2:24" x14ac:dyDescent="0.35">
      <c r="B79" s="78"/>
      <c r="C79" s="17"/>
      <c r="D79" s="16"/>
      <c r="E79" s="17"/>
      <c r="F79" s="42"/>
      <c r="G79" s="17"/>
      <c r="H79" s="23"/>
    </row>
    <row r="80" spans="2:24" x14ac:dyDescent="0.35">
      <c r="B80" s="78"/>
      <c r="C80" s="17"/>
      <c r="D80" s="16"/>
      <c r="E80" s="17"/>
      <c r="F80" s="42"/>
      <c r="G80" s="17"/>
      <c r="H80" s="23"/>
    </row>
    <row r="81" spans="2:20" x14ac:dyDescent="0.35">
      <c r="B81" s="78"/>
      <c r="C81" s="17"/>
      <c r="D81" s="16"/>
      <c r="E81" s="17"/>
      <c r="F81" s="42"/>
      <c r="G81" s="17"/>
      <c r="H81" s="23"/>
    </row>
    <row r="82" spans="2:20" x14ac:dyDescent="0.35">
      <c r="B82" s="78"/>
      <c r="C82" s="17"/>
      <c r="D82" s="16"/>
      <c r="E82" s="17"/>
      <c r="F82" s="42"/>
      <c r="G82" s="17"/>
      <c r="H82" s="23"/>
    </row>
    <row r="83" spans="2:20" x14ac:dyDescent="0.35">
      <c r="B83" s="78"/>
      <c r="C83" s="17"/>
      <c r="D83" s="16"/>
      <c r="E83" s="17"/>
      <c r="F83" s="42"/>
      <c r="G83" s="17"/>
      <c r="H83" s="23"/>
    </row>
    <row r="84" spans="2:20" x14ac:dyDescent="0.35">
      <c r="B84" s="78"/>
      <c r="C84" s="17"/>
      <c r="D84" s="16"/>
      <c r="E84" s="17"/>
      <c r="F84" s="42"/>
      <c r="G84" s="17"/>
      <c r="H84" s="23"/>
    </row>
    <row r="85" spans="2:20" x14ac:dyDescent="0.35">
      <c r="B85" s="78"/>
      <c r="C85" s="17"/>
      <c r="D85" s="16"/>
      <c r="E85" s="17"/>
      <c r="F85" s="42"/>
      <c r="G85" s="17"/>
      <c r="H85" s="23"/>
    </row>
    <row r="86" spans="2:20" x14ac:dyDescent="0.35">
      <c r="B86" s="78"/>
      <c r="C86" s="17"/>
      <c r="D86" s="16"/>
      <c r="E86" s="17"/>
      <c r="F86" s="42"/>
      <c r="G86" s="17"/>
      <c r="H86" s="23"/>
    </row>
    <row r="87" spans="2:20" x14ac:dyDescent="0.35">
      <c r="B87" s="78"/>
      <c r="C87" s="17"/>
      <c r="D87" s="16"/>
      <c r="E87" s="17"/>
      <c r="F87" s="42"/>
      <c r="G87" s="17"/>
      <c r="H87" s="23"/>
    </row>
    <row r="88" spans="2:20" x14ac:dyDescent="0.35">
      <c r="B88" s="78"/>
      <c r="C88" s="17"/>
      <c r="D88" s="16"/>
      <c r="E88" s="17"/>
      <c r="F88" s="42"/>
      <c r="G88" s="17"/>
      <c r="H88" s="23"/>
    </row>
    <row r="89" spans="2:20" x14ac:dyDescent="0.35">
      <c r="B89" s="17"/>
      <c r="C89" s="17"/>
      <c r="D89" s="19"/>
      <c r="E89" s="17"/>
      <c r="F89" s="17"/>
      <c r="G89" s="17"/>
      <c r="H89" s="15"/>
    </row>
    <row r="90" spans="2:20" x14ac:dyDescent="0.35">
      <c r="B90" s="17"/>
      <c r="C90" s="17"/>
      <c r="D90" s="17"/>
      <c r="E90" s="17"/>
      <c r="F90" s="17"/>
      <c r="G90" s="17"/>
      <c r="H90" s="17"/>
    </row>
    <row r="91" spans="2:20" ht="13.15" x14ac:dyDescent="0.4">
      <c r="B91" s="17"/>
      <c r="C91" s="17"/>
      <c r="D91" s="24"/>
      <c r="E91" s="17"/>
      <c r="F91" s="24"/>
      <c r="G91" s="17"/>
      <c r="H91" s="24"/>
      <c r="K91" s="70" t="s">
        <v>31</v>
      </c>
      <c r="T91" s="70" t="s">
        <v>31</v>
      </c>
    </row>
    <row r="92" spans="2:20" x14ac:dyDescent="0.35">
      <c r="B92" s="17"/>
      <c r="C92" s="17"/>
      <c r="D92" s="17"/>
      <c r="E92" s="17"/>
      <c r="F92" s="17"/>
      <c r="G92" s="17"/>
      <c r="H92" s="17"/>
      <c r="K92" s="17"/>
      <c r="T92" s="17"/>
    </row>
    <row r="93" spans="2:20" x14ac:dyDescent="0.35">
      <c r="B93" s="78"/>
      <c r="C93" s="17"/>
      <c r="D93" s="16"/>
      <c r="E93" s="17"/>
      <c r="F93" s="17"/>
      <c r="G93" s="17"/>
      <c r="H93" s="16"/>
      <c r="K93" s="57">
        <v>33356.550000000003</v>
      </c>
      <c r="T93" s="57">
        <v>33356.550000000003</v>
      </c>
    </row>
    <row r="94" spans="2:20" x14ac:dyDescent="0.35">
      <c r="B94" s="78"/>
      <c r="C94" s="17"/>
      <c r="D94" s="16"/>
      <c r="E94" s="17"/>
      <c r="F94" s="17"/>
      <c r="G94" s="17"/>
      <c r="H94" s="16"/>
      <c r="K94" s="57">
        <v>33326.36</v>
      </c>
      <c r="T94" s="57">
        <v>33326.36</v>
      </c>
    </row>
    <row r="95" spans="2:20" x14ac:dyDescent="0.35">
      <c r="B95" s="78"/>
      <c r="C95" s="17"/>
      <c r="D95" s="16"/>
      <c r="E95" s="17"/>
      <c r="F95" s="17"/>
      <c r="G95" s="17"/>
      <c r="H95" s="16"/>
      <c r="K95" s="57">
        <v>33287.21</v>
      </c>
      <c r="T95" s="57">
        <v>33287.21</v>
      </c>
    </row>
    <row r="96" spans="2:20" x14ac:dyDescent="0.35">
      <c r="B96" s="78"/>
      <c r="C96" s="17"/>
      <c r="D96" s="16"/>
      <c r="E96" s="17"/>
      <c r="F96" s="17"/>
      <c r="G96" s="17"/>
      <c r="H96" s="16"/>
      <c r="K96" s="57">
        <v>33307.32</v>
      </c>
      <c r="T96" s="57">
        <v>33307.32</v>
      </c>
    </row>
    <row r="97" spans="2:20" x14ac:dyDescent="0.35">
      <c r="B97" s="78"/>
      <c r="C97" s="17"/>
      <c r="D97" s="16"/>
      <c r="E97" s="17"/>
      <c r="F97" s="17"/>
      <c r="G97" s="17"/>
      <c r="H97" s="16"/>
      <c r="K97" s="57">
        <v>33395.67</v>
      </c>
      <c r="T97" s="57">
        <v>33395.67</v>
      </c>
    </row>
    <row r="98" spans="2:20" x14ac:dyDescent="0.35">
      <c r="B98" s="78"/>
      <c r="C98" s="17"/>
      <c r="D98" s="16"/>
      <c r="E98" s="17"/>
      <c r="F98" s="17"/>
      <c r="G98" s="17"/>
      <c r="H98" s="16"/>
      <c r="K98" s="57">
        <v>33399.040000000001</v>
      </c>
      <c r="T98" s="57">
        <v>33399.040000000001</v>
      </c>
    </row>
    <row r="99" spans="2:20" x14ac:dyDescent="0.35">
      <c r="B99" s="78"/>
      <c r="C99" s="17"/>
      <c r="D99" s="16"/>
      <c r="E99" s="17"/>
      <c r="F99" s="17"/>
      <c r="G99" s="17"/>
      <c r="H99" s="16"/>
      <c r="K99" s="57">
        <v>33485.15</v>
      </c>
      <c r="T99" s="57">
        <v>33485.15</v>
      </c>
    </row>
    <row r="100" spans="2:20" x14ac:dyDescent="0.35">
      <c r="B100" s="78"/>
      <c r="C100" s="17"/>
      <c r="D100" s="16"/>
      <c r="E100" s="17"/>
      <c r="F100" s="17"/>
      <c r="G100" s="17"/>
      <c r="H100" s="16"/>
      <c r="K100" s="57">
        <v>33537.79</v>
      </c>
      <c r="T100" s="57">
        <v>33537.79</v>
      </c>
    </row>
    <row r="101" spans="2:20" x14ac:dyDescent="0.35">
      <c r="B101" s="78"/>
      <c r="C101" s="17"/>
      <c r="D101" s="16"/>
      <c r="E101" s="17"/>
      <c r="F101" s="17"/>
      <c r="G101" s="17"/>
      <c r="H101" s="16"/>
      <c r="K101" s="57">
        <v>33622.699999999997</v>
      </c>
      <c r="T101" s="57">
        <v>33622.699999999997</v>
      </c>
    </row>
    <row r="102" spans="2:20" x14ac:dyDescent="0.35">
      <c r="B102" s="78"/>
      <c r="C102" s="17"/>
      <c r="D102" s="16"/>
      <c r="E102" s="17"/>
      <c r="F102" s="17"/>
      <c r="G102" s="17"/>
      <c r="H102" s="16"/>
      <c r="K102" s="57">
        <v>33616.01</v>
      </c>
      <c r="T102" s="57">
        <v>33616.01</v>
      </c>
    </row>
    <row r="103" spans="2:20" x14ac:dyDescent="0.35">
      <c r="B103" s="78"/>
      <c r="C103" s="17"/>
      <c r="D103" s="16"/>
      <c r="E103" s="17"/>
      <c r="F103" s="17"/>
      <c r="G103" s="17"/>
      <c r="H103" s="16"/>
      <c r="K103" s="57">
        <v>33679.730000000003</v>
      </c>
      <c r="T103" s="57">
        <v>33679.730000000003</v>
      </c>
    </row>
    <row r="104" spans="2:20" x14ac:dyDescent="0.35">
      <c r="B104" s="78"/>
      <c r="C104" s="17"/>
      <c r="D104" s="16"/>
      <c r="E104" s="17"/>
      <c r="F104" s="17"/>
      <c r="G104" s="17"/>
      <c r="H104" s="16"/>
      <c r="K104" s="40">
        <v>33646.17</v>
      </c>
      <c r="T104" s="40">
        <v>33646.17</v>
      </c>
    </row>
    <row r="105" spans="2:20" x14ac:dyDescent="0.35">
      <c r="B105" s="17"/>
      <c r="C105" s="17"/>
      <c r="D105" s="19"/>
      <c r="E105" s="17"/>
      <c r="F105" s="17"/>
      <c r="G105" s="17"/>
      <c r="H105" s="19"/>
      <c r="K105" s="32">
        <f>SUM(K93:K104)</f>
        <v>401659.69999999995</v>
      </c>
      <c r="T105" s="32">
        <f>SUM(T93:T104)</f>
        <v>401659.69999999995</v>
      </c>
    </row>
    <row r="106" spans="2:20" x14ac:dyDescent="0.35">
      <c r="B106" s="17"/>
      <c r="C106" s="17"/>
      <c r="D106" s="17"/>
      <c r="E106" s="17"/>
      <c r="F106" s="17"/>
      <c r="G106" s="17"/>
      <c r="H106" s="17"/>
    </row>
    <row r="107" spans="2:20" ht="13.15" x14ac:dyDescent="0.4">
      <c r="B107" s="24"/>
      <c r="C107" s="17"/>
      <c r="D107" s="17"/>
      <c r="E107" s="17"/>
      <c r="F107" s="17"/>
      <c r="G107" s="17"/>
      <c r="H107" s="17"/>
    </row>
    <row r="108" spans="2:20" ht="13.15" x14ac:dyDescent="0.4">
      <c r="B108" s="24"/>
      <c r="C108" s="17"/>
      <c r="D108" s="24"/>
      <c r="E108" s="17"/>
      <c r="F108" s="24"/>
      <c r="G108" s="17"/>
      <c r="H108" s="24"/>
    </row>
    <row r="109" spans="2:20" x14ac:dyDescent="0.35">
      <c r="B109" s="17"/>
      <c r="C109" s="17"/>
      <c r="D109" s="17"/>
      <c r="E109" s="17"/>
      <c r="F109" s="17"/>
      <c r="G109" s="17"/>
      <c r="H109" s="17"/>
    </row>
    <row r="110" spans="2:20" x14ac:dyDescent="0.35">
      <c r="B110" s="78"/>
      <c r="C110" s="17"/>
      <c r="D110" s="16"/>
      <c r="E110" s="17"/>
      <c r="F110" s="42"/>
      <c r="G110" s="17"/>
      <c r="H110" s="23"/>
    </row>
    <row r="111" spans="2:20" x14ac:dyDescent="0.35">
      <c r="B111" s="78"/>
      <c r="C111" s="17"/>
      <c r="D111" s="16"/>
      <c r="E111" s="17"/>
      <c r="F111" s="42"/>
      <c r="G111" s="17"/>
      <c r="H111" s="23"/>
    </row>
    <row r="112" spans="2:20" x14ac:dyDescent="0.35">
      <c r="B112" s="78"/>
      <c r="C112" s="17"/>
      <c r="D112" s="16"/>
      <c r="E112" s="17"/>
      <c r="F112" s="42"/>
      <c r="G112" s="17"/>
      <c r="H112" s="23"/>
    </row>
    <row r="113" spans="2:20" x14ac:dyDescent="0.35">
      <c r="B113" s="78"/>
      <c r="C113" s="17"/>
      <c r="D113" s="16"/>
      <c r="E113" s="17"/>
      <c r="F113" s="42"/>
      <c r="G113" s="17"/>
      <c r="H113" s="23"/>
    </row>
    <row r="114" spans="2:20" x14ac:dyDescent="0.35">
      <c r="B114" s="78"/>
      <c r="C114" s="17"/>
      <c r="D114" s="16"/>
      <c r="E114" s="17"/>
      <c r="F114" s="42"/>
      <c r="G114" s="17"/>
      <c r="H114" s="23"/>
    </row>
    <row r="115" spans="2:20" x14ac:dyDescent="0.35">
      <c r="B115" s="78"/>
      <c r="C115" s="17"/>
      <c r="D115" s="16"/>
      <c r="E115" s="17"/>
      <c r="F115" s="42"/>
      <c r="G115" s="17"/>
      <c r="H115" s="23"/>
    </row>
    <row r="116" spans="2:20" x14ac:dyDescent="0.35">
      <c r="B116" s="78"/>
      <c r="C116" s="17"/>
      <c r="D116" s="16"/>
      <c r="E116" s="17"/>
      <c r="F116" s="42"/>
      <c r="G116" s="17"/>
      <c r="H116" s="23"/>
    </row>
    <row r="117" spans="2:20" x14ac:dyDescent="0.35">
      <c r="B117" s="78"/>
      <c r="C117" s="17"/>
      <c r="D117" s="16"/>
      <c r="E117" s="17"/>
      <c r="F117" s="42"/>
      <c r="G117" s="17"/>
      <c r="H117" s="23"/>
    </row>
    <row r="118" spans="2:20" x14ac:dyDescent="0.35">
      <c r="B118" s="78"/>
      <c r="C118" s="17"/>
      <c r="D118" s="16"/>
      <c r="E118" s="17"/>
      <c r="F118" s="42"/>
      <c r="G118" s="17"/>
      <c r="H118" s="23"/>
    </row>
    <row r="119" spans="2:20" x14ac:dyDescent="0.35">
      <c r="B119" s="78"/>
      <c r="C119" s="17"/>
      <c r="D119" s="16"/>
      <c r="E119" s="17"/>
      <c r="F119" s="42"/>
      <c r="G119" s="17"/>
      <c r="H119" s="23"/>
    </row>
    <row r="120" spans="2:20" x14ac:dyDescent="0.35">
      <c r="B120" s="78"/>
      <c r="C120" s="17"/>
      <c r="D120" s="16"/>
      <c r="E120" s="17"/>
      <c r="F120" s="42"/>
      <c r="G120" s="17"/>
      <c r="H120" s="23"/>
    </row>
    <row r="121" spans="2:20" x14ac:dyDescent="0.35">
      <c r="B121" s="78"/>
      <c r="C121" s="17"/>
      <c r="D121" s="16"/>
      <c r="E121" s="17"/>
      <c r="F121" s="42"/>
      <c r="G121" s="17"/>
      <c r="H121" s="23"/>
    </row>
    <row r="122" spans="2:20" x14ac:dyDescent="0.35">
      <c r="B122" s="17"/>
      <c r="C122" s="17"/>
      <c r="D122" s="19"/>
      <c r="E122" s="17"/>
      <c r="F122" s="17"/>
      <c r="G122" s="17"/>
      <c r="H122" s="15"/>
    </row>
    <row r="123" spans="2:20" x14ac:dyDescent="0.35">
      <c r="B123" s="17"/>
      <c r="C123" s="17"/>
      <c r="D123" s="17"/>
      <c r="E123" s="17"/>
      <c r="F123" s="17"/>
      <c r="G123" s="17"/>
      <c r="H123" s="17"/>
    </row>
    <row r="124" spans="2:20" ht="13.15" x14ac:dyDescent="0.4">
      <c r="B124" s="17"/>
      <c r="C124" s="17"/>
      <c r="D124" s="24"/>
      <c r="E124" s="17"/>
      <c r="F124" s="24"/>
      <c r="G124" s="17"/>
      <c r="H124" s="24"/>
      <c r="K124" s="70" t="s">
        <v>31</v>
      </c>
      <c r="T124" s="70" t="s">
        <v>31</v>
      </c>
    </row>
    <row r="125" spans="2:20" x14ac:dyDescent="0.35">
      <c r="B125" s="17"/>
      <c r="C125" s="17"/>
      <c r="D125" s="17"/>
      <c r="E125" s="17"/>
      <c r="F125" s="17"/>
      <c r="G125" s="17"/>
      <c r="H125" s="17"/>
      <c r="K125" s="17"/>
      <c r="T125" s="17"/>
    </row>
    <row r="126" spans="2:20" x14ac:dyDescent="0.35">
      <c r="B126" s="78"/>
      <c r="C126" s="17"/>
      <c r="D126" s="16"/>
      <c r="E126" s="17"/>
      <c r="F126" s="17"/>
      <c r="G126" s="17"/>
      <c r="H126" s="16"/>
      <c r="K126" s="57">
        <v>9796.6</v>
      </c>
      <c r="T126" s="57">
        <v>9796.6</v>
      </c>
    </row>
    <row r="127" spans="2:20" x14ac:dyDescent="0.35">
      <c r="B127" s="78"/>
      <c r="C127" s="17"/>
      <c r="D127" s="16"/>
      <c r="E127" s="17"/>
      <c r="F127" s="17"/>
      <c r="G127" s="17"/>
      <c r="H127" s="16"/>
      <c r="K127" s="57">
        <v>9763.0500000000011</v>
      </c>
      <c r="T127" s="57">
        <v>9763.0500000000011</v>
      </c>
    </row>
    <row r="128" spans="2:20" x14ac:dyDescent="0.35">
      <c r="B128" s="78"/>
      <c r="C128" s="17"/>
      <c r="D128" s="16"/>
      <c r="E128" s="17"/>
      <c r="F128" s="17"/>
      <c r="G128" s="17"/>
      <c r="H128" s="16"/>
      <c r="K128" s="57">
        <v>9763.0500000000011</v>
      </c>
      <c r="T128" s="57">
        <v>9763.0500000000011</v>
      </c>
    </row>
    <row r="129" spans="2:20" x14ac:dyDescent="0.35">
      <c r="B129" s="78"/>
      <c r="C129" s="17"/>
      <c r="D129" s="16"/>
      <c r="E129" s="17"/>
      <c r="F129" s="17"/>
      <c r="G129" s="17"/>
      <c r="H129" s="16"/>
      <c r="K129" s="57">
        <v>9763.0500000000011</v>
      </c>
      <c r="T129" s="57">
        <v>9763.0500000000011</v>
      </c>
    </row>
    <row r="130" spans="2:20" x14ac:dyDescent="0.35">
      <c r="B130" s="78"/>
      <c r="C130" s="17"/>
      <c r="D130" s="16"/>
      <c r="E130" s="17"/>
      <c r="F130" s="17"/>
      <c r="G130" s="17"/>
      <c r="H130" s="16"/>
      <c r="K130" s="57">
        <v>9763.0500000000011</v>
      </c>
      <c r="T130" s="57">
        <v>9763.0500000000011</v>
      </c>
    </row>
    <row r="131" spans="2:20" x14ac:dyDescent="0.35">
      <c r="B131" s="78"/>
      <c r="C131" s="17"/>
      <c r="D131" s="16"/>
      <c r="E131" s="17"/>
      <c r="F131" s="17"/>
      <c r="G131" s="17"/>
      <c r="H131" s="16"/>
      <c r="K131" s="57">
        <v>9763.0500000000011</v>
      </c>
      <c r="T131" s="57">
        <v>9763.0500000000011</v>
      </c>
    </row>
    <row r="132" spans="2:20" x14ac:dyDescent="0.35">
      <c r="B132" s="78"/>
      <c r="C132" s="17"/>
      <c r="D132" s="16"/>
      <c r="E132" s="17"/>
      <c r="F132" s="17"/>
      <c r="G132" s="17"/>
      <c r="H132" s="16"/>
      <c r="K132" s="57">
        <v>9745.16</v>
      </c>
      <c r="T132" s="57">
        <v>9745.16</v>
      </c>
    </row>
    <row r="133" spans="2:20" x14ac:dyDescent="0.35">
      <c r="B133" s="78"/>
      <c r="C133" s="17"/>
      <c r="D133" s="16"/>
      <c r="E133" s="17"/>
      <c r="F133" s="17"/>
      <c r="G133" s="17"/>
      <c r="H133" s="16"/>
      <c r="K133" s="57">
        <v>9729.5</v>
      </c>
      <c r="T133" s="57">
        <v>9729.5</v>
      </c>
    </row>
    <row r="134" spans="2:20" x14ac:dyDescent="0.35">
      <c r="B134" s="78"/>
      <c r="C134" s="17"/>
      <c r="D134" s="16"/>
      <c r="E134" s="17"/>
      <c r="F134" s="17"/>
      <c r="G134" s="17"/>
      <c r="H134" s="16"/>
      <c r="K134" s="57">
        <v>9729.5</v>
      </c>
      <c r="T134" s="57">
        <v>9729.5</v>
      </c>
    </row>
    <row r="135" spans="2:20" x14ac:dyDescent="0.35">
      <c r="B135" s="78"/>
      <c r="C135" s="17"/>
      <c r="D135" s="16"/>
      <c r="E135" s="17"/>
      <c r="F135" s="17"/>
      <c r="G135" s="17"/>
      <c r="H135" s="16"/>
      <c r="K135" s="57">
        <v>9707.14</v>
      </c>
      <c r="T135" s="57">
        <v>9707.14</v>
      </c>
    </row>
    <row r="136" spans="2:20" x14ac:dyDescent="0.35">
      <c r="B136" s="78"/>
      <c r="C136" s="17"/>
      <c r="D136" s="16"/>
      <c r="E136" s="17"/>
      <c r="F136" s="17"/>
      <c r="G136" s="17"/>
      <c r="H136" s="16"/>
      <c r="K136" s="57">
        <v>9662.4</v>
      </c>
      <c r="T136" s="57">
        <v>9662.4</v>
      </c>
    </row>
    <row r="137" spans="2:20" x14ac:dyDescent="0.35">
      <c r="B137" s="78"/>
      <c r="C137" s="17"/>
      <c r="D137" s="16"/>
      <c r="E137" s="17"/>
      <c r="F137" s="17"/>
      <c r="G137" s="17"/>
      <c r="H137" s="16"/>
      <c r="K137" s="40">
        <v>9661.2800000000007</v>
      </c>
      <c r="T137" s="40">
        <v>9661.2800000000007</v>
      </c>
    </row>
    <row r="138" spans="2:20" x14ac:dyDescent="0.35">
      <c r="B138" s="17"/>
      <c r="C138" s="17"/>
      <c r="D138" s="19"/>
      <c r="E138" s="17"/>
      <c r="F138" s="17"/>
      <c r="G138" s="17"/>
      <c r="H138" s="19"/>
      <c r="K138" s="32">
        <f>SUM(K126:K137)</f>
        <v>116846.83</v>
      </c>
      <c r="T138" s="32">
        <f>SUM(T126:T137)</f>
        <v>116846.83</v>
      </c>
    </row>
    <row r="139" spans="2:20" x14ac:dyDescent="0.35">
      <c r="B139" s="17"/>
      <c r="C139" s="17"/>
      <c r="D139" s="17"/>
      <c r="E139" s="17"/>
      <c r="F139" s="17"/>
      <c r="G139" s="17"/>
      <c r="H139" s="17"/>
    </row>
    <row r="140" spans="2:20" ht="13.15" x14ac:dyDescent="0.4">
      <c r="B140" s="24"/>
      <c r="C140" s="17"/>
      <c r="D140" s="17"/>
      <c r="E140" s="17"/>
      <c r="F140" s="17"/>
      <c r="G140" s="17"/>
      <c r="H140" s="17"/>
    </row>
    <row r="141" spans="2:20" ht="13.15" x14ac:dyDescent="0.4">
      <c r="B141" s="24"/>
      <c r="C141" s="17"/>
      <c r="D141" s="24"/>
      <c r="E141" s="17"/>
      <c r="F141" s="24"/>
      <c r="G141" s="17"/>
      <c r="H141" s="24"/>
    </row>
    <row r="142" spans="2:20" x14ac:dyDescent="0.35">
      <c r="B142" s="17"/>
      <c r="C142" s="17"/>
      <c r="D142" s="17"/>
      <c r="E142" s="17"/>
      <c r="F142" s="17"/>
      <c r="G142" s="17"/>
      <c r="H142" s="17"/>
    </row>
    <row r="143" spans="2:20" x14ac:dyDescent="0.35">
      <c r="B143" s="78"/>
      <c r="C143" s="17"/>
      <c r="D143" s="16"/>
      <c r="E143" s="17"/>
      <c r="F143" s="42"/>
      <c r="G143" s="17"/>
      <c r="H143" s="23"/>
    </row>
    <row r="144" spans="2:20" x14ac:dyDescent="0.35">
      <c r="B144" s="78"/>
      <c r="C144" s="17"/>
      <c r="D144" s="16"/>
      <c r="E144" s="17"/>
      <c r="F144" s="42"/>
      <c r="G144" s="17"/>
      <c r="H144" s="23"/>
    </row>
    <row r="145" spans="2:20" x14ac:dyDescent="0.35">
      <c r="B145" s="78"/>
      <c r="C145" s="17"/>
      <c r="D145" s="16"/>
      <c r="E145" s="17"/>
      <c r="F145" s="42"/>
      <c r="G145" s="17"/>
      <c r="H145" s="23"/>
    </row>
    <row r="146" spans="2:20" x14ac:dyDescent="0.35">
      <c r="B146" s="78"/>
      <c r="C146" s="17"/>
      <c r="D146" s="16"/>
      <c r="E146" s="17"/>
      <c r="F146" s="42"/>
      <c r="G146" s="17"/>
      <c r="H146" s="23"/>
    </row>
    <row r="147" spans="2:20" x14ac:dyDescent="0.35">
      <c r="B147" s="78"/>
      <c r="C147" s="17"/>
      <c r="D147" s="16"/>
      <c r="E147" s="17"/>
      <c r="F147" s="42"/>
      <c r="G147" s="17"/>
      <c r="H147" s="23"/>
    </row>
    <row r="148" spans="2:20" x14ac:dyDescent="0.35">
      <c r="B148" s="78"/>
      <c r="C148" s="17"/>
      <c r="D148" s="16"/>
      <c r="E148" s="17"/>
      <c r="F148" s="42"/>
      <c r="G148" s="17"/>
      <c r="H148" s="23"/>
    </row>
    <row r="149" spans="2:20" x14ac:dyDescent="0.35">
      <c r="B149" s="78"/>
      <c r="C149" s="17"/>
      <c r="D149" s="16"/>
      <c r="E149" s="17"/>
      <c r="F149" s="42"/>
      <c r="G149" s="17"/>
      <c r="H149" s="23"/>
    </row>
    <row r="150" spans="2:20" x14ac:dyDescent="0.35">
      <c r="B150" s="78"/>
      <c r="C150" s="17"/>
      <c r="D150" s="16"/>
      <c r="E150" s="17"/>
      <c r="F150" s="42"/>
      <c r="G150" s="17"/>
      <c r="H150" s="23"/>
    </row>
    <row r="151" spans="2:20" x14ac:dyDescent="0.35">
      <c r="B151" s="78"/>
      <c r="C151" s="17"/>
      <c r="D151" s="16"/>
      <c r="E151" s="17"/>
      <c r="F151" s="42"/>
      <c r="G151" s="17"/>
      <c r="H151" s="23"/>
    </row>
    <row r="152" spans="2:20" x14ac:dyDescent="0.35">
      <c r="B152" s="78"/>
      <c r="C152" s="17"/>
      <c r="D152" s="16"/>
      <c r="E152" s="17"/>
      <c r="F152" s="42"/>
      <c r="G152" s="17"/>
      <c r="H152" s="23"/>
    </row>
    <row r="153" spans="2:20" x14ac:dyDescent="0.35">
      <c r="B153" s="78"/>
      <c r="C153" s="17"/>
      <c r="D153" s="16"/>
      <c r="E153" s="17"/>
      <c r="F153" s="42"/>
      <c r="G153" s="17"/>
      <c r="H153" s="23"/>
    </row>
    <row r="154" spans="2:20" x14ac:dyDescent="0.35">
      <c r="B154" s="78"/>
      <c r="C154" s="17"/>
      <c r="D154" s="16"/>
      <c r="E154" s="17"/>
      <c r="F154" s="42"/>
      <c r="G154" s="17"/>
      <c r="H154" s="23"/>
    </row>
    <row r="155" spans="2:20" x14ac:dyDescent="0.35">
      <c r="B155" s="17"/>
      <c r="C155" s="17"/>
      <c r="D155" s="19"/>
      <c r="E155" s="17"/>
      <c r="F155" s="17"/>
      <c r="G155" s="17"/>
      <c r="H155" s="15"/>
    </row>
    <row r="156" spans="2:20" x14ac:dyDescent="0.35">
      <c r="B156" s="17"/>
      <c r="C156" s="17"/>
      <c r="D156" s="17"/>
      <c r="E156" s="17"/>
      <c r="F156" s="17"/>
      <c r="G156" s="17"/>
      <c r="H156" s="17"/>
    </row>
    <row r="157" spans="2:20" ht="13.15" x14ac:dyDescent="0.4">
      <c r="B157" s="17"/>
      <c r="C157" s="17"/>
      <c r="D157" s="24"/>
      <c r="E157" s="17"/>
      <c r="F157" s="24"/>
      <c r="G157" s="17"/>
      <c r="H157" s="24"/>
      <c r="K157" s="70" t="s">
        <v>31</v>
      </c>
      <c r="T157" s="70" t="s">
        <v>31</v>
      </c>
    </row>
    <row r="158" spans="2:20" x14ac:dyDescent="0.35">
      <c r="B158" s="17"/>
      <c r="C158" s="17"/>
      <c r="D158" s="17"/>
      <c r="E158" s="17"/>
      <c r="F158" s="17"/>
      <c r="G158" s="17"/>
      <c r="H158" s="17"/>
      <c r="K158" s="17"/>
      <c r="T158" s="17"/>
    </row>
    <row r="159" spans="2:20" x14ac:dyDescent="0.35">
      <c r="B159" s="78"/>
      <c r="C159" s="17"/>
      <c r="D159" s="16"/>
      <c r="E159" s="17"/>
      <c r="F159" s="17"/>
      <c r="G159" s="17"/>
      <c r="H159" s="16"/>
      <c r="K159" s="57">
        <v>2717.55</v>
      </c>
      <c r="T159" s="57">
        <v>2717.55</v>
      </c>
    </row>
    <row r="160" spans="2:20" x14ac:dyDescent="0.35">
      <c r="B160" s="78"/>
      <c r="C160" s="17"/>
      <c r="D160" s="16"/>
      <c r="E160" s="17"/>
      <c r="F160" s="17"/>
      <c r="G160" s="17"/>
      <c r="H160" s="16"/>
      <c r="K160" s="57">
        <v>2717.55</v>
      </c>
      <c r="T160" s="57">
        <v>2717.55</v>
      </c>
    </row>
    <row r="161" spans="2:20" x14ac:dyDescent="0.35">
      <c r="B161" s="78"/>
      <c r="C161" s="17"/>
      <c r="D161" s="16"/>
      <c r="E161" s="17"/>
      <c r="F161" s="17"/>
      <c r="G161" s="17"/>
      <c r="H161" s="16"/>
      <c r="K161" s="57">
        <v>2717.55</v>
      </c>
      <c r="T161" s="57">
        <v>2717.55</v>
      </c>
    </row>
    <row r="162" spans="2:20" x14ac:dyDescent="0.35">
      <c r="B162" s="78"/>
      <c r="C162" s="17"/>
      <c r="D162" s="16"/>
      <c r="E162" s="17"/>
      <c r="F162" s="17"/>
      <c r="G162" s="17"/>
      <c r="H162" s="16"/>
      <c r="K162" s="57">
        <v>2717.55</v>
      </c>
      <c r="T162" s="57">
        <v>2717.55</v>
      </c>
    </row>
    <row r="163" spans="2:20" x14ac:dyDescent="0.35">
      <c r="B163" s="78"/>
      <c r="C163" s="17"/>
      <c r="D163" s="16"/>
      <c r="E163" s="17"/>
      <c r="F163" s="17"/>
      <c r="G163" s="17"/>
      <c r="H163" s="16"/>
      <c r="K163" s="57">
        <v>2717.55</v>
      </c>
      <c r="T163" s="57">
        <v>2717.55</v>
      </c>
    </row>
    <row r="164" spans="2:20" x14ac:dyDescent="0.35">
      <c r="B164" s="78"/>
      <c r="C164" s="17"/>
      <c r="D164" s="16"/>
      <c r="E164" s="17"/>
      <c r="F164" s="17"/>
      <c r="G164" s="17"/>
      <c r="H164" s="16"/>
      <c r="K164" s="57">
        <v>2717.55</v>
      </c>
      <c r="T164" s="57">
        <v>2717.55</v>
      </c>
    </row>
    <row r="165" spans="2:20" x14ac:dyDescent="0.35">
      <c r="B165" s="78"/>
      <c r="C165" s="17"/>
      <c r="D165" s="16"/>
      <c r="E165" s="17"/>
      <c r="F165" s="17"/>
      <c r="G165" s="17"/>
      <c r="H165" s="16"/>
      <c r="K165" s="57">
        <v>2717.55</v>
      </c>
      <c r="T165" s="57">
        <v>2717.55</v>
      </c>
    </row>
    <row r="166" spans="2:20" x14ac:dyDescent="0.35">
      <c r="B166" s="78"/>
      <c r="C166" s="17"/>
      <c r="D166" s="16"/>
      <c r="E166" s="17"/>
      <c r="F166" s="17"/>
      <c r="G166" s="17"/>
      <c r="H166" s="16"/>
      <c r="K166" s="57">
        <v>2703.01</v>
      </c>
      <c r="T166" s="57">
        <v>2703.01</v>
      </c>
    </row>
    <row r="167" spans="2:20" x14ac:dyDescent="0.35">
      <c r="B167" s="78"/>
      <c r="C167" s="17"/>
      <c r="D167" s="16"/>
      <c r="E167" s="17"/>
      <c r="F167" s="17"/>
      <c r="G167" s="17"/>
      <c r="H167" s="16"/>
      <c r="K167" s="57">
        <v>2650.4500000000003</v>
      </c>
      <c r="T167" s="57">
        <v>2650.4500000000003</v>
      </c>
    </row>
    <row r="168" spans="2:20" x14ac:dyDescent="0.35">
      <c r="B168" s="78"/>
      <c r="C168" s="17"/>
      <c r="D168" s="16"/>
      <c r="E168" s="17"/>
      <c r="F168" s="17"/>
      <c r="G168" s="17"/>
      <c r="H168" s="16"/>
      <c r="K168" s="57">
        <v>2650.4500000000003</v>
      </c>
      <c r="T168" s="57">
        <v>2650.4500000000003</v>
      </c>
    </row>
    <row r="169" spans="2:20" x14ac:dyDescent="0.35">
      <c r="B169" s="78"/>
      <c r="C169" s="17"/>
      <c r="D169" s="16"/>
      <c r="E169" s="17"/>
      <c r="F169" s="17"/>
      <c r="G169" s="17"/>
      <c r="H169" s="16"/>
      <c r="K169" s="57">
        <v>2650.4500000000003</v>
      </c>
      <c r="T169" s="57">
        <v>2650.4500000000003</v>
      </c>
    </row>
    <row r="170" spans="2:20" x14ac:dyDescent="0.35">
      <c r="B170" s="78"/>
      <c r="C170" s="17"/>
      <c r="D170" s="16"/>
      <c r="E170" s="17"/>
      <c r="F170" s="17"/>
      <c r="G170" s="17"/>
      <c r="H170" s="16"/>
      <c r="K170" s="40">
        <v>2650.4500000000003</v>
      </c>
      <c r="T170" s="40">
        <v>2650.4500000000003</v>
      </c>
    </row>
    <row r="171" spans="2:20" x14ac:dyDescent="0.35">
      <c r="B171" s="17"/>
      <c r="C171" s="17"/>
      <c r="D171" s="19"/>
      <c r="E171" s="17"/>
      <c r="F171" s="17"/>
      <c r="G171" s="17"/>
      <c r="H171" s="19"/>
      <c r="K171" s="32">
        <f>SUM(K159:K170)</f>
        <v>32327.660000000003</v>
      </c>
      <c r="T171" s="32">
        <f>SUM(T159:T170)</f>
        <v>32327.660000000003</v>
      </c>
    </row>
    <row r="172" spans="2:20" x14ac:dyDescent="0.35">
      <c r="B172" s="17"/>
      <c r="C172" s="17"/>
      <c r="D172" s="17"/>
      <c r="E172" s="17"/>
      <c r="F172" s="17"/>
      <c r="G172" s="17"/>
      <c r="H172" s="17"/>
    </row>
    <row r="173" spans="2:20" ht="13.15" x14ac:dyDescent="0.4">
      <c r="B173" s="24"/>
      <c r="C173" s="17"/>
      <c r="D173" s="17"/>
      <c r="E173" s="17"/>
      <c r="F173" s="17"/>
      <c r="G173" s="17"/>
      <c r="H173" s="17"/>
    </row>
    <row r="174" spans="2:20" ht="13.15" x14ac:dyDescent="0.4">
      <c r="B174" s="24"/>
      <c r="C174" s="17"/>
      <c r="D174" s="24"/>
      <c r="E174" s="17"/>
      <c r="F174" s="24"/>
      <c r="G174" s="17"/>
      <c r="H174" s="24"/>
    </row>
    <row r="175" spans="2:20" x14ac:dyDescent="0.35">
      <c r="B175" s="17"/>
      <c r="C175" s="17"/>
      <c r="D175" s="17"/>
      <c r="E175" s="17"/>
      <c r="F175" s="17"/>
      <c r="G175" s="17"/>
      <c r="H175" s="17"/>
    </row>
    <row r="176" spans="2:20" x14ac:dyDescent="0.35">
      <c r="B176" s="78"/>
      <c r="C176" s="17"/>
      <c r="D176" s="16"/>
      <c r="E176" s="17"/>
      <c r="F176" s="42"/>
      <c r="G176" s="17"/>
      <c r="H176" s="23"/>
    </row>
    <row r="177" spans="2:20" x14ac:dyDescent="0.35">
      <c r="B177" s="78"/>
      <c r="C177" s="17"/>
      <c r="D177" s="16"/>
      <c r="E177" s="17"/>
      <c r="F177" s="42"/>
      <c r="G177" s="17"/>
      <c r="H177" s="23"/>
    </row>
    <row r="178" spans="2:20" x14ac:dyDescent="0.35">
      <c r="B178" s="78"/>
      <c r="C178" s="17"/>
      <c r="D178" s="16"/>
      <c r="E178" s="17"/>
      <c r="F178" s="42"/>
      <c r="G178" s="17"/>
      <c r="H178" s="23"/>
    </row>
    <row r="179" spans="2:20" x14ac:dyDescent="0.35">
      <c r="B179" s="78"/>
      <c r="C179" s="17"/>
      <c r="D179" s="16"/>
      <c r="E179" s="17"/>
      <c r="F179" s="42"/>
      <c r="G179" s="17"/>
      <c r="H179" s="23"/>
    </row>
    <row r="180" spans="2:20" x14ac:dyDescent="0.35">
      <c r="B180" s="78"/>
      <c r="C180" s="17"/>
      <c r="D180" s="16"/>
      <c r="E180" s="17"/>
      <c r="F180" s="42"/>
      <c r="G180" s="17"/>
      <c r="H180" s="23"/>
    </row>
    <row r="181" spans="2:20" x14ac:dyDescent="0.35">
      <c r="B181" s="78"/>
      <c r="C181" s="17"/>
      <c r="D181" s="16"/>
      <c r="E181" s="17"/>
      <c r="F181" s="42"/>
      <c r="G181" s="17"/>
      <c r="H181" s="23"/>
    </row>
    <row r="182" spans="2:20" x14ac:dyDescent="0.35">
      <c r="B182" s="78"/>
      <c r="C182" s="17"/>
      <c r="D182" s="16"/>
      <c r="E182" s="17"/>
      <c r="F182" s="42"/>
      <c r="G182" s="17"/>
      <c r="H182" s="23"/>
    </row>
    <row r="183" spans="2:20" x14ac:dyDescent="0.35">
      <c r="B183" s="78"/>
      <c r="C183" s="17"/>
      <c r="D183" s="16"/>
      <c r="E183" s="17"/>
      <c r="F183" s="42"/>
      <c r="G183" s="17"/>
      <c r="H183" s="23"/>
    </row>
    <row r="184" spans="2:20" x14ac:dyDescent="0.35">
      <c r="B184" s="78"/>
      <c r="C184" s="17"/>
      <c r="D184" s="16"/>
      <c r="E184" s="17"/>
      <c r="F184" s="42"/>
      <c r="G184" s="17"/>
      <c r="H184" s="23"/>
    </row>
    <row r="185" spans="2:20" x14ac:dyDescent="0.35">
      <c r="B185" s="78"/>
      <c r="C185" s="17"/>
      <c r="D185" s="16"/>
      <c r="E185" s="17"/>
      <c r="F185" s="42"/>
      <c r="G185" s="17"/>
      <c r="H185" s="23"/>
    </row>
    <row r="186" spans="2:20" x14ac:dyDescent="0.35">
      <c r="B186" s="78"/>
      <c r="C186" s="17"/>
      <c r="D186" s="16"/>
      <c r="E186" s="17"/>
      <c r="F186" s="42"/>
      <c r="G186" s="17"/>
      <c r="H186" s="23"/>
    </row>
    <row r="187" spans="2:20" x14ac:dyDescent="0.35">
      <c r="B187" s="78"/>
      <c r="C187" s="17"/>
      <c r="D187" s="16"/>
      <c r="E187" s="17"/>
      <c r="F187" s="42"/>
      <c r="G187" s="17"/>
      <c r="H187" s="23"/>
    </row>
    <row r="188" spans="2:20" x14ac:dyDescent="0.35">
      <c r="B188" s="17"/>
      <c r="C188" s="17"/>
      <c r="D188" s="19"/>
      <c r="E188" s="17"/>
      <c r="F188" s="17"/>
      <c r="G188" s="17"/>
      <c r="H188" s="15"/>
    </row>
    <row r="189" spans="2:20" x14ac:dyDescent="0.35">
      <c r="B189" s="17"/>
      <c r="C189" s="17"/>
      <c r="D189" s="17"/>
      <c r="E189" s="17"/>
      <c r="F189" s="17"/>
      <c r="G189" s="17"/>
      <c r="H189" s="17"/>
    </row>
    <row r="190" spans="2:20" ht="13.15" x14ac:dyDescent="0.4">
      <c r="B190" s="17"/>
      <c r="C190" s="17"/>
      <c r="D190" s="24"/>
      <c r="E190" s="17"/>
      <c r="F190" s="24"/>
      <c r="G190" s="17"/>
      <c r="H190" s="24"/>
      <c r="K190" s="70" t="s">
        <v>31</v>
      </c>
      <c r="T190" s="70" t="s">
        <v>31</v>
      </c>
    </row>
    <row r="191" spans="2:20" x14ac:dyDescent="0.35">
      <c r="B191" s="17"/>
      <c r="C191" s="17"/>
      <c r="D191" s="17"/>
      <c r="E191" s="17"/>
      <c r="F191" s="17"/>
      <c r="G191" s="17"/>
      <c r="H191" s="17"/>
      <c r="K191" s="17"/>
      <c r="T191" s="17"/>
    </row>
    <row r="192" spans="2:20" x14ac:dyDescent="0.35">
      <c r="B192" s="78"/>
      <c r="C192" s="17"/>
      <c r="D192" s="16"/>
      <c r="E192" s="17"/>
      <c r="F192" s="17"/>
      <c r="G192" s="17"/>
      <c r="H192" s="16"/>
      <c r="K192" s="57">
        <v>145595.97</v>
      </c>
      <c r="T192" s="57">
        <v>145595.97</v>
      </c>
    </row>
    <row r="193" spans="2:20" x14ac:dyDescent="0.35">
      <c r="B193" s="78"/>
      <c r="C193" s="17"/>
      <c r="D193" s="16"/>
      <c r="E193" s="17"/>
      <c r="F193" s="17"/>
      <c r="G193" s="17"/>
      <c r="H193" s="16"/>
      <c r="K193" s="57">
        <v>146047.73000000001</v>
      </c>
      <c r="T193" s="57">
        <v>146047.73000000001</v>
      </c>
    </row>
    <row r="194" spans="2:20" x14ac:dyDescent="0.35">
      <c r="B194" s="78"/>
      <c r="C194" s="17"/>
      <c r="D194" s="16"/>
      <c r="E194" s="17"/>
      <c r="F194" s="17"/>
      <c r="G194" s="17"/>
      <c r="H194" s="16"/>
      <c r="K194" s="57">
        <v>146320.74</v>
      </c>
      <c r="T194" s="57">
        <v>146320.74</v>
      </c>
    </row>
    <row r="195" spans="2:20" x14ac:dyDescent="0.35">
      <c r="B195" s="78"/>
      <c r="C195" s="17"/>
      <c r="D195" s="16"/>
      <c r="E195" s="17"/>
      <c r="F195" s="17"/>
      <c r="G195" s="17"/>
      <c r="H195" s="16"/>
      <c r="K195" s="57">
        <v>147167.18</v>
      </c>
      <c r="T195" s="57">
        <v>147167.18</v>
      </c>
    </row>
    <row r="196" spans="2:20" x14ac:dyDescent="0.35">
      <c r="B196" s="78"/>
      <c r="C196" s="17"/>
      <c r="D196" s="16"/>
      <c r="E196" s="17"/>
      <c r="F196" s="17"/>
      <c r="G196" s="17"/>
      <c r="H196" s="16"/>
      <c r="K196" s="57">
        <v>148300.14000000001</v>
      </c>
      <c r="T196" s="57">
        <v>148300.14000000001</v>
      </c>
    </row>
    <row r="197" spans="2:20" x14ac:dyDescent="0.35">
      <c r="B197" s="78"/>
      <c r="C197" s="17"/>
      <c r="D197" s="16"/>
      <c r="E197" s="17"/>
      <c r="F197" s="17"/>
      <c r="G197" s="17"/>
      <c r="H197" s="16"/>
      <c r="K197" s="57">
        <v>148560.66</v>
      </c>
      <c r="T197" s="57">
        <v>148560.66</v>
      </c>
    </row>
    <row r="198" spans="2:20" x14ac:dyDescent="0.35">
      <c r="B198" s="78"/>
      <c r="C198" s="17"/>
      <c r="D198" s="16"/>
      <c r="E198" s="17"/>
      <c r="F198" s="17"/>
      <c r="G198" s="17"/>
      <c r="H198" s="16"/>
      <c r="K198" s="57">
        <v>148785.44</v>
      </c>
      <c r="T198" s="57">
        <v>148785.44</v>
      </c>
    </row>
    <row r="199" spans="2:20" x14ac:dyDescent="0.35">
      <c r="B199" s="78"/>
      <c r="C199" s="17"/>
      <c r="D199" s="16"/>
      <c r="E199" s="17"/>
      <c r="F199" s="17"/>
      <c r="G199" s="17"/>
      <c r="H199" s="16"/>
      <c r="K199" s="57">
        <v>149287.67999999999</v>
      </c>
      <c r="T199" s="57">
        <v>149287.67999999999</v>
      </c>
    </row>
    <row r="200" spans="2:20" x14ac:dyDescent="0.35">
      <c r="B200" s="78"/>
      <c r="C200" s="17"/>
      <c r="D200" s="16"/>
      <c r="E200" s="17"/>
      <c r="F200" s="17"/>
      <c r="G200" s="17"/>
      <c r="H200" s="16"/>
      <c r="K200" s="57">
        <v>149288.14000000001</v>
      </c>
      <c r="T200" s="57">
        <v>149288.14000000001</v>
      </c>
    </row>
    <row r="201" spans="2:20" x14ac:dyDescent="0.35">
      <c r="B201" s="78"/>
      <c r="C201" s="17"/>
      <c r="D201" s="16"/>
      <c r="E201" s="17"/>
      <c r="F201" s="17"/>
      <c r="G201" s="17"/>
      <c r="H201" s="16"/>
      <c r="K201" s="57">
        <v>149946.28</v>
      </c>
      <c r="T201" s="57">
        <v>149946.28</v>
      </c>
    </row>
    <row r="202" spans="2:20" x14ac:dyDescent="0.35">
      <c r="B202" s="78"/>
      <c r="C202" s="17"/>
      <c r="D202" s="16"/>
      <c r="E202" s="17"/>
      <c r="F202" s="17"/>
      <c r="G202" s="17"/>
      <c r="H202" s="16"/>
      <c r="K202" s="57">
        <v>150685.5</v>
      </c>
      <c r="T202" s="57">
        <v>150685.5</v>
      </c>
    </row>
    <row r="203" spans="2:20" x14ac:dyDescent="0.35">
      <c r="B203" s="78"/>
      <c r="C203" s="17"/>
      <c r="D203" s="16"/>
      <c r="E203" s="17"/>
      <c r="F203" s="17"/>
      <c r="G203" s="17"/>
      <c r="H203" s="16"/>
      <c r="K203" s="40">
        <v>150975.03</v>
      </c>
      <c r="T203" s="40">
        <v>150975.03</v>
      </c>
    </row>
    <row r="204" spans="2:20" x14ac:dyDescent="0.35">
      <c r="B204" s="17"/>
      <c r="C204" s="17"/>
      <c r="D204" s="19"/>
      <c r="E204" s="17"/>
      <c r="F204" s="17"/>
      <c r="G204" s="17"/>
      <c r="H204" s="19"/>
      <c r="K204" s="32">
        <f>SUM(K192:K203)</f>
        <v>1780960.4900000002</v>
      </c>
      <c r="T204" s="32">
        <f>SUM(T192:T203)</f>
        <v>1780960.4900000002</v>
      </c>
    </row>
    <row r="205" spans="2:20" x14ac:dyDescent="0.35">
      <c r="B205" s="17"/>
      <c r="C205" s="17"/>
      <c r="D205" s="17"/>
      <c r="E205" s="17"/>
      <c r="F205" s="17"/>
      <c r="G205" s="17"/>
      <c r="H205" s="17"/>
    </row>
    <row r="206" spans="2:20" ht="13.15" x14ac:dyDescent="0.4">
      <c r="B206" s="24"/>
      <c r="C206" s="17"/>
      <c r="D206" s="17"/>
      <c r="E206" s="17"/>
      <c r="F206" s="17"/>
      <c r="G206" s="17"/>
      <c r="H206" s="17"/>
    </row>
    <row r="207" spans="2:20" ht="13.15" x14ac:dyDescent="0.4">
      <c r="B207" s="24"/>
      <c r="C207" s="17"/>
      <c r="D207" s="24"/>
      <c r="E207" s="17"/>
      <c r="F207" s="24"/>
      <c r="G207" s="17"/>
      <c r="H207" s="24"/>
    </row>
    <row r="208" spans="2:20" x14ac:dyDescent="0.35">
      <c r="B208" s="17"/>
      <c r="C208" s="17"/>
      <c r="D208" s="17"/>
      <c r="E208" s="17"/>
      <c r="F208" s="17"/>
      <c r="G208" s="17"/>
      <c r="H208" s="17"/>
    </row>
    <row r="209" spans="2:20" x14ac:dyDescent="0.35">
      <c r="B209" s="78"/>
      <c r="C209" s="17"/>
      <c r="D209" s="16"/>
      <c r="E209" s="17"/>
      <c r="F209" s="42"/>
      <c r="G209" s="17"/>
      <c r="H209" s="23"/>
    </row>
    <row r="210" spans="2:20" x14ac:dyDescent="0.35">
      <c r="B210" s="78"/>
      <c r="C210" s="17"/>
      <c r="D210" s="16"/>
      <c r="E210" s="17"/>
      <c r="F210" s="42"/>
      <c r="G210" s="17"/>
      <c r="H210" s="23"/>
    </row>
    <row r="211" spans="2:20" x14ac:dyDescent="0.35">
      <c r="B211" s="78"/>
      <c r="C211" s="17"/>
      <c r="D211" s="16"/>
      <c r="E211" s="17"/>
      <c r="F211" s="42"/>
      <c r="G211" s="17"/>
      <c r="H211" s="23"/>
    </row>
    <row r="212" spans="2:20" x14ac:dyDescent="0.35">
      <c r="B212" s="78"/>
      <c r="C212" s="17"/>
      <c r="D212" s="16"/>
      <c r="E212" s="17"/>
      <c r="F212" s="42"/>
      <c r="G212" s="17"/>
      <c r="H212" s="23"/>
    </row>
    <row r="213" spans="2:20" x14ac:dyDescent="0.35">
      <c r="B213" s="78"/>
      <c r="C213" s="17"/>
      <c r="D213" s="16"/>
      <c r="E213" s="17"/>
      <c r="F213" s="42"/>
      <c r="G213" s="17"/>
      <c r="H213" s="23"/>
    </row>
    <row r="214" spans="2:20" x14ac:dyDescent="0.35">
      <c r="B214" s="78"/>
      <c r="C214" s="17"/>
      <c r="D214" s="16"/>
      <c r="E214" s="17"/>
      <c r="F214" s="42"/>
      <c r="G214" s="17"/>
      <c r="H214" s="23"/>
    </row>
    <row r="215" spans="2:20" x14ac:dyDescent="0.35">
      <c r="B215" s="78"/>
      <c r="C215" s="17"/>
      <c r="D215" s="16"/>
      <c r="E215" s="17"/>
      <c r="F215" s="42"/>
      <c r="G215" s="17"/>
      <c r="H215" s="23"/>
    </row>
    <row r="216" spans="2:20" x14ac:dyDescent="0.35">
      <c r="B216" s="78"/>
      <c r="C216" s="17"/>
      <c r="D216" s="16"/>
      <c r="E216" s="17"/>
      <c r="F216" s="42"/>
      <c r="G216" s="17"/>
      <c r="H216" s="23"/>
    </row>
    <row r="217" spans="2:20" x14ac:dyDescent="0.35">
      <c r="B217" s="78"/>
      <c r="C217" s="17"/>
      <c r="D217" s="16"/>
      <c r="E217" s="17"/>
      <c r="F217" s="42"/>
      <c r="G217" s="17"/>
      <c r="H217" s="23"/>
    </row>
    <row r="218" spans="2:20" x14ac:dyDescent="0.35">
      <c r="B218" s="78"/>
      <c r="C218" s="17"/>
      <c r="D218" s="16"/>
      <c r="E218" s="17"/>
      <c r="F218" s="42"/>
      <c r="G218" s="17"/>
      <c r="H218" s="23"/>
    </row>
    <row r="219" spans="2:20" x14ac:dyDescent="0.35">
      <c r="B219" s="78"/>
      <c r="C219" s="17"/>
      <c r="D219" s="16"/>
      <c r="E219" s="17"/>
      <c r="F219" s="42"/>
      <c r="G219" s="17"/>
      <c r="H219" s="23"/>
    </row>
    <row r="220" spans="2:20" x14ac:dyDescent="0.35">
      <c r="B220" s="78"/>
      <c r="C220" s="17"/>
      <c r="D220" s="16"/>
      <c r="E220" s="17"/>
      <c r="F220" s="42"/>
      <c r="G220" s="17"/>
      <c r="H220" s="23"/>
    </row>
    <row r="221" spans="2:20" x14ac:dyDescent="0.35">
      <c r="B221" s="17"/>
      <c r="C221" s="17"/>
      <c r="D221" s="19"/>
      <c r="E221" s="17"/>
      <c r="F221" s="17"/>
      <c r="G221" s="17"/>
      <c r="H221" s="15"/>
    </row>
    <row r="222" spans="2:20" x14ac:dyDescent="0.35">
      <c r="B222" s="17"/>
      <c r="C222" s="17"/>
      <c r="D222" s="17"/>
      <c r="E222" s="17"/>
      <c r="F222" s="17"/>
      <c r="G222" s="17"/>
      <c r="H222" s="17"/>
    </row>
    <row r="223" spans="2:20" ht="13.15" x14ac:dyDescent="0.4">
      <c r="B223" s="17"/>
      <c r="C223" s="17"/>
      <c r="D223" s="24"/>
      <c r="E223" s="17"/>
      <c r="F223" s="24"/>
      <c r="G223" s="17"/>
      <c r="H223" s="24"/>
      <c r="K223" s="70" t="s">
        <v>31</v>
      </c>
      <c r="T223" s="70" t="s">
        <v>31</v>
      </c>
    </row>
    <row r="224" spans="2:20" x14ac:dyDescent="0.35">
      <c r="B224" s="17"/>
      <c r="C224" s="17"/>
      <c r="D224" s="17"/>
      <c r="E224" s="17"/>
      <c r="F224" s="17"/>
      <c r="G224" s="17"/>
      <c r="H224" s="17"/>
      <c r="K224" s="17"/>
      <c r="T224" s="17"/>
    </row>
    <row r="225" spans="2:20" x14ac:dyDescent="0.35">
      <c r="B225" s="78"/>
      <c r="C225" s="17"/>
      <c r="D225" s="16"/>
      <c r="E225" s="17"/>
      <c r="F225" s="17"/>
      <c r="G225" s="17"/>
      <c r="H225" s="16"/>
      <c r="K225" s="57">
        <v>17191.09</v>
      </c>
      <c r="T225" s="57">
        <v>17191.09</v>
      </c>
    </row>
    <row r="226" spans="2:20" x14ac:dyDescent="0.35">
      <c r="B226" s="78"/>
      <c r="C226" s="17"/>
      <c r="D226" s="16"/>
      <c r="E226" s="17"/>
      <c r="F226" s="17"/>
      <c r="G226" s="17"/>
      <c r="H226" s="16"/>
      <c r="K226" s="57">
        <v>17289.43</v>
      </c>
      <c r="T226" s="57">
        <v>17289.43</v>
      </c>
    </row>
    <row r="227" spans="2:20" x14ac:dyDescent="0.35">
      <c r="B227" s="78"/>
      <c r="C227" s="17"/>
      <c r="D227" s="16"/>
      <c r="E227" s="17"/>
      <c r="F227" s="17"/>
      <c r="G227" s="17"/>
      <c r="H227" s="16"/>
      <c r="K227" s="57">
        <v>17386.8</v>
      </c>
      <c r="T227" s="57">
        <v>17386.8</v>
      </c>
    </row>
    <row r="228" spans="2:20" x14ac:dyDescent="0.35">
      <c r="B228" s="78"/>
      <c r="C228" s="17"/>
      <c r="D228" s="16"/>
      <c r="E228" s="17"/>
      <c r="F228" s="17"/>
      <c r="G228" s="17"/>
      <c r="H228" s="16"/>
      <c r="K228" s="57">
        <v>17437.060000000001</v>
      </c>
      <c r="T228" s="57">
        <v>17437.060000000001</v>
      </c>
    </row>
    <row r="229" spans="2:20" x14ac:dyDescent="0.35">
      <c r="B229" s="78"/>
      <c r="C229" s="17"/>
      <c r="D229" s="16"/>
      <c r="E229" s="17"/>
      <c r="F229" s="17"/>
      <c r="G229" s="17"/>
      <c r="H229" s="16"/>
      <c r="K229" s="57">
        <v>17616</v>
      </c>
      <c r="T229" s="57">
        <v>17616</v>
      </c>
    </row>
    <row r="230" spans="2:20" x14ac:dyDescent="0.35">
      <c r="B230" s="78"/>
      <c r="C230" s="17"/>
      <c r="D230" s="16"/>
      <c r="E230" s="17"/>
      <c r="F230" s="17"/>
      <c r="G230" s="17"/>
      <c r="H230" s="16"/>
      <c r="K230" s="57">
        <v>17651.79</v>
      </c>
      <c r="T230" s="57">
        <v>17651.79</v>
      </c>
    </row>
    <row r="231" spans="2:20" x14ac:dyDescent="0.35">
      <c r="B231" s="78"/>
      <c r="C231" s="17"/>
      <c r="D231" s="16"/>
      <c r="E231" s="17"/>
      <c r="F231" s="17"/>
      <c r="G231" s="17"/>
      <c r="H231" s="16"/>
      <c r="K231" s="57">
        <v>17716.650000000001</v>
      </c>
      <c r="T231" s="57">
        <v>17716.650000000001</v>
      </c>
    </row>
    <row r="232" spans="2:20" x14ac:dyDescent="0.35">
      <c r="B232" s="78"/>
      <c r="C232" s="17"/>
      <c r="D232" s="16"/>
      <c r="E232" s="17"/>
      <c r="F232" s="17"/>
      <c r="G232" s="17"/>
      <c r="H232" s="16"/>
      <c r="K232" s="57">
        <v>17919.09</v>
      </c>
      <c r="T232" s="57">
        <v>17919.09</v>
      </c>
    </row>
    <row r="233" spans="2:20" x14ac:dyDescent="0.35">
      <c r="B233" s="78"/>
      <c r="C233" s="17"/>
      <c r="D233" s="16"/>
      <c r="E233" s="17"/>
      <c r="F233" s="17"/>
      <c r="G233" s="17"/>
      <c r="H233" s="16"/>
      <c r="K233" s="57">
        <v>17934.73</v>
      </c>
      <c r="T233" s="57">
        <v>17934.73</v>
      </c>
    </row>
    <row r="234" spans="2:20" x14ac:dyDescent="0.35">
      <c r="B234" s="78"/>
      <c r="C234" s="17"/>
      <c r="D234" s="16"/>
      <c r="E234" s="17"/>
      <c r="F234" s="17"/>
      <c r="G234" s="17"/>
      <c r="H234" s="16"/>
      <c r="K234" s="57">
        <v>18149.47</v>
      </c>
      <c r="T234" s="57">
        <v>18149.47</v>
      </c>
    </row>
    <row r="235" spans="2:20" x14ac:dyDescent="0.35">
      <c r="B235" s="78"/>
      <c r="C235" s="17"/>
      <c r="D235" s="16"/>
      <c r="E235" s="17"/>
      <c r="F235" s="17"/>
      <c r="G235" s="17"/>
      <c r="H235" s="16"/>
      <c r="K235" s="57">
        <v>18270.260000000002</v>
      </c>
      <c r="T235" s="57">
        <v>18270.260000000002</v>
      </c>
    </row>
    <row r="236" spans="2:20" x14ac:dyDescent="0.35">
      <c r="B236" s="78"/>
      <c r="C236" s="17"/>
      <c r="D236" s="16"/>
      <c r="E236" s="17"/>
      <c r="F236" s="17"/>
      <c r="G236" s="17"/>
      <c r="H236" s="16"/>
      <c r="K236" s="40">
        <v>18665</v>
      </c>
      <c r="T236" s="40">
        <v>18665</v>
      </c>
    </row>
    <row r="237" spans="2:20" x14ac:dyDescent="0.35">
      <c r="B237" s="17"/>
      <c r="C237" s="17"/>
      <c r="D237" s="19"/>
      <c r="E237" s="17"/>
      <c r="F237" s="17"/>
      <c r="G237" s="17"/>
      <c r="H237" s="19"/>
      <c r="K237" s="32">
        <f>SUM(K225:K236)</f>
        <v>213227.37000000002</v>
      </c>
      <c r="T237" s="32">
        <f>SUM(T225:T236)</f>
        <v>213227.37000000002</v>
      </c>
    </row>
    <row r="238" spans="2:20" x14ac:dyDescent="0.35">
      <c r="B238" s="17"/>
      <c r="C238" s="17"/>
      <c r="D238" s="17"/>
      <c r="E238" s="17"/>
      <c r="F238" s="17"/>
      <c r="G238" s="17"/>
      <c r="H238" s="17"/>
    </row>
    <row r="239" spans="2:20" ht="13.15" x14ac:dyDescent="0.4">
      <c r="B239" s="24"/>
      <c r="C239" s="17"/>
      <c r="D239" s="17"/>
      <c r="E239" s="17"/>
      <c r="F239" s="17"/>
      <c r="G239" s="17"/>
      <c r="H239" s="17"/>
    </row>
    <row r="240" spans="2:20" ht="13.15" x14ac:dyDescent="0.4">
      <c r="B240" s="24"/>
      <c r="C240" s="17"/>
      <c r="D240" s="24"/>
      <c r="E240" s="17"/>
      <c r="F240" s="17"/>
      <c r="G240" s="17"/>
      <c r="H240" s="17"/>
    </row>
    <row r="241" spans="2:8" x14ac:dyDescent="0.35">
      <c r="B241" s="17"/>
      <c r="C241" s="17"/>
      <c r="D241" s="17"/>
      <c r="E241" s="17"/>
      <c r="F241" s="17"/>
      <c r="G241" s="17"/>
      <c r="H241" s="17"/>
    </row>
    <row r="242" spans="2:8" x14ac:dyDescent="0.35">
      <c r="B242" s="78"/>
      <c r="C242" s="17"/>
      <c r="D242" s="16"/>
      <c r="E242" s="17"/>
      <c r="F242" s="17"/>
      <c r="G242" s="17"/>
      <c r="H242" s="17"/>
    </row>
    <row r="243" spans="2:8" x14ac:dyDescent="0.35">
      <c r="B243" s="78"/>
      <c r="C243" s="17"/>
      <c r="D243" s="16"/>
      <c r="E243" s="17"/>
      <c r="F243" s="17"/>
      <c r="G243" s="17"/>
      <c r="H243" s="17"/>
    </row>
    <row r="244" spans="2:8" x14ac:dyDescent="0.35">
      <c r="B244" s="78"/>
      <c r="C244" s="17"/>
      <c r="D244" s="16"/>
      <c r="E244" s="17"/>
      <c r="F244" s="17"/>
      <c r="G244" s="17"/>
      <c r="H244" s="17"/>
    </row>
    <row r="245" spans="2:8" x14ac:dyDescent="0.35">
      <c r="B245" s="78"/>
      <c r="C245" s="17"/>
      <c r="D245" s="16"/>
      <c r="E245" s="17"/>
      <c r="F245" s="17"/>
      <c r="G245" s="17"/>
      <c r="H245" s="17"/>
    </row>
    <row r="246" spans="2:8" x14ac:dyDescent="0.35">
      <c r="B246" s="78"/>
      <c r="C246" s="17"/>
      <c r="D246" s="16"/>
      <c r="E246" s="17"/>
      <c r="F246" s="17"/>
      <c r="G246" s="17"/>
      <c r="H246" s="17"/>
    </row>
    <row r="247" spans="2:8" x14ac:dyDescent="0.35">
      <c r="B247" s="78"/>
      <c r="C247" s="17"/>
      <c r="D247" s="16"/>
      <c r="E247" s="17"/>
      <c r="F247" s="17"/>
      <c r="G247" s="17"/>
      <c r="H247" s="17"/>
    </row>
    <row r="248" spans="2:8" x14ac:dyDescent="0.35">
      <c r="B248" s="78"/>
      <c r="C248" s="17"/>
      <c r="D248" s="16"/>
      <c r="E248" s="17"/>
      <c r="F248" s="17"/>
      <c r="G248" s="17"/>
      <c r="H248" s="17"/>
    </row>
    <row r="249" spans="2:8" x14ac:dyDescent="0.35">
      <c r="B249" s="78"/>
      <c r="C249" s="17"/>
      <c r="D249" s="16"/>
      <c r="E249" s="17"/>
      <c r="F249" s="17"/>
      <c r="G249" s="17"/>
      <c r="H249" s="17"/>
    </row>
    <row r="250" spans="2:8" x14ac:dyDescent="0.35">
      <c r="B250" s="78"/>
      <c r="C250" s="17"/>
      <c r="D250" s="16"/>
      <c r="E250" s="17"/>
      <c r="F250" s="17"/>
      <c r="G250" s="17"/>
      <c r="H250" s="17"/>
    </row>
    <row r="251" spans="2:8" x14ac:dyDescent="0.35">
      <c r="B251" s="78"/>
      <c r="C251" s="17"/>
      <c r="D251" s="16"/>
      <c r="E251" s="17"/>
      <c r="F251" s="17"/>
      <c r="G251" s="17"/>
      <c r="H251" s="17"/>
    </row>
    <row r="252" spans="2:8" x14ac:dyDescent="0.35">
      <c r="B252" s="78"/>
      <c r="C252" s="17"/>
      <c r="D252" s="16"/>
      <c r="E252" s="17"/>
      <c r="F252" s="17"/>
      <c r="G252" s="17"/>
      <c r="H252" s="17"/>
    </row>
    <row r="253" spans="2:8" x14ac:dyDescent="0.35">
      <c r="B253" s="78"/>
      <c r="C253" s="17"/>
      <c r="D253" s="16"/>
      <c r="E253" s="17"/>
      <c r="F253" s="17"/>
      <c r="G253" s="17"/>
      <c r="H253" s="17"/>
    </row>
    <row r="254" spans="2:8" x14ac:dyDescent="0.35">
      <c r="B254" s="17"/>
      <c r="C254" s="17"/>
      <c r="D254" s="19"/>
      <c r="E254" s="17"/>
      <c r="F254" s="17"/>
      <c r="G254" s="17"/>
      <c r="H254" s="17"/>
    </row>
    <row r="255" spans="2:8" x14ac:dyDescent="0.35">
      <c r="B255" s="17"/>
      <c r="C255" s="17"/>
      <c r="D255" s="17"/>
      <c r="E255" s="17"/>
      <c r="F255" s="17"/>
      <c r="G255" s="17"/>
      <c r="H255" s="17"/>
    </row>
    <row r="256" spans="2:8" x14ac:dyDescent="0.35">
      <c r="B256" s="17"/>
      <c r="C256" s="17"/>
      <c r="D256" s="17"/>
      <c r="E256" s="17"/>
      <c r="F256" s="17"/>
      <c r="G256" s="17"/>
      <c r="H256" s="17"/>
    </row>
    <row r="257" spans="2:8" ht="13.15" x14ac:dyDescent="0.4">
      <c r="B257" s="24"/>
      <c r="C257" s="17"/>
      <c r="D257" s="17"/>
      <c r="E257" s="17"/>
      <c r="F257" s="17"/>
      <c r="G257" s="17"/>
      <c r="H257" s="17"/>
    </row>
    <row r="258" spans="2:8" ht="13.15" x14ac:dyDescent="0.4">
      <c r="B258" s="24"/>
      <c r="C258" s="17"/>
      <c r="D258" s="24"/>
      <c r="E258" s="17"/>
      <c r="F258" s="17"/>
      <c r="G258" s="17"/>
      <c r="H258" s="17"/>
    </row>
    <row r="259" spans="2:8" x14ac:dyDescent="0.35">
      <c r="B259" s="17"/>
      <c r="C259" s="17"/>
      <c r="D259" s="17"/>
      <c r="E259" s="17"/>
      <c r="F259" s="17"/>
      <c r="G259" s="17"/>
      <c r="H259" s="17"/>
    </row>
    <row r="260" spans="2:8" x14ac:dyDescent="0.35">
      <c r="B260" s="78"/>
      <c r="C260" s="17"/>
      <c r="D260" s="16"/>
      <c r="E260" s="17"/>
      <c r="F260" s="17"/>
      <c r="G260" s="17"/>
      <c r="H260" s="17"/>
    </row>
    <row r="261" spans="2:8" x14ac:dyDescent="0.35">
      <c r="B261" s="78"/>
      <c r="C261" s="17"/>
      <c r="D261" s="16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78"/>
      <c r="C263" s="17"/>
      <c r="D263" s="16"/>
      <c r="E263" s="17"/>
      <c r="F263" s="17"/>
      <c r="G263" s="17"/>
      <c r="H263" s="17"/>
    </row>
    <row r="264" spans="2:8" x14ac:dyDescent="0.35">
      <c r="B264" s="78"/>
      <c r="C264" s="17"/>
      <c r="D264" s="16"/>
      <c r="E264" s="17"/>
      <c r="F264" s="17"/>
      <c r="G264" s="17"/>
      <c r="H264" s="17"/>
    </row>
    <row r="265" spans="2:8" x14ac:dyDescent="0.35">
      <c r="B265" s="78"/>
      <c r="C265" s="17"/>
      <c r="D265" s="16"/>
      <c r="E265" s="17"/>
      <c r="F265" s="17"/>
      <c r="G265" s="17"/>
      <c r="H265" s="17"/>
    </row>
    <row r="266" spans="2:8" x14ac:dyDescent="0.35">
      <c r="B266" s="78"/>
      <c r="C266" s="17"/>
      <c r="D266" s="16"/>
      <c r="E266" s="17"/>
      <c r="F266" s="17"/>
      <c r="G266" s="17"/>
      <c r="H266" s="17"/>
    </row>
    <row r="267" spans="2:8" x14ac:dyDescent="0.35">
      <c r="B267" s="78"/>
      <c r="C267" s="17"/>
      <c r="D267" s="16"/>
      <c r="E267" s="17"/>
      <c r="F267" s="17"/>
      <c r="G267" s="17"/>
      <c r="H267" s="17"/>
    </row>
    <row r="268" spans="2:8" x14ac:dyDescent="0.35">
      <c r="B268" s="78"/>
      <c r="C268" s="17"/>
      <c r="D268" s="16"/>
      <c r="E268" s="17"/>
      <c r="F268" s="17"/>
      <c r="G268" s="17"/>
      <c r="H268" s="17"/>
    </row>
    <row r="269" spans="2:8" x14ac:dyDescent="0.35">
      <c r="B269" s="78"/>
      <c r="C269" s="17"/>
      <c r="D269" s="16"/>
      <c r="E269" s="17"/>
      <c r="F269" s="17"/>
      <c r="G269" s="17"/>
      <c r="H269" s="17"/>
    </row>
    <row r="270" spans="2:8" x14ac:dyDescent="0.35">
      <c r="B270" s="78"/>
      <c r="C270" s="17"/>
      <c r="D270" s="16"/>
      <c r="E270" s="17"/>
      <c r="F270" s="17"/>
      <c r="G270" s="17"/>
      <c r="H270" s="17"/>
    </row>
    <row r="271" spans="2:8" x14ac:dyDescent="0.35">
      <c r="B271" s="78"/>
      <c r="C271" s="17"/>
      <c r="D271" s="16"/>
      <c r="E271" s="17"/>
      <c r="F271" s="17"/>
      <c r="G271" s="17"/>
      <c r="H271" s="17"/>
    </row>
    <row r="272" spans="2:8" x14ac:dyDescent="0.35">
      <c r="B272" s="17"/>
      <c r="C272" s="17"/>
      <c r="D272" s="19"/>
      <c r="E272" s="17"/>
      <c r="F272" s="17"/>
      <c r="G272" s="17"/>
      <c r="H272" s="17"/>
    </row>
    <row r="273" spans="2:8" x14ac:dyDescent="0.35">
      <c r="B273" s="17"/>
      <c r="C273" s="17"/>
      <c r="D273" s="17"/>
      <c r="E273" s="17"/>
      <c r="F273" s="17"/>
      <c r="G273" s="17"/>
      <c r="H273" s="17"/>
    </row>
    <row r="274" spans="2:8" x14ac:dyDescent="0.35">
      <c r="B274" s="17"/>
      <c r="C274" s="17"/>
      <c r="D274" s="17"/>
      <c r="E274" s="17"/>
      <c r="F274" s="17"/>
      <c r="G274" s="17"/>
      <c r="H274" s="17"/>
    </row>
  </sheetData>
  <mergeCells count="5">
    <mergeCell ref="D4:H5"/>
    <mergeCell ref="M4:Q5"/>
    <mergeCell ref="AE4:AI5"/>
    <mergeCell ref="AN4:AR5"/>
    <mergeCell ref="V4:Z5"/>
  </mergeCells>
  <phoneticPr fontId="0" type="noConversion"/>
  <pageMargins left="0.75" right="0.75" top="1" bottom="1" header="0.5" footer="0.5"/>
  <pageSetup scale="70" orientation="landscape" r:id="rId1"/>
  <headerFooter alignWithMargins="0"/>
  <colBreaks count="2" manualBreakCount="2">
    <brk id="17" max="45" man="1"/>
    <brk id="2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97"/>
  <sheetViews>
    <sheetView view="pageBreakPreview" zoomScaleNormal="100" zoomScaleSheetLayoutView="100" workbookViewId="0">
      <selection activeCell="A3" sqref="A3:B3"/>
    </sheetView>
  </sheetViews>
  <sheetFormatPr defaultRowHeight="12.75" x14ac:dyDescent="0.35"/>
  <cols>
    <col min="1" max="1" width="4.1328125" customWidth="1"/>
    <col min="2" max="2" width="26.59765625" bestFit="1" customWidth="1"/>
    <col min="3" max="3" width="12.86328125" customWidth="1"/>
    <col min="4" max="4" width="3" customWidth="1"/>
    <col min="5" max="5" width="11.73046875" customWidth="1"/>
    <col min="6" max="6" width="2.86328125" customWidth="1"/>
    <col min="7" max="7" width="16.1328125" customWidth="1"/>
    <col min="8" max="8" width="3.1328125" customWidth="1"/>
    <col min="9" max="9" width="4.1328125" customWidth="1"/>
    <col min="10" max="10" width="26.59765625" customWidth="1"/>
    <col min="11" max="11" width="3.265625" customWidth="1"/>
    <col min="12" max="12" width="12.1328125" customWidth="1"/>
    <col min="13" max="13" width="3" customWidth="1"/>
    <col min="14" max="14" width="11.73046875" customWidth="1"/>
    <col min="15" max="15" width="2.86328125" customWidth="1"/>
    <col min="16" max="16" width="16" customWidth="1"/>
    <col min="17" max="17" width="4.59765625" customWidth="1"/>
    <col min="18" max="18" width="4.1328125" customWidth="1"/>
    <col min="19" max="19" width="26.59765625" customWidth="1"/>
    <col min="20" max="20" width="3.265625" customWidth="1"/>
    <col min="21" max="21" width="12.1328125" customWidth="1"/>
    <col min="22" max="22" width="3" customWidth="1"/>
    <col min="23" max="23" width="11.73046875" customWidth="1"/>
    <col min="24" max="24" width="2.86328125" customWidth="1"/>
    <col min="25" max="25" width="16" customWidth="1"/>
    <col min="26" max="26" width="3.73046875" customWidth="1"/>
    <col min="27" max="27" width="4.1328125" customWidth="1"/>
    <col min="28" max="28" width="26.59765625" customWidth="1"/>
    <col min="29" max="29" width="4.265625" customWidth="1"/>
    <col min="30" max="30" width="11.73046875" customWidth="1"/>
    <col min="31" max="31" width="3" customWidth="1"/>
    <col min="32" max="32" width="11.73046875" customWidth="1"/>
    <col min="33" max="33" width="2.86328125" customWidth="1"/>
    <col min="34" max="34" width="15.3984375" customWidth="1"/>
    <col min="36" max="36" width="4.1328125" customWidth="1"/>
    <col min="37" max="37" width="26.59765625" customWidth="1"/>
    <col min="38" max="38" width="4.265625" customWidth="1"/>
    <col min="39" max="39" width="11.73046875" customWidth="1"/>
    <col min="40" max="40" width="3" customWidth="1"/>
    <col min="41" max="41" width="11.73046875" customWidth="1"/>
    <col min="42" max="42" width="2.86328125" customWidth="1"/>
    <col min="43" max="43" width="15.3984375" customWidth="1"/>
  </cols>
  <sheetData>
    <row r="1" spans="1:43" ht="13.15" x14ac:dyDescent="0.4">
      <c r="A1" s="34" t="s">
        <v>35</v>
      </c>
      <c r="I1" s="34"/>
      <c r="R1" s="34"/>
      <c r="AA1" s="34"/>
      <c r="AJ1" s="34"/>
    </row>
    <row r="2" spans="1:43" ht="13.15" x14ac:dyDescent="0.4">
      <c r="A2" s="34" t="s">
        <v>47</v>
      </c>
      <c r="I2" s="34"/>
      <c r="R2" s="34"/>
      <c r="AA2" s="34"/>
      <c r="AJ2" s="34"/>
    </row>
    <row r="3" spans="1:43" ht="13.15" x14ac:dyDescent="0.4">
      <c r="A3" s="34"/>
      <c r="B3" s="28"/>
      <c r="I3" s="34"/>
      <c r="J3" s="28"/>
      <c r="K3" s="28"/>
      <c r="R3" s="34"/>
      <c r="S3" s="28"/>
      <c r="T3" s="28"/>
      <c r="AA3" s="34"/>
      <c r="AB3" s="28"/>
      <c r="AC3" s="28"/>
      <c r="AJ3" s="34"/>
      <c r="AK3" s="28"/>
      <c r="AL3" s="28"/>
    </row>
    <row r="5" spans="1:43" ht="12.75" customHeight="1" x14ac:dyDescent="0.4">
      <c r="A5" s="25"/>
      <c r="C5" s="149" t="s">
        <v>25</v>
      </c>
      <c r="D5" s="150"/>
      <c r="E5" s="150"/>
      <c r="F5" s="150"/>
      <c r="G5" s="151"/>
      <c r="H5" s="25"/>
      <c r="I5" s="25"/>
      <c r="L5" s="149" t="s">
        <v>173</v>
      </c>
      <c r="M5" s="150"/>
      <c r="N5" s="150"/>
      <c r="O5" s="150"/>
      <c r="P5" s="151"/>
      <c r="Q5" s="87"/>
      <c r="R5" s="87"/>
      <c r="U5" s="149" t="s">
        <v>198</v>
      </c>
      <c r="V5" s="150"/>
      <c r="W5" s="150"/>
      <c r="X5" s="150"/>
      <c r="Y5" s="151"/>
      <c r="AA5" s="25"/>
      <c r="AD5" s="155" t="s">
        <v>195</v>
      </c>
      <c r="AE5" s="156"/>
      <c r="AF5" s="156"/>
      <c r="AG5" s="156"/>
      <c r="AH5" s="157"/>
      <c r="AJ5" s="87"/>
      <c r="AM5" s="155" t="s">
        <v>194</v>
      </c>
      <c r="AN5" s="156"/>
      <c r="AO5" s="156"/>
      <c r="AP5" s="156"/>
      <c r="AQ5" s="157"/>
    </row>
    <row r="6" spans="1:43" ht="13.15" x14ac:dyDescent="0.4">
      <c r="A6" s="25"/>
      <c r="C6" s="152"/>
      <c r="D6" s="153"/>
      <c r="E6" s="153"/>
      <c r="F6" s="153"/>
      <c r="G6" s="154"/>
      <c r="H6" s="25"/>
      <c r="I6" s="25"/>
      <c r="L6" s="152"/>
      <c r="M6" s="153"/>
      <c r="N6" s="153"/>
      <c r="O6" s="153"/>
      <c r="P6" s="154"/>
      <c r="Q6" s="87"/>
      <c r="R6" s="87"/>
      <c r="U6" s="152"/>
      <c r="V6" s="153"/>
      <c r="W6" s="153"/>
      <c r="X6" s="153"/>
      <c r="Y6" s="154"/>
      <c r="AA6" s="25"/>
      <c r="AD6" s="158"/>
      <c r="AE6" s="159"/>
      <c r="AF6" s="159"/>
      <c r="AG6" s="159"/>
      <c r="AH6" s="160"/>
      <c r="AJ6" s="87"/>
      <c r="AM6" s="158"/>
      <c r="AN6" s="159"/>
      <c r="AO6" s="159"/>
      <c r="AP6" s="159"/>
      <c r="AQ6" s="160"/>
    </row>
    <row r="7" spans="1:43" ht="26.25" x14ac:dyDescent="0.4">
      <c r="A7" s="1" t="s">
        <v>0</v>
      </c>
      <c r="C7" s="2" t="s">
        <v>2</v>
      </c>
      <c r="E7" s="4" t="s">
        <v>3</v>
      </c>
      <c r="G7" s="2" t="s">
        <v>4</v>
      </c>
      <c r="H7" s="2"/>
      <c r="I7" s="1" t="s">
        <v>0</v>
      </c>
      <c r="L7" s="2" t="s">
        <v>2</v>
      </c>
      <c r="N7" s="4" t="s">
        <v>3</v>
      </c>
      <c r="P7" s="2" t="s">
        <v>4</v>
      </c>
      <c r="Q7" s="2"/>
      <c r="R7" s="1" t="s">
        <v>0</v>
      </c>
      <c r="U7" s="2" t="s">
        <v>2</v>
      </c>
      <c r="W7" s="4" t="s">
        <v>3</v>
      </c>
      <c r="Y7" s="2" t="s">
        <v>4</v>
      </c>
      <c r="AA7" s="1" t="s">
        <v>0</v>
      </c>
      <c r="AD7" s="2" t="s">
        <v>2</v>
      </c>
      <c r="AF7" s="4" t="s">
        <v>3</v>
      </c>
      <c r="AH7" s="2" t="s">
        <v>4</v>
      </c>
      <c r="AJ7" s="1" t="s">
        <v>0</v>
      </c>
      <c r="AM7" s="2" t="s">
        <v>2</v>
      </c>
      <c r="AO7" s="4" t="s">
        <v>3</v>
      </c>
      <c r="AQ7" s="2" t="s">
        <v>4</v>
      </c>
    </row>
    <row r="10" spans="1:43" ht="13.15" x14ac:dyDescent="0.4">
      <c r="A10" s="1" t="s">
        <v>1</v>
      </c>
      <c r="I10" s="1" t="s">
        <v>1</v>
      </c>
      <c r="R10" s="1" t="s">
        <v>1</v>
      </c>
      <c r="AA10" s="1" t="s">
        <v>1</v>
      </c>
      <c r="AJ10" s="1" t="s">
        <v>1</v>
      </c>
    </row>
    <row r="11" spans="1:43" x14ac:dyDescent="0.35">
      <c r="B11" t="s">
        <v>14</v>
      </c>
      <c r="C11" s="8">
        <v>5183</v>
      </c>
      <c r="E11" s="60">
        <v>50</v>
      </c>
      <c r="G11" s="7">
        <f>C11*E11</f>
        <v>259150</v>
      </c>
      <c r="H11" s="7"/>
      <c r="J11" t="s">
        <v>14</v>
      </c>
      <c r="L11" s="8">
        <f>C11</f>
        <v>5183</v>
      </c>
      <c r="N11" s="5">
        <v>50</v>
      </c>
      <c r="P11" s="7">
        <f>L11*N11</f>
        <v>259150</v>
      </c>
      <c r="Q11" s="7"/>
      <c r="S11" t="s">
        <v>14</v>
      </c>
      <c r="U11" s="8">
        <v>1</v>
      </c>
      <c r="W11" s="5">
        <v>51.83</v>
      </c>
      <c r="Y11" s="7">
        <f>U11*W11</f>
        <v>51.83</v>
      </c>
      <c r="AB11" t="s">
        <v>14</v>
      </c>
      <c r="AD11" s="8">
        <f>U11</f>
        <v>1</v>
      </c>
      <c r="AF11" s="5">
        <v>70</v>
      </c>
      <c r="AH11" s="7">
        <f>AD11*AF11</f>
        <v>70</v>
      </c>
      <c r="AK11" t="s">
        <v>14</v>
      </c>
      <c r="AM11" s="8">
        <f>AD11</f>
        <v>1</v>
      </c>
      <c r="AO11" s="5">
        <v>70</v>
      </c>
      <c r="AQ11" s="7">
        <f>AM11*AO11</f>
        <v>70</v>
      </c>
    </row>
    <row r="12" spans="1:43" x14ac:dyDescent="0.35">
      <c r="B12" s="17"/>
      <c r="C12" s="19"/>
      <c r="D12" s="17"/>
      <c r="E12" s="61"/>
      <c r="F12" s="17"/>
      <c r="G12" s="15"/>
      <c r="H12" s="15"/>
      <c r="J12" s="17"/>
      <c r="K12" s="17"/>
      <c r="L12" s="19"/>
      <c r="M12" s="17"/>
      <c r="N12" s="23"/>
      <c r="O12" s="17"/>
      <c r="P12" s="15"/>
      <c r="Q12" s="15"/>
      <c r="S12" s="17"/>
      <c r="T12" s="17"/>
      <c r="U12" s="19"/>
      <c r="V12" s="17"/>
      <c r="W12" s="23"/>
      <c r="X12" s="17"/>
      <c r="Y12" s="15"/>
      <c r="AB12" s="17"/>
      <c r="AC12" s="17"/>
      <c r="AD12" s="19"/>
      <c r="AE12" s="17"/>
      <c r="AF12" s="23"/>
      <c r="AG12" s="17"/>
      <c r="AH12" s="15"/>
      <c r="AK12" s="17"/>
      <c r="AL12" s="17"/>
      <c r="AM12" s="19"/>
      <c r="AN12" s="17"/>
      <c r="AO12" s="23"/>
      <c r="AP12" s="17"/>
      <c r="AQ12" s="15"/>
    </row>
    <row r="13" spans="1:43" x14ac:dyDescent="0.35">
      <c r="B13" s="17"/>
      <c r="C13" s="19"/>
      <c r="D13" s="17"/>
      <c r="E13" s="61"/>
      <c r="F13" s="17"/>
      <c r="G13" s="15"/>
      <c r="H13" s="7"/>
      <c r="J13" s="17"/>
      <c r="K13" s="17"/>
      <c r="L13" s="19"/>
      <c r="M13" s="17"/>
      <c r="N13" s="23"/>
      <c r="O13" s="17"/>
      <c r="P13" s="15"/>
      <c r="Q13" s="15"/>
      <c r="S13" s="17"/>
      <c r="T13" s="17"/>
      <c r="U13" s="19"/>
      <c r="V13" s="17"/>
      <c r="W13" s="23"/>
      <c r="X13" s="17"/>
      <c r="Y13" s="15"/>
      <c r="AB13" s="17"/>
      <c r="AC13" s="17"/>
      <c r="AD13" s="19"/>
      <c r="AE13" s="17"/>
      <c r="AF13" s="23"/>
      <c r="AG13" s="17"/>
      <c r="AH13" s="15"/>
      <c r="AK13" s="17"/>
      <c r="AL13" s="17"/>
      <c r="AM13" s="19"/>
      <c r="AN13" s="17"/>
      <c r="AO13" s="23"/>
      <c r="AP13" s="17"/>
      <c r="AQ13" s="15"/>
    </row>
    <row r="14" spans="1:43" ht="13.15" x14ac:dyDescent="0.4">
      <c r="A14" s="1" t="s">
        <v>8</v>
      </c>
      <c r="I14" s="1" t="s">
        <v>8</v>
      </c>
      <c r="R14" s="1" t="s">
        <v>8</v>
      </c>
      <c r="AA14" s="1" t="s">
        <v>8</v>
      </c>
      <c r="AJ14" s="1" t="s">
        <v>8</v>
      </c>
    </row>
    <row r="15" spans="1:43" x14ac:dyDescent="0.35">
      <c r="B15" s="14" t="s">
        <v>32</v>
      </c>
      <c r="C15" s="46">
        <v>626079.36399999994</v>
      </c>
      <c r="E15" s="5">
        <v>7</v>
      </c>
      <c r="G15" s="5">
        <f>C15*E15</f>
        <v>4382555.5479999995</v>
      </c>
      <c r="J15" s="108" t="s">
        <v>182</v>
      </c>
      <c r="K15" s="14"/>
      <c r="L15" s="6">
        <f>C15</f>
        <v>626079.36399999994</v>
      </c>
      <c r="N15" s="5">
        <v>7</v>
      </c>
      <c r="P15" s="5">
        <f>L15*N15</f>
        <v>4382555.5479999995</v>
      </c>
      <c r="Q15" s="5"/>
      <c r="S15" s="108" t="s">
        <v>182</v>
      </c>
      <c r="T15" s="14"/>
      <c r="U15" s="6">
        <f>L15/L11</f>
        <v>120.79478371599458</v>
      </c>
      <c r="W15" s="5">
        <v>7.26</v>
      </c>
      <c r="Y15" s="5">
        <f>U15*W15</f>
        <v>876.97012977812062</v>
      </c>
      <c r="AB15" s="108" t="s">
        <v>182</v>
      </c>
      <c r="AD15" s="6">
        <f>U15</f>
        <v>120.79478371599458</v>
      </c>
      <c r="AF15" s="5">
        <v>7.61</v>
      </c>
      <c r="AH15" s="5">
        <f>AD15*AF15</f>
        <v>919.24830407871877</v>
      </c>
      <c r="AK15" s="108" t="s">
        <v>182</v>
      </c>
      <c r="AM15" s="6">
        <f>AD15</f>
        <v>120.79478371599458</v>
      </c>
      <c r="AO15" s="5">
        <v>8.1199999999999992</v>
      </c>
      <c r="AQ15" s="5">
        <f>AM15*AO15</f>
        <v>980.85364377387589</v>
      </c>
    </row>
    <row r="16" spans="1:43" x14ac:dyDescent="0.35">
      <c r="H16" s="60"/>
      <c r="J16" s="27"/>
      <c r="K16" s="27"/>
      <c r="L16" s="16"/>
      <c r="M16" s="17"/>
      <c r="N16" s="23"/>
      <c r="O16" s="17"/>
      <c r="P16" s="23"/>
      <c r="Q16" s="23"/>
      <c r="S16" s="27"/>
      <c r="T16" s="27"/>
      <c r="U16" s="16"/>
      <c r="V16" s="17"/>
      <c r="W16" s="23"/>
      <c r="X16" s="17"/>
      <c r="Y16" s="23"/>
    </row>
    <row r="17" spans="1:43" x14ac:dyDescent="0.35">
      <c r="B17" s="17"/>
      <c r="C17" s="59"/>
      <c r="D17" s="17"/>
      <c r="E17" s="23"/>
      <c r="F17" s="17"/>
      <c r="G17" s="23"/>
      <c r="J17" s="17"/>
      <c r="K17" s="17"/>
      <c r="L17" s="17"/>
      <c r="M17" s="17"/>
      <c r="N17" s="15"/>
      <c r="O17" s="17"/>
      <c r="P17" s="15"/>
      <c r="Q17" s="15"/>
      <c r="S17" s="17"/>
      <c r="T17" s="17"/>
      <c r="U17" s="17"/>
      <c r="V17" s="17"/>
      <c r="W17" s="15"/>
      <c r="X17" s="17"/>
      <c r="Y17" s="15"/>
      <c r="AB17" s="17"/>
      <c r="AC17" s="17"/>
      <c r="AD17" s="19"/>
      <c r="AE17" s="17"/>
      <c r="AF17" s="23"/>
      <c r="AG17" s="17"/>
      <c r="AH17" s="23"/>
      <c r="AK17" s="17"/>
      <c r="AL17" s="17"/>
      <c r="AM17" s="19"/>
      <c r="AN17" s="17"/>
      <c r="AO17" s="23"/>
      <c r="AP17" s="17"/>
      <c r="AQ17" s="23"/>
    </row>
    <row r="18" spans="1:43" ht="13.15" x14ac:dyDescent="0.4">
      <c r="A18" s="1" t="s">
        <v>5</v>
      </c>
      <c r="I18" s="1" t="s">
        <v>5</v>
      </c>
      <c r="L18" s="43"/>
      <c r="N18" s="53"/>
      <c r="P18" s="71"/>
      <c r="Q18" s="71"/>
      <c r="R18" s="1" t="s">
        <v>5</v>
      </c>
      <c r="U18" s="43"/>
      <c r="W18" s="53"/>
      <c r="Y18" s="71"/>
      <c r="AA18" s="1" t="s">
        <v>5</v>
      </c>
      <c r="AD18" s="43"/>
      <c r="AJ18" s="1" t="s">
        <v>5</v>
      </c>
      <c r="AM18" s="43"/>
    </row>
    <row r="19" spans="1:43" ht="13.15" x14ac:dyDescent="0.4">
      <c r="A19" s="7"/>
      <c r="B19" s="14" t="s">
        <v>29</v>
      </c>
      <c r="C19" s="43">
        <v>177441208</v>
      </c>
      <c r="E19" s="44">
        <v>5.7579999999999999E-2</v>
      </c>
      <c r="G19" s="7">
        <f>C19*E19</f>
        <v>10217064.75664</v>
      </c>
      <c r="I19" s="1"/>
      <c r="J19" s="108" t="s">
        <v>174</v>
      </c>
      <c r="L19" s="43">
        <f>C21</f>
        <v>192207412</v>
      </c>
      <c r="N19" s="44">
        <f>E20</f>
        <v>5.5989999999999998E-2</v>
      </c>
      <c r="P19" s="5">
        <f>L19*N19</f>
        <v>10761692.997879999</v>
      </c>
      <c r="Q19" s="5"/>
      <c r="R19" s="1"/>
      <c r="S19" s="108" t="s">
        <v>174</v>
      </c>
      <c r="U19" s="43">
        <f>L19/L11</f>
        <v>37084.200655990739</v>
      </c>
      <c r="W19" s="44">
        <v>5.8040000000000001E-2</v>
      </c>
      <c r="Y19" s="5">
        <f>U19*W19</f>
        <v>2152.3670060737027</v>
      </c>
      <c r="AA19" s="1"/>
      <c r="AB19" s="108" t="s">
        <v>174</v>
      </c>
      <c r="AD19" s="43">
        <f>U19</f>
        <v>37084.200655990739</v>
      </c>
      <c r="AF19" s="44">
        <f>W19</f>
        <v>5.8040000000000001E-2</v>
      </c>
      <c r="AH19" s="7">
        <f>AD19*AF19</f>
        <v>2152.3670060737027</v>
      </c>
      <c r="AJ19" s="1"/>
      <c r="AK19" s="108" t="s">
        <v>174</v>
      </c>
      <c r="AM19" s="43">
        <f>AD19</f>
        <v>37084.200655990739</v>
      </c>
      <c r="AO19" s="44">
        <f>AF19</f>
        <v>5.8040000000000001E-2</v>
      </c>
      <c r="AQ19" s="7">
        <f>AM19*AO19</f>
        <v>2152.3670060737027</v>
      </c>
    </row>
    <row r="20" spans="1:43" ht="13.15" x14ac:dyDescent="0.4">
      <c r="A20" s="7"/>
      <c r="B20" s="26" t="s">
        <v>52</v>
      </c>
      <c r="C20" s="69">
        <v>14766204</v>
      </c>
      <c r="D20" s="10"/>
      <c r="E20" s="51">
        <v>5.5989999999999998E-2</v>
      </c>
      <c r="F20" s="10"/>
      <c r="G20" s="11">
        <f>C20*E20</f>
        <v>826759.76195999992</v>
      </c>
      <c r="I20" s="1"/>
      <c r="J20" s="17"/>
      <c r="K20" s="17"/>
      <c r="L20" s="118"/>
      <c r="M20" s="17"/>
      <c r="N20" s="44"/>
      <c r="O20" s="17"/>
      <c r="P20" s="15"/>
      <c r="Q20" s="15"/>
      <c r="R20" s="1"/>
      <c r="S20" s="17"/>
      <c r="T20" s="17"/>
      <c r="U20" s="118"/>
      <c r="V20" s="17"/>
      <c r="W20" s="44"/>
      <c r="X20" s="17"/>
      <c r="Y20" s="15"/>
      <c r="AA20" s="1"/>
      <c r="AB20" s="17"/>
      <c r="AC20" s="17"/>
      <c r="AD20" s="118"/>
      <c r="AE20" s="17"/>
      <c r="AF20" s="44"/>
      <c r="AG20" s="17"/>
      <c r="AH20" s="15"/>
      <c r="AJ20" s="1"/>
      <c r="AK20" s="17"/>
      <c r="AL20" s="17"/>
      <c r="AM20" s="118"/>
      <c r="AN20" s="17"/>
      <c r="AO20" s="44"/>
      <c r="AP20" s="17"/>
      <c r="AQ20" s="15"/>
    </row>
    <row r="21" spans="1:43" ht="13.15" x14ac:dyDescent="0.4">
      <c r="C21" s="43">
        <f>SUM(C19:C20)</f>
        <v>192207412</v>
      </c>
      <c r="G21" s="7">
        <f>SUM(G19:G20)</f>
        <v>11043824.5186</v>
      </c>
      <c r="I21" s="1"/>
      <c r="J21" s="117" t="s">
        <v>175</v>
      </c>
      <c r="K21" s="27"/>
      <c r="L21" s="19"/>
      <c r="M21" s="17"/>
      <c r="N21" s="44"/>
      <c r="O21" s="17"/>
      <c r="P21" s="15">
        <f>G25+(0.00159*C19)</f>
        <v>-588440.04928000004</v>
      </c>
      <c r="Q21" s="15"/>
      <c r="R21" s="1"/>
      <c r="S21" s="117" t="s">
        <v>175</v>
      </c>
      <c r="T21" s="27"/>
      <c r="U21" s="19">
        <f>P21/L19</f>
        <v>-3.0614846907152573E-3</v>
      </c>
      <c r="V21" s="17"/>
      <c r="W21" s="44"/>
      <c r="X21" s="17"/>
      <c r="Y21" s="15">
        <f>U19*U21</f>
        <v>-113.53271257572835</v>
      </c>
      <c r="AA21" s="7"/>
      <c r="AB21" s="117" t="s">
        <v>175</v>
      </c>
      <c r="AC21" s="27"/>
      <c r="AD21" s="19"/>
      <c r="AE21" s="17"/>
      <c r="AF21" s="44"/>
      <c r="AG21" s="17"/>
      <c r="AH21" s="15">
        <f>Y21</f>
        <v>-113.53271257572835</v>
      </c>
      <c r="AJ21" s="7"/>
      <c r="AK21" s="117" t="s">
        <v>175</v>
      </c>
      <c r="AL21" s="27"/>
      <c r="AM21" s="19"/>
      <c r="AN21" s="17"/>
      <c r="AO21" s="44"/>
      <c r="AP21" s="17"/>
      <c r="AQ21" s="15">
        <f>AH21</f>
        <v>-113.53271257572835</v>
      </c>
    </row>
    <row r="22" spans="1:43" x14ac:dyDescent="0.35">
      <c r="H22" s="7"/>
      <c r="I22" s="7"/>
      <c r="J22" s="17"/>
      <c r="K22" s="17"/>
      <c r="L22" s="17"/>
      <c r="M22" s="17"/>
      <c r="N22" s="17"/>
      <c r="O22" s="17"/>
      <c r="P22" s="17"/>
      <c r="Q22" s="17"/>
      <c r="R22" s="7"/>
      <c r="S22" s="17"/>
      <c r="T22" s="17"/>
      <c r="U22" s="17"/>
      <c r="V22" s="17"/>
      <c r="W22" s="17"/>
      <c r="X22" s="17"/>
      <c r="Y22" s="17"/>
    </row>
    <row r="23" spans="1:43" ht="13.15" x14ac:dyDescent="0.4">
      <c r="A23" s="7"/>
      <c r="B23" s="27" t="s">
        <v>26</v>
      </c>
      <c r="C23" s="19"/>
      <c r="D23" s="17"/>
      <c r="E23" s="63"/>
      <c r="F23" s="17"/>
      <c r="G23" s="15">
        <f>E72</f>
        <v>0</v>
      </c>
      <c r="H23" s="7"/>
      <c r="J23" s="1" t="s">
        <v>33</v>
      </c>
      <c r="P23" s="7">
        <f>P11+P15+P19+P21</f>
        <v>14814958.496599996</v>
      </c>
      <c r="Q23" s="7"/>
      <c r="S23" s="1" t="s">
        <v>33</v>
      </c>
      <c r="Y23" s="7">
        <f>Y11+Y15+Y19+Y21</f>
        <v>2967.6344232760948</v>
      </c>
      <c r="AB23" s="1" t="s">
        <v>33</v>
      </c>
      <c r="AH23" s="7">
        <f>AH11+AH15+AH19+AH21</f>
        <v>3028.0825975766929</v>
      </c>
      <c r="AK23" s="1" t="s">
        <v>33</v>
      </c>
      <c r="AQ23" s="7">
        <f>AQ11+AQ15+AQ19+AQ21</f>
        <v>3089.6879372718499</v>
      </c>
    </row>
    <row r="24" spans="1:43" ht="13.15" x14ac:dyDescent="0.4">
      <c r="A24" s="7"/>
      <c r="H24" s="7"/>
      <c r="AA24" s="1"/>
      <c r="AJ24" s="1"/>
    </row>
    <row r="25" spans="1:43" ht="13.15" x14ac:dyDescent="0.4">
      <c r="B25" s="117" t="s">
        <v>175</v>
      </c>
      <c r="C25" s="19"/>
      <c r="D25" s="17"/>
      <c r="E25" s="63"/>
      <c r="F25" s="17"/>
      <c r="G25" s="15">
        <f>G31</f>
        <v>-870571.57000000007</v>
      </c>
      <c r="H25" s="15"/>
      <c r="I25" s="1"/>
      <c r="J25" t="s">
        <v>34</v>
      </c>
      <c r="P25" s="83">
        <f>G35</f>
        <v>1.0021640312665987</v>
      </c>
      <c r="Q25" s="83"/>
      <c r="R25" s="1"/>
      <c r="S25" t="s">
        <v>34</v>
      </c>
      <c r="Y25" s="83">
        <v>1</v>
      </c>
      <c r="AA25" s="15"/>
      <c r="AB25" t="s">
        <v>34</v>
      </c>
      <c r="AH25" s="83">
        <v>1</v>
      </c>
      <c r="AJ25" s="15"/>
      <c r="AK25" t="s">
        <v>34</v>
      </c>
      <c r="AQ25" s="83">
        <f>AH25</f>
        <v>1</v>
      </c>
    </row>
    <row r="26" spans="1:43" x14ac:dyDescent="0.35">
      <c r="B26" s="27"/>
      <c r="C26" s="19"/>
      <c r="D26" s="17"/>
      <c r="E26" s="63"/>
      <c r="F26" s="17"/>
      <c r="G26" s="32"/>
      <c r="H26" s="15"/>
      <c r="I26" s="15"/>
      <c r="R26" s="15"/>
      <c r="AA26" s="15"/>
      <c r="AJ26" s="15"/>
    </row>
    <row r="27" spans="1:43" ht="13.5" thickBot="1" x14ac:dyDescent="0.45">
      <c r="A27" s="1"/>
      <c r="B27" t="s">
        <v>17</v>
      </c>
      <c r="C27" s="8"/>
      <c r="E27" s="65"/>
      <c r="G27" s="13">
        <f>G11+G15+G21+G23+G25</f>
        <v>14814958.496599998</v>
      </c>
      <c r="I27" s="15"/>
      <c r="J27" s="1" t="s">
        <v>7</v>
      </c>
      <c r="P27" s="13">
        <f>P23*P25</f>
        <v>14847018.530000001</v>
      </c>
      <c r="Q27" s="15"/>
      <c r="R27" s="15"/>
      <c r="S27" s="1" t="s">
        <v>7</v>
      </c>
      <c r="Y27" s="13">
        <f>Y23*Y25</f>
        <v>2967.6344232760948</v>
      </c>
      <c r="AA27" s="15"/>
      <c r="AB27" s="1" t="s">
        <v>7</v>
      </c>
      <c r="AH27" s="13">
        <f>AH23*AH25</f>
        <v>3028.0825975766929</v>
      </c>
      <c r="AJ27" s="15"/>
      <c r="AK27" s="1" t="s">
        <v>7</v>
      </c>
      <c r="AQ27" s="13">
        <f>AQ23*AQ25</f>
        <v>3089.6879372718499</v>
      </c>
    </row>
    <row r="28" spans="1:43" ht="13.15" thickTop="1" x14ac:dyDescent="0.35">
      <c r="A28" s="15"/>
      <c r="C28" s="8"/>
      <c r="E28" s="65"/>
      <c r="G28" s="7"/>
      <c r="H28" s="15"/>
      <c r="I28" s="15"/>
      <c r="J28" s="17"/>
      <c r="K28" s="17"/>
      <c r="L28" s="19"/>
      <c r="M28" s="17"/>
      <c r="N28" s="18"/>
      <c r="O28" s="17"/>
      <c r="P28" s="15"/>
      <c r="Q28" s="15"/>
      <c r="R28" s="15"/>
      <c r="S28" s="17"/>
      <c r="T28" s="17"/>
      <c r="U28" s="19"/>
      <c r="V28" s="17"/>
      <c r="W28" s="18"/>
      <c r="X28" s="17"/>
      <c r="Y28" s="15"/>
      <c r="AA28" s="15"/>
      <c r="AB28" s="17"/>
      <c r="AC28" s="17"/>
      <c r="AD28" s="19"/>
      <c r="AE28" s="17"/>
      <c r="AF28" s="18"/>
      <c r="AG28" s="17"/>
      <c r="AH28" s="15"/>
      <c r="AJ28" s="15"/>
      <c r="AK28" s="17"/>
      <c r="AL28" s="17"/>
      <c r="AM28" s="19"/>
      <c r="AN28" s="17"/>
      <c r="AO28" s="18"/>
      <c r="AP28" s="17"/>
      <c r="AQ28" s="15"/>
    </row>
    <row r="29" spans="1:43" x14ac:dyDescent="0.35">
      <c r="A29" s="15"/>
      <c r="B29" s="108" t="s">
        <v>181</v>
      </c>
      <c r="G29" s="60">
        <v>15717590.100000001</v>
      </c>
      <c r="H29" s="32"/>
      <c r="I29" s="15"/>
      <c r="J29" s="27" t="s">
        <v>38</v>
      </c>
      <c r="P29" s="5">
        <f>G37</f>
        <v>1649254.8892508766</v>
      </c>
      <c r="Q29" s="5"/>
      <c r="R29" s="15"/>
      <c r="S29" s="27" t="s">
        <v>38</v>
      </c>
      <c r="Y29" s="5">
        <f>P29</f>
        <v>1649254.8892508766</v>
      </c>
      <c r="AA29" s="15"/>
      <c r="AB29" t="s">
        <v>12</v>
      </c>
      <c r="AH29" s="5">
        <f>AH27-Y27</f>
        <v>60.448174300598112</v>
      </c>
      <c r="AJ29" s="15"/>
      <c r="AK29" t="s">
        <v>12</v>
      </c>
      <c r="AQ29" s="5">
        <f>AQ27-AH27</f>
        <v>61.605339695156999</v>
      </c>
    </row>
    <row r="30" spans="1:43" ht="13.15" x14ac:dyDescent="0.4">
      <c r="A30" s="15"/>
      <c r="H30" s="15"/>
      <c r="I30" s="15"/>
      <c r="J30" s="24"/>
      <c r="R30" s="15"/>
      <c r="S30" s="24"/>
      <c r="AA30" s="15"/>
      <c r="AJ30" s="15"/>
    </row>
    <row r="31" spans="1:43" ht="13.15" x14ac:dyDescent="0.4">
      <c r="A31" s="7"/>
      <c r="B31" t="s">
        <v>37</v>
      </c>
      <c r="G31" s="5">
        <v>-870571.57000000007</v>
      </c>
      <c r="H31" s="7"/>
      <c r="J31" s="24" t="s">
        <v>17</v>
      </c>
      <c r="L31" s="71">
        <f>L19/(L15*24*30)</f>
        <v>0.42639121210340503</v>
      </c>
      <c r="P31" s="103">
        <f>P27+P29</f>
        <v>16496273.419250878</v>
      </c>
      <c r="Q31" s="103"/>
      <c r="S31" s="24" t="s">
        <v>17</v>
      </c>
      <c r="U31" s="71">
        <f>U19/(U15*24*30)</f>
        <v>0.42639121210340503</v>
      </c>
      <c r="Y31" s="103">
        <f>Y27+Y29</f>
        <v>1652222.5236741528</v>
      </c>
      <c r="AA31" s="17"/>
      <c r="AB31" t="s">
        <v>15</v>
      </c>
      <c r="AH31" s="21">
        <f>AH29/Y27</f>
        <v>2.0369144469576161E-2</v>
      </c>
      <c r="AJ31" s="17"/>
      <c r="AK31" t="s">
        <v>15</v>
      </c>
      <c r="AQ31" s="21">
        <f>AQ29/AH27</f>
        <v>2.0344669509496992E-2</v>
      </c>
    </row>
    <row r="32" spans="1:43" x14ac:dyDescent="0.35">
      <c r="A32" s="7"/>
      <c r="H32" s="60"/>
      <c r="AA32" s="17"/>
      <c r="AJ32" s="17"/>
    </row>
    <row r="33" spans="1:43" x14ac:dyDescent="0.35">
      <c r="A33" s="15"/>
      <c r="B33" s="108" t="s">
        <v>177</v>
      </c>
      <c r="G33" s="60">
        <f>G29+G31</f>
        <v>14847018.530000001</v>
      </c>
      <c r="I33" s="15"/>
      <c r="R33" s="15"/>
      <c r="AA33" s="17"/>
      <c r="AJ33" s="17"/>
    </row>
    <row r="34" spans="1:43" x14ac:dyDescent="0.35">
      <c r="H34" s="60"/>
      <c r="AA34" s="17"/>
      <c r="AJ34" s="17"/>
    </row>
    <row r="35" spans="1:43" x14ac:dyDescent="0.35">
      <c r="B35" t="s">
        <v>23</v>
      </c>
      <c r="G35" s="66">
        <f>G33/G27</f>
        <v>1.0021640312665987</v>
      </c>
      <c r="H35" s="5">
        <v>-303555.93508449552</v>
      </c>
    </row>
    <row r="36" spans="1:43" x14ac:dyDescent="0.35">
      <c r="AH36" s="7">
        <f>AH38/2</f>
        <v>315851.67604162043</v>
      </c>
    </row>
    <row r="37" spans="1:43" x14ac:dyDescent="0.35">
      <c r="B37" s="27" t="s">
        <v>38</v>
      </c>
      <c r="C37" s="17"/>
      <c r="D37" s="17"/>
      <c r="E37" s="17"/>
      <c r="F37" s="17"/>
      <c r="G37" s="23">
        <v>1649254.8892508766</v>
      </c>
      <c r="H37" s="23">
        <v>837213.75683435821</v>
      </c>
    </row>
    <row r="38" spans="1:43" ht="13.15" x14ac:dyDescent="0.4">
      <c r="B38" s="24"/>
      <c r="C38" s="17"/>
      <c r="D38" s="24"/>
      <c r="E38" s="17"/>
      <c r="F38" s="24"/>
      <c r="G38" s="17"/>
      <c r="H38" s="24"/>
      <c r="AH38" s="7">
        <v>631703.35208324087</v>
      </c>
    </row>
    <row r="39" spans="1:43" x14ac:dyDescent="0.35">
      <c r="B39" s="85" t="s">
        <v>17</v>
      </c>
      <c r="C39" s="17"/>
      <c r="D39" s="16"/>
      <c r="E39" s="17"/>
      <c r="F39" s="42"/>
      <c r="G39" s="15">
        <f>G29+G31+G37</f>
        <v>16496273.419250878</v>
      </c>
      <c r="H39" s="23">
        <v>33</v>
      </c>
      <c r="P39" s="21"/>
      <c r="Q39" s="21"/>
      <c r="Y39" s="21"/>
      <c r="AA39" s="17"/>
      <c r="AH39" s="21"/>
      <c r="AJ39" s="17"/>
      <c r="AQ39" s="21"/>
    </row>
    <row r="40" spans="1:43" x14ac:dyDescent="0.35">
      <c r="B40" s="37"/>
      <c r="C40" s="17"/>
      <c r="D40" s="16"/>
      <c r="E40" s="17"/>
      <c r="F40" s="42"/>
      <c r="G40" s="17"/>
      <c r="H40" s="23"/>
      <c r="P40" s="21"/>
      <c r="Q40" s="21"/>
      <c r="Y40" s="21"/>
      <c r="AA40" s="17"/>
      <c r="AH40" s="103">
        <f>AH29+AQ29</f>
        <v>122.05351399575511</v>
      </c>
      <c r="AJ40" s="17"/>
      <c r="AQ40" s="21"/>
    </row>
    <row r="41" spans="1:43" x14ac:dyDescent="0.35">
      <c r="H41" s="23">
        <f>H27+H35+H37+H39</f>
        <v>533690.82174986275</v>
      </c>
      <c r="P41" s="21"/>
      <c r="Q41" s="21"/>
      <c r="Y41" s="21"/>
      <c r="AA41" s="17"/>
      <c r="AH41" s="21"/>
      <c r="AJ41" s="17"/>
      <c r="AQ41" s="21"/>
    </row>
    <row r="42" spans="1:43" ht="13.15" x14ac:dyDescent="0.4">
      <c r="H42" s="24"/>
      <c r="P42" s="21"/>
      <c r="Q42" s="21"/>
      <c r="Y42" s="21"/>
      <c r="AA42" s="17"/>
      <c r="AH42" s="21"/>
      <c r="AJ42" s="17"/>
      <c r="AQ42" s="21"/>
    </row>
    <row r="43" spans="1:43" ht="13.15" x14ac:dyDescent="0.4">
      <c r="H43" s="24"/>
      <c r="I43" s="17"/>
      <c r="J43" s="24"/>
      <c r="K43" s="24"/>
      <c r="L43" s="24"/>
      <c r="M43" s="17"/>
      <c r="N43" s="24"/>
      <c r="O43" s="17"/>
      <c r="P43" s="81"/>
      <c r="Q43" s="81"/>
      <c r="R43" s="17"/>
      <c r="S43" s="24"/>
      <c r="T43" s="24"/>
      <c r="U43" s="24"/>
      <c r="V43" s="17"/>
      <c r="W43" s="24"/>
      <c r="X43" s="17"/>
      <c r="Y43" s="81"/>
      <c r="Z43" s="17"/>
      <c r="AA43" s="17"/>
      <c r="AB43" s="17"/>
      <c r="AC43" s="17"/>
      <c r="AD43" s="17"/>
      <c r="AE43" s="17"/>
      <c r="AF43" s="17"/>
      <c r="AG43" s="17"/>
      <c r="AH43" s="31"/>
      <c r="AI43" s="17"/>
      <c r="AJ43" s="17"/>
      <c r="AK43" s="17"/>
      <c r="AL43" s="17"/>
      <c r="AM43" s="17"/>
      <c r="AN43" s="17"/>
      <c r="AO43" s="17"/>
      <c r="AP43" s="17"/>
      <c r="AQ43" s="31"/>
    </row>
    <row r="44" spans="1:43" x14ac:dyDescent="0.35">
      <c r="B44" s="17"/>
      <c r="C44" s="17"/>
      <c r="D44" s="17"/>
      <c r="E44" s="17"/>
      <c r="F44" s="17"/>
      <c r="G44" s="1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x14ac:dyDescent="0.35">
      <c r="B45" s="78"/>
      <c r="C45" s="64"/>
      <c r="D45" s="17"/>
      <c r="E45" s="42"/>
      <c r="F45" s="17"/>
      <c r="G45" s="61"/>
      <c r="H45" s="61"/>
      <c r="I45" s="17"/>
      <c r="J45" s="78"/>
      <c r="K45" s="78"/>
      <c r="L45" s="64"/>
      <c r="M45" s="17"/>
      <c r="N45" s="67"/>
      <c r="O45" s="17"/>
      <c r="P45" s="61"/>
      <c r="Q45" s="61"/>
      <c r="R45" s="17"/>
      <c r="S45" s="78"/>
      <c r="T45" s="78"/>
      <c r="U45" s="64"/>
      <c r="V45" s="17"/>
      <c r="W45" s="67"/>
      <c r="X45" s="17"/>
      <c r="Y45" s="61"/>
      <c r="Z45" s="17"/>
      <c r="AA45" s="17"/>
      <c r="AB45" s="17"/>
      <c r="AC45" s="17"/>
      <c r="AD45" s="16"/>
      <c r="AE45" s="17"/>
      <c r="AF45" s="42"/>
      <c r="AG45" s="17"/>
      <c r="AH45" s="23"/>
      <c r="AI45" s="17"/>
      <c r="AJ45" s="17"/>
      <c r="AK45" s="17"/>
      <c r="AL45" s="17"/>
      <c r="AM45" s="16"/>
      <c r="AN45" s="17"/>
      <c r="AO45" s="42"/>
      <c r="AP45" s="17"/>
      <c r="AQ45" s="23"/>
    </row>
    <row r="46" spans="1:43" x14ac:dyDescent="0.35">
      <c r="B46" s="78"/>
      <c r="C46" s="64"/>
      <c r="D46" s="17"/>
      <c r="E46" s="42"/>
      <c r="F46" s="17"/>
      <c r="G46" s="61"/>
      <c r="H46" s="61"/>
      <c r="I46" s="17"/>
      <c r="J46" s="78"/>
      <c r="K46" s="78"/>
      <c r="L46" s="64"/>
      <c r="M46" s="17"/>
      <c r="N46" s="67"/>
      <c r="O46" s="17"/>
      <c r="P46" s="61"/>
      <c r="Q46" s="61"/>
      <c r="R46" s="17"/>
      <c r="S46" s="78"/>
      <c r="T46" s="78"/>
      <c r="U46" s="64"/>
      <c r="V46" s="17"/>
      <c r="W46" s="67"/>
      <c r="X46" s="17"/>
      <c r="Y46" s="61"/>
      <c r="Z46" s="17"/>
      <c r="AA46" s="17"/>
      <c r="AB46" s="17"/>
      <c r="AC46" s="17"/>
      <c r="AD46" s="16"/>
      <c r="AE46" s="17"/>
      <c r="AF46" s="42"/>
      <c r="AG46" s="17"/>
      <c r="AH46" s="23"/>
      <c r="AI46" s="17"/>
      <c r="AJ46" s="17"/>
      <c r="AK46" s="17"/>
      <c r="AL46" s="17"/>
      <c r="AM46" s="16"/>
      <c r="AN46" s="17"/>
      <c r="AO46" s="42"/>
      <c r="AP46" s="17"/>
      <c r="AQ46" s="23"/>
    </row>
    <row r="47" spans="1:43" x14ac:dyDescent="0.35">
      <c r="B47" s="78"/>
      <c r="C47" s="64"/>
      <c r="D47" s="17"/>
      <c r="E47" s="42"/>
      <c r="F47" s="17"/>
      <c r="G47" s="61"/>
      <c r="H47" s="61"/>
      <c r="I47" s="17"/>
      <c r="J47" s="78"/>
      <c r="K47" s="78"/>
      <c r="L47" s="64"/>
      <c r="M47" s="17"/>
      <c r="N47" s="67"/>
      <c r="O47" s="17"/>
      <c r="P47" s="61"/>
      <c r="Q47" s="61"/>
      <c r="R47" s="17"/>
      <c r="S47" s="78"/>
      <c r="T47" s="78"/>
      <c r="U47" s="64"/>
      <c r="V47" s="17"/>
      <c r="W47" s="67"/>
      <c r="X47" s="17"/>
      <c r="Y47" s="61"/>
      <c r="Z47" s="17"/>
      <c r="AA47" s="17"/>
      <c r="AB47" s="17"/>
      <c r="AC47" s="17"/>
      <c r="AD47" s="16"/>
      <c r="AE47" s="17"/>
      <c r="AF47" s="42"/>
      <c r="AG47" s="17"/>
      <c r="AH47" s="23"/>
      <c r="AI47" s="17"/>
      <c r="AJ47" s="17"/>
      <c r="AK47" s="17"/>
      <c r="AL47" s="17"/>
      <c r="AM47" s="16"/>
      <c r="AN47" s="17"/>
      <c r="AO47" s="42"/>
      <c r="AP47" s="17"/>
      <c r="AQ47" s="23"/>
    </row>
    <row r="48" spans="1:43" x14ac:dyDescent="0.35">
      <c r="B48" s="78"/>
      <c r="C48" s="64"/>
      <c r="D48" s="17"/>
      <c r="E48" s="42"/>
      <c r="F48" s="17"/>
      <c r="G48" s="61"/>
      <c r="H48" s="61"/>
      <c r="I48" s="17"/>
      <c r="J48" s="78"/>
      <c r="K48" s="78"/>
      <c r="L48" s="64"/>
      <c r="M48" s="17"/>
      <c r="N48" s="67"/>
      <c r="O48" s="17"/>
      <c r="P48" s="61"/>
      <c r="Q48" s="61"/>
      <c r="R48" s="17"/>
      <c r="S48" s="78"/>
      <c r="T48" s="78"/>
      <c r="U48" s="64"/>
      <c r="V48" s="17"/>
      <c r="W48" s="67"/>
      <c r="X48" s="17"/>
      <c r="Y48" s="61"/>
      <c r="Z48" s="17"/>
      <c r="AA48" s="17"/>
      <c r="AB48" s="17"/>
      <c r="AC48" s="17"/>
      <c r="AD48" s="16"/>
      <c r="AE48" s="17"/>
      <c r="AF48" s="42"/>
      <c r="AG48" s="17"/>
      <c r="AH48" s="23"/>
      <c r="AI48" s="17"/>
      <c r="AJ48" s="17"/>
      <c r="AK48" s="17"/>
      <c r="AL48" s="17"/>
      <c r="AM48" s="16"/>
      <c r="AN48" s="17"/>
      <c r="AO48" s="42"/>
      <c r="AP48" s="17"/>
      <c r="AQ48" s="23"/>
    </row>
    <row r="49" spans="2:43" x14ac:dyDescent="0.35">
      <c r="B49" s="78"/>
      <c r="C49" s="64"/>
      <c r="D49" s="17"/>
      <c r="E49" s="42"/>
      <c r="F49" s="17"/>
      <c r="G49" s="61"/>
      <c r="H49" s="61"/>
      <c r="I49" s="17"/>
      <c r="J49" s="78"/>
      <c r="K49" s="78"/>
      <c r="L49" s="64"/>
      <c r="M49" s="17"/>
      <c r="N49" s="67"/>
      <c r="O49" s="17"/>
      <c r="P49" s="61"/>
      <c r="Q49" s="61"/>
      <c r="R49" s="17"/>
      <c r="S49" s="78"/>
      <c r="T49" s="78"/>
      <c r="U49" s="64"/>
      <c r="V49" s="17"/>
      <c r="W49" s="67"/>
      <c r="X49" s="17"/>
      <c r="Y49" s="61"/>
      <c r="Z49" s="17"/>
      <c r="AA49" s="17"/>
      <c r="AB49" s="17"/>
      <c r="AC49" s="17"/>
      <c r="AD49" s="16"/>
      <c r="AE49" s="17"/>
      <c r="AF49" s="42"/>
      <c r="AG49" s="17"/>
      <c r="AH49" s="23"/>
      <c r="AI49" s="17"/>
      <c r="AJ49" s="17"/>
      <c r="AK49" s="17"/>
      <c r="AL49" s="17"/>
      <c r="AM49" s="16"/>
      <c r="AN49" s="17"/>
      <c r="AO49" s="42"/>
      <c r="AP49" s="17"/>
      <c r="AQ49" s="23"/>
    </row>
    <row r="50" spans="2:43" x14ac:dyDescent="0.35">
      <c r="B50" s="78"/>
      <c r="C50" s="64"/>
      <c r="D50" s="17"/>
      <c r="E50" s="42"/>
      <c r="F50" s="17"/>
      <c r="G50" s="61"/>
      <c r="H50" s="61"/>
      <c r="I50" s="17"/>
      <c r="J50" s="78"/>
      <c r="K50" s="78"/>
      <c r="L50" s="64"/>
      <c r="M50" s="17"/>
      <c r="N50" s="67"/>
      <c r="O50" s="17"/>
      <c r="P50" s="61"/>
      <c r="Q50" s="61"/>
      <c r="R50" s="17"/>
      <c r="S50" s="78"/>
      <c r="T50" s="78"/>
      <c r="U50" s="64"/>
      <c r="V50" s="17"/>
      <c r="W50" s="67"/>
      <c r="X50" s="17"/>
      <c r="Y50" s="61"/>
      <c r="Z50" s="17"/>
      <c r="AA50" s="17"/>
      <c r="AB50" s="17"/>
      <c r="AC50" s="17"/>
      <c r="AD50" s="16"/>
      <c r="AE50" s="17"/>
      <c r="AF50" s="42"/>
      <c r="AG50" s="17"/>
      <c r="AH50" s="23"/>
      <c r="AI50" s="17"/>
      <c r="AJ50" s="17"/>
      <c r="AK50" s="17"/>
      <c r="AL50" s="17"/>
      <c r="AM50" s="16"/>
      <c r="AN50" s="17"/>
      <c r="AO50" s="42"/>
      <c r="AP50" s="17"/>
      <c r="AQ50" s="23"/>
    </row>
    <row r="51" spans="2:43" x14ac:dyDescent="0.35">
      <c r="B51" s="78"/>
      <c r="C51" s="64"/>
      <c r="D51" s="17"/>
      <c r="E51" s="42"/>
      <c r="F51" s="17"/>
      <c r="G51" s="61"/>
      <c r="H51" s="61"/>
      <c r="I51" s="17"/>
      <c r="J51" s="78"/>
      <c r="K51" s="78"/>
      <c r="L51" s="64"/>
      <c r="M51" s="17"/>
      <c r="N51" s="67"/>
      <c r="O51" s="17"/>
      <c r="P51" s="61"/>
      <c r="Q51" s="61"/>
      <c r="R51" s="17"/>
      <c r="S51" s="78"/>
      <c r="T51" s="78"/>
      <c r="U51" s="64"/>
      <c r="V51" s="17"/>
      <c r="W51" s="67"/>
      <c r="X51" s="17"/>
      <c r="Y51" s="61"/>
      <c r="Z51" s="17"/>
      <c r="AA51" s="17"/>
      <c r="AB51" s="17"/>
      <c r="AC51" s="17"/>
      <c r="AD51" s="16"/>
      <c r="AE51" s="17"/>
      <c r="AF51" s="42"/>
      <c r="AG51" s="17"/>
      <c r="AH51" s="23"/>
      <c r="AI51" s="17"/>
      <c r="AJ51" s="17"/>
      <c r="AK51" s="17"/>
      <c r="AL51" s="17"/>
      <c r="AM51" s="16"/>
      <c r="AN51" s="17"/>
      <c r="AO51" s="42"/>
      <c r="AP51" s="17"/>
      <c r="AQ51" s="23"/>
    </row>
    <row r="52" spans="2:43" x14ac:dyDescent="0.35">
      <c r="B52" s="78"/>
      <c r="C52" s="64"/>
      <c r="D52" s="17"/>
      <c r="E52" s="42"/>
      <c r="F52" s="17"/>
      <c r="G52" s="61"/>
      <c r="H52" s="61"/>
      <c r="I52" s="17"/>
      <c r="J52" s="78"/>
      <c r="K52" s="78"/>
      <c r="L52" s="64"/>
      <c r="M52" s="17"/>
      <c r="N52" s="67"/>
      <c r="O52" s="17"/>
      <c r="P52" s="61"/>
      <c r="Q52" s="61"/>
      <c r="R52" s="17"/>
      <c r="S52" s="78"/>
      <c r="T52" s="78"/>
      <c r="U52" s="64"/>
      <c r="V52" s="17"/>
      <c r="W52" s="67"/>
      <c r="X52" s="17"/>
      <c r="Y52" s="61"/>
      <c r="Z52" s="17"/>
      <c r="AA52" s="17"/>
      <c r="AB52" s="17"/>
      <c r="AC52" s="17"/>
      <c r="AD52" s="16"/>
      <c r="AE52" s="17"/>
      <c r="AF52" s="42"/>
      <c r="AG52" s="17"/>
      <c r="AH52" s="23"/>
      <c r="AI52" s="17"/>
      <c r="AJ52" s="17"/>
      <c r="AK52" s="17"/>
      <c r="AL52" s="17"/>
      <c r="AM52" s="16"/>
      <c r="AN52" s="17"/>
      <c r="AO52" s="42"/>
      <c r="AP52" s="17"/>
      <c r="AQ52" s="23"/>
    </row>
    <row r="53" spans="2:43" x14ac:dyDescent="0.35">
      <c r="B53" s="78"/>
      <c r="C53" s="64"/>
      <c r="D53" s="17"/>
      <c r="E53" s="42"/>
      <c r="F53" s="17"/>
      <c r="G53" s="61"/>
      <c r="H53" s="61"/>
      <c r="I53" s="17"/>
      <c r="J53" s="78"/>
      <c r="K53" s="78"/>
      <c r="L53" s="64"/>
      <c r="M53" s="17"/>
      <c r="N53" s="67"/>
      <c r="O53" s="17"/>
      <c r="P53" s="61"/>
      <c r="Q53" s="61"/>
      <c r="R53" s="17"/>
      <c r="S53" s="78"/>
      <c r="T53" s="78"/>
      <c r="U53" s="64"/>
      <c r="V53" s="17"/>
      <c r="W53" s="67"/>
      <c r="X53" s="17"/>
      <c r="Y53" s="61"/>
      <c r="Z53" s="17"/>
      <c r="AA53" s="17"/>
      <c r="AB53" s="17"/>
      <c r="AC53" s="17"/>
      <c r="AD53" s="16"/>
      <c r="AE53" s="17"/>
      <c r="AF53" s="42"/>
      <c r="AG53" s="17"/>
      <c r="AH53" s="23"/>
      <c r="AI53" s="17"/>
      <c r="AJ53" s="17"/>
      <c r="AK53" s="17"/>
      <c r="AL53" s="17"/>
      <c r="AM53" s="16"/>
      <c r="AN53" s="17"/>
      <c r="AO53" s="42"/>
      <c r="AP53" s="17"/>
      <c r="AQ53" s="23"/>
    </row>
    <row r="54" spans="2:43" x14ac:dyDescent="0.35">
      <c r="B54" s="78"/>
      <c r="C54" s="64"/>
      <c r="D54" s="17"/>
      <c r="E54" s="42"/>
      <c r="F54" s="17"/>
      <c r="G54" s="61"/>
      <c r="H54" s="61"/>
      <c r="I54" s="17"/>
      <c r="J54" s="72"/>
      <c r="K54" s="72"/>
      <c r="L54" s="64"/>
      <c r="M54" s="17"/>
      <c r="N54" s="67"/>
      <c r="O54" s="17"/>
      <c r="P54" s="61"/>
      <c r="Q54" s="61"/>
      <c r="R54" s="17"/>
      <c r="S54" s="72"/>
      <c r="T54" s="72"/>
      <c r="U54" s="64"/>
      <c r="V54" s="17"/>
      <c r="W54" s="67"/>
      <c r="X54" s="17"/>
      <c r="Y54" s="61"/>
      <c r="Z54" s="17"/>
      <c r="AA54" s="17"/>
      <c r="AB54" s="17"/>
      <c r="AC54" s="17"/>
      <c r="AD54" s="16"/>
      <c r="AE54" s="17"/>
      <c r="AF54" s="42"/>
      <c r="AG54" s="17"/>
      <c r="AH54" s="23"/>
      <c r="AI54" s="17"/>
      <c r="AJ54" s="17"/>
      <c r="AK54" s="17"/>
      <c r="AL54" s="17"/>
      <c r="AM54" s="16"/>
      <c r="AN54" s="17"/>
      <c r="AO54" s="42"/>
      <c r="AP54" s="17"/>
      <c r="AQ54" s="23"/>
    </row>
    <row r="55" spans="2:43" x14ac:dyDescent="0.35">
      <c r="B55" s="78"/>
      <c r="C55" s="64"/>
      <c r="D55" s="17"/>
      <c r="E55" s="42"/>
      <c r="F55" s="17"/>
      <c r="G55" s="61"/>
      <c r="H55" s="61"/>
      <c r="I55" s="17"/>
      <c r="J55" s="78"/>
      <c r="K55" s="78"/>
      <c r="L55" s="64"/>
      <c r="M55" s="17"/>
      <c r="N55" s="67"/>
      <c r="O55" s="17"/>
      <c r="P55" s="61"/>
      <c r="Q55" s="61"/>
      <c r="R55" s="17"/>
      <c r="S55" s="78"/>
      <c r="T55" s="78"/>
      <c r="U55" s="64"/>
      <c r="V55" s="17"/>
      <c r="W55" s="67"/>
      <c r="X55" s="17"/>
      <c r="Y55" s="61"/>
      <c r="Z55" s="17"/>
      <c r="AA55" s="17"/>
      <c r="AB55" s="17"/>
      <c r="AC55" s="17"/>
      <c r="AD55" s="16"/>
      <c r="AE55" s="17"/>
      <c r="AF55" s="42"/>
      <c r="AG55" s="17"/>
      <c r="AH55" s="23"/>
      <c r="AI55" s="17"/>
      <c r="AJ55" s="17"/>
      <c r="AK55" s="17"/>
      <c r="AL55" s="17"/>
      <c r="AM55" s="16"/>
      <c r="AN55" s="17"/>
      <c r="AO55" s="42"/>
      <c r="AP55" s="17"/>
      <c r="AQ55" s="23"/>
    </row>
    <row r="56" spans="2:43" x14ac:dyDescent="0.35">
      <c r="B56" s="78"/>
      <c r="C56" s="64"/>
      <c r="D56" s="17"/>
      <c r="E56" s="42"/>
      <c r="F56" s="17"/>
      <c r="G56" s="61"/>
      <c r="H56" s="61"/>
      <c r="I56" s="17"/>
      <c r="J56" s="78"/>
      <c r="K56" s="78"/>
      <c r="L56" s="64"/>
      <c r="M56" s="17"/>
      <c r="N56" s="67"/>
      <c r="O56" s="17"/>
      <c r="P56" s="61"/>
      <c r="Q56" s="61"/>
      <c r="R56" s="17"/>
      <c r="S56" s="78"/>
      <c r="T56" s="78"/>
      <c r="U56" s="64"/>
      <c r="V56" s="17"/>
      <c r="W56" s="67"/>
      <c r="X56" s="17"/>
      <c r="Y56" s="61"/>
      <c r="Z56" s="17"/>
      <c r="AA56" s="17"/>
      <c r="AB56" s="17"/>
      <c r="AC56" s="17"/>
      <c r="AD56" s="16"/>
      <c r="AE56" s="17"/>
      <c r="AF56" s="42"/>
      <c r="AG56" s="17"/>
      <c r="AH56" s="23"/>
      <c r="AI56" s="17"/>
      <c r="AJ56" s="17"/>
      <c r="AK56" s="17"/>
      <c r="AL56" s="17"/>
      <c r="AM56" s="16"/>
      <c r="AN56" s="17"/>
      <c r="AO56" s="42"/>
      <c r="AP56" s="17"/>
      <c r="AQ56" s="23"/>
    </row>
    <row r="57" spans="2:43" x14ac:dyDescent="0.35">
      <c r="B57" s="17"/>
      <c r="C57" s="19"/>
      <c r="D57" s="17"/>
      <c r="E57" s="17"/>
      <c r="F57" s="17"/>
      <c r="G57" s="15"/>
      <c r="H57" s="15"/>
      <c r="I57" s="17"/>
      <c r="J57" s="17"/>
      <c r="K57" s="17"/>
      <c r="L57" s="19"/>
      <c r="M57" s="17"/>
      <c r="N57" s="17"/>
      <c r="O57" s="17"/>
      <c r="P57" s="15"/>
      <c r="Q57" s="15"/>
      <c r="R57" s="17"/>
      <c r="S57" s="17"/>
      <c r="T57" s="17"/>
      <c r="U57" s="19"/>
      <c r="V57" s="17"/>
      <c r="W57" s="17"/>
      <c r="X57" s="17"/>
      <c r="Y57" s="15"/>
      <c r="Z57" s="17"/>
      <c r="AA57" s="17"/>
      <c r="AB57" s="17"/>
      <c r="AC57" s="17"/>
      <c r="AD57" s="19"/>
      <c r="AE57" s="17"/>
      <c r="AF57" s="17"/>
      <c r="AG57" s="17"/>
      <c r="AH57" s="15"/>
      <c r="AI57" s="17"/>
      <c r="AJ57" s="17"/>
      <c r="AK57" s="17"/>
      <c r="AL57" s="17"/>
      <c r="AM57" s="19"/>
      <c r="AN57" s="17"/>
      <c r="AO57" s="17"/>
      <c r="AP57" s="17"/>
      <c r="AQ57" s="15"/>
    </row>
    <row r="58" spans="2:43" x14ac:dyDescent="0.3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2:43" ht="13.15" x14ac:dyDescent="0.4">
      <c r="B59" s="17"/>
      <c r="C59" s="24"/>
      <c r="D59" s="17"/>
      <c r="E59" s="77"/>
      <c r="F59" s="17"/>
      <c r="G59" s="24"/>
      <c r="H59" s="17"/>
      <c r="I59" s="17"/>
      <c r="J59" s="17"/>
      <c r="K59" s="17"/>
      <c r="L59" s="24"/>
      <c r="M59" s="17"/>
      <c r="N59" s="17"/>
      <c r="O59" s="17"/>
      <c r="P59" s="17"/>
      <c r="Q59" s="17"/>
      <c r="R59" s="17"/>
      <c r="S59" s="17"/>
      <c r="T59" s="17"/>
      <c r="U59" s="24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2:43" x14ac:dyDescent="0.35">
      <c r="B60" s="78"/>
      <c r="C60" s="17"/>
      <c r="D60" s="17"/>
      <c r="E60" s="17"/>
      <c r="F60" s="17"/>
      <c r="G60" s="72"/>
      <c r="H60" s="17"/>
      <c r="I60" s="17"/>
      <c r="J60" s="78"/>
      <c r="K60" s="78"/>
      <c r="L60" s="17"/>
      <c r="M60" s="17"/>
      <c r="N60" s="17"/>
      <c r="O60" s="17"/>
      <c r="P60" s="17"/>
      <c r="Q60" s="17"/>
      <c r="R60" s="17"/>
      <c r="S60" s="78"/>
      <c r="T60" s="7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2:43" x14ac:dyDescent="0.35">
      <c r="B61" s="78"/>
      <c r="C61" s="17"/>
      <c r="D61" s="17"/>
      <c r="E61" s="17"/>
      <c r="F61" s="17"/>
      <c r="G61" s="72"/>
      <c r="H61" s="17"/>
      <c r="I61" s="17"/>
      <c r="J61" s="78"/>
      <c r="K61" s="78"/>
      <c r="L61" s="17"/>
      <c r="M61" s="17"/>
      <c r="N61" s="17"/>
      <c r="O61" s="17"/>
      <c r="P61" s="17"/>
      <c r="Q61" s="17"/>
      <c r="R61" s="17"/>
      <c r="S61" s="78"/>
      <c r="T61" s="78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2:43" x14ac:dyDescent="0.35">
      <c r="B62" s="78"/>
      <c r="C62" s="17"/>
      <c r="D62" s="17"/>
      <c r="E62" s="17"/>
      <c r="F62" s="17"/>
      <c r="G62" s="72"/>
      <c r="H62" s="17"/>
      <c r="I62" s="17"/>
      <c r="J62" s="78"/>
      <c r="K62" s="78"/>
      <c r="L62" s="17"/>
      <c r="M62" s="17"/>
      <c r="N62" s="17"/>
      <c r="O62" s="17"/>
      <c r="P62" s="17"/>
      <c r="Q62" s="17"/>
      <c r="R62" s="17"/>
      <c r="S62" s="78"/>
      <c r="T62" s="78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2:43" x14ac:dyDescent="0.35">
      <c r="B63" s="78"/>
      <c r="C63" s="17"/>
      <c r="D63" s="17"/>
      <c r="E63" s="17"/>
      <c r="F63" s="17"/>
      <c r="G63" s="72"/>
      <c r="H63" s="17"/>
      <c r="I63" s="17"/>
      <c r="J63" s="78"/>
      <c r="K63" s="78"/>
      <c r="L63" s="17"/>
      <c r="M63" s="17"/>
      <c r="N63" s="17"/>
      <c r="O63" s="17"/>
      <c r="P63" s="17"/>
      <c r="Q63" s="17"/>
      <c r="R63" s="17"/>
      <c r="S63" s="78"/>
      <c r="T63" s="78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2:43" x14ac:dyDescent="0.35">
      <c r="B64" s="78"/>
      <c r="C64" s="17"/>
      <c r="D64" s="17"/>
      <c r="E64" s="17"/>
      <c r="F64" s="17"/>
      <c r="G64" s="72"/>
      <c r="H64" s="17"/>
      <c r="I64" s="17"/>
      <c r="J64" s="78"/>
      <c r="K64" s="78"/>
      <c r="L64" s="17"/>
      <c r="M64" s="17"/>
      <c r="N64" s="17"/>
      <c r="O64" s="17"/>
      <c r="P64" s="17"/>
      <c r="Q64" s="17"/>
      <c r="R64" s="17"/>
      <c r="S64" s="78"/>
      <c r="T64" s="78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2:43" x14ac:dyDescent="0.35">
      <c r="B65" s="78"/>
      <c r="C65" s="17"/>
      <c r="D65" s="17"/>
      <c r="E65" s="17"/>
      <c r="F65" s="17"/>
      <c r="G65" s="72"/>
      <c r="H65" s="17"/>
      <c r="I65" s="17"/>
      <c r="J65" s="78"/>
      <c r="K65" s="78"/>
      <c r="L65" s="17"/>
      <c r="M65" s="17"/>
      <c r="N65" s="17"/>
      <c r="O65" s="17"/>
      <c r="P65" s="17"/>
      <c r="Q65" s="17"/>
      <c r="R65" s="17"/>
      <c r="S65" s="78"/>
      <c r="T65" s="78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2:43" x14ac:dyDescent="0.35">
      <c r="B66" s="78"/>
      <c r="C66" s="17"/>
      <c r="D66" s="17"/>
      <c r="E66" s="17"/>
      <c r="F66" s="17"/>
      <c r="G66" s="72"/>
      <c r="H66" s="17"/>
      <c r="I66" s="17"/>
      <c r="J66" s="78"/>
      <c r="K66" s="78"/>
      <c r="L66" s="17"/>
      <c r="M66" s="17"/>
      <c r="N66" s="17"/>
      <c r="O66" s="17"/>
      <c r="P66" s="17"/>
      <c r="Q66" s="17"/>
      <c r="R66" s="17"/>
      <c r="S66" s="78"/>
      <c r="T66" s="78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2:43" x14ac:dyDescent="0.35">
      <c r="B67" s="78"/>
      <c r="C67" s="17"/>
      <c r="D67" s="17"/>
      <c r="E67" s="17"/>
      <c r="F67" s="17"/>
      <c r="G67" s="72"/>
      <c r="H67" s="17"/>
      <c r="I67" s="17"/>
      <c r="J67" s="78"/>
      <c r="K67" s="78"/>
      <c r="L67" s="17"/>
      <c r="M67" s="17"/>
      <c r="N67" s="17"/>
      <c r="O67" s="17"/>
      <c r="P67" s="17"/>
      <c r="Q67" s="17"/>
      <c r="R67" s="17"/>
      <c r="S67" s="78"/>
      <c r="T67" s="78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2:43" x14ac:dyDescent="0.35">
      <c r="B68" s="78"/>
      <c r="C68" s="17"/>
      <c r="D68" s="17"/>
      <c r="E68" s="17"/>
      <c r="F68" s="17"/>
      <c r="G68" s="72"/>
      <c r="H68" s="17"/>
      <c r="I68" s="17"/>
      <c r="J68" s="78"/>
      <c r="K68" s="78"/>
      <c r="L68" s="17"/>
      <c r="M68" s="17"/>
      <c r="N68" s="17"/>
      <c r="O68" s="17"/>
      <c r="P68" s="17"/>
      <c r="Q68" s="17"/>
      <c r="R68" s="17"/>
      <c r="S68" s="78"/>
      <c r="T68" s="78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2:43" x14ac:dyDescent="0.35">
      <c r="B69" s="78"/>
      <c r="C69" s="17"/>
      <c r="D69" s="17"/>
      <c r="E69" s="17"/>
      <c r="F69" s="17"/>
      <c r="G69" s="72"/>
      <c r="H69" s="17"/>
      <c r="I69" s="17"/>
      <c r="J69" s="78"/>
      <c r="K69" s="78"/>
      <c r="L69" s="17"/>
      <c r="M69" s="17"/>
      <c r="N69" s="17"/>
      <c r="O69" s="17"/>
      <c r="P69" s="17"/>
      <c r="Q69" s="17"/>
      <c r="R69" s="17"/>
      <c r="S69" s="78"/>
      <c r="T69" s="7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2:43" x14ac:dyDescent="0.35">
      <c r="B70" s="78"/>
      <c r="C70" s="17"/>
      <c r="D70" s="17"/>
      <c r="E70" s="17"/>
      <c r="F70" s="17"/>
      <c r="G70" s="72"/>
      <c r="H70" s="17"/>
      <c r="I70" s="17"/>
      <c r="J70" s="78"/>
      <c r="K70" s="78"/>
      <c r="L70" s="17"/>
      <c r="M70" s="17"/>
      <c r="N70" s="17"/>
      <c r="O70" s="17"/>
      <c r="P70" s="17"/>
      <c r="Q70" s="17"/>
      <c r="R70" s="17"/>
      <c r="S70" s="78"/>
      <c r="T70" s="78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2:43" x14ac:dyDescent="0.35">
      <c r="B71" s="78"/>
      <c r="C71" s="17"/>
      <c r="D71" s="17"/>
      <c r="E71" s="17"/>
      <c r="F71" s="17"/>
      <c r="G71" s="72"/>
      <c r="H71" s="17"/>
      <c r="I71" s="17"/>
      <c r="J71" s="78"/>
      <c r="K71" s="78"/>
      <c r="L71" s="17"/>
      <c r="M71" s="17"/>
      <c r="N71" s="17"/>
      <c r="O71" s="17"/>
      <c r="P71" s="17"/>
      <c r="Q71" s="17"/>
      <c r="R71" s="17"/>
      <c r="S71" s="78"/>
      <c r="T71" s="78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2:43" x14ac:dyDescent="0.3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2:43" x14ac:dyDescent="0.3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2:43" ht="13.15" x14ac:dyDescent="0.4">
      <c r="B74" s="17"/>
      <c r="C74" s="24"/>
      <c r="D74" s="17"/>
      <c r="E74" s="77"/>
      <c r="F74" s="17"/>
      <c r="G74" s="7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2:43" x14ac:dyDescent="0.35">
      <c r="B75" s="78"/>
      <c r="C75" s="72"/>
      <c r="D75" s="17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2:43" x14ac:dyDescent="0.35">
      <c r="B76" s="78"/>
      <c r="C76" s="72"/>
      <c r="D76" s="17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2:43" x14ac:dyDescent="0.35">
      <c r="B77" s="78"/>
      <c r="C77" s="72"/>
      <c r="D77" s="17"/>
      <c r="E77" s="1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2:43" x14ac:dyDescent="0.35">
      <c r="B78" s="78"/>
      <c r="C78" s="72"/>
      <c r="D78" s="17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2:43" x14ac:dyDescent="0.35">
      <c r="B79" s="78"/>
      <c r="C79" s="72"/>
      <c r="D79" s="17"/>
      <c r="E79" s="1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2:43" x14ac:dyDescent="0.35">
      <c r="B80" s="78"/>
      <c r="C80" s="72"/>
      <c r="D80" s="17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2:43" x14ac:dyDescent="0.35">
      <c r="B81" s="78"/>
      <c r="C81" s="72"/>
      <c r="D81" s="1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2:43" x14ac:dyDescent="0.35">
      <c r="B82" s="78"/>
      <c r="C82" s="72"/>
      <c r="D82" s="17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2:43" x14ac:dyDescent="0.35">
      <c r="B83" s="78"/>
      <c r="C83" s="72"/>
      <c r="D83" s="17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2:43" x14ac:dyDescent="0.35">
      <c r="B84" s="78"/>
      <c r="C84" s="72"/>
      <c r="D84" s="17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2:43" x14ac:dyDescent="0.35">
      <c r="B85" s="78"/>
      <c r="C85" s="72"/>
      <c r="D85" s="17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2:43" x14ac:dyDescent="0.35">
      <c r="B86" s="78"/>
      <c r="C86" s="72"/>
      <c r="D86" s="17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2:43" x14ac:dyDescent="0.35">
      <c r="B87" s="17"/>
      <c r="C87" s="82"/>
      <c r="D87" s="17"/>
      <c r="E87" s="19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2:43" x14ac:dyDescent="0.3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2:43" x14ac:dyDescent="0.3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2:43" x14ac:dyDescent="0.35">
      <c r="B90" s="17"/>
      <c r="C90" s="7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2:43" x14ac:dyDescent="0.35">
      <c r="B91" s="17"/>
      <c r="C91" s="7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2:43" x14ac:dyDescent="0.35">
      <c r="B92" s="17"/>
      <c r="C92" s="7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2:43" x14ac:dyDescent="0.35">
      <c r="B93" s="17"/>
      <c r="C93" s="7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2:43" x14ac:dyDescent="0.35">
      <c r="B94" s="17"/>
      <c r="C94" s="7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2:43" x14ac:dyDescent="0.35">
      <c r="B95" s="17"/>
      <c r="C95" s="7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2:43" x14ac:dyDescent="0.35">
      <c r="B96" s="17"/>
      <c r="C96" s="7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2:43" x14ac:dyDescent="0.3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</sheetData>
  <mergeCells count="5">
    <mergeCell ref="C5:G6"/>
    <mergeCell ref="AD5:AH6"/>
    <mergeCell ref="L5:P6"/>
    <mergeCell ref="AM5:AQ6"/>
    <mergeCell ref="U5:Y6"/>
  </mergeCells>
  <phoneticPr fontId="0" type="noConversion"/>
  <pageMargins left="0.75" right="0.75" top="1" bottom="1" header="0.5" footer="0.5"/>
  <pageSetup scale="65" orientation="landscape" r:id="rId1"/>
  <headerFooter alignWithMargins="0"/>
  <colBreaks count="2" manualBreakCount="2">
    <brk id="16" max="43" man="1"/>
    <brk id="25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265"/>
  <sheetViews>
    <sheetView view="pageBreakPreview" topLeftCell="U22" zoomScale="110" zoomScaleNormal="100" zoomScaleSheetLayoutView="110" workbookViewId="0">
      <selection activeCell="AI39" sqref="AI39:AI46"/>
    </sheetView>
  </sheetViews>
  <sheetFormatPr defaultRowHeight="12.75" x14ac:dyDescent="0.35"/>
  <cols>
    <col min="1" max="1" width="4.73046875" customWidth="1"/>
    <col min="2" max="2" width="25.132812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1.86328125" customWidth="1"/>
    <col min="10" max="10" width="4.73046875" customWidth="1"/>
    <col min="11" max="11" width="25.132812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4.86328125" customWidth="1"/>
    <col min="19" max="19" width="4.73046875" customWidth="1"/>
    <col min="20" max="20" width="25.132812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53</v>
      </c>
      <c r="J2" s="34"/>
      <c r="S2" s="34"/>
    </row>
    <row r="3" spans="1:44" ht="13.15" x14ac:dyDescent="0.4">
      <c r="A3" s="75" t="s">
        <v>30</v>
      </c>
      <c r="B3" s="76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86"/>
      <c r="J4" s="34"/>
      <c r="K4" s="28"/>
      <c r="M4" s="149" t="s">
        <v>173</v>
      </c>
      <c r="N4" s="150"/>
      <c r="O4" s="150"/>
      <c r="P4" s="150"/>
      <c r="Q4" s="151"/>
      <c r="R4" s="87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86"/>
      <c r="M5" s="152"/>
      <c r="N5" s="153"/>
      <c r="O5" s="153"/>
      <c r="P5" s="153"/>
      <c r="Q5" s="154"/>
      <c r="R5" s="87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R6" s="2"/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t="s">
        <v>14</v>
      </c>
      <c r="D10" s="6">
        <v>1988</v>
      </c>
      <c r="F10" s="5">
        <v>50</v>
      </c>
      <c r="H10" s="7">
        <f>D10*F10</f>
        <v>99400</v>
      </c>
      <c r="I10" s="7"/>
      <c r="K10" t="s">
        <v>14</v>
      </c>
      <c r="M10" s="6">
        <f>D10</f>
        <v>1988</v>
      </c>
      <c r="O10" s="5">
        <v>50</v>
      </c>
      <c r="Q10" s="7">
        <f>M10*O10</f>
        <v>99400</v>
      </c>
      <c r="R10" s="7"/>
      <c r="T10" t="s">
        <v>14</v>
      </c>
      <c r="V10" s="6">
        <v>1</v>
      </c>
      <c r="X10" s="5">
        <v>51.83</v>
      </c>
      <c r="Z10" s="7">
        <f>V10*X10</f>
        <v>51.83</v>
      </c>
      <c r="AC10" t="s">
        <v>14</v>
      </c>
      <c r="AE10" s="6">
        <f>V10</f>
        <v>1</v>
      </c>
      <c r="AG10" s="5">
        <v>51.83</v>
      </c>
      <c r="AI10" s="7">
        <f>AE10*AG10</f>
        <v>51.83</v>
      </c>
      <c r="AL10" t="s">
        <v>14</v>
      </c>
      <c r="AN10" s="6">
        <f>AE10</f>
        <v>1</v>
      </c>
      <c r="AP10" s="5">
        <v>51.83</v>
      </c>
      <c r="AR10" s="7">
        <f>AN10*AP10</f>
        <v>51.83</v>
      </c>
    </row>
    <row r="13" spans="1:44" ht="13.15" x14ac:dyDescent="0.4">
      <c r="A13" s="1" t="s">
        <v>5</v>
      </c>
      <c r="D13" t="s">
        <v>6</v>
      </c>
      <c r="J13" s="1" t="s">
        <v>5</v>
      </c>
      <c r="M13" t="s">
        <v>6</v>
      </c>
      <c r="S13" s="1" t="s">
        <v>5</v>
      </c>
      <c r="V13" t="s">
        <v>6</v>
      </c>
      <c r="AB13" s="1" t="s">
        <v>5</v>
      </c>
      <c r="AE13" t="s">
        <v>6</v>
      </c>
      <c r="AK13" s="1" t="s">
        <v>5</v>
      </c>
      <c r="AN13" t="s">
        <v>6</v>
      </c>
    </row>
    <row r="14" spans="1:44" x14ac:dyDescent="0.35">
      <c r="B14" s="14" t="s">
        <v>29</v>
      </c>
      <c r="D14" s="6">
        <v>12537775</v>
      </c>
      <c r="F14" s="45">
        <v>0.10181</v>
      </c>
      <c r="H14" s="7">
        <f>D14*F14</f>
        <v>1276470.8727499999</v>
      </c>
      <c r="I14" s="7"/>
      <c r="K14" t="s">
        <v>13</v>
      </c>
      <c r="M14" s="6">
        <f>D16</f>
        <v>13613706</v>
      </c>
      <c r="O14" s="45">
        <f>F15</f>
        <v>0.10022</v>
      </c>
      <c r="Q14" s="7">
        <f>M14*O14</f>
        <v>1364365.6153200001</v>
      </c>
      <c r="R14" s="7"/>
      <c r="T14" t="s">
        <v>13</v>
      </c>
      <c r="V14" s="6">
        <f>M14/M10</f>
        <v>6847.9406438631795</v>
      </c>
      <c r="X14" s="45">
        <v>0.10390000000000001</v>
      </c>
      <c r="Z14" s="7">
        <f>V14*X14</f>
        <v>711.50103289738445</v>
      </c>
      <c r="AC14" t="s">
        <v>13</v>
      </c>
      <c r="AE14" s="6">
        <f>V14</f>
        <v>6847.9406438631795</v>
      </c>
      <c r="AG14" s="45">
        <v>0.10607999999999999</v>
      </c>
      <c r="AI14" s="7">
        <f>AE14*AG14</f>
        <v>726.42954350100604</v>
      </c>
      <c r="AL14" t="s">
        <v>13</v>
      </c>
      <c r="AN14" s="6">
        <f>AE14</f>
        <v>6847.9406438631795</v>
      </c>
      <c r="AP14" s="45">
        <v>0.10826</v>
      </c>
      <c r="AR14" s="7">
        <f>AN14*AP14</f>
        <v>741.35805410462774</v>
      </c>
    </row>
    <row r="15" spans="1:44" x14ac:dyDescent="0.35">
      <c r="B15" s="26" t="s">
        <v>52</v>
      </c>
      <c r="C15" s="10"/>
      <c r="D15" s="9">
        <v>1075931</v>
      </c>
      <c r="E15" s="10"/>
      <c r="F15" s="51">
        <v>0.10022</v>
      </c>
      <c r="G15" s="10"/>
      <c r="H15" s="11">
        <f>D15*F15</f>
        <v>107829.80482</v>
      </c>
      <c r="I15" s="7"/>
      <c r="M15" s="6"/>
      <c r="O15" s="45"/>
      <c r="Q15" s="7"/>
      <c r="R15" s="7"/>
      <c r="V15" s="6"/>
      <c r="X15" s="45"/>
      <c r="Z15" s="7"/>
      <c r="AE15" s="6"/>
      <c r="AG15" s="45"/>
      <c r="AI15" s="7"/>
      <c r="AN15" s="6"/>
      <c r="AP15" s="45"/>
      <c r="AR15" s="7"/>
    </row>
    <row r="16" spans="1:44" x14ac:dyDescent="0.35">
      <c r="B16" s="27"/>
      <c r="C16" s="17"/>
      <c r="D16" s="16">
        <f>SUM(D14:D15)</f>
        <v>13613706</v>
      </c>
      <c r="E16" s="17"/>
      <c r="F16" s="44"/>
      <c r="G16" s="17"/>
      <c r="H16" s="15">
        <f>SUM(H14:H15)</f>
        <v>1384300.6775699998</v>
      </c>
      <c r="I16" s="15"/>
      <c r="K16" s="109" t="s">
        <v>175</v>
      </c>
      <c r="L16" s="17"/>
      <c r="M16" s="16"/>
      <c r="N16" s="17"/>
      <c r="O16" s="44"/>
      <c r="P16" s="17"/>
      <c r="Q16" s="15">
        <f>H20+(0.00159*D14)</f>
        <v>-41516.117750000005</v>
      </c>
      <c r="R16" s="15"/>
      <c r="T16" s="109" t="s">
        <v>175</v>
      </c>
      <c r="U16" s="17"/>
      <c r="V16" s="16">
        <f>Q16/M14</f>
        <v>-3.0495823657422897E-3</v>
      </c>
      <c r="W16" s="17"/>
      <c r="X16" s="44"/>
      <c r="Y16" s="17"/>
      <c r="Z16" s="15">
        <f>V14*V16</f>
        <v>-20.883359029175054</v>
      </c>
      <c r="AC16" s="109" t="s">
        <v>175</v>
      </c>
      <c r="AD16" s="17"/>
      <c r="AE16" s="16"/>
      <c r="AF16" s="17"/>
      <c r="AG16" s="44"/>
      <c r="AH16" s="17"/>
      <c r="AI16" s="15">
        <f>Z16</f>
        <v>-20.883359029175054</v>
      </c>
      <c r="AL16" s="109" t="s">
        <v>175</v>
      </c>
      <c r="AM16" s="17"/>
      <c r="AN16" s="16"/>
      <c r="AO16" s="17"/>
      <c r="AP16" s="44"/>
      <c r="AQ16" s="17"/>
      <c r="AR16" s="15">
        <f>AI16</f>
        <v>-20.883359029175054</v>
      </c>
    </row>
    <row r="17" spans="2:44" x14ac:dyDescent="0.35">
      <c r="B17" s="41"/>
      <c r="C17" s="17"/>
      <c r="D17" s="19"/>
      <c r="E17" s="17"/>
      <c r="F17" s="54"/>
      <c r="G17" s="17"/>
      <c r="H17" s="15"/>
      <c r="I17" s="7"/>
      <c r="K17" s="41"/>
      <c r="L17" s="17"/>
      <c r="M17" s="19"/>
      <c r="N17" s="17"/>
      <c r="O17" s="54"/>
      <c r="P17" s="17"/>
      <c r="Q17" s="15"/>
      <c r="R17" s="15"/>
      <c r="T17" s="41"/>
      <c r="U17" s="17"/>
      <c r="V17" s="19"/>
      <c r="W17" s="17"/>
      <c r="X17" s="54"/>
      <c r="Y17" s="17"/>
      <c r="Z17" s="15"/>
      <c r="AC17" s="41"/>
      <c r="AD17" s="17"/>
      <c r="AE17" s="19"/>
      <c r="AF17" s="17"/>
      <c r="AG17" s="54"/>
      <c r="AH17" s="17"/>
      <c r="AI17" s="15"/>
      <c r="AL17" s="41"/>
      <c r="AM17" s="17"/>
      <c r="AN17" s="19"/>
      <c r="AO17" s="17"/>
      <c r="AP17" s="54"/>
      <c r="AQ17" s="17"/>
      <c r="AR17" s="15"/>
    </row>
    <row r="18" spans="2:44" x14ac:dyDescent="0.35">
      <c r="B18" s="35" t="s">
        <v>26</v>
      </c>
      <c r="D18" s="8"/>
      <c r="H18" s="15">
        <f>F63+F96+F129+F162+F195+F228</f>
        <v>0</v>
      </c>
      <c r="I18" s="7"/>
      <c r="K18" s="3"/>
      <c r="M18" s="8"/>
      <c r="Q18" s="7"/>
      <c r="R18" s="7"/>
      <c r="T18" s="3"/>
      <c r="V18" s="8"/>
      <c r="Z18" s="7"/>
      <c r="AC18" s="35" t="s">
        <v>27</v>
      </c>
      <c r="AE18" s="8"/>
      <c r="AI18" s="11">
        <f>Q19</f>
        <v>0</v>
      </c>
      <c r="AL18" s="35" t="s">
        <v>27</v>
      </c>
      <c r="AN18" s="8"/>
      <c r="AR18" s="11">
        <f>AI19</f>
        <v>0</v>
      </c>
    </row>
    <row r="19" spans="2:44" x14ac:dyDescent="0.35">
      <c r="B19" s="3"/>
      <c r="D19" s="8"/>
      <c r="H19" s="15"/>
      <c r="I19" s="7"/>
      <c r="K19" s="35" t="s">
        <v>27</v>
      </c>
      <c r="M19" s="8"/>
      <c r="Q19" s="11">
        <f>H18</f>
        <v>0</v>
      </c>
      <c r="R19" s="15"/>
      <c r="T19" s="35" t="s">
        <v>27</v>
      </c>
      <c r="V19" s="8"/>
      <c r="Z19" s="11">
        <f>Q18</f>
        <v>0</v>
      </c>
    </row>
    <row r="20" spans="2:44" x14ac:dyDescent="0.35">
      <c r="B20" s="109" t="s">
        <v>175</v>
      </c>
      <c r="D20" s="8"/>
      <c r="H20" s="15">
        <f>H26</f>
        <v>-61451.18</v>
      </c>
      <c r="AC20" t="s">
        <v>33</v>
      </c>
      <c r="AI20" s="7">
        <f>AI10+AI14+AI16+AI18</f>
        <v>757.37618447183104</v>
      </c>
      <c r="AL20" t="s">
        <v>33</v>
      </c>
      <c r="AR20" s="7">
        <f>AR10+AR14+AR16+AR18</f>
        <v>772.30469507545274</v>
      </c>
    </row>
    <row r="21" spans="2:44" x14ac:dyDescent="0.35">
      <c r="I21" s="15"/>
      <c r="K21" t="s">
        <v>33</v>
      </c>
      <c r="Q21" s="7">
        <f>Q10+Q14+Q16+Q19</f>
        <v>1422249.4975700001</v>
      </c>
      <c r="R21" s="7"/>
      <c r="T21" t="s">
        <v>33</v>
      </c>
      <c r="Z21" s="7">
        <f>Z10+Z14+Z16+Z19</f>
        <v>742.44767386820945</v>
      </c>
    </row>
    <row r="22" spans="2:44" ht="13.5" thickBot="1" x14ac:dyDescent="0.45">
      <c r="B22" s="1" t="s">
        <v>7</v>
      </c>
      <c r="H22" s="13">
        <f>H10+H16+H18+H20</f>
        <v>1422249.4975699999</v>
      </c>
      <c r="AC22" t="s">
        <v>34</v>
      </c>
      <c r="AI22" s="83">
        <v>1</v>
      </c>
      <c r="AL22" t="s">
        <v>34</v>
      </c>
      <c r="AR22" s="83">
        <f>AI22</f>
        <v>1</v>
      </c>
    </row>
    <row r="23" spans="2:44" ht="13.15" thickTop="1" x14ac:dyDescent="0.35">
      <c r="K23" t="s">
        <v>34</v>
      </c>
      <c r="Q23" s="83">
        <f>H30</f>
        <v>1.0027798093349694</v>
      </c>
      <c r="R23" s="83"/>
      <c r="T23" t="s">
        <v>34</v>
      </c>
      <c r="Z23" s="83">
        <v>1</v>
      </c>
    </row>
    <row r="24" spans="2:44" ht="13.5" thickBot="1" x14ac:dyDescent="0.45">
      <c r="B24" t="s">
        <v>18</v>
      </c>
      <c r="H24" s="5">
        <v>1487654.2600000002</v>
      </c>
      <c r="AC24" s="1" t="s">
        <v>7</v>
      </c>
      <c r="AI24" s="13">
        <f>AI20*AI22</f>
        <v>757.37618447183104</v>
      </c>
      <c r="AL24" s="1" t="s">
        <v>7</v>
      </c>
      <c r="AR24" s="13">
        <f>AR20*AR22</f>
        <v>772.30469507545274</v>
      </c>
    </row>
    <row r="25" spans="2:44" ht="13.9" thickTop="1" thickBot="1" x14ac:dyDescent="0.45">
      <c r="K25" s="1" t="s">
        <v>7</v>
      </c>
      <c r="Q25" s="13">
        <f>Q21*Q23</f>
        <v>1426203.0800000008</v>
      </c>
      <c r="R25" s="15"/>
      <c r="T25" s="1" t="s">
        <v>7</v>
      </c>
      <c r="Z25" s="13">
        <f>Z21*Z23</f>
        <v>742.44767386820945</v>
      </c>
    </row>
    <row r="26" spans="2:44" ht="13.15" thickTop="1" x14ac:dyDescent="0.35">
      <c r="B26" t="s">
        <v>37</v>
      </c>
      <c r="H26" s="5">
        <v>-61451.18</v>
      </c>
      <c r="AC26" t="s">
        <v>12</v>
      </c>
      <c r="AI26" s="5">
        <f>AI24-Z25</f>
        <v>14.928510603621589</v>
      </c>
      <c r="AL26" t="s">
        <v>12</v>
      </c>
      <c r="AR26" s="5">
        <f>AR24-AI24</f>
        <v>14.928510603621703</v>
      </c>
    </row>
    <row r="27" spans="2:44" x14ac:dyDescent="0.35">
      <c r="K27" s="27" t="s">
        <v>38</v>
      </c>
      <c r="Q27" s="5">
        <f>H32</f>
        <v>158641.25118421976</v>
      </c>
      <c r="R27" s="5"/>
      <c r="T27" s="27" t="s">
        <v>38</v>
      </c>
      <c r="Z27" s="5">
        <f>Q27</f>
        <v>158641.25118421976</v>
      </c>
    </row>
    <row r="28" spans="2:44" x14ac:dyDescent="0.35">
      <c r="B28" s="108" t="s">
        <v>177</v>
      </c>
      <c r="H28" s="7">
        <f>H24+H26</f>
        <v>1426203.0800000003</v>
      </c>
      <c r="AC28" t="s">
        <v>15</v>
      </c>
      <c r="AI28" s="21">
        <f>AI26/Z25</f>
        <v>2.0107155196329059E-2</v>
      </c>
      <c r="AL28" t="s">
        <v>15</v>
      </c>
      <c r="AR28" s="21">
        <f>AR26/AI24</f>
        <v>1.9710826547883004E-2</v>
      </c>
    </row>
    <row r="29" spans="2:44" ht="13.15" x14ac:dyDescent="0.4">
      <c r="K29" s="1" t="s">
        <v>179</v>
      </c>
      <c r="Q29" s="103">
        <f>Q25+Q27</f>
        <v>1584844.3311842205</v>
      </c>
      <c r="R29" s="103"/>
      <c r="T29" s="1" t="s">
        <v>179</v>
      </c>
      <c r="Z29" s="103">
        <f>Z25+Z27</f>
        <v>159383.69885808797</v>
      </c>
    </row>
    <row r="30" spans="2:44" x14ac:dyDescent="0.35">
      <c r="B30" t="s">
        <v>23</v>
      </c>
      <c r="H30" s="52">
        <f>H28/H22</f>
        <v>1.0027798093349694</v>
      </c>
      <c r="AC30" s="27" t="s">
        <v>38</v>
      </c>
      <c r="AI30" s="7">
        <f>Q27</f>
        <v>158641.25118421976</v>
      </c>
      <c r="AL30" s="27" t="s">
        <v>38</v>
      </c>
      <c r="AR30" s="7">
        <f>AI30</f>
        <v>158641.25118421976</v>
      </c>
    </row>
    <row r="32" spans="2:44" ht="13.15" x14ac:dyDescent="0.4">
      <c r="B32" s="27" t="s">
        <v>38</v>
      </c>
      <c r="C32" s="17"/>
      <c r="D32" s="17"/>
      <c r="E32" s="17"/>
      <c r="F32" s="17"/>
      <c r="G32" s="17"/>
      <c r="H32" s="23">
        <v>158641.25118421976</v>
      </c>
      <c r="Q32" s="30"/>
      <c r="R32" s="30"/>
      <c r="Z32" s="30"/>
      <c r="AC32" s="1" t="s">
        <v>179</v>
      </c>
      <c r="AI32" s="7">
        <f>AI24+AI30</f>
        <v>159398.62736869158</v>
      </c>
      <c r="AL32" s="1" t="s">
        <v>179</v>
      </c>
      <c r="AR32" s="7">
        <f>AR24+AR30</f>
        <v>159413.55587929522</v>
      </c>
    </row>
    <row r="33" spans="2:35" ht="13.15" x14ac:dyDescent="0.4">
      <c r="B33" s="24"/>
      <c r="C33" s="17"/>
      <c r="D33" s="24"/>
      <c r="E33" s="17"/>
      <c r="F33" s="24"/>
      <c r="G33" s="17"/>
      <c r="H33" s="24"/>
      <c r="K33" s="24"/>
      <c r="L33" s="17"/>
      <c r="M33" s="24"/>
      <c r="N33" s="17"/>
      <c r="O33" s="24"/>
      <c r="P33" s="17"/>
      <c r="Q33" s="81"/>
      <c r="R33" s="81"/>
      <c r="T33" s="24"/>
      <c r="U33" s="17"/>
      <c r="V33" s="24"/>
      <c r="W33" s="17"/>
      <c r="X33" s="24"/>
      <c r="Y33" s="17"/>
      <c r="Z33" s="81"/>
    </row>
    <row r="34" spans="2:35" x14ac:dyDescent="0.35">
      <c r="B34" s="85" t="s">
        <v>17</v>
      </c>
      <c r="C34" s="17"/>
      <c r="D34" s="16"/>
      <c r="E34" s="17"/>
      <c r="F34" s="42"/>
      <c r="G34" s="17"/>
      <c r="H34" s="23">
        <f>H24+H26+H32</f>
        <v>1584844.33118422</v>
      </c>
      <c r="K34" s="17"/>
      <c r="L34" s="17"/>
      <c r="M34" s="17"/>
      <c r="N34" s="17"/>
      <c r="O34" s="17"/>
      <c r="P34" s="17"/>
      <c r="Q34" s="17"/>
      <c r="R34" s="17"/>
      <c r="T34" s="17"/>
      <c r="U34" s="17"/>
      <c r="V34" s="17"/>
      <c r="W34" s="17"/>
      <c r="X34" s="17"/>
      <c r="Y34" s="17"/>
      <c r="Z34" s="17"/>
    </row>
    <row r="35" spans="2:35" x14ac:dyDescent="0.35">
      <c r="B35" s="37"/>
      <c r="C35" s="17"/>
      <c r="D35" s="16"/>
      <c r="E35" s="17"/>
      <c r="F35" s="42"/>
      <c r="G35" s="17"/>
      <c r="H35" s="23"/>
      <c r="K35" s="16"/>
      <c r="L35" s="17"/>
      <c r="M35" s="16"/>
      <c r="N35" s="17"/>
      <c r="O35" s="42"/>
      <c r="P35" s="17"/>
      <c r="Q35" s="23"/>
      <c r="R35" s="23"/>
      <c r="T35" s="16"/>
      <c r="U35" s="17"/>
      <c r="V35" s="16"/>
      <c r="W35" s="17"/>
      <c r="X35" s="42"/>
      <c r="Y35" s="17"/>
      <c r="Z35" s="23"/>
    </row>
    <row r="36" spans="2:35" x14ac:dyDescent="0.35">
      <c r="K36" s="16"/>
      <c r="L36" s="17"/>
      <c r="M36" s="16"/>
      <c r="N36" s="17"/>
      <c r="O36" s="42"/>
      <c r="P36" s="17"/>
      <c r="Q36" s="23"/>
      <c r="R36" s="23"/>
      <c r="T36" s="16"/>
      <c r="U36" s="17"/>
      <c r="V36" s="16"/>
      <c r="W36" s="17"/>
      <c r="X36" s="42"/>
      <c r="Y36" s="17"/>
      <c r="Z36" s="23"/>
    </row>
    <row r="37" spans="2:35" x14ac:dyDescent="0.35">
      <c r="B37" s="37"/>
      <c r="C37" s="17"/>
      <c r="D37" s="16"/>
      <c r="E37" s="17"/>
      <c r="F37" s="42"/>
      <c r="G37" s="17"/>
      <c r="H37" s="23"/>
      <c r="K37" s="16"/>
      <c r="L37" s="17"/>
      <c r="M37" s="16"/>
      <c r="N37" s="17"/>
      <c r="O37" s="42"/>
      <c r="P37" s="17"/>
      <c r="Q37" s="23"/>
      <c r="R37" s="23"/>
      <c r="T37" s="16"/>
      <c r="U37" s="17"/>
      <c r="V37" s="16"/>
      <c r="W37" s="17"/>
      <c r="X37" s="42"/>
      <c r="Y37" s="17"/>
      <c r="Z37" s="23"/>
    </row>
    <row r="38" spans="2:35" x14ac:dyDescent="0.35">
      <c r="B38" s="37"/>
      <c r="C38" s="17"/>
      <c r="D38" s="16"/>
      <c r="E38" s="17"/>
      <c r="F38" s="42"/>
      <c r="G38" s="17"/>
      <c r="H38" s="23"/>
      <c r="K38" s="16"/>
      <c r="L38" s="17"/>
      <c r="M38" s="16"/>
      <c r="N38" s="17"/>
      <c r="O38" s="42"/>
      <c r="P38" s="17"/>
      <c r="Q38" s="23"/>
      <c r="R38" s="23"/>
      <c r="T38" s="16"/>
      <c r="U38" s="17"/>
      <c r="V38" s="16"/>
      <c r="W38" s="17"/>
      <c r="X38" s="42"/>
      <c r="Y38" s="17"/>
      <c r="Z38" s="23"/>
      <c r="AI38" s="7"/>
    </row>
    <row r="39" spans="2:35" x14ac:dyDescent="0.35">
      <c r="B39" s="37"/>
      <c r="C39" s="17"/>
      <c r="D39" s="16"/>
      <c r="E39" s="17"/>
      <c r="F39" s="42"/>
      <c r="G39" s="17"/>
      <c r="H39" s="23"/>
      <c r="K39" s="16"/>
      <c r="L39" s="17"/>
      <c r="M39" s="16"/>
      <c r="N39" s="17"/>
      <c r="O39" s="42"/>
      <c r="P39" s="17"/>
      <c r="Q39" s="23"/>
      <c r="R39" s="23"/>
      <c r="T39" s="16"/>
      <c r="U39" s="17"/>
      <c r="V39" s="16"/>
      <c r="W39" s="17"/>
      <c r="X39" s="42"/>
      <c r="Y39" s="17"/>
      <c r="Z39" s="23"/>
    </row>
    <row r="40" spans="2:35" x14ac:dyDescent="0.35">
      <c r="B40" s="37"/>
      <c r="C40" s="17"/>
      <c r="D40" s="16"/>
      <c r="E40" s="17"/>
      <c r="F40" s="42"/>
      <c r="G40" s="17"/>
      <c r="H40" s="23"/>
      <c r="K40" s="16"/>
      <c r="L40" s="17"/>
      <c r="M40" s="16"/>
      <c r="N40" s="17"/>
      <c r="O40" s="42"/>
      <c r="P40" s="17"/>
      <c r="Q40" s="23"/>
      <c r="R40" s="23"/>
      <c r="T40" s="16"/>
      <c r="U40" s="17"/>
      <c r="V40" s="16"/>
      <c r="W40" s="17"/>
      <c r="X40" s="42"/>
      <c r="Y40" s="17"/>
      <c r="Z40" s="23"/>
      <c r="AI40" s="30"/>
    </row>
    <row r="41" spans="2:35" x14ac:dyDescent="0.35">
      <c r="B41" s="37"/>
      <c r="C41" s="17"/>
      <c r="D41" s="16"/>
      <c r="E41" s="17"/>
      <c r="F41" s="42"/>
      <c r="G41" s="17"/>
      <c r="H41" s="23"/>
      <c r="K41" s="16"/>
      <c r="L41" s="17"/>
      <c r="M41" s="16"/>
      <c r="N41" s="17"/>
      <c r="O41" s="42"/>
      <c r="P41" s="17"/>
      <c r="Q41" s="23"/>
      <c r="R41" s="23"/>
      <c r="T41" s="16"/>
      <c r="U41" s="17"/>
      <c r="V41" s="16"/>
      <c r="W41" s="17"/>
      <c r="X41" s="42"/>
      <c r="Y41" s="17"/>
      <c r="Z41" s="23"/>
    </row>
    <row r="42" spans="2:35" x14ac:dyDescent="0.35">
      <c r="B42" s="37"/>
      <c r="C42" s="17"/>
      <c r="D42" s="16"/>
      <c r="E42" s="17"/>
      <c r="F42" s="42"/>
      <c r="G42" s="17"/>
      <c r="H42" s="36"/>
      <c r="K42" s="16"/>
      <c r="L42" s="17"/>
      <c r="M42" s="16"/>
      <c r="N42" s="17"/>
      <c r="O42" s="42"/>
      <c r="P42" s="17"/>
      <c r="Q42" s="23"/>
      <c r="R42" s="23"/>
      <c r="T42" s="16"/>
      <c r="U42" s="17"/>
      <c r="V42" s="16"/>
      <c r="W42" s="17"/>
      <c r="X42" s="42"/>
      <c r="Y42" s="17"/>
      <c r="Z42" s="23"/>
      <c r="AI42" s="71"/>
    </row>
    <row r="43" spans="2:35" x14ac:dyDescent="0.35">
      <c r="B43" s="37"/>
      <c r="C43" s="17"/>
      <c r="D43" s="16"/>
      <c r="E43" s="17"/>
      <c r="F43" s="42"/>
      <c r="G43" s="17"/>
      <c r="H43" s="23"/>
      <c r="K43" s="16"/>
      <c r="L43" s="17"/>
      <c r="M43" s="16"/>
      <c r="N43" s="17"/>
      <c r="O43" s="42"/>
      <c r="P43" s="17"/>
      <c r="Q43" s="23"/>
      <c r="R43" s="23"/>
      <c r="T43" s="16"/>
      <c r="U43" s="17"/>
      <c r="V43" s="16"/>
      <c r="W43" s="17"/>
      <c r="X43" s="42"/>
      <c r="Y43" s="17"/>
      <c r="Z43" s="23"/>
    </row>
    <row r="44" spans="2:35" x14ac:dyDescent="0.35">
      <c r="B44" s="37"/>
      <c r="C44" s="17"/>
      <c r="D44" s="16"/>
      <c r="E44" s="17"/>
      <c r="F44" s="42"/>
      <c r="G44" s="17"/>
      <c r="H44" s="23"/>
      <c r="K44" s="16"/>
      <c r="L44" s="17"/>
      <c r="M44" s="16"/>
      <c r="N44" s="17"/>
      <c r="O44" s="42"/>
      <c r="P44" s="17"/>
      <c r="Q44" s="23"/>
      <c r="R44" s="23"/>
      <c r="T44" s="16"/>
      <c r="U44" s="17"/>
      <c r="V44" s="16"/>
      <c r="W44" s="17"/>
      <c r="X44" s="42"/>
      <c r="Y44" s="17"/>
      <c r="Z44" s="23"/>
      <c r="AI44" s="7"/>
    </row>
    <row r="45" spans="2:35" x14ac:dyDescent="0.35">
      <c r="B45" s="37"/>
      <c r="C45" s="17"/>
      <c r="D45" s="16"/>
      <c r="E45" s="17"/>
      <c r="F45" s="42"/>
      <c r="G45" s="17"/>
      <c r="H45" s="23"/>
      <c r="K45" s="16"/>
      <c r="L45" s="17"/>
      <c r="M45" s="16"/>
      <c r="N45" s="17"/>
      <c r="O45" s="42"/>
      <c r="P45" s="17"/>
      <c r="Q45" s="23"/>
      <c r="R45" s="23"/>
      <c r="T45" s="16"/>
      <c r="U45" s="17"/>
      <c r="V45" s="16"/>
      <c r="W45" s="17"/>
      <c r="X45" s="42"/>
      <c r="Y45" s="17"/>
      <c r="Z45" s="23"/>
    </row>
    <row r="46" spans="2:35" x14ac:dyDescent="0.35">
      <c r="B46" s="37"/>
      <c r="C46" s="17"/>
      <c r="D46" s="16"/>
      <c r="E46" s="17"/>
      <c r="F46" s="42"/>
      <c r="G46" s="17"/>
      <c r="H46" s="23"/>
      <c r="K46" s="16"/>
      <c r="L46" s="17"/>
      <c r="M46" s="16"/>
      <c r="N46" s="17"/>
      <c r="O46" s="42"/>
      <c r="P46" s="17"/>
      <c r="Q46" s="23"/>
      <c r="R46" s="23"/>
      <c r="T46" s="16"/>
      <c r="U46" s="17"/>
      <c r="V46" s="16"/>
      <c r="W46" s="17"/>
      <c r="X46" s="42"/>
      <c r="Y46" s="17"/>
      <c r="Z46" s="23"/>
    </row>
    <row r="47" spans="2:35" x14ac:dyDescent="0.35">
      <c r="B47" s="17"/>
      <c r="C47" s="17"/>
      <c r="D47" s="19"/>
      <c r="E47" s="17"/>
      <c r="F47" s="17"/>
      <c r="G47" s="17"/>
      <c r="H47" s="15"/>
      <c r="K47" s="19"/>
      <c r="L47" s="17"/>
      <c r="M47" s="19"/>
      <c r="N47" s="17"/>
      <c r="O47" s="17"/>
      <c r="P47" s="17"/>
      <c r="Q47" s="15"/>
      <c r="R47" s="15"/>
      <c r="T47" s="19"/>
      <c r="U47" s="17"/>
      <c r="V47" s="19"/>
      <c r="W47" s="17"/>
      <c r="X47" s="17"/>
      <c r="Y47" s="17"/>
      <c r="Z47" s="15"/>
    </row>
    <row r="48" spans="2:35" x14ac:dyDescent="0.35">
      <c r="B48" s="17"/>
      <c r="C48" s="17"/>
      <c r="D48" s="17"/>
      <c r="E48" s="17"/>
      <c r="F48" s="17"/>
      <c r="G48" s="17"/>
      <c r="H48" s="17"/>
      <c r="K48" s="17"/>
      <c r="L48" s="17"/>
      <c r="M48" s="17"/>
      <c r="N48" s="17"/>
      <c r="O48" s="17"/>
      <c r="T48" s="17"/>
      <c r="U48" s="17"/>
      <c r="V48" s="17"/>
      <c r="W48" s="17"/>
      <c r="X48" s="17"/>
    </row>
    <row r="49" spans="2:24" ht="13.15" x14ac:dyDescent="0.4">
      <c r="B49" s="17"/>
      <c r="C49" s="17"/>
      <c r="D49" s="24"/>
      <c r="E49" s="17"/>
      <c r="F49" s="24"/>
      <c r="G49" s="17"/>
      <c r="H49" s="24"/>
      <c r="K49" s="70" t="s">
        <v>31</v>
      </c>
      <c r="L49" s="17"/>
      <c r="M49" s="77"/>
      <c r="N49" s="17"/>
      <c r="O49" s="17"/>
      <c r="T49" s="70" t="s">
        <v>31</v>
      </c>
      <c r="U49" s="17"/>
      <c r="V49" s="77"/>
      <c r="W49" s="17"/>
      <c r="X49" s="17"/>
    </row>
    <row r="50" spans="2:24" x14ac:dyDescent="0.35">
      <c r="B50" s="17"/>
      <c r="C50" s="17"/>
      <c r="D50" s="17"/>
      <c r="E50" s="17"/>
      <c r="F50" s="17"/>
      <c r="G50" s="17"/>
      <c r="H50" s="17"/>
      <c r="K50" s="17"/>
      <c r="L50" s="17"/>
      <c r="M50" s="17"/>
      <c r="N50" s="17"/>
      <c r="O50" s="17"/>
      <c r="T50" s="17"/>
      <c r="U50" s="17"/>
      <c r="V50" s="17"/>
      <c r="W50" s="17"/>
      <c r="X50" s="17"/>
    </row>
    <row r="51" spans="2:24" x14ac:dyDescent="0.35">
      <c r="B51" s="78"/>
      <c r="C51" s="17"/>
      <c r="D51" s="16"/>
      <c r="E51" s="17"/>
      <c r="F51" s="17"/>
      <c r="G51" s="17"/>
      <c r="H51" s="16"/>
      <c r="K51" s="57">
        <v>552735.09</v>
      </c>
      <c r="L51" s="17"/>
      <c r="M51" s="32"/>
      <c r="N51" s="17"/>
      <c r="O51" s="17"/>
      <c r="T51" s="57">
        <v>552735.09</v>
      </c>
      <c r="U51" s="17"/>
      <c r="V51" s="32"/>
      <c r="W51" s="17"/>
      <c r="X51" s="17"/>
    </row>
    <row r="52" spans="2:24" x14ac:dyDescent="0.35">
      <c r="B52" s="78"/>
      <c r="C52" s="17"/>
      <c r="D52" s="16"/>
      <c r="E52" s="17"/>
      <c r="F52" s="17"/>
      <c r="G52" s="17"/>
      <c r="H52" s="16"/>
      <c r="K52" s="57">
        <v>552404.52</v>
      </c>
      <c r="L52" s="17"/>
      <c r="M52" s="32"/>
      <c r="N52" s="17"/>
      <c r="O52" s="17"/>
      <c r="T52" s="57">
        <v>552404.52</v>
      </c>
      <c r="U52" s="17"/>
      <c r="V52" s="32"/>
      <c r="W52" s="17"/>
      <c r="X52" s="17"/>
    </row>
    <row r="53" spans="2:24" x14ac:dyDescent="0.35">
      <c r="B53" s="78"/>
      <c r="C53" s="17"/>
      <c r="D53" s="16"/>
      <c r="E53" s="17"/>
      <c r="F53" s="17"/>
      <c r="G53" s="17"/>
      <c r="H53" s="16"/>
      <c r="K53" s="57">
        <v>551210.19999999995</v>
      </c>
      <c r="L53" s="17"/>
      <c r="M53" s="32"/>
      <c r="N53" s="17"/>
      <c r="O53" s="17"/>
      <c r="T53" s="57">
        <v>551210.19999999995</v>
      </c>
      <c r="U53" s="17"/>
      <c r="V53" s="32"/>
      <c r="W53" s="17"/>
      <c r="X53" s="17"/>
    </row>
    <row r="54" spans="2:24" x14ac:dyDescent="0.35">
      <c r="B54" s="78"/>
      <c r="C54" s="17"/>
      <c r="D54" s="16"/>
      <c r="E54" s="17"/>
      <c r="F54" s="17"/>
      <c r="G54" s="17"/>
      <c r="H54" s="16"/>
      <c r="K54" s="57">
        <v>550194.51</v>
      </c>
      <c r="L54" s="17"/>
      <c r="M54" s="32"/>
      <c r="N54" s="17"/>
      <c r="O54" s="17"/>
      <c r="T54" s="57">
        <v>550194.51</v>
      </c>
      <c r="U54" s="17"/>
      <c r="V54" s="32"/>
      <c r="W54" s="17"/>
      <c r="X54" s="17"/>
    </row>
    <row r="55" spans="2:24" x14ac:dyDescent="0.35">
      <c r="B55" s="78"/>
      <c r="C55" s="17"/>
      <c r="D55" s="16"/>
      <c r="E55" s="17"/>
      <c r="F55" s="17"/>
      <c r="G55" s="17"/>
      <c r="H55" s="16"/>
      <c r="K55" s="57">
        <v>550231.56000000006</v>
      </c>
      <c r="L55" s="17"/>
      <c r="M55" s="32"/>
      <c r="N55" s="17"/>
      <c r="O55" s="17"/>
      <c r="T55" s="57">
        <v>550231.56000000006</v>
      </c>
      <c r="U55" s="17"/>
      <c r="V55" s="32"/>
      <c r="W55" s="17"/>
      <c r="X55" s="17"/>
    </row>
    <row r="56" spans="2:24" x14ac:dyDescent="0.35">
      <c r="B56" s="78"/>
      <c r="C56" s="17"/>
      <c r="D56" s="16"/>
      <c r="E56" s="17"/>
      <c r="F56" s="17"/>
      <c r="G56" s="17"/>
      <c r="H56" s="16"/>
      <c r="K56" s="57">
        <v>550626.48</v>
      </c>
      <c r="L56" s="17"/>
      <c r="M56" s="32"/>
      <c r="N56" s="17"/>
      <c r="O56" s="17"/>
      <c r="T56" s="57">
        <v>550626.48</v>
      </c>
      <c r="U56" s="17"/>
      <c r="V56" s="32"/>
      <c r="W56" s="17"/>
      <c r="X56" s="17"/>
    </row>
    <row r="57" spans="2:24" x14ac:dyDescent="0.35">
      <c r="B57" s="78"/>
      <c r="C57" s="17"/>
      <c r="D57" s="16"/>
      <c r="E57" s="17"/>
      <c r="F57" s="17"/>
      <c r="G57" s="17"/>
      <c r="H57" s="16"/>
      <c r="K57" s="57">
        <v>549500.01</v>
      </c>
      <c r="L57" s="17"/>
      <c r="M57" s="32"/>
      <c r="N57" s="17"/>
      <c r="O57" s="17"/>
      <c r="T57" s="57">
        <v>549500.01</v>
      </c>
      <c r="U57" s="17"/>
      <c r="V57" s="32"/>
      <c r="W57" s="17"/>
      <c r="X57" s="17"/>
    </row>
    <row r="58" spans="2:24" x14ac:dyDescent="0.35">
      <c r="B58" s="78"/>
      <c r="C58" s="17"/>
      <c r="D58" s="16"/>
      <c r="E58" s="17"/>
      <c r="F58" s="17"/>
      <c r="G58" s="17"/>
      <c r="H58" s="16"/>
      <c r="K58" s="57">
        <v>550649.96</v>
      </c>
      <c r="L58" s="17"/>
      <c r="M58" s="32"/>
      <c r="N58" s="17"/>
      <c r="O58" s="17"/>
      <c r="T58" s="57">
        <v>550649.96</v>
      </c>
      <c r="U58" s="17"/>
      <c r="V58" s="32"/>
      <c r="W58" s="17"/>
      <c r="X58" s="17"/>
    </row>
    <row r="59" spans="2:24" x14ac:dyDescent="0.35">
      <c r="B59" s="78"/>
      <c r="C59" s="17"/>
      <c r="D59" s="16"/>
      <c r="E59" s="17"/>
      <c r="F59" s="17"/>
      <c r="G59" s="17"/>
      <c r="H59" s="16"/>
      <c r="K59" s="57">
        <v>549919.36</v>
      </c>
      <c r="L59" s="17"/>
      <c r="M59" s="32"/>
      <c r="N59" s="17"/>
      <c r="O59" s="17"/>
      <c r="T59" s="57">
        <v>549919.36</v>
      </c>
      <c r="U59" s="17"/>
      <c r="V59" s="32"/>
      <c r="W59" s="17"/>
      <c r="X59" s="17"/>
    </row>
    <row r="60" spans="2:24" x14ac:dyDescent="0.35">
      <c r="B60" s="78"/>
      <c r="C60" s="17"/>
      <c r="D60" s="16"/>
      <c r="E60" s="17"/>
      <c r="F60" s="17"/>
      <c r="G60" s="17"/>
      <c r="H60" s="16"/>
      <c r="K60" s="57">
        <v>549822.25</v>
      </c>
      <c r="L60" s="17"/>
      <c r="M60" s="32"/>
      <c r="N60" s="17"/>
      <c r="O60" s="17"/>
      <c r="T60" s="57">
        <v>549822.25</v>
      </c>
      <c r="U60" s="17"/>
      <c r="V60" s="32"/>
      <c r="W60" s="17"/>
      <c r="X60" s="17"/>
    </row>
    <row r="61" spans="2:24" x14ac:dyDescent="0.35">
      <c r="B61" s="78"/>
      <c r="C61" s="17"/>
      <c r="D61" s="16"/>
      <c r="E61" s="17"/>
      <c r="F61" s="17"/>
      <c r="G61" s="17"/>
      <c r="H61" s="16"/>
      <c r="K61" s="57">
        <v>550431.82999999996</v>
      </c>
      <c r="L61" s="17"/>
      <c r="M61" s="32"/>
      <c r="N61" s="17"/>
      <c r="O61" s="17"/>
      <c r="T61" s="57">
        <v>550431.82999999996</v>
      </c>
      <c r="U61" s="17"/>
      <c r="V61" s="32"/>
      <c r="W61" s="17"/>
      <c r="X61" s="17"/>
    </row>
    <row r="62" spans="2:24" x14ac:dyDescent="0.35">
      <c r="B62" s="78"/>
      <c r="C62" s="17"/>
      <c r="D62" s="16"/>
      <c r="E62" s="17"/>
      <c r="F62" s="17"/>
      <c r="G62" s="17"/>
      <c r="H62" s="16"/>
      <c r="K62" s="40">
        <v>549890.36</v>
      </c>
      <c r="L62" s="17"/>
      <c r="M62" s="32"/>
      <c r="N62" s="17"/>
      <c r="O62" s="17"/>
      <c r="T62" s="40">
        <v>549890.36</v>
      </c>
      <c r="U62" s="17"/>
      <c r="V62" s="32"/>
      <c r="W62" s="17"/>
      <c r="X62" s="17"/>
    </row>
    <row r="63" spans="2:24" x14ac:dyDescent="0.35">
      <c r="B63" s="17"/>
      <c r="C63" s="17"/>
      <c r="D63" s="19"/>
      <c r="E63" s="17"/>
      <c r="F63" s="17"/>
      <c r="G63" s="17"/>
      <c r="H63" s="19"/>
      <c r="K63" s="32">
        <f>SUM(K51:K62)</f>
        <v>6607616.1300000008</v>
      </c>
      <c r="L63" s="17"/>
      <c r="M63" s="17"/>
      <c r="N63" s="17"/>
      <c r="O63" s="17"/>
      <c r="T63" s="32">
        <f>SUM(T51:T62)</f>
        <v>6607616.1300000008</v>
      </c>
      <c r="U63" s="17"/>
      <c r="V63" s="17"/>
      <c r="W63" s="17"/>
      <c r="X63" s="17"/>
    </row>
    <row r="64" spans="2:24" x14ac:dyDescent="0.35">
      <c r="B64" s="17"/>
      <c r="C64" s="17"/>
      <c r="D64" s="17"/>
      <c r="E64" s="17"/>
      <c r="F64" s="17"/>
      <c r="G64" s="17"/>
      <c r="H64" s="17"/>
      <c r="K64" s="17"/>
      <c r="L64" s="17"/>
      <c r="M64" s="17"/>
      <c r="N64" s="17"/>
      <c r="O64" s="17"/>
      <c r="T64" s="17"/>
      <c r="U64" s="17"/>
      <c r="V64" s="17"/>
      <c r="W64" s="17"/>
      <c r="X64" s="17"/>
    </row>
    <row r="65" spans="2:8" ht="13.15" x14ac:dyDescent="0.4">
      <c r="B65" s="24"/>
      <c r="C65" s="17"/>
      <c r="D65" s="17"/>
      <c r="E65" s="17"/>
      <c r="F65" s="17"/>
      <c r="G65" s="17"/>
      <c r="H65" s="17"/>
    </row>
    <row r="66" spans="2:8" ht="13.15" x14ac:dyDescent="0.4">
      <c r="B66" s="24"/>
      <c r="C66" s="17"/>
      <c r="D66" s="24"/>
      <c r="E66" s="17"/>
      <c r="F66" s="24"/>
      <c r="G66" s="17"/>
      <c r="H66" s="24"/>
    </row>
    <row r="67" spans="2:8" x14ac:dyDescent="0.35">
      <c r="B67" s="17"/>
      <c r="C67" s="17"/>
      <c r="D67" s="17"/>
      <c r="E67" s="17"/>
      <c r="F67" s="17"/>
      <c r="G67" s="17"/>
      <c r="H67" s="17"/>
    </row>
    <row r="68" spans="2:8" x14ac:dyDescent="0.35">
      <c r="B68" s="78"/>
      <c r="C68" s="17"/>
      <c r="D68" s="16"/>
      <c r="E68" s="17"/>
      <c r="F68" s="42"/>
      <c r="G68" s="17"/>
      <c r="H68" s="23"/>
    </row>
    <row r="69" spans="2:8" x14ac:dyDescent="0.35">
      <c r="B69" s="78"/>
      <c r="C69" s="17"/>
      <c r="D69" s="16"/>
      <c r="E69" s="17"/>
      <c r="F69" s="42"/>
      <c r="G69" s="17"/>
      <c r="H69" s="23"/>
    </row>
    <row r="70" spans="2:8" x14ac:dyDescent="0.35">
      <c r="B70" s="78"/>
      <c r="C70" s="17"/>
      <c r="D70" s="16"/>
      <c r="E70" s="17"/>
      <c r="F70" s="42"/>
      <c r="G70" s="17"/>
      <c r="H70" s="23"/>
    </row>
    <row r="71" spans="2:8" x14ac:dyDescent="0.35">
      <c r="B71" s="78"/>
      <c r="C71" s="17"/>
      <c r="D71" s="16"/>
      <c r="E71" s="17"/>
      <c r="F71" s="42"/>
      <c r="G71" s="17"/>
      <c r="H71" s="23"/>
    </row>
    <row r="72" spans="2:8" x14ac:dyDescent="0.35">
      <c r="B72" s="78"/>
      <c r="C72" s="17"/>
      <c r="D72" s="16"/>
      <c r="E72" s="17"/>
      <c r="F72" s="42"/>
      <c r="G72" s="17"/>
      <c r="H72" s="23"/>
    </row>
    <row r="73" spans="2:8" x14ac:dyDescent="0.35">
      <c r="B73" s="78"/>
      <c r="C73" s="17"/>
      <c r="D73" s="16"/>
      <c r="E73" s="17"/>
      <c r="F73" s="42"/>
      <c r="G73" s="17"/>
      <c r="H73" s="23"/>
    </row>
    <row r="74" spans="2:8" x14ac:dyDescent="0.35">
      <c r="B74" s="78"/>
      <c r="C74" s="17"/>
      <c r="D74" s="16"/>
      <c r="E74" s="17"/>
      <c r="F74" s="42"/>
      <c r="G74" s="17"/>
      <c r="H74" s="23"/>
    </row>
    <row r="75" spans="2:8" x14ac:dyDescent="0.35">
      <c r="B75" s="78"/>
      <c r="C75" s="17"/>
      <c r="D75" s="16"/>
      <c r="E75" s="17"/>
      <c r="F75" s="42"/>
      <c r="G75" s="17"/>
      <c r="H75" s="23"/>
    </row>
    <row r="76" spans="2:8" x14ac:dyDescent="0.35">
      <c r="B76" s="78"/>
      <c r="C76" s="17"/>
      <c r="D76" s="16"/>
      <c r="E76" s="17"/>
      <c r="F76" s="42"/>
      <c r="G76" s="17"/>
      <c r="H76" s="23"/>
    </row>
    <row r="77" spans="2:8" x14ac:dyDescent="0.35">
      <c r="B77" s="78"/>
      <c r="C77" s="17"/>
      <c r="D77" s="16"/>
      <c r="E77" s="17"/>
      <c r="F77" s="42"/>
      <c r="G77" s="17"/>
      <c r="H77" s="23"/>
    </row>
    <row r="78" spans="2:8" x14ac:dyDescent="0.35">
      <c r="B78" s="78"/>
      <c r="C78" s="17"/>
      <c r="D78" s="16"/>
      <c r="E78" s="17"/>
      <c r="F78" s="42"/>
      <c r="G78" s="17"/>
      <c r="H78" s="23"/>
    </row>
    <row r="79" spans="2:8" x14ac:dyDescent="0.35">
      <c r="B79" s="78"/>
      <c r="C79" s="17"/>
      <c r="D79" s="16"/>
      <c r="E79" s="17"/>
      <c r="F79" s="42"/>
      <c r="G79" s="17"/>
      <c r="H79" s="23"/>
    </row>
    <row r="80" spans="2:8" x14ac:dyDescent="0.35">
      <c r="B80" s="17"/>
      <c r="C80" s="17"/>
      <c r="D80" s="19"/>
      <c r="E80" s="17"/>
      <c r="F80" s="17"/>
      <c r="G80" s="17"/>
      <c r="H80" s="15"/>
    </row>
    <row r="81" spans="2:20" x14ac:dyDescent="0.35">
      <c r="B81" s="17"/>
      <c r="C81" s="17"/>
      <c r="D81" s="17"/>
      <c r="E81" s="17"/>
      <c r="F81" s="17"/>
      <c r="G81" s="17"/>
      <c r="H81" s="17"/>
    </row>
    <row r="82" spans="2:20" ht="13.15" x14ac:dyDescent="0.4">
      <c r="B82" s="17"/>
      <c r="C82" s="17"/>
      <c r="D82" s="24"/>
      <c r="E82" s="17"/>
      <c r="F82" s="24"/>
      <c r="G82" s="17"/>
      <c r="H82" s="24"/>
      <c r="K82" s="70" t="s">
        <v>31</v>
      </c>
      <c r="T82" s="70" t="s">
        <v>31</v>
      </c>
    </row>
    <row r="83" spans="2:20" x14ac:dyDescent="0.35">
      <c r="B83" s="17"/>
      <c r="C83" s="17"/>
      <c r="D83" s="17"/>
      <c r="E83" s="17"/>
      <c r="F83" s="17"/>
      <c r="G83" s="17"/>
      <c r="H83" s="17"/>
      <c r="K83" s="17"/>
      <c r="T83" s="17"/>
    </row>
    <row r="84" spans="2:20" x14ac:dyDescent="0.35">
      <c r="B84" s="78"/>
      <c r="C84" s="17"/>
      <c r="D84" s="16"/>
      <c r="E84" s="17"/>
      <c r="F84" s="17"/>
      <c r="G84" s="17"/>
      <c r="H84" s="16"/>
      <c r="K84" s="57">
        <v>33356.550000000003</v>
      </c>
      <c r="T84" s="57">
        <v>33356.550000000003</v>
      </c>
    </row>
    <row r="85" spans="2:20" x14ac:dyDescent="0.35">
      <c r="B85" s="78"/>
      <c r="C85" s="17"/>
      <c r="D85" s="16"/>
      <c r="E85" s="17"/>
      <c r="F85" s="17"/>
      <c r="G85" s="17"/>
      <c r="H85" s="16"/>
      <c r="K85" s="57">
        <v>33326.36</v>
      </c>
      <c r="T85" s="57">
        <v>33326.36</v>
      </c>
    </row>
    <row r="86" spans="2:20" x14ac:dyDescent="0.35">
      <c r="B86" s="78"/>
      <c r="C86" s="17"/>
      <c r="D86" s="16"/>
      <c r="E86" s="17"/>
      <c r="F86" s="17"/>
      <c r="G86" s="17"/>
      <c r="H86" s="16"/>
      <c r="K86" s="57">
        <v>33287.21</v>
      </c>
      <c r="T86" s="57">
        <v>33287.21</v>
      </c>
    </row>
    <row r="87" spans="2:20" x14ac:dyDescent="0.35">
      <c r="B87" s="78"/>
      <c r="C87" s="17"/>
      <c r="D87" s="16"/>
      <c r="E87" s="17"/>
      <c r="F87" s="17"/>
      <c r="G87" s="17"/>
      <c r="H87" s="16"/>
      <c r="K87" s="57">
        <v>33307.32</v>
      </c>
      <c r="T87" s="57">
        <v>33307.32</v>
      </c>
    </row>
    <row r="88" spans="2:20" x14ac:dyDescent="0.35">
      <c r="B88" s="78"/>
      <c r="C88" s="17"/>
      <c r="D88" s="16"/>
      <c r="E88" s="17"/>
      <c r="F88" s="17"/>
      <c r="G88" s="17"/>
      <c r="H88" s="16"/>
      <c r="K88" s="57">
        <v>33395.67</v>
      </c>
      <c r="T88" s="57">
        <v>33395.67</v>
      </c>
    </row>
    <row r="89" spans="2:20" x14ac:dyDescent="0.35">
      <c r="B89" s="78"/>
      <c r="C89" s="17"/>
      <c r="D89" s="16"/>
      <c r="E89" s="17"/>
      <c r="F89" s="17"/>
      <c r="G89" s="17"/>
      <c r="H89" s="16"/>
      <c r="K89" s="57">
        <v>33399.040000000001</v>
      </c>
      <c r="T89" s="57">
        <v>33399.040000000001</v>
      </c>
    </row>
    <row r="90" spans="2:20" x14ac:dyDescent="0.35">
      <c r="B90" s="78"/>
      <c r="C90" s="17"/>
      <c r="D90" s="16"/>
      <c r="E90" s="17"/>
      <c r="F90" s="17"/>
      <c r="G90" s="17"/>
      <c r="H90" s="16"/>
      <c r="K90" s="57">
        <v>33485.15</v>
      </c>
      <c r="T90" s="57">
        <v>33485.15</v>
      </c>
    </row>
    <row r="91" spans="2:20" x14ac:dyDescent="0.35">
      <c r="B91" s="78"/>
      <c r="C91" s="17"/>
      <c r="D91" s="16"/>
      <c r="E91" s="17"/>
      <c r="F91" s="17"/>
      <c r="G91" s="17"/>
      <c r="H91" s="16"/>
      <c r="K91" s="57">
        <v>33537.79</v>
      </c>
      <c r="T91" s="57">
        <v>33537.79</v>
      </c>
    </row>
    <row r="92" spans="2:20" x14ac:dyDescent="0.35">
      <c r="B92" s="78"/>
      <c r="C92" s="17"/>
      <c r="D92" s="16"/>
      <c r="E92" s="17"/>
      <c r="F92" s="17"/>
      <c r="G92" s="17"/>
      <c r="H92" s="16"/>
      <c r="K92" s="57">
        <v>33622.699999999997</v>
      </c>
      <c r="T92" s="57">
        <v>33622.699999999997</v>
      </c>
    </row>
    <row r="93" spans="2:20" x14ac:dyDescent="0.35">
      <c r="B93" s="78"/>
      <c r="C93" s="17"/>
      <c r="D93" s="16"/>
      <c r="E93" s="17"/>
      <c r="F93" s="17"/>
      <c r="G93" s="17"/>
      <c r="H93" s="16"/>
      <c r="K93" s="57">
        <v>33616.01</v>
      </c>
      <c r="T93" s="57">
        <v>33616.01</v>
      </c>
    </row>
    <row r="94" spans="2:20" x14ac:dyDescent="0.35">
      <c r="B94" s="78"/>
      <c r="C94" s="17"/>
      <c r="D94" s="16"/>
      <c r="E94" s="17"/>
      <c r="F94" s="17"/>
      <c r="G94" s="17"/>
      <c r="H94" s="16"/>
      <c r="K94" s="57">
        <v>33679.730000000003</v>
      </c>
      <c r="T94" s="57">
        <v>33679.730000000003</v>
      </c>
    </row>
    <row r="95" spans="2:20" x14ac:dyDescent="0.35">
      <c r="B95" s="78"/>
      <c r="C95" s="17"/>
      <c r="D95" s="16"/>
      <c r="E95" s="17"/>
      <c r="F95" s="17"/>
      <c r="G95" s="17"/>
      <c r="H95" s="16"/>
      <c r="K95" s="40">
        <v>33646.17</v>
      </c>
      <c r="T95" s="40">
        <v>33646.17</v>
      </c>
    </row>
    <row r="96" spans="2:20" x14ac:dyDescent="0.35">
      <c r="B96" s="17"/>
      <c r="C96" s="17"/>
      <c r="D96" s="19"/>
      <c r="E96" s="17"/>
      <c r="F96" s="17"/>
      <c r="G96" s="17"/>
      <c r="H96" s="19"/>
      <c r="K96" s="32">
        <f>SUM(K84:K95)</f>
        <v>401659.69999999995</v>
      </c>
      <c r="T96" s="32">
        <f>SUM(T84:T95)</f>
        <v>401659.69999999995</v>
      </c>
    </row>
    <row r="97" spans="2:8" x14ac:dyDescent="0.35">
      <c r="B97" s="17"/>
      <c r="C97" s="17"/>
      <c r="D97" s="17"/>
      <c r="E97" s="17"/>
      <c r="F97" s="17"/>
      <c r="G97" s="17"/>
      <c r="H97" s="17"/>
    </row>
    <row r="98" spans="2:8" ht="13.15" x14ac:dyDescent="0.4">
      <c r="B98" s="24"/>
      <c r="C98" s="17"/>
      <c r="D98" s="17"/>
      <c r="E98" s="17"/>
      <c r="F98" s="17"/>
      <c r="G98" s="17"/>
      <c r="H98" s="17"/>
    </row>
    <row r="99" spans="2:8" ht="13.15" x14ac:dyDescent="0.4">
      <c r="B99" s="24"/>
      <c r="C99" s="17"/>
      <c r="D99" s="24"/>
      <c r="E99" s="17"/>
      <c r="F99" s="24"/>
      <c r="G99" s="17"/>
      <c r="H99" s="24"/>
    </row>
    <row r="100" spans="2:8" x14ac:dyDescent="0.35">
      <c r="B100" s="17"/>
      <c r="C100" s="17"/>
      <c r="D100" s="17"/>
      <c r="E100" s="17"/>
      <c r="F100" s="17"/>
      <c r="G100" s="17"/>
      <c r="H100" s="17"/>
    </row>
    <row r="101" spans="2:8" x14ac:dyDescent="0.35">
      <c r="B101" s="78"/>
      <c r="C101" s="17"/>
      <c r="D101" s="16"/>
      <c r="E101" s="17"/>
      <c r="F101" s="42"/>
      <c r="G101" s="17"/>
      <c r="H101" s="23"/>
    </row>
    <row r="102" spans="2:8" x14ac:dyDescent="0.35">
      <c r="B102" s="78"/>
      <c r="C102" s="17"/>
      <c r="D102" s="16"/>
      <c r="E102" s="17"/>
      <c r="F102" s="42"/>
      <c r="G102" s="17"/>
      <c r="H102" s="23"/>
    </row>
    <row r="103" spans="2:8" x14ac:dyDescent="0.35">
      <c r="B103" s="78"/>
      <c r="C103" s="17"/>
      <c r="D103" s="16"/>
      <c r="E103" s="17"/>
      <c r="F103" s="42"/>
      <c r="G103" s="17"/>
      <c r="H103" s="23"/>
    </row>
    <row r="104" spans="2:8" x14ac:dyDescent="0.35">
      <c r="B104" s="78"/>
      <c r="C104" s="17"/>
      <c r="D104" s="16"/>
      <c r="E104" s="17"/>
      <c r="F104" s="42"/>
      <c r="G104" s="17"/>
      <c r="H104" s="23"/>
    </row>
    <row r="105" spans="2:8" x14ac:dyDescent="0.35">
      <c r="B105" s="78"/>
      <c r="C105" s="17"/>
      <c r="D105" s="16"/>
      <c r="E105" s="17"/>
      <c r="F105" s="42"/>
      <c r="G105" s="17"/>
      <c r="H105" s="23"/>
    </row>
    <row r="106" spans="2:8" x14ac:dyDescent="0.35">
      <c r="B106" s="78"/>
      <c r="C106" s="17"/>
      <c r="D106" s="16"/>
      <c r="E106" s="17"/>
      <c r="F106" s="42"/>
      <c r="G106" s="17"/>
      <c r="H106" s="23"/>
    </row>
    <row r="107" spans="2:8" x14ac:dyDescent="0.35">
      <c r="B107" s="78"/>
      <c r="C107" s="17"/>
      <c r="D107" s="16"/>
      <c r="E107" s="17"/>
      <c r="F107" s="42"/>
      <c r="G107" s="17"/>
      <c r="H107" s="23"/>
    </row>
    <row r="108" spans="2:8" x14ac:dyDescent="0.35">
      <c r="B108" s="78"/>
      <c r="C108" s="17"/>
      <c r="D108" s="16"/>
      <c r="E108" s="17"/>
      <c r="F108" s="42"/>
      <c r="G108" s="17"/>
      <c r="H108" s="23"/>
    </row>
    <row r="109" spans="2:8" x14ac:dyDescent="0.35">
      <c r="B109" s="78"/>
      <c r="C109" s="17"/>
      <c r="D109" s="16"/>
      <c r="E109" s="17"/>
      <c r="F109" s="42"/>
      <c r="G109" s="17"/>
      <c r="H109" s="23"/>
    </row>
    <row r="110" spans="2:8" x14ac:dyDescent="0.35">
      <c r="B110" s="78"/>
      <c r="C110" s="17"/>
      <c r="D110" s="16"/>
      <c r="E110" s="17"/>
      <c r="F110" s="42"/>
      <c r="G110" s="17"/>
      <c r="H110" s="23"/>
    </row>
    <row r="111" spans="2:8" x14ac:dyDescent="0.35">
      <c r="B111" s="78"/>
      <c r="C111" s="17"/>
      <c r="D111" s="16"/>
      <c r="E111" s="17"/>
      <c r="F111" s="42"/>
      <c r="G111" s="17"/>
      <c r="H111" s="23"/>
    </row>
    <row r="112" spans="2:8" x14ac:dyDescent="0.35">
      <c r="B112" s="78"/>
      <c r="C112" s="17"/>
      <c r="D112" s="16"/>
      <c r="E112" s="17"/>
      <c r="F112" s="42"/>
      <c r="G112" s="17"/>
      <c r="H112" s="23"/>
    </row>
    <row r="113" spans="2:20" x14ac:dyDescent="0.35">
      <c r="B113" s="17"/>
      <c r="C113" s="17"/>
      <c r="D113" s="19"/>
      <c r="E113" s="17"/>
      <c r="F113" s="17"/>
      <c r="G113" s="17"/>
      <c r="H113" s="15"/>
    </row>
    <row r="114" spans="2:20" x14ac:dyDescent="0.35">
      <c r="B114" s="17"/>
      <c r="C114" s="17"/>
      <c r="D114" s="17"/>
      <c r="E114" s="17"/>
      <c r="F114" s="17"/>
      <c r="G114" s="17"/>
      <c r="H114" s="17"/>
    </row>
    <row r="115" spans="2:20" ht="13.15" x14ac:dyDescent="0.4">
      <c r="B115" s="17"/>
      <c r="C115" s="17"/>
      <c r="D115" s="24"/>
      <c r="E115" s="17"/>
      <c r="F115" s="24"/>
      <c r="G115" s="17"/>
      <c r="H115" s="24"/>
      <c r="K115" s="70" t="s">
        <v>31</v>
      </c>
      <c r="T115" s="70" t="s">
        <v>31</v>
      </c>
    </row>
    <row r="116" spans="2:20" x14ac:dyDescent="0.35">
      <c r="B116" s="17"/>
      <c r="C116" s="17"/>
      <c r="D116" s="17"/>
      <c r="E116" s="17"/>
      <c r="F116" s="17"/>
      <c r="G116" s="17"/>
      <c r="H116" s="17"/>
      <c r="K116" s="17"/>
      <c r="T116" s="17"/>
    </row>
    <row r="117" spans="2:20" x14ac:dyDescent="0.35">
      <c r="B117" s="78"/>
      <c r="C117" s="17"/>
      <c r="D117" s="16"/>
      <c r="E117" s="17"/>
      <c r="F117" s="17"/>
      <c r="G117" s="17"/>
      <c r="H117" s="16"/>
      <c r="K117" s="57">
        <v>9796.6</v>
      </c>
      <c r="T117" s="57">
        <v>9796.6</v>
      </c>
    </row>
    <row r="118" spans="2:20" x14ac:dyDescent="0.35">
      <c r="B118" s="78"/>
      <c r="C118" s="17"/>
      <c r="D118" s="16"/>
      <c r="E118" s="17"/>
      <c r="F118" s="17"/>
      <c r="G118" s="17"/>
      <c r="H118" s="16"/>
      <c r="K118" s="57">
        <v>9763.0500000000011</v>
      </c>
      <c r="T118" s="57">
        <v>9763.0500000000011</v>
      </c>
    </row>
    <row r="119" spans="2:20" x14ac:dyDescent="0.35">
      <c r="B119" s="78"/>
      <c r="C119" s="17"/>
      <c r="D119" s="16"/>
      <c r="E119" s="17"/>
      <c r="F119" s="17"/>
      <c r="G119" s="17"/>
      <c r="H119" s="16"/>
      <c r="K119" s="57">
        <v>9763.0500000000011</v>
      </c>
      <c r="T119" s="57">
        <v>9763.0500000000011</v>
      </c>
    </row>
    <row r="120" spans="2:20" x14ac:dyDescent="0.35">
      <c r="B120" s="78"/>
      <c r="C120" s="17"/>
      <c r="D120" s="16"/>
      <c r="E120" s="17"/>
      <c r="F120" s="17"/>
      <c r="G120" s="17"/>
      <c r="H120" s="16"/>
      <c r="K120" s="57">
        <v>9763.0500000000011</v>
      </c>
      <c r="T120" s="57">
        <v>9763.0500000000011</v>
      </c>
    </row>
    <row r="121" spans="2:20" x14ac:dyDescent="0.35">
      <c r="B121" s="78"/>
      <c r="C121" s="17"/>
      <c r="D121" s="16"/>
      <c r="E121" s="17"/>
      <c r="F121" s="17"/>
      <c r="G121" s="17"/>
      <c r="H121" s="16"/>
      <c r="K121" s="57">
        <v>9763.0500000000011</v>
      </c>
      <c r="T121" s="57">
        <v>9763.0500000000011</v>
      </c>
    </row>
    <row r="122" spans="2:20" x14ac:dyDescent="0.35">
      <c r="B122" s="78"/>
      <c r="C122" s="17"/>
      <c r="D122" s="16"/>
      <c r="E122" s="17"/>
      <c r="F122" s="17"/>
      <c r="G122" s="17"/>
      <c r="H122" s="16"/>
      <c r="K122" s="57">
        <v>9763.0500000000011</v>
      </c>
      <c r="T122" s="57">
        <v>9763.0500000000011</v>
      </c>
    </row>
    <row r="123" spans="2:20" x14ac:dyDescent="0.35">
      <c r="B123" s="78"/>
      <c r="C123" s="17"/>
      <c r="D123" s="16"/>
      <c r="E123" s="17"/>
      <c r="F123" s="17"/>
      <c r="G123" s="17"/>
      <c r="H123" s="16"/>
      <c r="K123" s="57">
        <v>9745.16</v>
      </c>
      <c r="T123" s="57">
        <v>9745.16</v>
      </c>
    </row>
    <row r="124" spans="2:20" x14ac:dyDescent="0.35">
      <c r="B124" s="78"/>
      <c r="C124" s="17"/>
      <c r="D124" s="16"/>
      <c r="E124" s="17"/>
      <c r="F124" s="17"/>
      <c r="G124" s="17"/>
      <c r="H124" s="16"/>
      <c r="K124" s="57">
        <v>9729.5</v>
      </c>
      <c r="T124" s="57">
        <v>9729.5</v>
      </c>
    </row>
    <row r="125" spans="2:20" x14ac:dyDescent="0.35">
      <c r="B125" s="78"/>
      <c r="C125" s="17"/>
      <c r="D125" s="16"/>
      <c r="E125" s="17"/>
      <c r="F125" s="17"/>
      <c r="G125" s="17"/>
      <c r="H125" s="16"/>
      <c r="K125" s="57">
        <v>9729.5</v>
      </c>
      <c r="T125" s="57">
        <v>9729.5</v>
      </c>
    </row>
    <row r="126" spans="2:20" x14ac:dyDescent="0.35">
      <c r="B126" s="78"/>
      <c r="C126" s="17"/>
      <c r="D126" s="16"/>
      <c r="E126" s="17"/>
      <c r="F126" s="17"/>
      <c r="G126" s="17"/>
      <c r="H126" s="16"/>
      <c r="K126" s="57">
        <v>9707.14</v>
      </c>
      <c r="T126" s="57">
        <v>9707.14</v>
      </c>
    </row>
    <row r="127" spans="2:20" x14ac:dyDescent="0.35">
      <c r="B127" s="78"/>
      <c r="C127" s="17"/>
      <c r="D127" s="16"/>
      <c r="E127" s="17"/>
      <c r="F127" s="17"/>
      <c r="G127" s="17"/>
      <c r="H127" s="16"/>
      <c r="K127" s="57">
        <v>9662.4</v>
      </c>
      <c r="T127" s="57">
        <v>9662.4</v>
      </c>
    </row>
    <row r="128" spans="2:20" x14ac:dyDescent="0.35">
      <c r="B128" s="78"/>
      <c r="C128" s="17"/>
      <c r="D128" s="16"/>
      <c r="E128" s="17"/>
      <c r="F128" s="17"/>
      <c r="G128" s="17"/>
      <c r="H128" s="16"/>
      <c r="K128" s="40">
        <v>9661.2800000000007</v>
      </c>
      <c r="T128" s="40">
        <v>9661.2800000000007</v>
      </c>
    </row>
    <row r="129" spans="2:20" x14ac:dyDescent="0.35">
      <c r="B129" s="17"/>
      <c r="C129" s="17"/>
      <c r="D129" s="19"/>
      <c r="E129" s="17"/>
      <c r="F129" s="17"/>
      <c r="G129" s="17"/>
      <c r="H129" s="19"/>
      <c r="K129" s="32">
        <f>SUM(K117:K128)</f>
        <v>116846.83</v>
      </c>
      <c r="T129" s="32">
        <f>SUM(T117:T128)</f>
        <v>116846.83</v>
      </c>
    </row>
    <row r="130" spans="2:20" x14ac:dyDescent="0.35">
      <c r="B130" s="17"/>
      <c r="C130" s="17"/>
      <c r="D130" s="17"/>
      <c r="E130" s="17"/>
      <c r="F130" s="17"/>
      <c r="G130" s="17"/>
      <c r="H130" s="17"/>
    </row>
    <row r="131" spans="2:20" ht="13.15" x14ac:dyDescent="0.4">
      <c r="B131" s="24"/>
      <c r="C131" s="17"/>
      <c r="D131" s="17"/>
      <c r="E131" s="17"/>
      <c r="F131" s="17"/>
      <c r="G131" s="17"/>
      <c r="H131" s="17"/>
    </row>
    <row r="132" spans="2:20" ht="13.15" x14ac:dyDescent="0.4">
      <c r="B132" s="24"/>
      <c r="C132" s="17"/>
      <c r="D132" s="24"/>
      <c r="E132" s="17"/>
      <c r="F132" s="24"/>
      <c r="G132" s="17"/>
      <c r="H132" s="24"/>
    </row>
    <row r="133" spans="2:20" x14ac:dyDescent="0.35">
      <c r="B133" s="17"/>
      <c r="C133" s="17"/>
      <c r="D133" s="17"/>
      <c r="E133" s="17"/>
      <c r="F133" s="17"/>
      <c r="G133" s="17"/>
      <c r="H133" s="17"/>
    </row>
    <row r="134" spans="2:20" x14ac:dyDescent="0.35">
      <c r="B134" s="78"/>
      <c r="C134" s="17"/>
      <c r="D134" s="16"/>
      <c r="E134" s="17"/>
      <c r="F134" s="42"/>
      <c r="G134" s="17"/>
      <c r="H134" s="23"/>
    </row>
    <row r="135" spans="2:20" x14ac:dyDescent="0.35">
      <c r="B135" s="78"/>
      <c r="C135" s="17"/>
      <c r="D135" s="16"/>
      <c r="E135" s="17"/>
      <c r="F135" s="42"/>
      <c r="G135" s="17"/>
      <c r="H135" s="23"/>
    </row>
    <row r="136" spans="2:20" x14ac:dyDescent="0.35">
      <c r="B136" s="78"/>
      <c r="C136" s="17"/>
      <c r="D136" s="16"/>
      <c r="E136" s="17"/>
      <c r="F136" s="42"/>
      <c r="G136" s="17"/>
      <c r="H136" s="23"/>
    </row>
    <row r="137" spans="2:20" x14ac:dyDescent="0.35">
      <c r="B137" s="78"/>
      <c r="C137" s="17"/>
      <c r="D137" s="16"/>
      <c r="E137" s="17"/>
      <c r="F137" s="42"/>
      <c r="G137" s="17"/>
      <c r="H137" s="23"/>
    </row>
    <row r="138" spans="2:20" x14ac:dyDescent="0.35">
      <c r="B138" s="78"/>
      <c r="C138" s="17"/>
      <c r="D138" s="16"/>
      <c r="E138" s="17"/>
      <c r="F138" s="42"/>
      <c r="G138" s="17"/>
      <c r="H138" s="23"/>
    </row>
    <row r="139" spans="2:20" x14ac:dyDescent="0.35">
      <c r="B139" s="78"/>
      <c r="C139" s="17"/>
      <c r="D139" s="16"/>
      <c r="E139" s="17"/>
      <c r="F139" s="42"/>
      <c r="G139" s="17"/>
      <c r="H139" s="23"/>
    </row>
    <row r="140" spans="2:20" x14ac:dyDescent="0.35">
      <c r="B140" s="78"/>
      <c r="C140" s="17"/>
      <c r="D140" s="16"/>
      <c r="E140" s="17"/>
      <c r="F140" s="42"/>
      <c r="G140" s="17"/>
      <c r="H140" s="23"/>
    </row>
    <row r="141" spans="2:20" x14ac:dyDescent="0.35">
      <c r="B141" s="78"/>
      <c r="C141" s="17"/>
      <c r="D141" s="16"/>
      <c r="E141" s="17"/>
      <c r="F141" s="42"/>
      <c r="G141" s="17"/>
      <c r="H141" s="23"/>
    </row>
    <row r="142" spans="2:20" x14ac:dyDescent="0.35">
      <c r="B142" s="78"/>
      <c r="C142" s="17"/>
      <c r="D142" s="16"/>
      <c r="E142" s="17"/>
      <c r="F142" s="42"/>
      <c r="G142" s="17"/>
      <c r="H142" s="23"/>
    </row>
    <row r="143" spans="2:20" x14ac:dyDescent="0.35">
      <c r="B143" s="78"/>
      <c r="C143" s="17"/>
      <c r="D143" s="16"/>
      <c r="E143" s="17"/>
      <c r="F143" s="42"/>
      <c r="G143" s="17"/>
      <c r="H143" s="23"/>
    </row>
    <row r="144" spans="2:20" x14ac:dyDescent="0.35">
      <c r="B144" s="78"/>
      <c r="C144" s="17"/>
      <c r="D144" s="16"/>
      <c r="E144" s="17"/>
      <c r="F144" s="42"/>
      <c r="G144" s="17"/>
      <c r="H144" s="23"/>
    </row>
    <row r="145" spans="2:20" x14ac:dyDescent="0.35">
      <c r="B145" s="78"/>
      <c r="C145" s="17"/>
      <c r="D145" s="16"/>
      <c r="E145" s="17"/>
      <c r="F145" s="42"/>
      <c r="G145" s="17"/>
      <c r="H145" s="23"/>
    </row>
    <row r="146" spans="2:20" x14ac:dyDescent="0.35">
      <c r="B146" s="17"/>
      <c r="C146" s="17"/>
      <c r="D146" s="19"/>
      <c r="E146" s="17"/>
      <c r="F146" s="17"/>
      <c r="G146" s="17"/>
      <c r="H146" s="15"/>
    </row>
    <row r="147" spans="2:20" x14ac:dyDescent="0.35">
      <c r="B147" s="17"/>
      <c r="C147" s="17"/>
      <c r="D147" s="17"/>
      <c r="E147" s="17"/>
      <c r="F147" s="17"/>
      <c r="G147" s="17"/>
      <c r="H147" s="17"/>
    </row>
    <row r="148" spans="2:20" ht="13.15" x14ac:dyDescent="0.4">
      <c r="B148" s="17"/>
      <c r="C148" s="17"/>
      <c r="D148" s="24"/>
      <c r="E148" s="17"/>
      <c r="F148" s="24"/>
      <c r="G148" s="17"/>
      <c r="H148" s="24"/>
      <c r="K148" s="70" t="s">
        <v>31</v>
      </c>
      <c r="T148" s="70" t="s">
        <v>31</v>
      </c>
    </row>
    <row r="149" spans="2:20" x14ac:dyDescent="0.35">
      <c r="B149" s="17"/>
      <c r="C149" s="17"/>
      <c r="D149" s="17"/>
      <c r="E149" s="17"/>
      <c r="F149" s="17"/>
      <c r="G149" s="17"/>
      <c r="H149" s="17"/>
      <c r="K149" s="17"/>
      <c r="T149" s="17"/>
    </row>
    <row r="150" spans="2:20" x14ac:dyDescent="0.35">
      <c r="B150" s="78"/>
      <c r="C150" s="17"/>
      <c r="D150" s="16"/>
      <c r="E150" s="17"/>
      <c r="F150" s="17"/>
      <c r="G150" s="17"/>
      <c r="H150" s="16"/>
      <c r="K150" s="57">
        <v>2717.55</v>
      </c>
      <c r="T150" s="57">
        <v>2717.55</v>
      </c>
    </row>
    <row r="151" spans="2:20" x14ac:dyDescent="0.35">
      <c r="B151" s="78"/>
      <c r="C151" s="17"/>
      <c r="D151" s="16"/>
      <c r="E151" s="17"/>
      <c r="F151" s="17"/>
      <c r="G151" s="17"/>
      <c r="H151" s="16"/>
      <c r="K151" s="57">
        <v>2717.55</v>
      </c>
      <c r="T151" s="57">
        <v>2717.55</v>
      </c>
    </row>
    <row r="152" spans="2:20" x14ac:dyDescent="0.35">
      <c r="B152" s="78"/>
      <c r="C152" s="17"/>
      <c r="D152" s="16"/>
      <c r="E152" s="17"/>
      <c r="F152" s="17"/>
      <c r="G152" s="17"/>
      <c r="H152" s="16"/>
      <c r="K152" s="57">
        <v>2717.55</v>
      </c>
      <c r="T152" s="57">
        <v>2717.55</v>
      </c>
    </row>
    <row r="153" spans="2:20" x14ac:dyDescent="0.35">
      <c r="B153" s="78"/>
      <c r="C153" s="17"/>
      <c r="D153" s="16"/>
      <c r="E153" s="17"/>
      <c r="F153" s="17"/>
      <c r="G153" s="17"/>
      <c r="H153" s="16"/>
      <c r="K153" s="57">
        <v>2717.55</v>
      </c>
      <c r="T153" s="57">
        <v>2717.55</v>
      </c>
    </row>
    <row r="154" spans="2:20" x14ac:dyDescent="0.35">
      <c r="B154" s="78"/>
      <c r="C154" s="17"/>
      <c r="D154" s="16"/>
      <c r="E154" s="17"/>
      <c r="F154" s="17"/>
      <c r="G154" s="17"/>
      <c r="H154" s="16"/>
      <c r="K154" s="57">
        <v>2717.55</v>
      </c>
      <c r="T154" s="57">
        <v>2717.55</v>
      </c>
    </row>
    <row r="155" spans="2:20" x14ac:dyDescent="0.35">
      <c r="B155" s="78"/>
      <c r="C155" s="17"/>
      <c r="D155" s="16"/>
      <c r="E155" s="17"/>
      <c r="F155" s="17"/>
      <c r="G155" s="17"/>
      <c r="H155" s="16"/>
      <c r="K155" s="57">
        <v>2717.55</v>
      </c>
      <c r="T155" s="57">
        <v>2717.55</v>
      </c>
    </row>
    <row r="156" spans="2:20" x14ac:dyDescent="0.35">
      <c r="B156" s="78"/>
      <c r="C156" s="17"/>
      <c r="D156" s="16"/>
      <c r="E156" s="17"/>
      <c r="F156" s="17"/>
      <c r="G156" s="17"/>
      <c r="H156" s="16"/>
      <c r="K156" s="57">
        <v>2717.55</v>
      </c>
      <c r="T156" s="57">
        <v>2717.55</v>
      </c>
    </row>
    <row r="157" spans="2:20" x14ac:dyDescent="0.35">
      <c r="B157" s="78"/>
      <c r="C157" s="17"/>
      <c r="D157" s="16"/>
      <c r="E157" s="17"/>
      <c r="F157" s="17"/>
      <c r="G157" s="17"/>
      <c r="H157" s="16"/>
      <c r="K157" s="57">
        <v>2703.01</v>
      </c>
      <c r="T157" s="57">
        <v>2703.01</v>
      </c>
    </row>
    <row r="158" spans="2:20" x14ac:dyDescent="0.35">
      <c r="B158" s="78"/>
      <c r="C158" s="17"/>
      <c r="D158" s="16"/>
      <c r="E158" s="17"/>
      <c r="F158" s="17"/>
      <c r="G158" s="17"/>
      <c r="H158" s="16"/>
      <c r="K158" s="57">
        <v>2650.4500000000003</v>
      </c>
      <c r="T158" s="57">
        <v>2650.4500000000003</v>
      </c>
    </row>
    <row r="159" spans="2:20" x14ac:dyDescent="0.35">
      <c r="B159" s="78"/>
      <c r="C159" s="17"/>
      <c r="D159" s="16"/>
      <c r="E159" s="17"/>
      <c r="F159" s="17"/>
      <c r="G159" s="17"/>
      <c r="H159" s="16"/>
      <c r="K159" s="57">
        <v>2650.4500000000003</v>
      </c>
      <c r="T159" s="57">
        <v>2650.4500000000003</v>
      </c>
    </row>
    <row r="160" spans="2:20" x14ac:dyDescent="0.35">
      <c r="B160" s="78"/>
      <c r="C160" s="17"/>
      <c r="D160" s="16"/>
      <c r="E160" s="17"/>
      <c r="F160" s="17"/>
      <c r="G160" s="17"/>
      <c r="H160" s="16"/>
      <c r="K160" s="57">
        <v>2650.4500000000003</v>
      </c>
      <c r="T160" s="57">
        <v>2650.4500000000003</v>
      </c>
    </row>
    <row r="161" spans="2:20" x14ac:dyDescent="0.35">
      <c r="B161" s="78"/>
      <c r="C161" s="17"/>
      <c r="D161" s="16"/>
      <c r="E161" s="17"/>
      <c r="F161" s="17"/>
      <c r="G161" s="17"/>
      <c r="H161" s="16"/>
      <c r="K161" s="40">
        <v>2650.4500000000003</v>
      </c>
      <c r="T161" s="40">
        <v>2650.4500000000003</v>
      </c>
    </row>
    <row r="162" spans="2:20" x14ac:dyDescent="0.35">
      <c r="B162" s="17"/>
      <c r="C162" s="17"/>
      <c r="D162" s="19"/>
      <c r="E162" s="17"/>
      <c r="F162" s="17"/>
      <c r="G162" s="17"/>
      <c r="H162" s="19"/>
      <c r="K162" s="32">
        <f>SUM(K150:K161)</f>
        <v>32327.660000000003</v>
      </c>
      <c r="T162" s="32">
        <f>SUM(T150:T161)</f>
        <v>32327.660000000003</v>
      </c>
    </row>
    <row r="163" spans="2:20" x14ac:dyDescent="0.35">
      <c r="B163" s="17"/>
      <c r="C163" s="17"/>
      <c r="D163" s="17"/>
      <c r="E163" s="17"/>
      <c r="F163" s="17"/>
      <c r="G163" s="17"/>
      <c r="H163" s="17"/>
    </row>
    <row r="164" spans="2:20" ht="13.15" x14ac:dyDescent="0.4">
      <c r="B164" s="24"/>
      <c r="C164" s="17"/>
      <c r="D164" s="17"/>
      <c r="E164" s="17"/>
      <c r="F164" s="17"/>
      <c r="G164" s="17"/>
      <c r="H164" s="17"/>
    </row>
    <row r="165" spans="2:20" ht="13.15" x14ac:dyDescent="0.4">
      <c r="B165" s="24"/>
      <c r="C165" s="17"/>
      <c r="D165" s="24"/>
      <c r="E165" s="17"/>
      <c r="F165" s="24"/>
      <c r="G165" s="17"/>
      <c r="H165" s="24"/>
    </row>
    <row r="166" spans="2:20" x14ac:dyDescent="0.35">
      <c r="B166" s="17"/>
      <c r="C166" s="17"/>
      <c r="D166" s="17"/>
      <c r="E166" s="17"/>
      <c r="F166" s="17"/>
      <c r="G166" s="17"/>
      <c r="H166" s="17"/>
    </row>
    <row r="167" spans="2:20" x14ac:dyDescent="0.35">
      <c r="B167" s="78"/>
      <c r="C167" s="17"/>
      <c r="D167" s="16"/>
      <c r="E167" s="17"/>
      <c r="F167" s="42"/>
      <c r="G167" s="17"/>
      <c r="H167" s="23"/>
    </row>
    <row r="168" spans="2:20" x14ac:dyDescent="0.35">
      <c r="B168" s="78"/>
      <c r="C168" s="17"/>
      <c r="D168" s="16"/>
      <c r="E168" s="17"/>
      <c r="F168" s="42"/>
      <c r="G168" s="17"/>
      <c r="H168" s="23"/>
    </row>
    <row r="169" spans="2:20" x14ac:dyDescent="0.35">
      <c r="B169" s="78"/>
      <c r="C169" s="17"/>
      <c r="D169" s="16"/>
      <c r="E169" s="17"/>
      <c r="F169" s="42"/>
      <c r="G169" s="17"/>
      <c r="H169" s="23"/>
    </row>
    <row r="170" spans="2:20" x14ac:dyDescent="0.35">
      <c r="B170" s="78"/>
      <c r="C170" s="17"/>
      <c r="D170" s="16"/>
      <c r="E170" s="17"/>
      <c r="F170" s="42"/>
      <c r="G170" s="17"/>
      <c r="H170" s="23"/>
    </row>
    <row r="171" spans="2:20" x14ac:dyDescent="0.35">
      <c r="B171" s="78"/>
      <c r="C171" s="17"/>
      <c r="D171" s="16"/>
      <c r="E171" s="17"/>
      <c r="F171" s="42"/>
      <c r="G171" s="17"/>
      <c r="H171" s="23"/>
    </row>
    <row r="172" spans="2:20" x14ac:dyDescent="0.35">
      <c r="B172" s="78"/>
      <c r="C172" s="17"/>
      <c r="D172" s="16"/>
      <c r="E172" s="17"/>
      <c r="F172" s="42"/>
      <c r="G172" s="17"/>
      <c r="H172" s="23"/>
    </row>
    <row r="173" spans="2:20" x14ac:dyDescent="0.35">
      <c r="B173" s="78"/>
      <c r="C173" s="17"/>
      <c r="D173" s="16"/>
      <c r="E173" s="17"/>
      <c r="F173" s="42"/>
      <c r="G173" s="17"/>
      <c r="H173" s="23"/>
    </row>
    <row r="174" spans="2:20" x14ac:dyDescent="0.35">
      <c r="B174" s="78"/>
      <c r="C174" s="17"/>
      <c r="D174" s="16"/>
      <c r="E174" s="17"/>
      <c r="F174" s="42"/>
      <c r="G174" s="17"/>
      <c r="H174" s="23"/>
    </row>
    <row r="175" spans="2:20" x14ac:dyDescent="0.35">
      <c r="B175" s="78"/>
      <c r="C175" s="17"/>
      <c r="D175" s="16"/>
      <c r="E175" s="17"/>
      <c r="F175" s="42"/>
      <c r="G175" s="17"/>
      <c r="H175" s="23"/>
    </row>
    <row r="176" spans="2:20" x14ac:dyDescent="0.35">
      <c r="B176" s="78"/>
      <c r="C176" s="17"/>
      <c r="D176" s="16"/>
      <c r="E176" s="17"/>
      <c r="F176" s="42"/>
      <c r="G176" s="17"/>
      <c r="H176" s="23"/>
    </row>
    <row r="177" spans="2:20" x14ac:dyDescent="0.35">
      <c r="B177" s="78"/>
      <c r="C177" s="17"/>
      <c r="D177" s="16"/>
      <c r="E177" s="17"/>
      <c r="F177" s="42"/>
      <c r="G177" s="17"/>
      <c r="H177" s="23"/>
    </row>
    <row r="178" spans="2:20" x14ac:dyDescent="0.35">
      <c r="B178" s="78"/>
      <c r="C178" s="17"/>
      <c r="D178" s="16"/>
      <c r="E178" s="17"/>
      <c r="F178" s="42"/>
      <c r="G178" s="17"/>
      <c r="H178" s="23"/>
    </row>
    <row r="179" spans="2:20" x14ac:dyDescent="0.35">
      <c r="B179" s="17"/>
      <c r="C179" s="17"/>
      <c r="D179" s="19"/>
      <c r="E179" s="17"/>
      <c r="F179" s="17"/>
      <c r="G179" s="17"/>
      <c r="H179" s="15"/>
    </row>
    <row r="180" spans="2:20" x14ac:dyDescent="0.35">
      <c r="B180" s="17"/>
      <c r="C180" s="17"/>
      <c r="D180" s="17"/>
      <c r="E180" s="17"/>
      <c r="F180" s="17"/>
      <c r="G180" s="17"/>
      <c r="H180" s="17"/>
    </row>
    <row r="181" spans="2:20" ht="13.15" x14ac:dyDescent="0.4">
      <c r="B181" s="17"/>
      <c r="C181" s="17"/>
      <c r="D181" s="24"/>
      <c r="E181" s="17"/>
      <c r="F181" s="24"/>
      <c r="G181" s="17"/>
      <c r="H181" s="24"/>
      <c r="K181" s="70" t="s">
        <v>31</v>
      </c>
      <c r="T181" s="70" t="s">
        <v>31</v>
      </c>
    </row>
    <row r="182" spans="2:20" x14ac:dyDescent="0.35">
      <c r="B182" s="17"/>
      <c r="C182" s="17"/>
      <c r="D182" s="17"/>
      <c r="E182" s="17"/>
      <c r="F182" s="17"/>
      <c r="G182" s="17"/>
      <c r="H182" s="17"/>
      <c r="K182" s="17"/>
      <c r="T182" s="17"/>
    </row>
    <row r="183" spans="2:20" x14ac:dyDescent="0.35">
      <c r="B183" s="78"/>
      <c r="C183" s="17"/>
      <c r="D183" s="16"/>
      <c r="E183" s="17"/>
      <c r="F183" s="17"/>
      <c r="G183" s="17"/>
      <c r="H183" s="16"/>
      <c r="K183" s="57">
        <v>145595.97</v>
      </c>
      <c r="T183" s="57">
        <v>145595.97</v>
      </c>
    </row>
    <row r="184" spans="2:20" x14ac:dyDescent="0.35">
      <c r="B184" s="78"/>
      <c r="C184" s="17"/>
      <c r="D184" s="16"/>
      <c r="E184" s="17"/>
      <c r="F184" s="17"/>
      <c r="G184" s="17"/>
      <c r="H184" s="16"/>
      <c r="K184" s="57">
        <v>146047.73000000001</v>
      </c>
      <c r="T184" s="57">
        <v>146047.73000000001</v>
      </c>
    </row>
    <row r="185" spans="2:20" x14ac:dyDescent="0.35">
      <c r="B185" s="78"/>
      <c r="C185" s="17"/>
      <c r="D185" s="16"/>
      <c r="E185" s="17"/>
      <c r="F185" s="17"/>
      <c r="G185" s="17"/>
      <c r="H185" s="16"/>
      <c r="K185" s="57">
        <v>146320.74</v>
      </c>
      <c r="T185" s="57">
        <v>146320.74</v>
      </c>
    </row>
    <row r="186" spans="2:20" x14ac:dyDescent="0.35">
      <c r="B186" s="78"/>
      <c r="C186" s="17"/>
      <c r="D186" s="16"/>
      <c r="E186" s="17"/>
      <c r="F186" s="17"/>
      <c r="G186" s="17"/>
      <c r="H186" s="16"/>
      <c r="K186" s="57">
        <v>147167.18</v>
      </c>
      <c r="T186" s="57">
        <v>147167.18</v>
      </c>
    </row>
    <row r="187" spans="2:20" x14ac:dyDescent="0.35">
      <c r="B187" s="78"/>
      <c r="C187" s="17"/>
      <c r="D187" s="16"/>
      <c r="E187" s="17"/>
      <c r="F187" s="17"/>
      <c r="G187" s="17"/>
      <c r="H187" s="16"/>
      <c r="K187" s="57">
        <v>148300.14000000001</v>
      </c>
      <c r="T187" s="57">
        <v>148300.14000000001</v>
      </c>
    </row>
    <row r="188" spans="2:20" x14ac:dyDescent="0.35">
      <c r="B188" s="78"/>
      <c r="C188" s="17"/>
      <c r="D188" s="16"/>
      <c r="E188" s="17"/>
      <c r="F188" s="17"/>
      <c r="G188" s="17"/>
      <c r="H188" s="16"/>
      <c r="K188" s="57">
        <v>148560.66</v>
      </c>
      <c r="T188" s="57">
        <v>148560.66</v>
      </c>
    </row>
    <row r="189" spans="2:20" x14ac:dyDescent="0.35">
      <c r="B189" s="78"/>
      <c r="C189" s="17"/>
      <c r="D189" s="16"/>
      <c r="E189" s="17"/>
      <c r="F189" s="17"/>
      <c r="G189" s="17"/>
      <c r="H189" s="16"/>
      <c r="K189" s="57">
        <v>148785.44</v>
      </c>
      <c r="T189" s="57">
        <v>148785.44</v>
      </c>
    </row>
    <row r="190" spans="2:20" x14ac:dyDescent="0.35">
      <c r="B190" s="78"/>
      <c r="C190" s="17"/>
      <c r="D190" s="16"/>
      <c r="E190" s="17"/>
      <c r="F190" s="17"/>
      <c r="G190" s="17"/>
      <c r="H190" s="16"/>
      <c r="K190" s="57">
        <v>149287.67999999999</v>
      </c>
      <c r="T190" s="57">
        <v>149287.67999999999</v>
      </c>
    </row>
    <row r="191" spans="2:20" x14ac:dyDescent="0.35">
      <c r="B191" s="78"/>
      <c r="C191" s="17"/>
      <c r="D191" s="16"/>
      <c r="E191" s="17"/>
      <c r="F191" s="17"/>
      <c r="G191" s="17"/>
      <c r="H191" s="16"/>
      <c r="K191" s="57">
        <v>149288.14000000001</v>
      </c>
      <c r="T191" s="57">
        <v>149288.14000000001</v>
      </c>
    </row>
    <row r="192" spans="2:20" x14ac:dyDescent="0.35">
      <c r="B192" s="78"/>
      <c r="C192" s="17"/>
      <c r="D192" s="16"/>
      <c r="E192" s="17"/>
      <c r="F192" s="17"/>
      <c r="G192" s="17"/>
      <c r="H192" s="16"/>
      <c r="K192" s="57">
        <v>149946.28</v>
      </c>
      <c r="T192" s="57">
        <v>149946.28</v>
      </c>
    </row>
    <row r="193" spans="2:20" x14ac:dyDescent="0.35">
      <c r="B193" s="78"/>
      <c r="C193" s="17"/>
      <c r="D193" s="16"/>
      <c r="E193" s="17"/>
      <c r="F193" s="17"/>
      <c r="G193" s="17"/>
      <c r="H193" s="16"/>
      <c r="K193" s="57">
        <v>150685.5</v>
      </c>
      <c r="T193" s="57">
        <v>150685.5</v>
      </c>
    </row>
    <row r="194" spans="2:20" x14ac:dyDescent="0.35">
      <c r="B194" s="78"/>
      <c r="C194" s="17"/>
      <c r="D194" s="16"/>
      <c r="E194" s="17"/>
      <c r="F194" s="17"/>
      <c r="G194" s="17"/>
      <c r="H194" s="16"/>
      <c r="K194" s="40">
        <v>150975.03</v>
      </c>
      <c r="T194" s="40">
        <v>150975.03</v>
      </c>
    </row>
    <row r="195" spans="2:20" x14ac:dyDescent="0.35">
      <c r="B195" s="17"/>
      <c r="C195" s="17"/>
      <c r="D195" s="19"/>
      <c r="E195" s="17"/>
      <c r="F195" s="17"/>
      <c r="G195" s="17"/>
      <c r="H195" s="19"/>
      <c r="K195" s="32">
        <f>SUM(K183:K194)</f>
        <v>1780960.4900000002</v>
      </c>
      <c r="T195" s="32">
        <f>SUM(T183:T194)</f>
        <v>1780960.4900000002</v>
      </c>
    </row>
    <row r="196" spans="2:20" x14ac:dyDescent="0.35">
      <c r="B196" s="17"/>
      <c r="C196" s="17"/>
      <c r="D196" s="17"/>
      <c r="E196" s="17"/>
      <c r="F196" s="17"/>
      <c r="G196" s="17"/>
      <c r="H196" s="17"/>
    </row>
    <row r="197" spans="2:20" ht="13.15" x14ac:dyDescent="0.4">
      <c r="B197" s="24"/>
      <c r="C197" s="17"/>
      <c r="D197" s="17"/>
      <c r="E197" s="17"/>
      <c r="F197" s="17"/>
      <c r="G197" s="17"/>
      <c r="H197" s="17"/>
    </row>
    <row r="198" spans="2:20" ht="13.15" x14ac:dyDescent="0.4">
      <c r="B198" s="24"/>
      <c r="C198" s="17"/>
      <c r="D198" s="24"/>
      <c r="E198" s="17"/>
      <c r="F198" s="24"/>
      <c r="G198" s="17"/>
      <c r="H198" s="24"/>
    </row>
    <row r="199" spans="2:20" x14ac:dyDescent="0.35">
      <c r="B199" s="17"/>
      <c r="C199" s="17"/>
      <c r="D199" s="17"/>
      <c r="E199" s="17"/>
      <c r="F199" s="17"/>
      <c r="G199" s="17"/>
      <c r="H199" s="17"/>
    </row>
    <row r="200" spans="2:20" x14ac:dyDescent="0.35">
      <c r="B200" s="78"/>
      <c r="C200" s="17"/>
      <c r="D200" s="16"/>
      <c r="E200" s="17"/>
      <c r="F200" s="42"/>
      <c r="G200" s="17"/>
      <c r="H200" s="23"/>
    </row>
    <row r="201" spans="2:20" x14ac:dyDescent="0.35">
      <c r="B201" s="78"/>
      <c r="C201" s="17"/>
      <c r="D201" s="16"/>
      <c r="E201" s="17"/>
      <c r="F201" s="42"/>
      <c r="G201" s="17"/>
      <c r="H201" s="23"/>
    </row>
    <row r="202" spans="2:20" x14ac:dyDescent="0.35">
      <c r="B202" s="78"/>
      <c r="C202" s="17"/>
      <c r="D202" s="16"/>
      <c r="E202" s="17"/>
      <c r="F202" s="42"/>
      <c r="G202" s="17"/>
      <c r="H202" s="23"/>
    </row>
    <row r="203" spans="2:20" x14ac:dyDescent="0.35">
      <c r="B203" s="78"/>
      <c r="C203" s="17"/>
      <c r="D203" s="16"/>
      <c r="E203" s="17"/>
      <c r="F203" s="42"/>
      <c r="G203" s="17"/>
      <c r="H203" s="23"/>
    </row>
    <row r="204" spans="2:20" x14ac:dyDescent="0.35">
      <c r="B204" s="78"/>
      <c r="C204" s="17"/>
      <c r="D204" s="16"/>
      <c r="E204" s="17"/>
      <c r="F204" s="42"/>
      <c r="G204" s="17"/>
      <c r="H204" s="23"/>
    </row>
    <row r="205" spans="2:20" x14ac:dyDescent="0.35">
      <c r="B205" s="78"/>
      <c r="C205" s="17"/>
      <c r="D205" s="16"/>
      <c r="E205" s="17"/>
      <c r="F205" s="42"/>
      <c r="G205" s="17"/>
      <c r="H205" s="23"/>
    </row>
    <row r="206" spans="2:20" x14ac:dyDescent="0.35">
      <c r="B206" s="78"/>
      <c r="C206" s="17"/>
      <c r="D206" s="16"/>
      <c r="E206" s="17"/>
      <c r="F206" s="42"/>
      <c r="G206" s="17"/>
      <c r="H206" s="23"/>
    </row>
    <row r="207" spans="2:20" x14ac:dyDescent="0.35">
      <c r="B207" s="78"/>
      <c r="C207" s="17"/>
      <c r="D207" s="16"/>
      <c r="E207" s="17"/>
      <c r="F207" s="42"/>
      <c r="G207" s="17"/>
      <c r="H207" s="23"/>
    </row>
    <row r="208" spans="2:20" x14ac:dyDescent="0.35">
      <c r="B208" s="78"/>
      <c r="C208" s="17"/>
      <c r="D208" s="16"/>
      <c r="E208" s="17"/>
      <c r="F208" s="42"/>
      <c r="G208" s="17"/>
      <c r="H208" s="23"/>
    </row>
    <row r="209" spans="2:20" x14ac:dyDescent="0.35">
      <c r="B209" s="78"/>
      <c r="C209" s="17"/>
      <c r="D209" s="16"/>
      <c r="E209" s="17"/>
      <c r="F209" s="42"/>
      <c r="G209" s="17"/>
      <c r="H209" s="23"/>
    </row>
    <row r="210" spans="2:20" x14ac:dyDescent="0.35">
      <c r="B210" s="78"/>
      <c r="C210" s="17"/>
      <c r="D210" s="16"/>
      <c r="E210" s="17"/>
      <c r="F210" s="42"/>
      <c r="G210" s="17"/>
      <c r="H210" s="23"/>
    </row>
    <row r="211" spans="2:20" x14ac:dyDescent="0.35">
      <c r="B211" s="78"/>
      <c r="C211" s="17"/>
      <c r="D211" s="16"/>
      <c r="E211" s="17"/>
      <c r="F211" s="42"/>
      <c r="G211" s="17"/>
      <c r="H211" s="23"/>
    </row>
    <row r="212" spans="2:20" x14ac:dyDescent="0.35">
      <c r="B212" s="17"/>
      <c r="C212" s="17"/>
      <c r="D212" s="19"/>
      <c r="E212" s="17"/>
      <c r="F212" s="17"/>
      <c r="G212" s="17"/>
      <c r="H212" s="15"/>
    </row>
    <row r="213" spans="2:20" x14ac:dyDescent="0.35">
      <c r="B213" s="17"/>
      <c r="C213" s="17"/>
      <c r="D213" s="17"/>
      <c r="E213" s="17"/>
      <c r="F213" s="17"/>
      <c r="G213" s="17"/>
      <c r="H213" s="17"/>
    </row>
    <row r="214" spans="2:20" ht="13.15" x14ac:dyDescent="0.4">
      <c r="B214" s="17"/>
      <c r="C214" s="17"/>
      <c r="D214" s="24"/>
      <c r="E214" s="17"/>
      <c r="F214" s="24"/>
      <c r="G214" s="17"/>
      <c r="H214" s="24"/>
      <c r="K214" s="70" t="s">
        <v>31</v>
      </c>
      <c r="T214" s="70" t="s">
        <v>31</v>
      </c>
    </row>
    <row r="215" spans="2:20" x14ac:dyDescent="0.35">
      <c r="B215" s="17"/>
      <c r="C215" s="17"/>
      <c r="D215" s="17"/>
      <c r="E215" s="17"/>
      <c r="F215" s="17"/>
      <c r="G215" s="17"/>
      <c r="H215" s="17"/>
      <c r="K215" s="17"/>
      <c r="T215" s="17"/>
    </row>
    <row r="216" spans="2:20" x14ac:dyDescent="0.35">
      <c r="B216" s="78"/>
      <c r="C216" s="17"/>
      <c r="D216" s="16"/>
      <c r="E216" s="17"/>
      <c r="F216" s="17"/>
      <c r="G216" s="17"/>
      <c r="H216" s="16"/>
      <c r="K216" s="57">
        <v>17191.09</v>
      </c>
      <c r="T216" s="57">
        <v>17191.09</v>
      </c>
    </row>
    <row r="217" spans="2:20" x14ac:dyDescent="0.35">
      <c r="B217" s="78"/>
      <c r="C217" s="17"/>
      <c r="D217" s="16"/>
      <c r="E217" s="17"/>
      <c r="F217" s="17"/>
      <c r="G217" s="17"/>
      <c r="H217" s="16"/>
      <c r="K217" s="57">
        <v>17289.43</v>
      </c>
      <c r="T217" s="57">
        <v>17289.43</v>
      </c>
    </row>
    <row r="218" spans="2:20" x14ac:dyDescent="0.35">
      <c r="B218" s="78"/>
      <c r="C218" s="17"/>
      <c r="D218" s="16"/>
      <c r="E218" s="17"/>
      <c r="F218" s="17"/>
      <c r="G218" s="17"/>
      <c r="H218" s="16"/>
      <c r="K218" s="57">
        <v>17386.8</v>
      </c>
      <c r="T218" s="57">
        <v>17386.8</v>
      </c>
    </row>
    <row r="219" spans="2:20" x14ac:dyDescent="0.35">
      <c r="B219" s="78"/>
      <c r="C219" s="17"/>
      <c r="D219" s="16"/>
      <c r="E219" s="17"/>
      <c r="F219" s="17"/>
      <c r="G219" s="17"/>
      <c r="H219" s="16"/>
      <c r="K219" s="57">
        <v>17437.060000000001</v>
      </c>
      <c r="T219" s="57">
        <v>17437.060000000001</v>
      </c>
    </row>
    <row r="220" spans="2:20" x14ac:dyDescent="0.35">
      <c r="B220" s="78"/>
      <c r="C220" s="17"/>
      <c r="D220" s="16"/>
      <c r="E220" s="17"/>
      <c r="F220" s="17"/>
      <c r="G220" s="17"/>
      <c r="H220" s="16"/>
      <c r="K220" s="57">
        <v>17616</v>
      </c>
      <c r="T220" s="57">
        <v>17616</v>
      </c>
    </row>
    <row r="221" spans="2:20" x14ac:dyDescent="0.35">
      <c r="B221" s="78"/>
      <c r="C221" s="17"/>
      <c r="D221" s="16"/>
      <c r="E221" s="17"/>
      <c r="F221" s="17"/>
      <c r="G221" s="17"/>
      <c r="H221" s="16"/>
      <c r="K221" s="57">
        <v>17651.79</v>
      </c>
      <c r="T221" s="57">
        <v>17651.79</v>
      </c>
    </row>
    <row r="222" spans="2:20" x14ac:dyDescent="0.35">
      <c r="B222" s="78"/>
      <c r="C222" s="17"/>
      <c r="D222" s="16"/>
      <c r="E222" s="17"/>
      <c r="F222" s="17"/>
      <c r="G222" s="17"/>
      <c r="H222" s="16"/>
      <c r="K222" s="57">
        <v>17716.650000000001</v>
      </c>
      <c r="T222" s="57">
        <v>17716.650000000001</v>
      </c>
    </row>
    <row r="223" spans="2:20" x14ac:dyDescent="0.35">
      <c r="B223" s="78"/>
      <c r="C223" s="17"/>
      <c r="D223" s="16"/>
      <c r="E223" s="17"/>
      <c r="F223" s="17"/>
      <c r="G223" s="17"/>
      <c r="H223" s="16"/>
      <c r="K223" s="57">
        <v>17919.09</v>
      </c>
      <c r="T223" s="57">
        <v>17919.09</v>
      </c>
    </row>
    <row r="224" spans="2:20" x14ac:dyDescent="0.35">
      <c r="B224" s="78"/>
      <c r="C224" s="17"/>
      <c r="D224" s="16"/>
      <c r="E224" s="17"/>
      <c r="F224" s="17"/>
      <c r="G224" s="17"/>
      <c r="H224" s="16"/>
      <c r="K224" s="57">
        <v>17934.73</v>
      </c>
      <c r="T224" s="57">
        <v>17934.73</v>
      </c>
    </row>
    <row r="225" spans="2:20" x14ac:dyDescent="0.35">
      <c r="B225" s="78"/>
      <c r="C225" s="17"/>
      <c r="D225" s="16"/>
      <c r="E225" s="17"/>
      <c r="F225" s="17"/>
      <c r="G225" s="17"/>
      <c r="H225" s="16"/>
      <c r="K225" s="57">
        <v>18149.47</v>
      </c>
      <c r="T225" s="57">
        <v>18149.47</v>
      </c>
    </row>
    <row r="226" spans="2:20" x14ac:dyDescent="0.35">
      <c r="B226" s="78"/>
      <c r="C226" s="17"/>
      <c r="D226" s="16"/>
      <c r="E226" s="17"/>
      <c r="F226" s="17"/>
      <c r="G226" s="17"/>
      <c r="H226" s="16"/>
      <c r="K226" s="57">
        <v>18270.260000000002</v>
      </c>
      <c r="T226" s="57">
        <v>18270.260000000002</v>
      </c>
    </row>
    <row r="227" spans="2:20" x14ac:dyDescent="0.35">
      <c r="B227" s="78"/>
      <c r="C227" s="17"/>
      <c r="D227" s="16"/>
      <c r="E227" s="17"/>
      <c r="F227" s="17"/>
      <c r="G227" s="17"/>
      <c r="H227" s="16"/>
      <c r="K227" s="40">
        <v>18665</v>
      </c>
      <c r="T227" s="40">
        <v>18665</v>
      </c>
    </row>
    <row r="228" spans="2:20" x14ac:dyDescent="0.35">
      <c r="B228" s="17"/>
      <c r="C228" s="17"/>
      <c r="D228" s="19"/>
      <c r="E228" s="17"/>
      <c r="F228" s="17"/>
      <c r="G228" s="17"/>
      <c r="H228" s="19"/>
      <c r="K228" s="32">
        <f>SUM(K216:K227)</f>
        <v>213227.37000000002</v>
      </c>
      <c r="T228" s="32">
        <f>SUM(T216:T227)</f>
        <v>213227.37000000002</v>
      </c>
    </row>
    <row r="229" spans="2:20" x14ac:dyDescent="0.35">
      <c r="B229" s="17"/>
      <c r="C229" s="17"/>
      <c r="D229" s="17"/>
      <c r="E229" s="17"/>
      <c r="F229" s="17"/>
      <c r="G229" s="17"/>
      <c r="H229" s="17"/>
    </row>
    <row r="230" spans="2:20" ht="13.15" x14ac:dyDescent="0.4">
      <c r="B230" s="24"/>
      <c r="C230" s="17"/>
      <c r="D230" s="17"/>
      <c r="E230" s="17"/>
      <c r="F230" s="17"/>
      <c r="G230" s="17"/>
      <c r="H230" s="17"/>
    </row>
    <row r="231" spans="2:20" ht="13.15" x14ac:dyDescent="0.4">
      <c r="B231" s="24"/>
      <c r="C231" s="17"/>
      <c r="D231" s="24"/>
      <c r="E231" s="17"/>
      <c r="F231" s="17"/>
      <c r="G231" s="17"/>
      <c r="H231" s="17"/>
    </row>
    <row r="232" spans="2:20" x14ac:dyDescent="0.35">
      <c r="B232" s="17"/>
      <c r="C232" s="17"/>
      <c r="D232" s="17"/>
      <c r="E232" s="17"/>
      <c r="F232" s="17"/>
      <c r="G232" s="17"/>
      <c r="H232" s="17"/>
    </row>
    <row r="233" spans="2:20" x14ac:dyDescent="0.35">
      <c r="B233" s="78"/>
      <c r="C233" s="17"/>
      <c r="D233" s="16"/>
      <c r="E233" s="17"/>
      <c r="F233" s="17"/>
      <c r="G233" s="17"/>
      <c r="H233" s="17"/>
    </row>
    <row r="234" spans="2:20" x14ac:dyDescent="0.35">
      <c r="B234" s="78"/>
      <c r="C234" s="17"/>
      <c r="D234" s="16"/>
      <c r="E234" s="17"/>
      <c r="F234" s="17"/>
      <c r="G234" s="17"/>
      <c r="H234" s="17"/>
    </row>
    <row r="235" spans="2:20" x14ac:dyDescent="0.35">
      <c r="B235" s="78"/>
      <c r="C235" s="17"/>
      <c r="D235" s="16"/>
      <c r="E235" s="17"/>
      <c r="F235" s="17"/>
      <c r="G235" s="17"/>
      <c r="H235" s="17"/>
    </row>
    <row r="236" spans="2:20" x14ac:dyDescent="0.35">
      <c r="B236" s="78"/>
      <c r="C236" s="17"/>
      <c r="D236" s="16"/>
      <c r="E236" s="17"/>
      <c r="F236" s="17"/>
      <c r="G236" s="17"/>
      <c r="H236" s="17"/>
    </row>
    <row r="237" spans="2:20" x14ac:dyDescent="0.35">
      <c r="B237" s="78"/>
      <c r="C237" s="17"/>
      <c r="D237" s="16"/>
      <c r="E237" s="17"/>
      <c r="F237" s="17"/>
      <c r="G237" s="17"/>
      <c r="H237" s="17"/>
    </row>
    <row r="238" spans="2:20" x14ac:dyDescent="0.35">
      <c r="B238" s="78"/>
      <c r="C238" s="17"/>
      <c r="D238" s="16"/>
      <c r="E238" s="17"/>
      <c r="F238" s="17"/>
      <c r="G238" s="17"/>
      <c r="H238" s="17"/>
    </row>
    <row r="239" spans="2:20" x14ac:dyDescent="0.35">
      <c r="B239" s="78"/>
      <c r="C239" s="17"/>
      <c r="D239" s="16"/>
      <c r="E239" s="17"/>
      <c r="F239" s="17"/>
      <c r="G239" s="17"/>
      <c r="H239" s="17"/>
    </row>
    <row r="240" spans="2:20" x14ac:dyDescent="0.35">
      <c r="B240" s="78"/>
      <c r="C240" s="17"/>
      <c r="D240" s="16"/>
      <c r="E240" s="17"/>
      <c r="F240" s="17"/>
      <c r="G240" s="17"/>
      <c r="H240" s="17"/>
    </row>
    <row r="241" spans="2:8" x14ac:dyDescent="0.35">
      <c r="B241" s="78"/>
      <c r="C241" s="17"/>
      <c r="D241" s="16"/>
      <c r="E241" s="17"/>
      <c r="F241" s="17"/>
      <c r="G241" s="17"/>
      <c r="H241" s="17"/>
    </row>
    <row r="242" spans="2:8" x14ac:dyDescent="0.35">
      <c r="B242" s="78"/>
      <c r="C242" s="17"/>
      <c r="D242" s="16"/>
      <c r="E242" s="17"/>
      <c r="F242" s="17"/>
      <c r="G242" s="17"/>
      <c r="H242" s="17"/>
    </row>
    <row r="243" spans="2:8" x14ac:dyDescent="0.35">
      <c r="B243" s="78"/>
      <c r="C243" s="17"/>
      <c r="D243" s="16"/>
      <c r="E243" s="17"/>
      <c r="F243" s="17"/>
      <c r="G243" s="17"/>
      <c r="H243" s="17"/>
    </row>
    <row r="244" spans="2:8" x14ac:dyDescent="0.35">
      <c r="B244" s="78"/>
      <c r="C244" s="17"/>
      <c r="D244" s="16"/>
      <c r="E244" s="17"/>
      <c r="F244" s="17"/>
      <c r="G244" s="17"/>
      <c r="H244" s="17"/>
    </row>
    <row r="245" spans="2:8" x14ac:dyDescent="0.35">
      <c r="B245" s="17"/>
      <c r="C245" s="17"/>
      <c r="D245" s="19"/>
      <c r="E245" s="17"/>
      <c r="F245" s="17"/>
      <c r="G245" s="17"/>
      <c r="H245" s="17"/>
    </row>
    <row r="246" spans="2:8" x14ac:dyDescent="0.35">
      <c r="B246" s="17"/>
      <c r="C246" s="17"/>
      <c r="D246" s="17"/>
      <c r="E246" s="17"/>
      <c r="F246" s="17"/>
      <c r="G246" s="17"/>
      <c r="H246" s="17"/>
    </row>
    <row r="247" spans="2:8" x14ac:dyDescent="0.35">
      <c r="B247" s="17"/>
      <c r="C247" s="17"/>
      <c r="D247" s="17"/>
      <c r="E247" s="17"/>
      <c r="F247" s="17"/>
      <c r="G247" s="17"/>
      <c r="H247" s="17"/>
    </row>
    <row r="248" spans="2:8" ht="13.15" x14ac:dyDescent="0.4">
      <c r="B248" s="24"/>
      <c r="C248" s="17"/>
      <c r="D248" s="17"/>
      <c r="E248" s="17"/>
      <c r="F248" s="17"/>
      <c r="G248" s="17"/>
      <c r="H248" s="17"/>
    </row>
    <row r="249" spans="2:8" ht="13.15" x14ac:dyDescent="0.4">
      <c r="B249" s="24"/>
      <c r="C249" s="17"/>
      <c r="D249" s="24"/>
      <c r="E249" s="17"/>
      <c r="F249" s="17"/>
      <c r="G249" s="17"/>
      <c r="H249" s="17"/>
    </row>
    <row r="250" spans="2:8" x14ac:dyDescent="0.35">
      <c r="B250" s="17"/>
      <c r="C250" s="17"/>
      <c r="D250" s="17"/>
      <c r="E250" s="17"/>
      <c r="F250" s="17"/>
      <c r="G250" s="17"/>
      <c r="H250" s="17"/>
    </row>
    <row r="251" spans="2:8" x14ac:dyDescent="0.35">
      <c r="B251" s="78"/>
      <c r="C251" s="17"/>
      <c r="D251" s="16"/>
      <c r="E251" s="17"/>
      <c r="F251" s="17"/>
      <c r="G251" s="17"/>
      <c r="H251" s="17"/>
    </row>
    <row r="252" spans="2:8" x14ac:dyDescent="0.35">
      <c r="B252" s="78"/>
      <c r="C252" s="17"/>
      <c r="D252" s="16"/>
      <c r="E252" s="17"/>
      <c r="F252" s="17"/>
      <c r="G252" s="17"/>
      <c r="H252" s="17"/>
    </row>
    <row r="253" spans="2:8" x14ac:dyDescent="0.35">
      <c r="B253" s="78"/>
      <c r="C253" s="17"/>
      <c r="D253" s="16"/>
      <c r="E253" s="17"/>
      <c r="F253" s="17"/>
      <c r="G253" s="17"/>
      <c r="H253" s="17"/>
    </row>
    <row r="254" spans="2:8" x14ac:dyDescent="0.35">
      <c r="B254" s="78"/>
      <c r="C254" s="17"/>
      <c r="D254" s="16"/>
      <c r="E254" s="17"/>
      <c r="F254" s="17"/>
      <c r="G254" s="17"/>
      <c r="H254" s="17"/>
    </row>
    <row r="255" spans="2:8" x14ac:dyDescent="0.35">
      <c r="B255" s="78"/>
      <c r="C255" s="17"/>
      <c r="D255" s="16"/>
      <c r="E255" s="17"/>
      <c r="F255" s="17"/>
      <c r="G255" s="17"/>
      <c r="H255" s="17"/>
    </row>
    <row r="256" spans="2:8" x14ac:dyDescent="0.35">
      <c r="B256" s="78"/>
      <c r="C256" s="17"/>
      <c r="D256" s="16"/>
      <c r="E256" s="17"/>
      <c r="F256" s="17"/>
      <c r="G256" s="17"/>
      <c r="H256" s="17"/>
    </row>
    <row r="257" spans="2:8" x14ac:dyDescent="0.35">
      <c r="B257" s="78"/>
      <c r="C257" s="17"/>
      <c r="D257" s="16"/>
      <c r="E257" s="17"/>
      <c r="F257" s="17"/>
      <c r="G257" s="17"/>
      <c r="H257" s="17"/>
    </row>
    <row r="258" spans="2:8" x14ac:dyDescent="0.35">
      <c r="B258" s="78"/>
      <c r="C258" s="17"/>
      <c r="D258" s="16"/>
      <c r="E258" s="17"/>
      <c r="F258" s="17"/>
      <c r="G258" s="17"/>
      <c r="H258" s="17"/>
    </row>
    <row r="259" spans="2:8" x14ac:dyDescent="0.35">
      <c r="B259" s="78"/>
      <c r="C259" s="17"/>
      <c r="D259" s="16"/>
      <c r="E259" s="17"/>
      <c r="F259" s="17"/>
      <c r="G259" s="17"/>
      <c r="H259" s="17"/>
    </row>
    <row r="260" spans="2:8" x14ac:dyDescent="0.35">
      <c r="B260" s="78"/>
      <c r="C260" s="17"/>
      <c r="D260" s="16"/>
      <c r="E260" s="17"/>
      <c r="F260" s="17"/>
      <c r="G260" s="17"/>
      <c r="H260" s="17"/>
    </row>
    <row r="261" spans="2:8" x14ac:dyDescent="0.35">
      <c r="B261" s="78"/>
      <c r="C261" s="17"/>
      <c r="D261" s="16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17"/>
      <c r="C263" s="17"/>
      <c r="D263" s="19"/>
      <c r="E263" s="17"/>
      <c r="F263" s="17"/>
      <c r="G263" s="17"/>
      <c r="H263" s="17"/>
    </row>
    <row r="264" spans="2:8" x14ac:dyDescent="0.35">
      <c r="B264" s="17"/>
      <c r="C264" s="17"/>
      <c r="D264" s="17"/>
      <c r="E264" s="17"/>
      <c r="F264" s="17"/>
      <c r="G264" s="17"/>
      <c r="H264" s="17"/>
    </row>
    <row r="265" spans="2:8" x14ac:dyDescent="0.35">
      <c r="B265" s="17"/>
      <c r="C265" s="17"/>
      <c r="D265" s="17"/>
      <c r="E265" s="17"/>
      <c r="F265" s="17"/>
      <c r="G265" s="17"/>
      <c r="H265" s="17"/>
    </row>
  </sheetData>
  <mergeCells count="5">
    <mergeCell ref="D4:H5"/>
    <mergeCell ref="M4:Q5"/>
    <mergeCell ref="AE4:AI5"/>
    <mergeCell ref="AN4:AR5"/>
    <mergeCell ref="V4:Z5"/>
  </mergeCells>
  <pageMargins left="0.7" right="0.7" top="0.75" bottom="0.75" header="0.3" footer="0.3"/>
  <pageSetup scale="54" orientation="portrait" horizontalDpi="4294967295" verticalDpi="4294967295" r:id="rId1"/>
  <colBreaks count="1" manualBreakCount="1">
    <brk id="27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R276"/>
  <sheetViews>
    <sheetView view="pageBreakPreview" topLeftCell="A22" zoomScale="90" zoomScaleNormal="100" zoomScaleSheetLayoutView="90" workbookViewId="0">
      <selection activeCell="H57" sqref="H57:H62"/>
    </sheetView>
  </sheetViews>
  <sheetFormatPr defaultRowHeight="12.75" x14ac:dyDescent="0.35"/>
  <cols>
    <col min="1" max="1" width="4.73046875" customWidth="1"/>
    <col min="2" max="2" width="25.132812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2.1328125" customWidth="1"/>
    <col min="10" max="10" width="4.73046875" customWidth="1"/>
    <col min="11" max="11" width="25.132812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5.3984375" customWidth="1"/>
    <col min="19" max="19" width="4.73046875" customWidth="1"/>
    <col min="20" max="20" width="25.132812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54</v>
      </c>
      <c r="J2" s="34"/>
      <c r="S2" s="34"/>
    </row>
    <row r="3" spans="1:44" ht="13.15" x14ac:dyDescent="0.4">
      <c r="A3" s="75" t="s">
        <v>30</v>
      </c>
      <c r="B3" s="76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86"/>
      <c r="J4" s="34"/>
      <c r="K4" s="28"/>
      <c r="M4" s="149" t="s">
        <v>173</v>
      </c>
      <c r="N4" s="150"/>
      <c r="O4" s="150"/>
      <c r="P4" s="150"/>
      <c r="Q4" s="151"/>
      <c r="R4" s="87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86"/>
      <c r="M5" s="152"/>
      <c r="N5" s="153"/>
      <c r="O5" s="153"/>
      <c r="P5" s="153"/>
      <c r="Q5" s="154"/>
      <c r="R5" s="87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R6" s="2"/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s="14" t="s">
        <v>142</v>
      </c>
      <c r="D10" s="6">
        <v>3751</v>
      </c>
      <c r="F10" s="5">
        <v>0.3</v>
      </c>
      <c r="H10" s="7">
        <f>D10*F10</f>
        <v>1125.3</v>
      </c>
      <c r="I10" s="7"/>
      <c r="M10" s="6">
        <f>D10</f>
        <v>3751</v>
      </c>
      <c r="O10" s="5">
        <v>0.3</v>
      </c>
      <c r="Q10" s="7">
        <f>M10*O10</f>
        <v>1125.3</v>
      </c>
      <c r="R10" s="7"/>
      <c r="T10" s="108" t="s">
        <v>208</v>
      </c>
      <c r="V10" s="102">
        <f>M10/M11</f>
        <v>0.5403341976375684</v>
      </c>
      <c r="X10" s="5">
        <v>0.3</v>
      </c>
      <c r="Z10" s="7">
        <f>V10*X10</f>
        <v>0.1621002592912705</v>
      </c>
      <c r="AC10" s="108" t="s">
        <v>208</v>
      </c>
      <c r="AE10" s="6">
        <f>V10</f>
        <v>0.5403341976375684</v>
      </c>
      <c r="AG10" s="5">
        <v>0.3</v>
      </c>
      <c r="AI10" s="7">
        <f>AE10*AG10</f>
        <v>0.1621002592912705</v>
      </c>
      <c r="AL10" s="108" t="s">
        <v>208</v>
      </c>
      <c r="AN10" s="6">
        <f>V10</f>
        <v>0.5403341976375684</v>
      </c>
      <c r="AP10" s="5">
        <v>0.3</v>
      </c>
      <c r="AR10" s="7">
        <f>AN10*AP10</f>
        <v>0.1621002592912705</v>
      </c>
    </row>
    <row r="11" spans="1:44" x14ac:dyDescent="0.35">
      <c r="K11" s="108" t="s">
        <v>208</v>
      </c>
      <c r="M11" s="6">
        <v>6942</v>
      </c>
    </row>
    <row r="13" spans="1:44" ht="13.15" x14ac:dyDescent="0.4">
      <c r="A13" s="1" t="s">
        <v>5</v>
      </c>
      <c r="D13" t="s">
        <v>6</v>
      </c>
      <c r="J13" s="1" t="s">
        <v>5</v>
      </c>
      <c r="M13" t="s">
        <v>6</v>
      </c>
      <c r="S13" s="1" t="s">
        <v>5</v>
      </c>
      <c r="V13" t="s">
        <v>6</v>
      </c>
      <c r="AB13" s="1" t="s">
        <v>5</v>
      </c>
      <c r="AE13" t="s">
        <v>6</v>
      </c>
      <c r="AK13" s="1" t="s">
        <v>5</v>
      </c>
      <c r="AN13" t="s">
        <v>6</v>
      </c>
    </row>
    <row r="14" spans="1:44" x14ac:dyDescent="0.35">
      <c r="B14" s="14" t="s">
        <v>76</v>
      </c>
      <c r="D14" s="6">
        <v>1958893</v>
      </c>
      <c r="F14" s="45">
        <v>6.055E-2</v>
      </c>
      <c r="H14" s="7">
        <f>D14*F14</f>
        <v>118610.97115</v>
      </c>
      <c r="I14" s="7"/>
      <c r="K14" s="108" t="s">
        <v>174</v>
      </c>
      <c r="M14" s="6">
        <f>D20</f>
        <v>5266257</v>
      </c>
      <c r="O14" s="45">
        <v>5.8959999999999999E-2</v>
      </c>
      <c r="Q14" s="7">
        <f>M14*O14</f>
        <v>310498.51272</v>
      </c>
      <c r="R14" s="7"/>
      <c r="T14" s="108" t="s">
        <v>174</v>
      </c>
      <c r="V14" s="6">
        <f>M14/M11</f>
        <v>758.60803802938631</v>
      </c>
      <c r="X14" s="45">
        <v>6.1120000000000001E-2</v>
      </c>
      <c r="Z14" s="7">
        <f>V14*X14</f>
        <v>46.366123284356092</v>
      </c>
      <c r="AC14" t="s">
        <v>13</v>
      </c>
      <c r="AE14" s="6">
        <f>V14</f>
        <v>758.60803802938631</v>
      </c>
      <c r="AG14" s="45">
        <f>X14+0.00049</f>
        <v>6.1609999999999998E-2</v>
      </c>
      <c r="AI14" s="7">
        <f>AE14*AG14</f>
        <v>46.73784122299049</v>
      </c>
      <c r="AL14" t="s">
        <v>13</v>
      </c>
      <c r="AN14" s="6">
        <f>V14</f>
        <v>758.60803802938631</v>
      </c>
      <c r="AP14" s="45">
        <v>6.2109999999999999E-2</v>
      </c>
      <c r="AR14" s="7">
        <f>AN14*AP14</f>
        <v>47.117145242005179</v>
      </c>
    </row>
    <row r="15" spans="1:44" x14ac:dyDescent="0.35">
      <c r="B15" s="14" t="s">
        <v>78</v>
      </c>
      <c r="D15" s="6">
        <v>77811</v>
      </c>
      <c r="F15" s="45">
        <v>6.055E-2</v>
      </c>
      <c r="H15" s="7">
        <f t="shared" ref="H15:H19" si="0">D15*F15</f>
        <v>4711.4560499999998</v>
      </c>
      <c r="I15" s="7"/>
      <c r="M15" s="6"/>
      <c r="O15" s="45"/>
      <c r="Q15" s="7"/>
      <c r="R15" s="7"/>
      <c r="V15" s="6"/>
      <c r="X15" s="45"/>
      <c r="Z15" s="7"/>
      <c r="AC15" s="27"/>
      <c r="AD15" s="17"/>
      <c r="AE15" s="16"/>
      <c r="AF15" s="17"/>
      <c r="AG15" s="44"/>
      <c r="AH15" s="17"/>
      <c r="AI15" s="15"/>
      <c r="AL15" s="27"/>
      <c r="AM15" s="17"/>
      <c r="AN15" s="16"/>
      <c r="AO15" s="17"/>
      <c r="AP15" s="44"/>
      <c r="AQ15" s="17"/>
      <c r="AR15" s="15"/>
    </row>
    <row r="16" spans="1:44" x14ac:dyDescent="0.35">
      <c r="B16" s="14" t="s">
        <v>86</v>
      </c>
      <c r="D16" s="6">
        <v>2294933</v>
      </c>
      <c r="F16" s="45">
        <v>6.055E-2</v>
      </c>
      <c r="H16" s="7">
        <f t="shared" si="0"/>
        <v>138958.19315000001</v>
      </c>
      <c r="I16" s="7"/>
      <c r="M16" s="6"/>
      <c r="O16" s="45"/>
      <c r="Q16" s="7"/>
      <c r="R16" s="7"/>
      <c r="V16" s="6"/>
      <c r="X16" s="45"/>
      <c r="Z16" s="7"/>
      <c r="AC16" s="109" t="s">
        <v>175</v>
      </c>
      <c r="AE16" s="8"/>
      <c r="AI16" s="11">
        <f>Z17</f>
        <v>-2.3842015514261021</v>
      </c>
      <c r="AL16" s="109" t="s">
        <v>175</v>
      </c>
      <c r="AN16" s="8"/>
      <c r="AR16" s="11">
        <f>Z17</f>
        <v>-2.3842015514261021</v>
      </c>
    </row>
    <row r="17" spans="2:44" x14ac:dyDescent="0.35">
      <c r="B17" s="27" t="s">
        <v>77</v>
      </c>
      <c r="C17" s="17"/>
      <c r="D17" s="16">
        <v>434211</v>
      </c>
      <c r="E17" s="17"/>
      <c r="F17" s="44">
        <v>5.8959999999999999E-2</v>
      </c>
      <c r="G17" s="17"/>
      <c r="H17" s="7">
        <f t="shared" si="0"/>
        <v>25601.080559999999</v>
      </c>
      <c r="I17" s="7"/>
      <c r="K17" s="108" t="s">
        <v>175</v>
      </c>
      <c r="Q17" s="7">
        <f>H36+(0.00159*(D14+D15+D16))</f>
        <v>-16551.12717</v>
      </c>
      <c r="R17" s="7"/>
      <c r="T17" s="108" t="s">
        <v>175</v>
      </c>
      <c r="V17">
        <f>Q17/M14</f>
        <v>-3.1428635499558795E-3</v>
      </c>
      <c r="Z17" s="7">
        <f>V14*V17</f>
        <v>-2.3842015514261021</v>
      </c>
    </row>
    <row r="18" spans="2:44" x14ac:dyDescent="0.35">
      <c r="B18" s="27" t="s">
        <v>79</v>
      </c>
      <c r="C18" s="17"/>
      <c r="D18" s="16">
        <v>14325</v>
      </c>
      <c r="E18" s="17"/>
      <c r="F18" s="44">
        <v>5.8959999999999999E-2</v>
      </c>
      <c r="G18" s="17"/>
      <c r="H18" s="7">
        <f t="shared" si="0"/>
        <v>844.60199999999998</v>
      </c>
      <c r="I18" s="7"/>
      <c r="AC18" t="s">
        <v>33</v>
      </c>
      <c r="AI18" s="7">
        <f>AI10+AI14+AI16</f>
        <v>44.515739930855659</v>
      </c>
      <c r="AL18" t="s">
        <v>33</v>
      </c>
      <c r="AR18" s="7">
        <f>AR10+AR14+AR16</f>
        <v>44.895043949870349</v>
      </c>
    </row>
    <row r="19" spans="2:44" x14ac:dyDescent="0.35">
      <c r="B19" s="26" t="s">
        <v>87</v>
      </c>
      <c r="C19" s="10"/>
      <c r="D19" s="9">
        <v>486084</v>
      </c>
      <c r="E19" s="10"/>
      <c r="F19" s="51">
        <v>5.8959999999999999E-2</v>
      </c>
      <c r="G19" s="10"/>
      <c r="H19" s="11">
        <f t="shared" si="0"/>
        <v>28659.512640000001</v>
      </c>
      <c r="I19" s="7"/>
    </row>
    <row r="20" spans="2:44" ht="13.15" x14ac:dyDescent="0.4">
      <c r="B20" s="27"/>
      <c r="C20" s="17"/>
      <c r="D20" s="16">
        <f>SUM(D14:D19)</f>
        <v>5266257</v>
      </c>
      <c r="E20" s="17"/>
      <c r="F20" s="44"/>
      <c r="G20" s="17"/>
      <c r="H20" s="15">
        <f>SUM(H14:H19)</f>
        <v>317385.81554999994</v>
      </c>
      <c r="I20" s="15"/>
      <c r="K20" s="1" t="s">
        <v>17</v>
      </c>
      <c r="Q20" s="7">
        <f>Q10+Q14+Q17</f>
        <v>295072.68554999999</v>
      </c>
      <c r="R20" s="7"/>
      <c r="T20" s="1" t="s">
        <v>17</v>
      </c>
      <c r="Z20" s="7">
        <f>Z10+Z14+Z17</f>
        <v>44.144021992221262</v>
      </c>
      <c r="AC20" t="s">
        <v>34</v>
      </c>
      <c r="AI20" s="83">
        <v>1</v>
      </c>
      <c r="AL20" t="s">
        <v>34</v>
      </c>
      <c r="AR20" s="83">
        <f>Z22</f>
        <v>1</v>
      </c>
    </row>
    <row r="21" spans="2:44" x14ac:dyDescent="0.35">
      <c r="B21" s="41"/>
      <c r="C21" s="17"/>
      <c r="D21" s="19"/>
      <c r="E21" s="17"/>
      <c r="F21" s="54"/>
      <c r="G21" s="17"/>
      <c r="H21" s="15"/>
      <c r="I21" s="7"/>
    </row>
    <row r="22" spans="2:44" ht="13.5" thickBot="1" x14ac:dyDescent="0.45">
      <c r="B22" s="35" t="s">
        <v>26</v>
      </c>
      <c r="D22" s="8"/>
      <c r="H22" s="15">
        <f>F74+F107+F140+F173+F206+F239</f>
        <v>0</v>
      </c>
      <c r="I22" s="7"/>
      <c r="K22" t="s">
        <v>34</v>
      </c>
      <c r="Q22" s="83">
        <f>H40</f>
        <v>0.99970086844929262</v>
      </c>
      <c r="R22" s="83"/>
      <c r="T22" t="s">
        <v>34</v>
      </c>
      <c r="Z22" s="83">
        <v>1</v>
      </c>
      <c r="AC22" s="1" t="s">
        <v>7</v>
      </c>
      <c r="AI22" s="13">
        <f>AI18*AI20</f>
        <v>44.515739930855659</v>
      </c>
      <c r="AL22" s="1" t="s">
        <v>7</v>
      </c>
      <c r="AR22" s="13">
        <f>AR18*AR20</f>
        <v>44.895043949870349</v>
      </c>
    </row>
    <row r="23" spans="2:44" ht="13.15" thickTop="1" x14ac:dyDescent="0.35">
      <c r="B23" s="3"/>
      <c r="D23" s="8"/>
      <c r="H23" s="15"/>
      <c r="I23" s="7"/>
    </row>
    <row r="24" spans="2:44" ht="13.5" thickBot="1" x14ac:dyDescent="0.45">
      <c r="B24" s="109" t="s">
        <v>178</v>
      </c>
      <c r="D24" s="8"/>
      <c r="H24" s="15">
        <f>H36</f>
        <v>-23438.43</v>
      </c>
      <c r="K24" s="1" t="s">
        <v>7</v>
      </c>
      <c r="Q24" s="13">
        <f>Q20*Q22</f>
        <v>294984.42000000004</v>
      </c>
      <c r="R24" s="15"/>
      <c r="T24" s="1" t="s">
        <v>7</v>
      </c>
      <c r="Z24" s="13">
        <f>Z20*Z22</f>
        <v>44.144021992221262</v>
      </c>
      <c r="AC24" t="s">
        <v>12</v>
      </c>
      <c r="AI24" s="5">
        <f>AI22-Z24</f>
        <v>0.37171793863439717</v>
      </c>
      <c r="AL24" t="s">
        <v>12</v>
      </c>
      <c r="AR24" s="5">
        <f>AR22-AI22</f>
        <v>0.37930401901468969</v>
      </c>
    </row>
    <row r="25" spans="2:44" ht="13.15" thickTop="1" x14ac:dyDescent="0.35">
      <c r="I25" s="15"/>
    </row>
    <row r="26" spans="2:44" ht="13.5" thickBot="1" x14ac:dyDescent="0.45">
      <c r="B26" s="1" t="s">
        <v>7</v>
      </c>
      <c r="H26" s="13">
        <f>H10+H20+H22+H24</f>
        <v>295072.68554999994</v>
      </c>
      <c r="K26" s="108" t="s">
        <v>176</v>
      </c>
      <c r="M26" s="53"/>
      <c r="Q26" s="7">
        <f>H42+H43+H44</f>
        <v>32652.39</v>
      </c>
      <c r="R26" s="7"/>
      <c r="T26" s="108" t="s">
        <v>176</v>
      </c>
      <c r="V26" s="53"/>
      <c r="Z26" s="7">
        <f>Q26</f>
        <v>32652.39</v>
      </c>
      <c r="AC26" t="s">
        <v>15</v>
      </c>
      <c r="AI26" s="21">
        <f>AI24/Z24</f>
        <v>8.4205725228185726E-3</v>
      </c>
      <c r="AL26" t="s">
        <v>15</v>
      </c>
      <c r="AR26" s="21">
        <f>AR24/AI22</f>
        <v>8.5206720050895694E-3</v>
      </c>
    </row>
    <row r="27" spans="2:44" ht="13.15" thickTop="1" x14ac:dyDescent="0.35">
      <c r="Q27" s="5"/>
      <c r="R27" s="5"/>
      <c r="Z27" s="5"/>
    </row>
    <row r="28" spans="2:44" x14ac:dyDescent="0.35">
      <c r="B28" s="14" t="s">
        <v>80</v>
      </c>
      <c r="H28" s="5">
        <v>144212.44</v>
      </c>
      <c r="K28" s="108" t="s">
        <v>39</v>
      </c>
      <c r="Q28" s="7">
        <f>H47</f>
        <v>0</v>
      </c>
      <c r="R28" s="7"/>
      <c r="T28" s="108" t="s">
        <v>39</v>
      </c>
      <c r="Z28" s="7">
        <f>Q47</f>
        <v>0</v>
      </c>
      <c r="AC28" s="108" t="s">
        <v>176</v>
      </c>
      <c r="AE28" s="53"/>
      <c r="AI28" s="7">
        <f>Q26</f>
        <v>32652.39</v>
      </c>
      <c r="AL28" s="108" t="s">
        <v>176</v>
      </c>
      <c r="AN28" s="53"/>
      <c r="AR28" s="7">
        <f>Z26</f>
        <v>32652.39</v>
      </c>
    </row>
    <row r="29" spans="2:44" x14ac:dyDescent="0.35">
      <c r="B29" s="14" t="s">
        <v>81</v>
      </c>
      <c r="H29" s="5">
        <v>6592.9299999999994</v>
      </c>
      <c r="AI29" s="5"/>
      <c r="AR29" s="5"/>
    </row>
    <row r="30" spans="2:44" ht="13.15" x14ac:dyDescent="0.4">
      <c r="B30" s="26" t="s">
        <v>88</v>
      </c>
      <c r="C30" s="10"/>
      <c r="D30" s="10"/>
      <c r="E30" s="10"/>
      <c r="F30" s="10"/>
      <c r="G30" s="10"/>
      <c r="H30" s="22">
        <v>167617.48000000001</v>
      </c>
      <c r="K30" s="1" t="s">
        <v>179</v>
      </c>
      <c r="Q30" s="7">
        <f>Q24+Q26+Q28</f>
        <v>327636.81000000006</v>
      </c>
      <c r="R30" s="7"/>
      <c r="T30" s="1" t="s">
        <v>179</v>
      </c>
      <c r="Z30" s="7">
        <f>Z24+Z26+Z28</f>
        <v>32696.534021992222</v>
      </c>
      <c r="AC30" s="108" t="s">
        <v>39</v>
      </c>
      <c r="AI30" s="7">
        <f>Q49</f>
        <v>0</v>
      </c>
      <c r="AL30" s="108" t="s">
        <v>39</v>
      </c>
      <c r="AR30" s="7">
        <f>Z49</f>
        <v>0</v>
      </c>
    </row>
    <row r="31" spans="2:44" x14ac:dyDescent="0.35">
      <c r="B31" s="14"/>
      <c r="H31" s="5">
        <f>SUM(H28:H30)</f>
        <v>318422.84999999998</v>
      </c>
    </row>
    <row r="32" spans="2:44" ht="13.15" x14ac:dyDescent="0.4">
      <c r="K32" s="24"/>
      <c r="L32" s="17"/>
      <c r="M32" s="17"/>
      <c r="N32" s="17"/>
      <c r="O32" s="17"/>
      <c r="P32" s="17"/>
      <c r="Q32" s="15"/>
      <c r="R32" s="15"/>
      <c r="T32" s="24"/>
      <c r="U32" s="17"/>
      <c r="V32" s="17"/>
      <c r="W32" s="17"/>
      <c r="X32" s="17"/>
      <c r="Y32" s="17"/>
      <c r="Z32" s="15"/>
      <c r="AC32" s="1" t="s">
        <v>179</v>
      </c>
      <c r="AI32" s="7">
        <f>AI22+AI28+AI30</f>
        <v>32696.905739930855</v>
      </c>
      <c r="AL32" s="1" t="s">
        <v>179</v>
      </c>
      <c r="AR32" s="7">
        <f>AR22+AR28+AR30</f>
        <v>32697.285043949869</v>
      </c>
    </row>
    <row r="33" spans="2:29" x14ac:dyDescent="0.35">
      <c r="B33" s="14" t="s">
        <v>82</v>
      </c>
      <c r="H33" s="5">
        <v>-10649.24</v>
      </c>
      <c r="K33" s="17"/>
      <c r="L33" s="17"/>
      <c r="M33" s="17"/>
      <c r="N33" s="17"/>
      <c r="O33" s="17"/>
      <c r="P33" s="17"/>
      <c r="Q33" s="17"/>
      <c r="R33" s="17"/>
      <c r="T33" s="17"/>
      <c r="U33" s="17"/>
      <c r="V33" s="17"/>
      <c r="W33" s="17"/>
      <c r="X33" s="17"/>
      <c r="Y33" s="17"/>
      <c r="Z33" s="17"/>
    </row>
    <row r="34" spans="2:29" x14ac:dyDescent="0.35">
      <c r="B34" s="14" t="s">
        <v>83</v>
      </c>
      <c r="H34" s="5">
        <v>-446.67</v>
      </c>
      <c r="K34" s="17"/>
      <c r="L34" s="17"/>
      <c r="M34" s="17"/>
      <c r="N34" s="17"/>
      <c r="O34" s="17"/>
      <c r="P34" s="17"/>
      <c r="Q34" s="23"/>
      <c r="R34" s="23"/>
      <c r="T34" s="17"/>
      <c r="U34" s="17"/>
      <c r="V34" s="17"/>
      <c r="W34" s="17"/>
      <c r="X34" s="17"/>
      <c r="Y34" s="17"/>
      <c r="Z34" s="23"/>
      <c r="AC34" s="108"/>
    </row>
    <row r="35" spans="2:29" x14ac:dyDescent="0.35">
      <c r="B35" s="26" t="s">
        <v>89</v>
      </c>
      <c r="C35" s="10"/>
      <c r="D35" s="10"/>
      <c r="E35" s="10"/>
      <c r="F35" s="10"/>
      <c r="G35" s="10"/>
      <c r="H35" s="22">
        <v>-12342.52</v>
      </c>
      <c r="K35" s="17"/>
      <c r="L35" s="17"/>
      <c r="M35" s="17"/>
      <c r="N35" s="17"/>
      <c r="O35" s="17"/>
      <c r="P35" s="17"/>
      <c r="Q35" s="17"/>
      <c r="R35" s="17"/>
      <c r="T35" s="17"/>
      <c r="U35" s="17"/>
      <c r="V35" s="17"/>
      <c r="W35" s="17"/>
      <c r="X35" s="17"/>
      <c r="Y35" s="17"/>
      <c r="Z35" s="17"/>
    </row>
    <row r="36" spans="2:29" x14ac:dyDescent="0.35">
      <c r="H36" s="7">
        <f>SUM(H33:H35)</f>
        <v>-23438.43</v>
      </c>
      <c r="K36" s="17"/>
      <c r="L36" s="17"/>
      <c r="M36" s="17"/>
      <c r="N36" s="17"/>
      <c r="O36" s="17"/>
      <c r="P36" s="17"/>
      <c r="Q36" s="31"/>
      <c r="R36" s="31"/>
      <c r="T36" s="17"/>
      <c r="U36" s="17"/>
      <c r="V36" s="17"/>
      <c r="W36" s="17"/>
      <c r="X36" s="17"/>
      <c r="Y36" s="17"/>
      <c r="Z36" s="31"/>
    </row>
    <row r="38" spans="2:29" x14ac:dyDescent="0.35">
      <c r="B38" s="108" t="s">
        <v>177</v>
      </c>
      <c r="H38" s="7">
        <f>H31+H36</f>
        <v>294984.42</v>
      </c>
    </row>
    <row r="40" spans="2:29" x14ac:dyDescent="0.35">
      <c r="B40" t="s">
        <v>23</v>
      </c>
      <c r="H40" s="52">
        <f>H38/H26</f>
        <v>0.99970086844929262</v>
      </c>
    </row>
    <row r="41" spans="2:29" x14ac:dyDescent="0.35">
      <c r="Q41" s="30">
        <f>M14/M10</f>
        <v>1403.9608104505464</v>
      </c>
      <c r="R41" s="30"/>
      <c r="Z41" s="30"/>
    </row>
    <row r="42" spans="2:29" x14ac:dyDescent="0.35">
      <c r="B42" s="27" t="s">
        <v>84</v>
      </c>
      <c r="C42" s="17"/>
      <c r="D42" s="17"/>
      <c r="E42" s="17"/>
      <c r="F42" s="17"/>
      <c r="G42" s="17"/>
      <c r="H42" s="23">
        <v>14817.58</v>
      </c>
      <c r="Q42" s="30"/>
      <c r="R42" s="30"/>
      <c r="Z42" s="30"/>
    </row>
    <row r="43" spans="2:29" x14ac:dyDescent="0.35">
      <c r="B43" s="27" t="s">
        <v>85</v>
      </c>
      <c r="C43" s="17"/>
      <c r="D43" s="17"/>
      <c r="E43" s="17"/>
      <c r="F43" s="17"/>
      <c r="G43" s="17"/>
      <c r="H43" s="23">
        <v>706.58</v>
      </c>
      <c r="Q43" s="30"/>
      <c r="R43" s="30"/>
      <c r="Z43" s="30"/>
    </row>
    <row r="44" spans="2:29" ht="13.15" x14ac:dyDescent="0.4">
      <c r="B44" s="26" t="s">
        <v>90</v>
      </c>
      <c r="C44" s="10"/>
      <c r="D44" s="10"/>
      <c r="E44" s="10"/>
      <c r="F44" s="10"/>
      <c r="G44" s="10"/>
      <c r="H44" s="22">
        <v>17128.23</v>
      </c>
      <c r="K44" s="24"/>
      <c r="L44" s="17"/>
      <c r="M44" s="24"/>
      <c r="N44" s="17"/>
      <c r="O44" s="24"/>
      <c r="P44" s="17"/>
      <c r="Q44" s="81"/>
      <c r="R44" s="81"/>
      <c r="T44" s="24"/>
      <c r="U44" s="17"/>
      <c r="V44" s="24"/>
      <c r="W44" s="17"/>
      <c r="X44" s="24"/>
      <c r="Y44" s="17"/>
      <c r="Z44" s="81"/>
    </row>
    <row r="45" spans="2:29" ht="13.15" x14ac:dyDescent="0.4">
      <c r="B45" s="24"/>
      <c r="C45" s="17"/>
      <c r="D45" s="24"/>
      <c r="E45" s="17"/>
      <c r="F45" s="24"/>
      <c r="G45" s="17"/>
      <c r="H45" s="116">
        <f>SUM(H42:H44)</f>
        <v>32652.39</v>
      </c>
      <c r="K45" s="17"/>
      <c r="L45" s="17"/>
      <c r="M45" s="17"/>
      <c r="N45" s="17"/>
      <c r="O45" s="17"/>
      <c r="P45" s="17"/>
      <c r="Q45" s="17"/>
      <c r="R45" s="17"/>
      <c r="T45" s="17"/>
      <c r="U45" s="17"/>
      <c r="V45" s="17"/>
      <c r="W45" s="17"/>
      <c r="X45" s="17"/>
      <c r="Y45" s="17"/>
      <c r="Z45" s="17"/>
    </row>
    <row r="46" spans="2:29" x14ac:dyDescent="0.35">
      <c r="K46" s="16"/>
      <c r="L46" s="17"/>
      <c r="M46" s="16"/>
      <c r="N46" s="17"/>
      <c r="O46" s="42"/>
      <c r="P46" s="17"/>
      <c r="Q46" s="23"/>
      <c r="R46" s="23"/>
      <c r="T46" s="16"/>
      <c r="U46" s="17"/>
      <c r="V46" s="16"/>
      <c r="W46" s="17"/>
      <c r="X46" s="42"/>
      <c r="Y46" s="17"/>
      <c r="Z46" s="23"/>
    </row>
    <row r="47" spans="2:29" x14ac:dyDescent="0.35">
      <c r="B47" s="27" t="s">
        <v>39</v>
      </c>
      <c r="C47" s="17"/>
      <c r="D47" s="17"/>
      <c r="E47" s="17"/>
      <c r="F47" s="17"/>
      <c r="G47" s="17"/>
      <c r="H47" s="23">
        <v>0</v>
      </c>
      <c r="K47" s="16"/>
      <c r="L47" s="17"/>
      <c r="M47" s="16"/>
      <c r="N47" s="17"/>
      <c r="O47" s="42"/>
      <c r="P47" s="17"/>
      <c r="Q47" s="23"/>
      <c r="R47" s="23"/>
      <c r="T47" s="16"/>
      <c r="U47" s="17"/>
      <c r="V47" s="16"/>
      <c r="W47" s="17"/>
      <c r="X47" s="42"/>
      <c r="Y47" s="17"/>
      <c r="Z47" s="23"/>
    </row>
    <row r="48" spans="2:29" x14ac:dyDescent="0.35">
      <c r="B48" s="37"/>
      <c r="C48" s="17"/>
      <c r="D48" s="16"/>
      <c r="E48" s="17"/>
      <c r="F48" s="42"/>
      <c r="G48" s="17"/>
      <c r="H48" s="23"/>
      <c r="K48" s="16"/>
      <c r="L48" s="17"/>
      <c r="M48" s="16"/>
      <c r="N48" s="17"/>
      <c r="O48" s="42"/>
      <c r="P48" s="17"/>
      <c r="Q48" s="23"/>
      <c r="R48" s="23"/>
      <c r="T48" s="16"/>
      <c r="U48" s="17"/>
      <c r="V48" s="16"/>
      <c r="W48" s="17"/>
      <c r="X48" s="42"/>
      <c r="Y48" s="17"/>
      <c r="Z48" s="23"/>
    </row>
    <row r="49" spans="2:26" x14ac:dyDescent="0.35">
      <c r="B49" s="85" t="s">
        <v>17</v>
      </c>
      <c r="C49" s="17"/>
      <c r="D49" s="16"/>
      <c r="E49" s="17"/>
      <c r="F49" s="42"/>
      <c r="G49" s="17"/>
      <c r="H49" s="23">
        <f>H31+H36+H45+H47</f>
        <v>327636.81</v>
      </c>
      <c r="K49" s="16"/>
      <c r="L49" s="17"/>
      <c r="M49" s="16"/>
      <c r="N49" s="17"/>
      <c r="O49" s="42"/>
      <c r="P49" s="17"/>
      <c r="Q49" s="23"/>
      <c r="R49" s="23"/>
      <c r="T49" s="16"/>
      <c r="U49" s="17"/>
      <c r="V49" s="16"/>
      <c r="W49" s="17"/>
      <c r="X49" s="42"/>
      <c r="Y49" s="17"/>
      <c r="Z49" s="23"/>
    </row>
    <row r="50" spans="2:26" x14ac:dyDescent="0.35">
      <c r="K50" s="16"/>
      <c r="L50" s="17"/>
      <c r="M50" s="16"/>
      <c r="N50" s="17"/>
      <c r="O50" s="42"/>
      <c r="P50" s="17"/>
      <c r="Q50" s="23"/>
      <c r="R50" s="23"/>
      <c r="T50" s="16"/>
      <c r="U50" s="17"/>
      <c r="V50" s="16"/>
      <c r="W50" s="17"/>
      <c r="X50" s="42"/>
      <c r="Y50" s="17"/>
      <c r="Z50" s="23"/>
    </row>
    <row r="51" spans="2:26" x14ac:dyDescent="0.35">
      <c r="K51" s="16"/>
      <c r="L51" s="17"/>
      <c r="M51" s="16"/>
      <c r="N51" s="17"/>
      <c r="O51" s="42"/>
      <c r="P51" s="17"/>
      <c r="Q51" s="23"/>
      <c r="R51" s="23"/>
      <c r="T51" s="16"/>
      <c r="U51" s="17"/>
      <c r="V51" s="16"/>
      <c r="W51" s="17"/>
      <c r="X51" s="42"/>
      <c r="Y51" s="17"/>
      <c r="Z51" s="23"/>
    </row>
    <row r="52" spans="2:26" x14ac:dyDescent="0.35">
      <c r="K52" s="16"/>
      <c r="L52" s="17"/>
      <c r="M52" s="16"/>
      <c r="N52" s="17"/>
      <c r="O52" s="42"/>
      <c r="P52" s="17"/>
      <c r="Q52" s="23"/>
      <c r="R52" s="23"/>
      <c r="T52" s="16"/>
      <c r="U52" s="17"/>
      <c r="V52" s="16"/>
      <c r="W52" s="17"/>
      <c r="X52" s="42"/>
      <c r="Y52" s="17"/>
      <c r="Z52" s="23"/>
    </row>
    <row r="53" spans="2:26" x14ac:dyDescent="0.35">
      <c r="K53" s="16"/>
      <c r="L53" s="17"/>
      <c r="M53" s="16"/>
      <c r="N53" s="17"/>
      <c r="O53" s="42"/>
      <c r="P53" s="17"/>
      <c r="Q53" s="23"/>
      <c r="R53" s="23"/>
      <c r="T53" s="16"/>
      <c r="U53" s="17"/>
      <c r="V53" s="16"/>
      <c r="W53" s="17"/>
      <c r="X53" s="42"/>
      <c r="Y53" s="17"/>
      <c r="Z53" s="23"/>
    </row>
    <row r="54" spans="2:26" x14ac:dyDescent="0.35">
      <c r="B54" s="37"/>
      <c r="C54" s="17"/>
      <c r="D54" s="16"/>
      <c r="E54" s="17"/>
      <c r="F54" s="42"/>
      <c r="G54" s="17"/>
      <c r="H54" s="23"/>
      <c r="K54" s="16"/>
      <c r="L54" s="17"/>
      <c r="M54" s="16"/>
      <c r="N54" s="17"/>
      <c r="O54" s="42"/>
      <c r="P54" s="17"/>
      <c r="Q54" s="23"/>
      <c r="R54" s="23"/>
      <c r="T54" s="16"/>
      <c r="U54" s="17"/>
      <c r="V54" s="16"/>
      <c r="W54" s="17"/>
      <c r="X54" s="42"/>
      <c r="Y54" s="17"/>
      <c r="Z54" s="23"/>
    </row>
    <row r="55" spans="2:26" x14ac:dyDescent="0.35">
      <c r="B55" s="37"/>
      <c r="C55" s="17"/>
      <c r="D55" s="16"/>
      <c r="E55" s="17"/>
      <c r="F55" s="42"/>
      <c r="G55" s="17"/>
      <c r="H55" s="23"/>
      <c r="K55" s="16"/>
      <c r="L55" s="17"/>
      <c r="M55" s="16"/>
      <c r="N55" s="17"/>
      <c r="O55" s="42"/>
      <c r="P55" s="17"/>
      <c r="Q55" s="23"/>
      <c r="R55" s="23"/>
      <c r="T55" s="16"/>
      <c r="U55" s="17"/>
      <c r="V55" s="16"/>
      <c r="W55" s="17"/>
      <c r="X55" s="42"/>
      <c r="Y55" s="17"/>
      <c r="Z55" s="23"/>
    </row>
    <row r="56" spans="2:26" x14ac:dyDescent="0.35">
      <c r="B56" s="37"/>
      <c r="C56" s="17"/>
      <c r="D56" s="16"/>
      <c r="E56" s="17"/>
      <c r="F56" s="42"/>
      <c r="G56" s="17"/>
      <c r="H56" s="23"/>
      <c r="K56" s="16"/>
      <c r="L56" s="17"/>
      <c r="M56" s="16"/>
      <c r="N56" s="17"/>
      <c r="O56" s="42"/>
      <c r="P56" s="17"/>
      <c r="Q56" s="23"/>
      <c r="R56" s="23"/>
      <c r="T56" s="16"/>
      <c r="U56" s="17"/>
      <c r="V56" s="16"/>
      <c r="W56" s="17"/>
      <c r="X56" s="42"/>
      <c r="Y56" s="17"/>
      <c r="Z56" s="23"/>
    </row>
    <row r="57" spans="2:26" x14ac:dyDescent="0.35">
      <c r="B57" s="37"/>
      <c r="C57" s="17"/>
      <c r="D57" s="16"/>
      <c r="E57" s="17"/>
      <c r="F57" s="42"/>
      <c r="G57" s="17"/>
      <c r="H57" s="23"/>
      <c r="K57" s="16"/>
      <c r="L57" s="17"/>
      <c r="M57" s="16"/>
      <c r="N57" s="17"/>
      <c r="O57" s="42"/>
      <c r="P57" s="17"/>
      <c r="Q57" s="23"/>
      <c r="R57" s="23"/>
      <c r="T57" s="16"/>
      <c r="U57" s="17"/>
      <c r="V57" s="16"/>
      <c r="W57" s="17"/>
      <c r="X57" s="42"/>
      <c r="Y57" s="17"/>
      <c r="Z57" s="23"/>
    </row>
    <row r="58" spans="2:26" x14ac:dyDescent="0.35">
      <c r="B58" s="37"/>
      <c r="C58" s="17"/>
      <c r="D58" s="16"/>
      <c r="E58" s="17"/>
      <c r="F58" s="42"/>
      <c r="G58" s="17"/>
      <c r="H58" s="23"/>
      <c r="K58" s="19"/>
      <c r="L58" s="17"/>
      <c r="M58" s="19"/>
      <c r="N58" s="17"/>
      <c r="O58" s="17"/>
      <c r="P58" s="17"/>
      <c r="Q58" s="15"/>
      <c r="R58" s="15"/>
      <c r="T58" s="19"/>
      <c r="U58" s="17"/>
      <c r="V58" s="19"/>
      <c r="W58" s="17"/>
      <c r="X58" s="17"/>
      <c r="Y58" s="17"/>
      <c r="Z58" s="15"/>
    </row>
    <row r="59" spans="2:26" x14ac:dyDescent="0.35">
      <c r="B59" s="37"/>
      <c r="C59" s="17"/>
      <c r="D59" s="16"/>
      <c r="E59" s="17"/>
      <c r="F59" s="42"/>
      <c r="G59" s="17"/>
      <c r="H59" s="23"/>
      <c r="K59" s="17"/>
      <c r="L59" s="17"/>
      <c r="M59" s="17"/>
      <c r="N59" s="17"/>
      <c r="O59" s="17"/>
      <c r="T59" s="17"/>
      <c r="U59" s="17"/>
      <c r="V59" s="17"/>
      <c r="W59" s="17"/>
      <c r="X59" s="17"/>
    </row>
    <row r="60" spans="2:26" ht="13.15" x14ac:dyDescent="0.4">
      <c r="B60" s="37"/>
      <c r="C60" s="17"/>
      <c r="D60" s="16"/>
      <c r="E60" s="17"/>
      <c r="F60" s="42"/>
      <c r="G60" s="17"/>
      <c r="H60" s="23"/>
      <c r="K60" s="70" t="s">
        <v>31</v>
      </c>
      <c r="L60" s="17"/>
      <c r="M60" s="77"/>
      <c r="N60" s="17"/>
      <c r="O60" s="17"/>
      <c r="T60" s="70" t="s">
        <v>31</v>
      </c>
      <c r="U60" s="17"/>
      <c r="V60" s="77"/>
      <c r="W60" s="17"/>
      <c r="X60" s="17"/>
    </row>
    <row r="61" spans="2:26" x14ac:dyDescent="0.35">
      <c r="B61" s="37"/>
      <c r="C61" s="17"/>
      <c r="D61" s="16"/>
      <c r="E61" s="17"/>
      <c r="F61" s="42"/>
      <c r="G61" s="17"/>
      <c r="H61" s="23"/>
      <c r="K61" s="17"/>
      <c r="L61" s="17"/>
      <c r="M61" s="17"/>
      <c r="N61" s="17"/>
      <c r="O61" s="17"/>
      <c r="T61" s="17"/>
      <c r="U61" s="17"/>
      <c r="V61" s="17"/>
      <c r="W61" s="17"/>
      <c r="X61" s="17"/>
    </row>
    <row r="62" spans="2:26" x14ac:dyDescent="0.35">
      <c r="B62" s="78"/>
      <c r="C62" s="17"/>
      <c r="D62" s="16"/>
      <c r="E62" s="17"/>
      <c r="F62" s="17"/>
      <c r="G62" s="17"/>
      <c r="H62" s="16"/>
      <c r="K62" s="57">
        <v>552735.09</v>
      </c>
      <c r="L62" s="17"/>
      <c r="M62" s="32"/>
      <c r="N62" s="17"/>
      <c r="O62" s="17"/>
      <c r="T62" s="57">
        <v>552735.09</v>
      </c>
      <c r="U62" s="17"/>
      <c r="V62" s="32"/>
      <c r="W62" s="17"/>
      <c r="X62" s="17"/>
    </row>
    <row r="63" spans="2:26" x14ac:dyDescent="0.35">
      <c r="B63" s="78"/>
      <c r="C63" s="17"/>
      <c r="D63" s="16"/>
      <c r="E63" s="17"/>
      <c r="F63" s="17"/>
      <c r="G63" s="17"/>
      <c r="H63" s="16"/>
      <c r="K63" s="57">
        <v>552404.52</v>
      </c>
      <c r="L63" s="17"/>
      <c r="M63" s="32"/>
      <c r="N63" s="17"/>
      <c r="O63" s="17"/>
      <c r="T63" s="57">
        <v>552404.52</v>
      </c>
      <c r="U63" s="17"/>
      <c r="V63" s="32"/>
      <c r="W63" s="17"/>
      <c r="X63" s="17"/>
    </row>
    <row r="64" spans="2:26" x14ac:dyDescent="0.35">
      <c r="B64" s="78"/>
      <c r="C64" s="17"/>
      <c r="D64" s="16"/>
      <c r="E64" s="17"/>
      <c r="F64" s="17"/>
      <c r="G64" s="17"/>
      <c r="H64" s="16"/>
      <c r="K64" s="57">
        <v>551210.19999999995</v>
      </c>
      <c r="L64" s="17"/>
      <c r="M64" s="32"/>
      <c r="N64" s="17"/>
      <c r="O64" s="17"/>
      <c r="T64" s="57">
        <v>551210.19999999995</v>
      </c>
      <c r="U64" s="17"/>
      <c r="V64" s="32"/>
      <c r="W64" s="17"/>
      <c r="X64" s="17"/>
    </row>
    <row r="65" spans="2:24" x14ac:dyDescent="0.35">
      <c r="B65" s="78"/>
      <c r="C65" s="17"/>
      <c r="D65" s="16"/>
      <c r="E65" s="17"/>
      <c r="F65" s="17"/>
      <c r="G65" s="17"/>
      <c r="H65" s="16"/>
      <c r="K65" s="57">
        <v>550194.51</v>
      </c>
      <c r="L65" s="17"/>
      <c r="M65" s="32"/>
      <c r="N65" s="17"/>
      <c r="O65" s="17"/>
      <c r="T65" s="57">
        <v>550194.51</v>
      </c>
      <c r="U65" s="17"/>
      <c r="V65" s="32"/>
      <c r="W65" s="17"/>
      <c r="X65" s="17"/>
    </row>
    <row r="66" spans="2:24" x14ac:dyDescent="0.35">
      <c r="B66" s="78"/>
      <c r="C66" s="17"/>
      <c r="D66" s="16"/>
      <c r="E66" s="17"/>
      <c r="F66" s="17"/>
      <c r="G66" s="17"/>
      <c r="H66" s="16"/>
      <c r="K66" s="57">
        <v>550231.56000000006</v>
      </c>
      <c r="L66" s="17"/>
      <c r="M66" s="32"/>
      <c r="N66" s="17"/>
      <c r="O66" s="17"/>
      <c r="T66" s="57">
        <v>550231.56000000006</v>
      </c>
      <c r="U66" s="17"/>
      <c r="V66" s="32"/>
      <c r="W66" s="17"/>
      <c r="X66" s="17"/>
    </row>
    <row r="67" spans="2:24" x14ac:dyDescent="0.35">
      <c r="B67" s="78"/>
      <c r="C67" s="17"/>
      <c r="D67" s="16"/>
      <c r="E67" s="17"/>
      <c r="F67" s="17"/>
      <c r="G67" s="17"/>
      <c r="H67" s="16"/>
      <c r="K67" s="57">
        <v>550626.48</v>
      </c>
      <c r="L67" s="17"/>
      <c r="M67" s="32"/>
      <c r="N67" s="17"/>
      <c r="O67" s="17"/>
      <c r="T67" s="57">
        <v>550626.48</v>
      </c>
      <c r="U67" s="17"/>
      <c r="V67" s="32"/>
      <c r="W67" s="17"/>
      <c r="X67" s="17"/>
    </row>
    <row r="68" spans="2:24" x14ac:dyDescent="0.35">
      <c r="B68" s="78"/>
      <c r="C68" s="17"/>
      <c r="D68" s="16"/>
      <c r="E68" s="17"/>
      <c r="F68" s="17"/>
      <c r="G68" s="17"/>
      <c r="H68" s="16"/>
      <c r="K68" s="57">
        <v>549500.01</v>
      </c>
      <c r="L68" s="17"/>
      <c r="M68" s="32"/>
      <c r="N68" s="17"/>
      <c r="O68" s="17"/>
      <c r="T68" s="57">
        <v>549500.01</v>
      </c>
      <c r="U68" s="17"/>
      <c r="V68" s="32"/>
      <c r="W68" s="17"/>
      <c r="X68" s="17"/>
    </row>
    <row r="69" spans="2:24" x14ac:dyDescent="0.35">
      <c r="B69" s="78"/>
      <c r="C69" s="17"/>
      <c r="D69" s="16"/>
      <c r="E69" s="17"/>
      <c r="F69" s="17"/>
      <c r="G69" s="17"/>
      <c r="H69" s="16"/>
      <c r="K69" s="57">
        <v>550649.96</v>
      </c>
      <c r="L69" s="17"/>
      <c r="M69" s="32"/>
      <c r="N69" s="17"/>
      <c r="O69" s="17"/>
      <c r="T69" s="57">
        <v>550649.96</v>
      </c>
      <c r="U69" s="17"/>
      <c r="V69" s="32"/>
      <c r="W69" s="17"/>
      <c r="X69" s="17"/>
    </row>
    <row r="70" spans="2:24" x14ac:dyDescent="0.35">
      <c r="B70" s="78"/>
      <c r="C70" s="17"/>
      <c r="D70" s="16"/>
      <c r="E70" s="17"/>
      <c r="F70" s="17"/>
      <c r="G70" s="17"/>
      <c r="H70" s="16"/>
      <c r="K70" s="57">
        <v>549919.36</v>
      </c>
      <c r="L70" s="17"/>
      <c r="M70" s="32"/>
      <c r="N70" s="17"/>
      <c r="O70" s="17"/>
      <c r="T70" s="57">
        <v>549919.36</v>
      </c>
      <c r="U70" s="17"/>
      <c r="V70" s="32"/>
      <c r="W70" s="17"/>
      <c r="X70" s="17"/>
    </row>
    <row r="71" spans="2:24" x14ac:dyDescent="0.35">
      <c r="B71" s="78"/>
      <c r="C71" s="17"/>
      <c r="D71" s="16"/>
      <c r="E71" s="17"/>
      <c r="F71" s="17"/>
      <c r="G71" s="17"/>
      <c r="H71" s="16"/>
      <c r="K71" s="57">
        <v>549822.25</v>
      </c>
      <c r="L71" s="17"/>
      <c r="M71" s="32"/>
      <c r="N71" s="17"/>
      <c r="O71" s="17"/>
      <c r="T71" s="57">
        <v>549822.25</v>
      </c>
      <c r="U71" s="17"/>
      <c r="V71" s="32"/>
      <c r="W71" s="17"/>
      <c r="X71" s="17"/>
    </row>
    <row r="72" spans="2:24" x14ac:dyDescent="0.35">
      <c r="B72" s="78"/>
      <c r="C72" s="17"/>
      <c r="D72" s="16"/>
      <c r="E72" s="17"/>
      <c r="F72" s="17"/>
      <c r="G72" s="17"/>
      <c r="H72" s="16"/>
      <c r="K72" s="57">
        <v>550431.82999999996</v>
      </c>
      <c r="L72" s="17"/>
      <c r="M72" s="32"/>
      <c r="N72" s="17"/>
      <c r="O72" s="17"/>
      <c r="T72" s="57">
        <v>550431.82999999996</v>
      </c>
      <c r="U72" s="17"/>
      <c r="V72" s="32"/>
      <c r="W72" s="17"/>
      <c r="X72" s="17"/>
    </row>
    <row r="73" spans="2:24" x14ac:dyDescent="0.35">
      <c r="B73" s="78"/>
      <c r="C73" s="17"/>
      <c r="D73" s="16"/>
      <c r="E73" s="17"/>
      <c r="F73" s="17"/>
      <c r="G73" s="17"/>
      <c r="H73" s="16"/>
      <c r="K73" s="40">
        <v>549890.36</v>
      </c>
      <c r="L73" s="17"/>
      <c r="M73" s="32"/>
      <c r="N73" s="17"/>
      <c r="O73" s="17"/>
      <c r="T73" s="40">
        <v>549890.36</v>
      </c>
      <c r="U73" s="17"/>
      <c r="V73" s="32"/>
      <c r="W73" s="17"/>
      <c r="X73" s="17"/>
    </row>
    <row r="74" spans="2:24" x14ac:dyDescent="0.35">
      <c r="B74" s="17"/>
      <c r="C74" s="17"/>
      <c r="D74" s="19"/>
      <c r="E74" s="17"/>
      <c r="F74" s="17"/>
      <c r="G74" s="17"/>
      <c r="H74" s="19"/>
      <c r="K74" s="32">
        <f>SUM(K62:K73)</f>
        <v>6607616.1300000008</v>
      </c>
      <c r="L74" s="17"/>
      <c r="M74" s="17"/>
      <c r="N74" s="17"/>
      <c r="O74" s="17"/>
      <c r="T74" s="32">
        <f>SUM(T62:T73)</f>
        <v>6607616.1300000008</v>
      </c>
      <c r="U74" s="17"/>
      <c r="V74" s="17"/>
      <c r="W74" s="17"/>
      <c r="X74" s="17"/>
    </row>
    <row r="75" spans="2:24" x14ac:dyDescent="0.35">
      <c r="B75" s="17"/>
      <c r="C75" s="17"/>
      <c r="D75" s="17"/>
      <c r="E75" s="17"/>
      <c r="F75" s="17"/>
      <c r="G75" s="17"/>
      <c r="H75" s="17"/>
      <c r="K75" s="17"/>
      <c r="L75" s="17"/>
      <c r="M75" s="17"/>
      <c r="N75" s="17"/>
      <c r="O75" s="17"/>
      <c r="T75" s="17"/>
      <c r="U75" s="17"/>
      <c r="V75" s="17"/>
      <c r="W75" s="17"/>
      <c r="X75" s="17"/>
    </row>
    <row r="76" spans="2:24" ht="13.15" x14ac:dyDescent="0.4">
      <c r="B76" s="24"/>
      <c r="C76" s="17"/>
      <c r="D76" s="17"/>
      <c r="E76" s="17"/>
      <c r="F76" s="17"/>
      <c r="G76" s="17"/>
      <c r="H76" s="17"/>
    </row>
    <row r="77" spans="2:24" ht="13.15" x14ac:dyDescent="0.4">
      <c r="B77" s="24"/>
      <c r="C77" s="17"/>
      <c r="D77" s="24"/>
      <c r="E77" s="17"/>
      <c r="F77" s="24"/>
      <c r="G77" s="17"/>
      <c r="H77" s="24"/>
    </row>
    <row r="78" spans="2:24" x14ac:dyDescent="0.35">
      <c r="B78" s="17"/>
      <c r="C78" s="17"/>
      <c r="D78" s="17"/>
      <c r="E78" s="17"/>
      <c r="F78" s="17"/>
      <c r="G78" s="17"/>
      <c r="H78" s="17"/>
    </row>
    <row r="79" spans="2:24" x14ac:dyDescent="0.35">
      <c r="B79" s="78"/>
      <c r="C79" s="17"/>
      <c r="D79" s="16"/>
      <c r="E79" s="17"/>
      <c r="F79" s="42"/>
      <c r="G79" s="17"/>
      <c r="H79" s="23"/>
    </row>
    <row r="80" spans="2:24" x14ac:dyDescent="0.35">
      <c r="B80" s="78"/>
      <c r="C80" s="17"/>
      <c r="D80" s="16"/>
      <c r="E80" s="17"/>
      <c r="F80" s="42"/>
      <c r="G80" s="17"/>
      <c r="H80" s="23"/>
    </row>
    <row r="81" spans="2:20" x14ac:dyDescent="0.35">
      <c r="B81" s="78"/>
      <c r="C81" s="17"/>
      <c r="D81" s="16"/>
      <c r="E81" s="17"/>
      <c r="F81" s="42"/>
      <c r="G81" s="17"/>
      <c r="H81" s="23"/>
    </row>
    <row r="82" spans="2:20" x14ac:dyDescent="0.35">
      <c r="B82" s="78"/>
      <c r="C82" s="17"/>
      <c r="D82" s="16"/>
      <c r="E82" s="17"/>
      <c r="F82" s="42"/>
      <c r="G82" s="17"/>
      <c r="H82" s="23"/>
    </row>
    <row r="83" spans="2:20" x14ac:dyDescent="0.35">
      <c r="B83" s="78"/>
      <c r="C83" s="17"/>
      <c r="D83" s="16"/>
      <c r="E83" s="17"/>
      <c r="F83" s="42"/>
      <c r="G83" s="17"/>
      <c r="H83" s="23"/>
    </row>
    <row r="84" spans="2:20" x14ac:dyDescent="0.35">
      <c r="B84" s="78"/>
      <c r="C84" s="17"/>
      <c r="D84" s="16"/>
      <c r="E84" s="17"/>
      <c r="F84" s="42"/>
      <c r="G84" s="17"/>
      <c r="H84" s="23"/>
    </row>
    <row r="85" spans="2:20" x14ac:dyDescent="0.35">
      <c r="B85" s="78"/>
      <c r="C85" s="17"/>
      <c r="D85" s="16"/>
      <c r="E85" s="17"/>
      <c r="F85" s="42"/>
      <c r="G85" s="17"/>
      <c r="H85" s="23"/>
    </row>
    <row r="86" spans="2:20" x14ac:dyDescent="0.35">
      <c r="B86" s="78"/>
      <c r="C86" s="17"/>
      <c r="D86" s="16"/>
      <c r="E86" s="17"/>
      <c r="F86" s="42"/>
      <c r="G86" s="17"/>
      <c r="H86" s="23"/>
    </row>
    <row r="87" spans="2:20" x14ac:dyDescent="0.35">
      <c r="B87" s="78"/>
      <c r="C87" s="17"/>
      <c r="D87" s="16"/>
      <c r="E87" s="17"/>
      <c r="F87" s="42"/>
      <c r="G87" s="17"/>
      <c r="H87" s="23"/>
    </row>
    <row r="88" spans="2:20" x14ac:dyDescent="0.35">
      <c r="B88" s="78"/>
      <c r="C88" s="17"/>
      <c r="D88" s="16"/>
      <c r="E88" s="17"/>
      <c r="F88" s="42"/>
      <c r="G88" s="17"/>
      <c r="H88" s="23"/>
    </row>
    <row r="89" spans="2:20" x14ac:dyDescent="0.35">
      <c r="B89" s="78"/>
      <c r="C89" s="17"/>
      <c r="D89" s="16"/>
      <c r="E89" s="17"/>
      <c r="F89" s="42"/>
      <c r="G89" s="17"/>
      <c r="H89" s="23"/>
    </row>
    <row r="90" spans="2:20" x14ac:dyDescent="0.35">
      <c r="B90" s="78"/>
      <c r="C90" s="17"/>
      <c r="D90" s="16"/>
      <c r="E90" s="17"/>
      <c r="F90" s="42"/>
      <c r="G90" s="17"/>
      <c r="H90" s="23"/>
    </row>
    <row r="91" spans="2:20" x14ac:dyDescent="0.35">
      <c r="B91" s="17"/>
      <c r="C91" s="17"/>
      <c r="D91" s="19"/>
      <c r="E91" s="17"/>
      <c r="F91" s="17"/>
      <c r="G91" s="17"/>
      <c r="H91" s="15"/>
    </row>
    <row r="92" spans="2:20" x14ac:dyDescent="0.35">
      <c r="B92" s="17"/>
      <c r="C92" s="17"/>
      <c r="D92" s="17"/>
      <c r="E92" s="17"/>
      <c r="F92" s="17"/>
      <c r="G92" s="17"/>
      <c r="H92" s="17"/>
    </row>
    <row r="93" spans="2:20" ht="13.15" x14ac:dyDescent="0.4">
      <c r="B93" s="17"/>
      <c r="C93" s="17"/>
      <c r="D93" s="24"/>
      <c r="E93" s="17"/>
      <c r="F93" s="24"/>
      <c r="G93" s="17"/>
      <c r="H93" s="24"/>
      <c r="K93" s="70" t="s">
        <v>31</v>
      </c>
      <c r="T93" s="70" t="s">
        <v>31</v>
      </c>
    </row>
    <row r="94" spans="2:20" x14ac:dyDescent="0.35">
      <c r="B94" s="17"/>
      <c r="C94" s="17"/>
      <c r="D94" s="17"/>
      <c r="E94" s="17"/>
      <c r="F94" s="17"/>
      <c r="G94" s="17"/>
      <c r="H94" s="17"/>
      <c r="K94" s="17"/>
      <c r="T94" s="17"/>
    </row>
    <row r="95" spans="2:20" x14ac:dyDescent="0.35">
      <c r="B95" s="78"/>
      <c r="C95" s="17"/>
      <c r="D95" s="16"/>
      <c r="E95" s="17"/>
      <c r="F95" s="17"/>
      <c r="G95" s="17"/>
      <c r="H95" s="16"/>
      <c r="K95" s="57">
        <v>33356.550000000003</v>
      </c>
      <c r="T95" s="57">
        <v>33356.550000000003</v>
      </c>
    </row>
    <row r="96" spans="2:20" x14ac:dyDescent="0.35">
      <c r="B96" s="78"/>
      <c r="C96" s="17"/>
      <c r="D96" s="16"/>
      <c r="E96" s="17"/>
      <c r="F96" s="17"/>
      <c r="G96" s="17"/>
      <c r="H96" s="16"/>
      <c r="K96" s="57">
        <v>33326.36</v>
      </c>
      <c r="T96" s="57">
        <v>33326.36</v>
      </c>
    </row>
    <row r="97" spans="2:20" x14ac:dyDescent="0.35">
      <c r="B97" s="78"/>
      <c r="C97" s="17"/>
      <c r="D97" s="16"/>
      <c r="E97" s="17"/>
      <c r="F97" s="17"/>
      <c r="G97" s="17"/>
      <c r="H97" s="16"/>
      <c r="K97" s="57">
        <v>33287.21</v>
      </c>
      <c r="T97" s="57">
        <v>33287.21</v>
      </c>
    </row>
    <row r="98" spans="2:20" x14ac:dyDescent="0.35">
      <c r="B98" s="78"/>
      <c r="C98" s="17"/>
      <c r="D98" s="16"/>
      <c r="E98" s="17"/>
      <c r="F98" s="17"/>
      <c r="G98" s="17"/>
      <c r="H98" s="16"/>
      <c r="K98" s="57">
        <v>33307.32</v>
      </c>
      <c r="T98" s="57">
        <v>33307.32</v>
      </c>
    </row>
    <row r="99" spans="2:20" x14ac:dyDescent="0.35">
      <c r="B99" s="78"/>
      <c r="C99" s="17"/>
      <c r="D99" s="16"/>
      <c r="E99" s="17"/>
      <c r="F99" s="17"/>
      <c r="G99" s="17"/>
      <c r="H99" s="16"/>
      <c r="K99" s="57">
        <v>33395.67</v>
      </c>
      <c r="T99" s="57">
        <v>33395.67</v>
      </c>
    </row>
    <row r="100" spans="2:20" x14ac:dyDescent="0.35">
      <c r="B100" s="78"/>
      <c r="C100" s="17"/>
      <c r="D100" s="16"/>
      <c r="E100" s="17"/>
      <c r="F100" s="17"/>
      <c r="G100" s="17"/>
      <c r="H100" s="16"/>
      <c r="K100" s="57">
        <v>33399.040000000001</v>
      </c>
      <c r="T100" s="57">
        <v>33399.040000000001</v>
      </c>
    </row>
    <row r="101" spans="2:20" x14ac:dyDescent="0.35">
      <c r="B101" s="78"/>
      <c r="C101" s="17"/>
      <c r="D101" s="16"/>
      <c r="E101" s="17"/>
      <c r="F101" s="17"/>
      <c r="G101" s="17"/>
      <c r="H101" s="16"/>
      <c r="K101" s="57">
        <v>33485.15</v>
      </c>
      <c r="T101" s="57">
        <v>33485.15</v>
      </c>
    </row>
    <row r="102" spans="2:20" x14ac:dyDescent="0.35">
      <c r="B102" s="78"/>
      <c r="C102" s="17"/>
      <c r="D102" s="16"/>
      <c r="E102" s="17"/>
      <c r="F102" s="17"/>
      <c r="G102" s="17"/>
      <c r="H102" s="16"/>
      <c r="K102" s="57">
        <v>33537.79</v>
      </c>
      <c r="T102" s="57">
        <v>33537.79</v>
      </c>
    </row>
    <row r="103" spans="2:20" x14ac:dyDescent="0.35">
      <c r="B103" s="78"/>
      <c r="C103" s="17"/>
      <c r="D103" s="16"/>
      <c r="E103" s="17"/>
      <c r="F103" s="17"/>
      <c r="G103" s="17"/>
      <c r="H103" s="16"/>
      <c r="K103" s="57">
        <v>33622.699999999997</v>
      </c>
      <c r="T103" s="57">
        <v>33622.699999999997</v>
      </c>
    </row>
    <row r="104" spans="2:20" x14ac:dyDescent="0.35">
      <c r="B104" s="78"/>
      <c r="C104" s="17"/>
      <c r="D104" s="16"/>
      <c r="E104" s="17"/>
      <c r="F104" s="17"/>
      <c r="G104" s="17"/>
      <c r="H104" s="16"/>
      <c r="K104" s="57">
        <v>33616.01</v>
      </c>
      <c r="T104" s="57">
        <v>33616.01</v>
      </c>
    </row>
    <row r="105" spans="2:20" x14ac:dyDescent="0.35">
      <c r="B105" s="78"/>
      <c r="C105" s="17"/>
      <c r="D105" s="16"/>
      <c r="E105" s="17"/>
      <c r="F105" s="17"/>
      <c r="G105" s="17"/>
      <c r="H105" s="16"/>
      <c r="K105" s="57">
        <v>33679.730000000003</v>
      </c>
      <c r="T105" s="57">
        <v>33679.730000000003</v>
      </c>
    </row>
    <row r="106" spans="2:20" x14ac:dyDescent="0.35">
      <c r="B106" s="78"/>
      <c r="C106" s="17"/>
      <c r="D106" s="16"/>
      <c r="E106" s="17"/>
      <c r="F106" s="17"/>
      <c r="G106" s="17"/>
      <c r="H106" s="16"/>
      <c r="K106" s="40">
        <v>33646.17</v>
      </c>
      <c r="T106" s="40">
        <v>33646.17</v>
      </c>
    </row>
    <row r="107" spans="2:20" x14ac:dyDescent="0.35">
      <c r="B107" s="17"/>
      <c r="C107" s="17"/>
      <c r="D107" s="19"/>
      <c r="E107" s="17"/>
      <c r="F107" s="17"/>
      <c r="G107" s="17"/>
      <c r="H107" s="19"/>
      <c r="K107" s="32">
        <f>SUM(K95:K106)</f>
        <v>401659.69999999995</v>
      </c>
      <c r="T107" s="32">
        <f>SUM(T95:T106)</f>
        <v>401659.69999999995</v>
      </c>
    </row>
    <row r="108" spans="2:20" x14ac:dyDescent="0.35">
      <c r="B108" s="17"/>
      <c r="C108" s="17"/>
      <c r="D108" s="17"/>
      <c r="E108" s="17"/>
      <c r="F108" s="17"/>
      <c r="G108" s="17"/>
      <c r="H108" s="17"/>
    </row>
    <row r="109" spans="2:20" ht="13.15" x14ac:dyDescent="0.4">
      <c r="B109" s="24"/>
      <c r="C109" s="17"/>
      <c r="D109" s="17"/>
      <c r="E109" s="17"/>
      <c r="F109" s="17"/>
      <c r="G109" s="17"/>
      <c r="H109" s="17"/>
    </row>
    <row r="110" spans="2:20" ht="13.15" x14ac:dyDescent="0.4">
      <c r="B110" s="24"/>
      <c r="C110" s="17"/>
      <c r="D110" s="24"/>
      <c r="E110" s="17"/>
      <c r="F110" s="24"/>
      <c r="G110" s="17"/>
      <c r="H110" s="24"/>
    </row>
    <row r="111" spans="2:20" x14ac:dyDescent="0.35">
      <c r="B111" s="17"/>
      <c r="C111" s="17"/>
      <c r="D111" s="17"/>
      <c r="E111" s="17"/>
      <c r="F111" s="17"/>
      <c r="G111" s="17"/>
      <c r="H111" s="17"/>
    </row>
    <row r="112" spans="2:20" x14ac:dyDescent="0.35">
      <c r="B112" s="78"/>
      <c r="C112" s="17"/>
      <c r="D112" s="16"/>
      <c r="E112" s="17"/>
      <c r="F112" s="42"/>
      <c r="G112" s="17"/>
      <c r="H112" s="23"/>
    </row>
    <row r="113" spans="2:20" x14ac:dyDescent="0.35">
      <c r="B113" s="78"/>
      <c r="C113" s="17"/>
      <c r="D113" s="16"/>
      <c r="E113" s="17"/>
      <c r="F113" s="42"/>
      <c r="G113" s="17"/>
      <c r="H113" s="23"/>
    </row>
    <row r="114" spans="2:20" x14ac:dyDescent="0.35">
      <c r="B114" s="78"/>
      <c r="C114" s="17"/>
      <c r="D114" s="16"/>
      <c r="E114" s="17"/>
      <c r="F114" s="42"/>
      <c r="G114" s="17"/>
      <c r="H114" s="23"/>
    </row>
    <row r="115" spans="2:20" x14ac:dyDescent="0.35">
      <c r="B115" s="78"/>
      <c r="C115" s="17"/>
      <c r="D115" s="16"/>
      <c r="E115" s="17"/>
      <c r="F115" s="42"/>
      <c r="G115" s="17"/>
      <c r="H115" s="23"/>
    </row>
    <row r="116" spans="2:20" x14ac:dyDescent="0.35">
      <c r="B116" s="78"/>
      <c r="C116" s="17"/>
      <c r="D116" s="16"/>
      <c r="E116" s="17"/>
      <c r="F116" s="42"/>
      <c r="G116" s="17"/>
      <c r="H116" s="23"/>
    </row>
    <row r="117" spans="2:20" x14ac:dyDescent="0.35">
      <c r="B117" s="78"/>
      <c r="C117" s="17"/>
      <c r="D117" s="16"/>
      <c r="E117" s="17"/>
      <c r="F117" s="42"/>
      <c r="G117" s="17"/>
      <c r="H117" s="23"/>
    </row>
    <row r="118" spans="2:20" x14ac:dyDescent="0.35">
      <c r="B118" s="78"/>
      <c r="C118" s="17"/>
      <c r="D118" s="16"/>
      <c r="E118" s="17"/>
      <c r="F118" s="42"/>
      <c r="G118" s="17"/>
      <c r="H118" s="23"/>
    </row>
    <row r="119" spans="2:20" x14ac:dyDescent="0.35">
      <c r="B119" s="78"/>
      <c r="C119" s="17"/>
      <c r="D119" s="16"/>
      <c r="E119" s="17"/>
      <c r="F119" s="42"/>
      <c r="G119" s="17"/>
      <c r="H119" s="23"/>
    </row>
    <row r="120" spans="2:20" x14ac:dyDescent="0.35">
      <c r="B120" s="78"/>
      <c r="C120" s="17"/>
      <c r="D120" s="16"/>
      <c r="E120" s="17"/>
      <c r="F120" s="42"/>
      <c r="G120" s="17"/>
      <c r="H120" s="23"/>
    </row>
    <row r="121" spans="2:20" x14ac:dyDescent="0.35">
      <c r="B121" s="78"/>
      <c r="C121" s="17"/>
      <c r="D121" s="16"/>
      <c r="E121" s="17"/>
      <c r="F121" s="42"/>
      <c r="G121" s="17"/>
      <c r="H121" s="23"/>
    </row>
    <row r="122" spans="2:20" x14ac:dyDescent="0.35">
      <c r="B122" s="78"/>
      <c r="C122" s="17"/>
      <c r="D122" s="16"/>
      <c r="E122" s="17"/>
      <c r="F122" s="42"/>
      <c r="G122" s="17"/>
      <c r="H122" s="23"/>
    </row>
    <row r="123" spans="2:20" x14ac:dyDescent="0.35">
      <c r="B123" s="78"/>
      <c r="C123" s="17"/>
      <c r="D123" s="16"/>
      <c r="E123" s="17"/>
      <c r="F123" s="42"/>
      <c r="G123" s="17"/>
      <c r="H123" s="23"/>
    </row>
    <row r="124" spans="2:20" x14ac:dyDescent="0.35">
      <c r="B124" s="17"/>
      <c r="C124" s="17"/>
      <c r="D124" s="19"/>
      <c r="E124" s="17"/>
      <c r="F124" s="17"/>
      <c r="G124" s="17"/>
      <c r="H124" s="15"/>
    </row>
    <row r="125" spans="2:20" x14ac:dyDescent="0.35">
      <c r="B125" s="17"/>
      <c r="C125" s="17"/>
      <c r="D125" s="17"/>
      <c r="E125" s="17"/>
      <c r="F125" s="17"/>
      <c r="G125" s="17"/>
      <c r="H125" s="17"/>
    </row>
    <row r="126" spans="2:20" ht="13.15" x14ac:dyDescent="0.4">
      <c r="B126" s="17"/>
      <c r="C126" s="17"/>
      <c r="D126" s="24"/>
      <c r="E126" s="17"/>
      <c r="F126" s="24"/>
      <c r="G126" s="17"/>
      <c r="H126" s="24"/>
      <c r="K126" s="70" t="s">
        <v>31</v>
      </c>
      <c r="T126" s="70" t="s">
        <v>31</v>
      </c>
    </row>
    <row r="127" spans="2:20" x14ac:dyDescent="0.35">
      <c r="B127" s="17"/>
      <c r="C127" s="17"/>
      <c r="D127" s="17"/>
      <c r="E127" s="17"/>
      <c r="F127" s="17"/>
      <c r="G127" s="17"/>
      <c r="H127" s="17"/>
      <c r="K127" s="17"/>
      <c r="T127" s="17"/>
    </row>
    <row r="128" spans="2:20" x14ac:dyDescent="0.35">
      <c r="B128" s="78"/>
      <c r="C128" s="17"/>
      <c r="D128" s="16"/>
      <c r="E128" s="17"/>
      <c r="F128" s="17"/>
      <c r="G128" s="17"/>
      <c r="H128" s="16"/>
      <c r="K128" s="57">
        <v>9796.6</v>
      </c>
      <c r="T128" s="57">
        <v>9796.6</v>
      </c>
    </row>
    <row r="129" spans="2:20" x14ac:dyDescent="0.35">
      <c r="B129" s="78"/>
      <c r="C129" s="17"/>
      <c r="D129" s="16"/>
      <c r="E129" s="17"/>
      <c r="F129" s="17"/>
      <c r="G129" s="17"/>
      <c r="H129" s="16"/>
      <c r="K129" s="57">
        <v>9763.0500000000011</v>
      </c>
      <c r="T129" s="57">
        <v>9763.0500000000011</v>
      </c>
    </row>
    <row r="130" spans="2:20" x14ac:dyDescent="0.35">
      <c r="B130" s="78"/>
      <c r="C130" s="17"/>
      <c r="D130" s="16"/>
      <c r="E130" s="17"/>
      <c r="F130" s="17"/>
      <c r="G130" s="17"/>
      <c r="H130" s="16"/>
      <c r="K130" s="57">
        <v>9763.0500000000011</v>
      </c>
      <c r="T130" s="57">
        <v>9763.0500000000011</v>
      </c>
    </row>
    <row r="131" spans="2:20" x14ac:dyDescent="0.35">
      <c r="B131" s="78"/>
      <c r="C131" s="17"/>
      <c r="D131" s="16"/>
      <c r="E131" s="17"/>
      <c r="F131" s="17"/>
      <c r="G131" s="17"/>
      <c r="H131" s="16"/>
      <c r="K131" s="57">
        <v>9763.0500000000011</v>
      </c>
      <c r="T131" s="57">
        <v>9763.0500000000011</v>
      </c>
    </row>
    <row r="132" spans="2:20" x14ac:dyDescent="0.35">
      <c r="B132" s="78"/>
      <c r="C132" s="17"/>
      <c r="D132" s="16"/>
      <c r="E132" s="17"/>
      <c r="F132" s="17"/>
      <c r="G132" s="17"/>
      <c r="H132" s="16"/>
      <c r="K132" s="57">
        <v>9763.0500000000011</v>
      </c>
      <c r="T132" s="57">
        <v>9763.0500000000011</v>
      </c>
    </row>
    <row r="133" spans="2:20" x14ac:dyDescent="0.35">
      <c r="B133" s="78"/>
      <c r="C133" s="17"/>
      <c r="D133" s="16"/>
      <c r="E133" s="17"/>
      <c r="F133" s="17"/>
      <c r="G133" s="17"/>
      <c r="H133" s="16"/>
      <c r="K133" s="57">
        <v>9763.0500000000011</v>
      </c>
      <c r="T133" s="57">
        <v>9763.0500000000011</v>
      </c>
    </row>
    <row r="134" spans="2:20" x14ac:dyDescent="0.35">
      <c r="B134" s="78"/>
      <c r="C134" s="17"/>
      <c r="D134" s="16"/>
      <c r="E134" s="17"/>
      <c r="F134" s="17"/>
      <c r="G134" s="17"/>
      <c r="H134" s="16"/>
      <c r="K134" s="57">
        <v>9745.16</v>
      </c>
      <c r="T134" s="57">
        <v>9745.16</v>
      </c>
    </row>
    <row r="135" spans="2:20" x14ac:dyDescent="0.35">
      <c r="B135" s="78"/>
      <c r="C135" s="17"/>
      <c r="D135" s="16"/>
      <c r="E135" s="17"/>
      <c r="F135" s="17"/>
      <c r="G135" s="17"/>
      <c r="H135" s="16"/>
      <c r="K135" s="57">
        <v>9729.5</v>
      </c>
      <c r="T135" s="57">
        <v>9729.5</v>
      </c>
    </row>
    <row r="136" spans="2:20" x14ac:dyDescent="0.35">
      <c r="B136" s="78"/>
      <c r="C136" s="17"/>
      <c r="D136" s="16"/>
      <c r="E136" s="17"/>
      <c r="F136" s="17"/>
      <c r="G136" s="17"/>
      <c r="H136" s="16"/>
      <c r="K136" s="57">
        <v>9729.5</v>
      </c>
      <c r="T136" s="57">
        <v>9729.5</v>
      </c>
    </row>
    <row r="137" spans="2:20" x14ac:dyDescent="0.35">
      <c r="B137" s="78"/>
      <c r="C137" s="17"/>
      <c r="D137" s="16"/>
      <c r="E137" s="17"/>
      <c r="F137" s="17"/>
      <c r="G137" s="17"/>
      <c r="H137" s="16"/>
      <c r="K137" s="57">
        <v>9707.14</v>
      </c>
      <c r="T137" s="57">
        <v>9707.14</v>
      </c>
    </row>
    <row r="138" spans="2:20" x14ac:dyDescent="0.35">
      <c r="B138" s="78"/>
      <c r="C138" s="17"/>
      <c r="D138" s="16"/>
      <c r="E138" s="17"/>
      <c r="F138" s="17"/>
      <c r="G138" s="17"/>
      <c r="H138" s="16"/>
      <c r="K138" s="57">
        <v>9662.4</v>
      </c>
      <c r="T138" s="57">
        <v>9662.4</v>
      </c>
    </row>
    <row r="139" spans="2:20" x14ac:dyDescent="0.35">
      <c r="B139" s="78"/>
      <c r="C139" s="17"/>
      <c r="D139" s="16"/>
      <c r="E139" s="17"/>
      <c r="F139" s="17"/>
      <c r="G139" s="17"/>
      <c r="H139" s="16"/>
      <c r="K139" s="40">
        <v>9661.2800000000007</v>
      </c>
      <c r="T139" s="40">
        <v>9661.2800000000007</v>
      </c>
    </row>
    <row r="140" spans="2:20" x14ac:dyDescent="0.35">
      <c r="B140" s="17"/>
      <c r="C140" s="17"/>
      <c r="D140" s="19"/>
      <c r="E140" s="17"/>
      <c r="F140" s="17"/>
      <c r="G140" s="17"/>
      <c r="H140" s="19"/>
      <c r="K140" s="32">
        <f>SUM(K128:K139)</f>
        <v>116846.83</v>
      </c>
      <c r="T140" s="32">
        <f>SUM(T128:T139)</f>
        <v>116846.83</v>
      </c>
    </row>
    <row r="141" spans="2:20" x14ac:dyDescent="0.35">
      <c r="B141" s="17"/>
      <c r="C141" s="17"/>
      <c r="D141" s="17"/>
      <c r="E141" s="17"/>
      <c r="F141" s="17"/>
      <c r="G141" s="17"/>
      <c r="H141" s="17"/>
    </row>
    <row r="142" spans="2:20" ht="13.15" x14ac:dyDescent="0.4">
      <c r="B142" s="24"/>
      <c r="C142" s="17"/>
      <c r="D142" s="17"/>
      <c r="E142" s="17"/>
      <c r="F142" s="17"/>
      <c r="G142" s="17"/>
      <c r="H142" s="17"/>
    </row>
    <row r="143" spans="2:20" ht="13.15" x14ac:dyDescent="0.4">
      <c r="B143" s="24"/>
      <c r="C143" s="17"/>
      <c r="D143" s="24"/>
      <c r="E143" s="17"/>
      <c r="F143" s="24"/>
      <c r="G143" s="17"/>
      <c r="H143" s="24"/>
    </row>
    <row r="144" spans="2:20" x14ac:dyDescent="0.35">
      <c r="B144" s="17"/>
      <c r="C144" s="17"/>
      <c r="D144" s="17"/>
      <c r="E144" s="17"/>
      <c r="F144" s="17"/>
      <c r="G144" s="17"/>
      <c r="H144" s="17"/>
    </row>
    <row r="145" spans="2:20" x14ac:dyDescent="0.35">
      <c r="B145" s="78"/>
      <c r="C145" s="17"/>
      <c r="D145" s="16"/>
      <c r="E145" s="17"/>
      <c r="F145" s="42"/>
      <c r="G145" s="17"/>
      <c r="H145" s="23"/>
    </row>
    <row r="146" spans="2:20" x14ac:dyDescent="0.35">
      <c r="B146" s="78"/>
      <c r="C146" s="17"/>
      <c r="D146" s="16"/>
      <c r="E146" s="17"/>
      <c r="F146" s="42"/>
      <c r="G146" s="17"/>
      <c r="H146" s="23"/>
    </row>
    <row r="147" spans="2:20" x14ac:dyDescent="0.35">
      <c r="B147" s="78"/>
      <c r="C147" s="17"/>
      <c r="D147" s="16"/>
      <c r="E147" s="17"/>
      <c r="F147" s="42"/>
      <c r="G147" s="17"/>
      <c r="H147" s="23"/>
    </row>
    <row r="148" spans="2:20" x14ac:dyDescent="0.35">
      <c r="B148" s="78"/>
      <c r="C148" s="17"/>
      <c r="D148" s="16"/>
      <c r="E148" s="17"/>
      <c r="F148" s="42"/>
      <c r="G148" s="17"/>
      <c r="H148" s="23"/>
    </row>
    <row r="149" spans="2:20" x14ac:dyDescent="0.35">
      <c r="B149" s="78"/>
      <c r="C149" s="17"/>
      <c r="D149" s="16"/>
      <c r="E149" s="17"/>
      <c r="F149" s="42"/>
      <c r="G149" s="17"/>
      <c r="H149" s="23"/>
    </row>
    <row r="150" spans="2:20" x14ac:dyDescent="0.35">
      <c r="B150" s="78"/>
      <c r="C150" s="17"/>
      <c r="D150" s="16"/>
      <c r="E150" s="17"/>
      <c r="F150" s="42"/>
      <c r="G150" s="17"/>
      <c r="H150" s="23"/>
    </row>
    <row r="151" spans="2:20" x14ac:dyDescent="0.35">
      <c r="B151" s="78"/>
      <c r="C151" s="17"/>
      <c r="D151" s="16"/>
      <c r="E151" s="17"/>
      <c r="F151" s="42"/>
      <c r="G151" s="17"/>
      <c r="H151" s="23"/>
    </row>
    <row r="152" spans="2:20" x14ac:dyDescent="0.35">
      <c r="B152" s="78"/>
      <c r="C152" s="17"/>
      <c r="D152" s="16"/>
      <c r="E152" s="17"/>
      <c r="F152" s="42"/>
      <c r="G152" s="17"/>
      <c r="H152" s="23"/>
    </row>
    <row r="153" spans="2:20" x14ac:dyDescent="0.35">
      <c r="B153" s="78"/>
      <c r="C153" s="17"/>
      <c r="D153" s="16"/>
      <c r="E153" s="17"/>
      <c r="F153" s="42"/>
      <c r="G153" s="17"/>
      <c r="H153" s="23"/>
    </row>
    <row r="154" spans="2:20" x14ac:dyDescent="0.35">
      <c r="B154" s="78"/>
      <c r="C154" s="17"/>
      <c r="D154" s="16"/>
      <c r="E154" s="17"/>
      <c r="F154" s="42"/>
      <c r="G154" s="17"/>
      <c r="H154" s="23"/>
    </row>
    <row r="155" spans="2:20" x14ac:dyDescent="0.35">
      <c r="B155" s="78"/>
      <c r="C155" s="17"/>
      <c r="D155" s="16"/>
      <c r="E155" s="17"/>
      <c r="F155" s="42"/>
      <c r="G155" s="17"/>
      <c r="H155" s="23"/>
    </row>
    <row r="156" spans="2:20" x14ac:dyDescent="0.35">
      <c r="B156" s="78"/>
      <c r="C156" s="17"/>
      <c r="D156" s="16"/>
      <c r="E156" s="17"/>
      <c r="F156" s="42"/>
      <c r="G156" s="17"/>
      <c r="H156" s="23"/>
    </row>
    <row r="157" spans="2:20" x14ac:dyDescent="0.35">
      <c r="B157" s="17"/>
      <c r="C157" s="17"/>
      <c r="D157" s="19"/>
      <c r="E157" s="17"/>
      <c r="F157" s="17"/>
      <c r="G157" s="17"/>
      <c r="H157" s="15"/>
    </row>
    <row r="158" spans="2:20" x14ac:dyDescent="0.35">
      <c r="B158" s="17"/>
      <c r="C158" s="17"/>
      <c r="D158" s="17"/>
      <c r="E158" s="17"/>
      <c r="F158" s="17"/>
      <c r="G158" s="17"/>
      <c r="H158" s="17"/>
    </row>
    <row r="159" spans="2:20" ht="13.15" x14ac:dyDescent="0.4">
      <c r="B159" s="17"/>
      <c r="C159" s="17"/>
      <c r="D159" s="24"/>
      <c r="E159" s="17"/>
      <c r="F159" s="24"/>
      <c r="G159" s="17"/>
      <c r="H159" s="24"/>
      <c r="K159" s="70" t="s">
        <v>31</v>
      </c>
      <c r="T159" s="70" t="s">
        <v>31</v>
      </c>
    </row>
    <row r="160" spans="2:20" x14ac:dyDescent="0.35">
      <c r="B160" s="17"/>
      <c r="C160" s="17"/>
      <c r="D160" s="17"/>
      <c r="E160" s="17"/>
      <c r="F160" s="17"/>
      <c r="G160" s="17"/>
      <c r="H160" s="17"/>
      <c r="K160" s="17"/>
      <c r="T160" s="17"/>
    </row>
    <row r="161" spans="2:20" x14ac:dyDescent="0.35">
      <c r="B161" s="78"/>
      <c r="C161" s="17"/>
      <c r="D161" s="16"/>
      <c r="E161" s="17"/>
      <c r="F161" s="17"/>
      <c r="G161" s="17"/>
      <c r="H161" s="16"/>
      <c r="K161" s="57">
        <v>2717.55</v>
      </c>
      <c r="T161" s="57">
        <v>2717.55</v>
      </c>
    </row>
    <row r="162" spans="2:20" x14ac:dyDescent="0.35">
      <c r="B162" s="78"/>
      <c r="C162" s="17"/>
      <c r="D162" s="16"/>
      <c r="E162" s="17"/>
      <c r="F162" s="17"/>
      <c r="G162" s="17"/>
      <c r="H162" s="16"/>
      <c r="K162" s="57">
        <v>2717.55</v>
      </c>
      <c r="T162" s="57">
        <v>2717.55</v>
      </c>
    </row>
    <row r="163" spans="2:20" x14ac:dyDescent="0.35">
      <c r="B163" s="78"/>
      <c r="C163" s="17"/>
      <c r="D163" s="16"/>
      <c r="E163" s="17"/>
      <c r="F163" s="17"/>
      <c r="G163" s="17"/>
      <c r="H163" s="16"/>
      <c r="K163" s="57">
        <v>2717.55</v>
      </c>
      <c r="T163" s="57">
        <v>2717.55</v>
      </c>
    </row>
    <row r="164" spans="2:20" x14ac:dyDescent="0.35">
      <c r="B164" s="78"/>
      <c r="C164" s="17"/>
      <c r="D164" s="16"/>
      <c r="E164" s="17"/>
      <c r="F164" s="17"/>
      <c r="G164" s="17"/>
      <c r="H164" s="16"/>
      <c r="K164" s="57">
        <v>2717.55</v>
      </c>
      <c r="T164" s="57">
        <v>2717.55</v>
      </c>
    </row>
    <row r="165" spans="2:20" x14ac:dyDescent="0.35">
      <c r="B165" s="78"/>
      <c r="C165" s="17"/>
      <c r="D165" s="16"/>
      <c r="E165" s="17"/>
      <c r="F165" s="17"/>
      <c r="G165" s="17"/>
      <c r="H165" s="16"/>
      <c r="K165" s="57">
        <v>2717.55</v>
      </c>
      <c r="T165" s="57">
        <v>2717.55</v>
      </c>
    </row>
    <row r="166" spans="2:20" x14ac:dyDescent="0.35">
      <c r="B166" s="78"/>
      <c r="C166" s="17"/>
      <c r="D166" s="16"/>
      <c r="E166" s="17"/>
      <c r="F166" s="17"/>
      <c r="G166" s="17"/>
      <c r="H166" s="16"/>
      <c r="K166" s="57">
        <v>2717.55</v>
      </c>
      <c r="T166" s="57">
        <v>2717.55</v>
      </c>
    </row>
    <row r="167" spans="2:20" x14ac:dyDescent="0.35">
      <c r="B167" s="78"/>
      <c r="C167" s="17"/>
      <c r="D167" s="16"/>
      <c r="E167" s="17"/>
      <c r="F167" s="17"/>
      <c r="G167" s="17"/>
      <c r="H167" s="16"/>
      <c r="K167" s="57">
        <v>2717.55</v>
      </c>
      <c r="T167" s="57">
        <v>2717.55</v>
      </c>
    </row>
    <row r="168" spans="2:20" x14ac:dyDescent="0.35">
      <c r="B168" s="78"/>
      <c r="C168" s="17"/>
      <c r="D168" s="16"/>
      <c r="E168" s="17"/>
      <c r="F168" s="17"/>
      <c r="G168" s="17"/>
      <c r="H168" s="16"/>
      <c r="K168" s="57">
        <v>2703.01</v>
      </c>
      <c r="T168" s="57">
        <v>2703.01</v>
      </c>
    </row>
    <row r="169" spans="2:20" x14ac:dyDescent="0.35">
      <c r="B169" s="78"/>
      <c r="C169" s="17"/>
      <c r="D169" s="16"/>
      <c r="E169" s="17"/>
      <c r="F169" s="17"/>
      <c r="G169" s="17"/>
      <c r="H169" s="16"/>
      <c r="K169" s="57">
        <v>2650.4500000000003</v>
      </c>
      <c r="T169" s="57">
        <v>2650.4500000000003</v>
      </c>
    </row>
    <row r="170" spans="2:20" x14ac:dyDescent="0.35">
      <c r="B170" s="78"/>
      <c r="C170" s="17"/>
      <c r="D170" s="16"/>
      <c r="E170" s="17"/>
      <c r="F170" s="17"/>
      <c r="G170" s="17"/>
      <c r="H170" s="16"/>
      <c r="K170" s="57">
        <v>2650.4500000000003</v>
      </c>
      <c r="T170" s="57">
        <v>2650.4500000000003</v>
      </c>
    </row>
    <row r="171" spans="2:20" x14ac:dyDescent="0.35">
      <c r="B171" s="78"/>
      <c r="C171" s="17"/>
      <c r="D171" s="16"/>
      <c r="E171" s="17"/>
      <c r="F171" s="17"/>
      <c r="G171" s="17"/>
      <c r="H171" s="16"/>
      <c r="K171" s="57">
        <v>2650.4500000000003</v>
      </c>
      <c r="T171" s="57">
        <v>2650.4500000000003</v>
      </c>
    </row>
    <row r="172" spans="2:20" x14ac:dyDescent="0.35">
      <c r="B172" s="78"/>
      <c r="C172" s="17"/>
      <c r="D172" s="16"/>
      <c r="E172" s="17"/>
      <c r="F172" s="17"/>
      <c r="G172" s="17"/>
      <c r="H172" s="16"/>
      <c r="K172" s="40">
        <v>2650.4500000000003</v>
      </c>
      <c r="T172" s="40">
        <v>2650.4500000000003</v>
      </c>
    </row>
    <row r="173" spans="2:20" x14ac:dyDescent="0.35">
      <c r="B173" s="17"/>
      <c r="C173" s="17"/>
      <c r="D173" s="19"/>
      <c r="E173" s="17"/>
      <c r="F173" s="17"/>
      <c r="G173" s="17"/>
      <c r="H173" s="19"/>
      <c r="K173" s="32">
        <f>SUM(K161:K172)</f>
        <v>32327.660000000003</v>
      </c>
      <c r="T173" s="32">
        <f>SUM(T161:T172)</f>
        <v>32327.660000000003</v>
      </c>
    </row>
    <row r="174" spans="2:20" x14ac:dyDescent="0.35">
      <c r="B174" s="17"/>
      <c r="C174" s="17"/>
      <c r="D174" s="17"/>
      <c r="E174" s="17"/>
      <c r="F174" s="17"/>
      <c r="G174" s="17"/>
      <c r="H174" s="17"/>
    </row>
    <row r="175" spans="2:20" ht="13.15" x14ac:dyDescent="0.4">
      <c r="B175" s="24"/>
      <c r="C175" s="17"/>
      <c r="D175" s="17"/>
      <c r="E175" s="17"/>
      <c r="F175" s="17"/>
      <c r="G175" s="17"/>
      <c r="H175" s="17"/>
    </row>
    <row r="176" spans="2:20" ht="13.15" x14ac:dyDescent="0.4">
      <c r="B176" s="24"/>
      <c r="C176" s="17"/>
      <c r="D176" s="24"/>
      <c r="E176" s="17"/>
      <c r="F176" s="24"/>
      <c r="G176" s="17"/>
      <c r="H176" s="24"/>
    </row>
    <row r="177" spans="2:20" x14ac:dyDescent="0.35">
      <c r="B177" s="17"/>
      <c r="C177" s="17"/>
      <c r="D177" s="17"/>
      <c r="E177" s="17"/>
      <c r="F177" s="17"/>
      <c r="G177" s="17"/>
      <c r="H177" s="17"/>
    </row>
    <row r="178" spans="2:20" x14ac:dyDescent="0.35">
      <c r="B178" s="78"/>
      <c r="C178" s="17"/>
      <c r="D178" s="16"/>
      <c r="E178" s="17"/>
      <c r="F178" s="42"/>
      <c r="G178" s="17"/>
      <c r="H178" s="23"/>
    </row>
    <row r="179" spans="2:20" x14ac:dyDescent="0.35">
      <c r="B179" s="78"/>
      <c r="C179" s="17"/>
      <c r="D179" s="16"/>
      <c r="E179" s="17"/>
      <c r="F179" s="42"/>
      <c r="G179" s="17"/>
      <c r="H179" s="23"/>
    </row>
    <row r="180" spans="2:20" x14ac:dyDescent="0.35">
      <c r="B180" s="78"/>
      <c r="C180" s="17"/>
      <c r="D180" s="16"/>
      <c r="E180" s="17"/>
      <c r="F180" s="42"/>
      <c r="G180" s="17"/>
      <c r="H180" s="23"/>
    </row>
    <row r="181" spans="2:20" x14ac:dyDescent="0.35">
      <c r="B181" s="78"/>
      <c r="C181" s="17"/>
      <c r="D181" s="16"/>
      <c r="E181" s="17"/>
      <c r="F181" s="42"/>
      <c r="G181" s="17"/>
      <c r="H181" s="23"/>
    </row>
    <row r="182" spans="2:20" x14ac:dyDescent="0.35">
      <c r="B182" s="78"/>
      <c r="C182" s="17"/>
      <c r="D182" s="16"/>
      <c r="E182" s="17"/>
      <c r="F182" s="42"/>
      <c r="G182" s="17"/>
      <c r="H182" s="23"/>
    </row>
    <row r="183" spans="2:20" x14ac:dyDescent="0.35">
      <c r="B183" s="78"/>
      <c r="C183" s="17"/>
      <c r="D183" s="16"/>
      <c r="E183" s="17"/>
      <c r="F183" s="42"/>
      <c r="G183" s="17"/>
      <c r="H183" s="23"/>
    </row>
    <row r="184" spans="2:20" x14ac:dyDescent="0.35">
      <c r="B184" s="78"/>
      <c r="C184" s="17"/>
      <c r="D184" s="16"/>
      <c r="E184" s="17"/>
      <c r="F184" s="42"/>
      <c r="G184" s="17"/>
      <c r="H184" s="23"/>
    </row>
    <row r="185" spans="2:20" x14ac:dyDescent="0.35">
      <c r="B185" s="78"/>
      <c r="C185" s="17"/>
      <c r="D185" s="16"/>
      <c r="E185" s="17"/>
      <c r="F185" s="42"/>
      <c r="G185" s="17"/>
      <c r="H185" s="23"/>
    </row>
    <row r="186" spans="2:20" x14ac:dyDescent="0.35">
      <c r="B186" s="78"/>
      <c r="C186" s="17"/>
      <c r="D186" s="16"/>
      <c r="E186" s="17"/>
      <c r="F186" s="42"/>
      <c r="G186" s="17"/>
      <c r="H186" s="23"/>
    </row>
    <row r="187" spans="2:20" x14ac:dyDescent="0.35">
      <c r="B187" s="78"/>
      <c r="C187" s="17"/>
      <c r="D187" s="16"/>
      <c r="E187" s="17"/>
      <c r="F187" s="42"/>
      <c r="G187" s="17"/>
      <c r="H187" s="23"/>
    </row>
    <row r="188" spans="2:20" x14ac:dyDescent="0.35">
      <c r="B188" s="78"/>
      <c r="C188" s="17"/>
      <c r="D188" s="16"/>
      <c r="E188" s="17"/>
      <c r="F188" s="42"/>
      <c r="G188" s="17"/>
      <c r="H188" s="23"/>
    </row>
    <row r="189" spans="2:20" x14ac:dyDescent="0.35">
      <c r="B189" s="78"/>
      <c r="C189" s="17"/>
      <c r="D189" s="16"/>
      <c r="E189" s="17"/>
      <c r="F189" s="42"/>
      <c r="G189" s="17"/>
      <c r="H189" s="23"/>
    </row>
    <row r="190" spans="2:20" x14ac:dyDescent="0.35">
      <c r="B190" s="17"/>
      <c r="C190" s="17"/>
      <c r="D190" s="19"/>
      <c r="E190" s="17"/>
      <c r="F190" s="17"/>
      <c r="G190" s="17"/>
      <c r="H190" s="15"/>
    </row>
    <row r="191" spans="2:20" x14ac:dyDescent="0.35">
      <c r="B191" s="17"/>
      <c r="C191" s="17"/>
      <c r="D191" s="17"/>
      <c r="E191" s="17"/>
      <c r="F191" s="17"/>
      <c r="G191" s="17"/>
      <c r="H191" s="17"/>
    </row>
    <row r="192" spans="2:20" ht="13.15" x14ac:dyDescent="0.4">
      <c r="B192" s="17"/>
      <c r="C192" s="17"/>
      <c r="D192" s="24"/>
      <c r="E192" s="17"/>
      <c r="F192" s="24"/>
      <c r="G192" s="17"/>
      <c r="H192" s="24"/>
      <c r="K192" s="70" t="s">
        <v>31</v>
      </c>
      <c r="T192" s="70" t="s">
        <v>31</v>
      </c>
    </row>
    <row r="193" spans="2:20" x14ac:dyDescent="0.35">
      <c r="B193" s="17"/>
      <c r="C193" s="17"/>
      <c r="D193" s="17"/>
      <c r="E193" s="17"/>
      <c r="F193" s="17"/>
      <c r="G193" s="17"/>
      <c r="H193" s="17"/>
      <c r="K193" s="17"/>
      <c r="T193" s="17"/>
    </row>
    <row r="194" spans="2:20" x14ac:dyDescent="0.35">
      <c r="B194" s="78"/>
      <c r="C194" s="17"/>
      <c r="D194" s="16"/>
      <c r="E194" s="17"/>
      <c r="F194" s="17"/>
      <c r="G194" s="17"/>
      <c r="H194" s="16"/>
      <c r="K194" s="57">
        <v>145595.97</v>
      </c>
      <c r="T194" s="57">
        <v>145595.97</v>
      </c>
    </row>
    <row r="195" spans="2:20" x14ac:dyDescent="0.35">
      <c r="B195" s="78"/>
      <c r="C195" s="17"/>
      <c r="D195" s="16"/>
      <c r="E195" s="17"/>
      <c r="F195" s="17"/>
      <c r="G195" s="17"/>
      <c r="H195" s="16"/>
      <c r="K195" s="57">
        <v>146047.73000000001</v>
      </c>
      <c r="T195" s="57">
        <v>146047.73000000001</v>
      </c>
    </row>
    <row r="196" spans="2:20" x14ac:dyDescent="0.35">
      <c r="B196" s="78"/>
      <c r="C196" s="17"/>
      <c r="D196" s="16"/>
      <c r="E196" s="17"/>
      <c r="F196" s="17"/>
      <c r="G196" s="17"/>
      <c r="H196" s="16"/>
      <c r="K196" s="57">
        <v>146320.74</v>
      </c>
      <c r="T196" s="57">
        <v>146320.74</v>
      </c>
    </row>
    <row r="197" spans="2:20" x14ac:dyDescent="0.35">
      <c r="B197" s="78"/>
      <c r="C197" s="17"/>
      <c r="D197" s="16"/>
      <c r="E197" s="17"/>
      <c r="F197" s="17"/>
      <c r="G197" s="17"/>
      <c r="H197" s="16"/>
      <c r="K197" s="57">
        <v>147167.18</v>
      </c>
      <c r="T197" s="57">
        <v>147167.18</v>
      </c>
    </row>
    <row r="198" spans="2:20" x14ac:dyDescent="0.35">
      <c r="B198" s="78"/>
      <c r="C198" s="17"/>
      <c r="D198" s="16"/>
      <c r="E198" s="17"/>
      <c r="F198" s="17"/>
      <c r="G198" s="17"/>
      <c r="H198" s="16"/>
      <c r="K198" s="57">
        <v>148300.14000000001</v>
      </c>
      <c r="T198" s="57">
        <v>148300.14000000001</v>
      </c>
    </row>
    <row r="199" spans="2:20" x14ac:dyDescent="0.35">
      <c r="B199" s="78"/>
      <c r="C199" s="17"/>
      <c r="D199" s="16"/>
      <c r="E199" s="17"/>
      <c r="F199" s="17"/>
      <c r="G199" s="17"/>
      <c r="H199" s="16"/>
      <c r="K199" s="57">
        <v>148560.66</v>
      </c>
      <c r="T199" s="57">
        <v>148560.66</v>
      </c>
    </row>
    <row r="200" spans="2:20" x14ac:dyDescent="0.35">
      <c r="B200" s="78"/>
      <c r="C200" s="17"/>
      <c r="D200" s="16"/>
      <c r="E200" s="17"/>
      <c r="F200" s="17"/>
      <c r="G200" s="17"/>
      <c r="H200" s="16"/>
      <c r="K200" s="57">
        <v>148785.44</v>
      </c>
      <c r="T200" s="57">
        <v>148785.44</v>
      </c>
    </row>
    <row r="201" spans="2:20" x14ac:dyDescent="0.35">
      <c r="B201" s="78"/>
      <c r="C201" s="17"/>
      <c r="D201" s="16"/>
      <c r="E201" s="17"/>
      <c r="F201" s="17"/>
      <c r="G201" s="17"/>
      <c r="H201" s="16"/>
      <c r="K201" s="57">
        <v>149287.67999999999</v>
      </c>
      <c r="T201" s="57">
        <v>149287.67999999999</v>
      </c>
    </row>
    <row r="202" spans="2:20" x14ac:dyDescent="0.35">
      <c r="B202" s="78"/>
      <c r="C202" s="17"/>
      <c r="D202" s="16"/>
      <c r="E202" s="17"/>
      <c r="F202" s="17"/>
      <c r="G202" s="17"/>
      <c r="H202" s="16"/>
      <c r="K202" s="57">
        <v>149288.14000000001</v>
      </c>
      <c r="T202" s="57">
        <v>149288.14000000001</v>
      </c>
    </row>
    <row r="203" spans="2:20" x14ac:dyDescent="0.35">
      <c r="B203" s="78"/>
      <c r="C203" s="17"/>
      <c r="D203" s="16"/>
      <c r="E203" s="17"/>
      <c r="F203" s="17"/>
      <c r="G203" s="17"/>
      <c r="H203" s="16"/>
      <c r="K203" s="57">
        <v>149946.28</v>
      </c>
      <c r="T203" s="57">
        <v>149946.28</v>
      </c>
    </row>
    <row r="204" spans="2:20" x14ac:dyDescent="0.35">
      <c r="B204" s="78"/>
      <c r="C204" s="17"/>
      <c r="D204" s="16"/>
      <c r="E204" s="17"/>
      <c r="F204" s="17"/>
      <c r="G204" s="17"/>
      <c r="H204" s="16"/>
      <c r="K204" s="57">
        <v>150685.5</v>
      </c>
      <c r="T204" s="57">
        <v>150685.5</v>
      </c>
    </row>
    <row r="205" spans="2:20" x14ac:dyDescent="0.35">
      <c r="B205" s="78"/>
      <c r="C205" s="17"/>
      <c r="D205" s="16"/>
      <c r="E205" s="17"/>
      <c r="F205" s="17"/>
      <c r="G205" s="17"/>
      <c r="H205" s="16"/>
      <c r="K205" s="40">
        <v>150975.03</v>
      </c>
      <c r="T205" s="40">
        <v>150975.03</v>
      </c>
    </row>
    <row r="206" spans="2:20" x14ac:dyDescent="0.35">
      <c r="B206" s="17"/>
      <c r="C206" s="17"/>
      <c r="D206" s="19"/>
      <c r="E206" s="17"/>
      <c r="F206" s="17"/>
      <c r="G206" s="17"/>
      <c r="H206" s="19"/>
      <c r="K206" s="32">
        <f>SUM(K194:K205)</f>
        <v>1780960.4900000002</v>
      </c>
      <c r="T206" s="32">
        <f>SUM(T194:T205)</f>
        <v>1780960.4900000002</v>
      </c>
    </row>
    <row r="207" spans="2:20" x14ac:dyDescent="0.35">
      <c r="B207" s="17"/>
      <c r="C207" s="17"/>
      <c r="D207" s="17"/>
      <c r="E207" s="17"/>
      <c r="F207" s="17"/>
      <c r="G207" s="17"/>
      <c r="H207" s="17"/>
    </row>
    <row r="208" spans="2:20" ht="13.15" x14ac:dyDescent="0.4">
      <c r="B208" s="24"/>
      <c r="C208" s="17"/>
      <c r="D208" s="17"/>
      <c r="E208" s="17"/>
      <c r="F208" s="17"/>
      <c r="G208" s="17"/>
      <c r="H208" s="17"/>
    </row>
    <row r="209" spans="2:8" ht="13.15" x14ac:dyDescent="0.4">
      <c r="B209" s="24"/>
      <c r="C209" s="17"/>
      <c r="D209" s="24"/>
      <c r="E209" s="17"/>
      <c r="F209" s="24"/>
      <c r="G209" s="17"/>
      <c r="H209" s="24"/>
    </row>
    <row r="210" spans="2:8" x14ac:dyDescent="0.35">
      <c r="B210" s="17"/>
      <c r="C210" s="17"/>
      <c r="D210" s="17"/>
      <c r="E210" s="17"/>
      <c r="F210" s="17"/>
      <c r="G210" s="17"/>
      <c r="H210" s="17"/>
    </row>
    <row r="211" spans="2:8" x14ac:dyDescent="0.35">
      <c r="B211" s="78"/>
      <c r="C211" s="17"/>
      <c r="D211" s="16"/>
      <c r="E211" s="17"/>
      <c r="F211" s="42"/>
      <c r="G211" s="17"/>
      <c r="H211" s="23"/>
    </row>
    <row r="212" spans="2:8" x14ac:dyDescent="0.35">
      <c r="B212" s="78"/>
      <c r="C212" s="17"/>
      <c r="D212" s="16"/>
      <c r="E212" s="17"/>
      <c r="F212" s="42"/>
      <c r="G212" s="17"/>
      <c r="H212" s="23"/>
    </row>
    <row r="213" spans="2:8" x14ac:dyDescent="0.35">
      <c r="B213" s="78"/>
      <c r="C213" s="17"/>
      <c r="D213" s="16"/>
      <c r="E213" s="17"/>
      <c r="F213" s="42"/>
      <c r="G213" s="17"/>
      <c r="H213" s="23"/>
    </row>
    <row r="214" spans="2:8" x14ac:dyDescent="0.35">
      <c r="B214" s="78"/>
      <c r="C214" s="17"/>
      <c r="D214" s="16"/>
      <c r="E214" s="17"/>
      <c r="F214" s="42"/>
      <c r="G214" s="17"/>
      <c r="H214" s="23"/>
    </row>
    <row r="215" spans="2:8" x14ac:dyDescent="0.35">
      <c r="B215" s="78"/>
      <c r="C215" s="17"/>
      <c r="D215" s="16"/>
      <c r="E215" s="17"/>
      <c r="F215" s="42"/>
      <c r="G215" s="17"/>
      <c r="H215" s="23"/>
    </row>
    <row r="216" spans="2:8" x14ac:dyDescent="0.35">
      <c r="B216" s="78"/>
      <c r="C216" s="17"/>
      <c r="D216" s="16"/>
      <c r="E216" s="17"/>
      <c r="F216" s="42"/>
      <c r="G216" s="17"/>
      <c r="H216" s="23"/>
    </row>
    <row r="217" spans="2:8" x14ac:dyDescent="0.35">
      <c r="B217" s="78"/>
      <c r="C217" s="17"/>
      <c r="D217" s="16"/>
      <c r="E217" s="17"/>
      <c r="F217" s="42"/>
      <c r="G217" s="17"/>
      <c r="H217" s="23"/>
    </row>
    <row r="218" spans="2:8" x14ac:dyDescent="0.35">
      <c r="B218" s="78"/>
      <c r="C218" s="17"/>
      <c r="D218" s="16"/>
      <c r="E218" s="17"/>
      <c r="F218" s="42"/>
      <c r="G218" s="17"/>
      <c r="H218" s="23"/>
    </row>
    <row r="219" spans="2:8" x14ac:dyDescent="0.35">
      <c r="B219" s="78"/>
      <c r="C219" s="17"/>
      <c r="D219" s="16"/>
      <c r="E219" s="17"/>
      <c r="F219" s="42"/>
      <c r="G219" s="17"/>
      <c r="H219" s="23"/>
    </row>
    <row r="220" spans="2:8" x14ac:dyDescent="0.35">
      <c r="B220" s="78"/>
      <c r="C220" s="17"/>
      <c r="D220" s="16"/>
      <c r="E220" s="17"/>
      <c r="F220" s="42"/>
      <c r="G220" s="17"/>
      <c r="H220" s="23"/>
    </row>
    <row r="221" spans="2:8" x14ac:dyDescent="0.35">
      <c r="B221" s="78"/>
      <c r="C221" s="17"/>
      <c r="D221" s="16"/>
      <c r="E221" s="17"/>
      <c r="F221" s="42"/>
      <c r="G221" s="17"/>
      <c r="H221" s="23"/>
    </row>
    <row r="222" spans="2:8" x14ac:dyDescent="0.35">
      <c r="B222" s="78"/>
      <c r="C222" s="17"/>
      <c r="D222" s="16"/>
      <c r="E222" s="17"/>
      <c r="F222" s="42"/>
      <c r="G222" s="17"/>
      <c r="H222" s="23"/>
    </row>
    <row r="223" spans="2:8" x14ac:dyDescent="0.35">
      <c r="B223" s="17"/>
      <c r="C223" s="17"/>
      <c r="D223" s="19"/>
      <c r="E223" s="17"/>
      <c r="F223" s="17"/>
      <c r="G223" s="17"/>
      <c r="H223" s="15"/>
    </row>
    <row r="224" spans="2:8" x14ac:dyDescent="0.35">
      <c r="B224" s="17"/>
      <c r="C224" s="17"/>
      <c r="D224" s="17"/>
      <c r="E224" s="17"/>
      <c r="F224" s="17"/>
      <c r="G224" s="17"/>
      <c r="H224" s="17"/>
    </row>
    <row r="225" spans="2:20" ht="13.15" x14ac:dyDescent="0.4">
      <c r="B225" s="17"/>
      <c r="C225" s="17"/>
      <c r="D225" s="24"/>
      <c r="E225" s="17"/>
      <c r="F225" s="24"/>
      <c r="G225" s="17"/>
      <c r="H225" s="24"/>
      <c r="K225" s="70" t="s">
        <v>31</v>
      </c>
      <c r="T225" s="70" t="s">
        <v>31</v>
      </c>
    </row>
    <row r="226" spans="2:20" x14ac:dyDescent="0.35">
      <c r="B226" s="17"/>
      <c r="C226" s="17"/>
      <c r="D226" s="17"/>
      <c r="E226" s="17"/>
      <c r="F226" s="17"/>
      <c r="G226" s="17"/>
      <c r="H226" s="17"/>
      <c r="K226" s="17"/>
      <c r="T226" s="17"/>
    </row>
    <row r="227" spans="2:20" x14ac:dyDescent="0.35">
      <c r="B227" s="78"/>
      <c r="C227" s="17"/>
      <c r="D227" s="16"/>
      <c r="E227" s="17"/>
      <c r="F227" s="17"/>
      <c r="G227" s="17"/>
      <c r="H227" s="16"/>
      <c r="K227" s="57">
        <v>17191.09</v>
      </c>
      <c r="T227" s="57">
        <v>17191.09</v>
      </c>
    </row>
    <row r="228" spans="2:20" x14ac:dyDescent="0.35">
      <c r="B228" s="78"/>
      <c r="C228" s="17"/>
      <c r="D228" s="16"/>
      <c r="E228" s="17"/>
      <c r="F228" s="17"/>
      <c r="G228" s="17"/>
      <c r="H228" s="16"/>
      <c r="K228" s="57">
        <v>17289.43</v>
      </c>
      <c r="T228" s="57">
        <v>17289.43</v>
      </c>
    </row>
    <row r="229" spans="2:20" x14ac:dyDescent="0.35">
      <c r="B229" s="78"/>
      <c r="C229" s="17"/>
      <c r="D229" s="16"/>
      <c r="E229" s="17"/>
      <c r="F229" s="17"/>
      <c r="G229" s="17"/>
      <c r="H229" s="16"/>
      <c r="K229" s="57">
        <v>17386.8</v>
      </c>
      <c r="T229" s="57">
        <v>17386.8</v>
      </c>
    </row>
    <row r="230" spans="2:20" x14ac:dyDescent="0.35">
      <c r="B230" s="78"/>
      <c r="C230" s="17"/>
      <c r="D230" s="16"/>
      <c r="E230" s="17"/>
      <c r="F230" s="17"/>
      <c r="G230" s="17"/>
      <c r="H230" s="16"/>
      <c r="K230" s="57">
        <v>17437.060000000001</v>
      </c>
      <c r="T230" s="57">
        <v>17437.060000000001</v>
      </c>
    </row>
    <row r="231" spans="2:20" x14ac:dyDescent="0.35">
      <c r="B231" s="78"/>
      <c r="C231" s="17"/>
      <c r="D231" s="16"/>
      <c r="E231" s="17"/>
      <c r="F231" s="17"/>
      <c r="G231" s="17"/>
      <c r="H231" s="16"/>
      <c r="K231" s="57">
        <v>17616</v>
      </c>
      <c r="T231" s="57">
        <v>17616</v>
      </c>
    </row>
    <row r="232" spans="2:20" x14ac:dyDescent="0.35">
      <c r="B232" s="78"/>
      <c r="C232" s="17"/>
      <c r="D232" s="16"/>
      <c r="E232" s="17"/>
      <c r="F232" s="17"/>
      <c r="G232" s="17"/>
      <c r="H232" s="16"/>
      <c r="K232" s="57">
        <v>17651.79</v>
      </c>
      <c r="T232" s="57">
        <v>17651.79</v>
      </c>
    </row>
    <row r="233" spans="2:20" x14ac:dyDescent="0.35">
      <c r="B233" s="78"/>
      <c r="C233" s="17"/>
      <c r="D233" s="16"/>
      <c r="E233" s="17"/>
      <c r="F233" s="17"/>
      <c r="G233" s="17"/>
      <c r="H233" s="16"/>
      <c r="K233" s="57">
        <v>17716.650000000001</v>
      </c>
      <c r="T233" s="57">
        <v>17716.650000000001</v>
      </c>
    </row>
    <row r="234" spans="2:20" x14ac:dyDescent="0.35">
      <c r="B234" s="78"/>
      <c r="C234" s="17"/>
      <c r="D234" s="16"/>
      <c r="E234" s="17"/>
      <c r="F234" s="17"/>
      <c r="G234" s="17"/>
      <c r="H234" s="16"/>
      <c r="K234" s="57">
        <v>17919.09</v>
      </c>
      <c r="T234" s="57">
        <v>17919.09</v>
      </c>
    </row>
    <row r="235" spans="2:20" x14ac:dyDescent="0.35">
      <c r="B235" s="78"/>
      <c r="C235" s="17"/>
      <c r="D235" s="16"/>
      <c r="E235" s="17"/>
      <c r="F235" s="17"/>
      <c r="G235" s="17"/>
      <c r="H235" s="16"/>
      <c r="K235" s="57">
        <v>17934.73</v>
      </c>
      <c r="T235" s="57">
        <v>17934.73</v>
      </c>
    </row>
    <row r="236" spans="2:20" x14ac:dyDescent="0.35">
      <c r="B236" s="78"/>
      <c r="C236" s="17"/>
      <c r="D236" s="16"/>
      <c r="E236" s="17"/>
      <c r="F236" s="17"/>
      <c r="G236" s="17"/>
      <c r="H236" s="16"/>
      <c r="K236" s="57">
        <v>18149.47</v>
      </c>
      <c r="T236" s="57">
        <v>18149.47</v>
      </c>
    </row>
    <row r="237" spans="2:20" x14ac:dyDescent="0.35">
      <c r="B237" s="78"/>
      <c r="C237" s="17"/>
      <c r="D237" s="16"/>
      <c r="E237" s="17"/>
      <c r="F237" s="17"/>
      <c r="G237" s="17"/>
      <c r="H237" s="16"/>
      <c r="K237" s="57">
        <v>18270.260000000002</v>
      </c>
      <c r="T237" s="57">
        <v>18270.260000000002</v>
      </c>
    </row>
    <row r="238" spans="2:20" x14ac:dyDescent="0.35">
      <c r="B238" s="78"/>
      <c r="C238" s="17"/>
      <c r="D238" s="16"/>
      <c r="E238" s="17"/>
      <c r="F238" s="17"/>
      <c r="G238" s="17"/>
      <c r="H238" s="16"/>
      <c r="K238" s="40">
        <v>18665</v>
      </c>
      <c r="T238" s="40">
        <v>18665</v>
      </c>
    </row>
    <row r="239" spans="2:20" x14ac:dyDescent="0.35">
      <c r="B239" s="17"/>
      <c r="C239" s="17"/>
      <c r="D239" s="19"/>
      <c r="E239" s="17"/>
      <c r="F239" s="17"/>
      <c r="G239" s="17"/>
      <c r="H239" s="19"/>
      <c r="K239" s="32">
        <f>SUM(K227:K238)</f>
        <v>213227.37000000002</v>
      </c>
      <c r="T239" s="32">
        <f>SUM(T227:T238)</f>
        <v>213227.37000000002</v>
      </c>
    </row>
    <row r="240" spans="2:20" x14ac:dyDescent="0.35">
      <c r="B240" s="17"/>
      <c r="C240" s="17"/>
      <c r="D240" s="17"/>
      <c r="E240" s="17"/>
      <c r="F240" s="17"/>
      <c r="G240" s="17"/>
      <c r="H240" s="17"/>
    </row>
    <row r="241" spans="2:8" ht="13.15" x14ac:dyDescent="0.4">
      <c r="B241" s="24"/>
      <c r="C241" s="17"/>
      <c r="D241" s="17"/>
      <c r="E241" s="17"/>
      <c r="F241" s="17"/>
      <c r="G241" s="17"/>
      <c r="H241" s="17"/>
    </row>
    <row r="242" spans="2:8" ht="13.15" x14ac:dyDescent="0.4">
      <c r="B242" s="24"/>
      <c r="C242" s="17"/>
      <c r="D242" s="24"/>
      <c r="E242" s="17"/>
      <c r="F242" s="17"/>
      <c r="G242" s="17"/>
      <c r="H242" s="17"/>
    </row>
    <row r="243" spans="2:8" x14ac:dyDescent="0.35">
      <c r="B243" s="17"/>
      <c r="C243" s="17"/>
      <c r="D243" s="17"/>
      <c r="E243" s="17"/>
      <c r="F243" s="17"/>
      <c r="G243" s="17"/>
      <c r="H243" s="17"/>
    </row>
    <row r="244" spans="2:8" x14ac:dyDescent="0.35">
      <c r="B244" s="78"/>
      <c r="C244" s="17"/>
      <c r="D244" s="16"/>
      <c r="E244" s="17"/>
      <c r="F244" s="17"/>
      <c r="G244" s="17"/>
      <c r="H244" s="17"/>
    </row>
    <row r="245" spans="2:8" x14ac:dyDescent="0.35">
      <c r="B245" s="78"/>
      <c r="C245" s="17"/>
      <c r="D245" s="16"/>
      <c r="E245" s="17"/>
      <c r="F245" s="17"/>
      <c r="G245" s="17"/>
      <c r="H245" s="17"/>
    </row>
    <row r="246" spans="2:8" x14ac:dyDescent="0.35">
      <c r="B246" s="78"/>
      <c r="C246" s="17"/>
      <c r="D246" s="16"/>
      <c r="E246" s="17"/>
      <c r="F246" s="17"/>
      <c r="G246" s="17"/>
      <c r="H246" s="17"/>
    </row>
    <row r="247" spans="2:8" x14ac:dyDescent="0.35">
      <c r="B247" s="78"/>
      <c r="C247" s="17"/>
      <c r="D247" s="16"/>
      <c r="E247" s="17"/>
      <c r="F247" s="17"/>
      <c r="G247" s="17"/>
      <c r="H247" s="17"/>
    </row>
    <row r="248" spans="2:8" x14ac:dyDescent="0.35">
      <c r="B248" s="78"/>
      <c r="C248" s="17"/>
      <c r="D248" s="16"/>
      <c r="E248" s="17"/>
      <c r="F248" s="17"/>
      <c r="G248" s="17"/>
      <c r="H248" s="17"/>
    </row>
    <row r="249" spans="2:8" x14ac:dyDescent="0.35">
      <c r="B249" s="78"/>
      <c r="C249" s="17"/>
      <c r="D249" s="16"/>
      <c r="E249" s="17"/>
      <c r="F249" s="17"/>
      <c r="G249" s="17"/>
      <c r="H249" s="17"/>
    </row>
    <row r="250" spans="2:8" x14ac:dyDescent="0.35">
      <c r="B250" s="78"/>
      <c r="C250" s="17"/>
      <c r="D250" s="16"/>
      <c r="E250" s="17"/>
      <c r="F250" s="17"/>
      <c r="G250" s="17"/>
      <c r="H250" s="17"/>
    </row>
    <row r="251" spans="2:8" x14ac:dyDescent="0.35">
      <c r="B251" s="78"/>
      <c r="C251" s="17"/>
      <c r="D251" s="16"/>
      <c r="E251" s="17"/>
      <c r="F251" s="17"/>
      <c r="G251" s="17"/>
      <c r="H251" s="17"/>
    </row>
    <row r="252" spans="2:8" x14ac:dyDescent="0.35">
      <c r="B252" s="78"/>
      <c r="C252" s="17"/>
      <c r="D252" s="16"/>
      <c r="E252" s="17"/>
      <c r="F252" s="17"/>
      <c r="G252" s="17"/>
      <c r="H252" s="17"/>
    </row>
    <row r="253" spans="2:8" x14ac:dyDescent="0.35">
      <c r="B253" s="78"/>
      <c r="C253" s="17"/>
      <c r="D253" s="16"/>
      <c r="E253" s="17"/>
      <c r="F253" s="17"/>
      <c r="G253" s="17"/>
      <c r="H253" s="17"/>
    </row>
    <row r="254" spans="2:8" x14ac:dyDescent="0.35">
      <c r="B254" s="78"/>
      <c r="C254" s="17"/>
      <c r="D254" s="16"/>
      <c r="E254" s="17"/>
      <c r="F254" s="17"/>
      <c r="G254" s="17"/>
      <c r="H254" s="17"/>
    </row>
    <row r="255" spans="2:8" x14ac:dyDescent="0.35">
      <c r="B255" s="78"/>
      <c r="C255" s="17"/>
      <c r="D255" s="16"/>
      <c r="E255" s="17"/>
      <c r="F255" s="17"/>
      <c r="G255" s="17"/>
      <c r="H255" s="17"/>
    </row>
    <row r="256" spans="2:8" x14ac:dyDescent="0.35">
      <c r="B256" s="17"/>
      <c r="C256" s="17"/>
      <c r="D256" s="19"/>
      <c r="E256" s="17"/>
      <c r="F256" s="17"/>
      <c r="G256" s="17"/>
      <c r="H256" s="17"/>
    </row>
    <row r="257" spans="2:8" x14ac:dyDescent="0.35">
      <c r="B257" s="17"/>
      <c r="C257" s="17"/>
      <c r="D257" s="17"/>
      <c r="E257" s="17"/>
      <c r="F257" s="17"/>
      <c r="G257" s="17"/>
      <c r="H257" s="17"/>
    </row>
    <row r="258" spans="2:8" x14ac:dyDescent="0.35">
      <c r="B258" s="17"/>
      <c r="C258" s="17"/>
      <c r="D258" s="17"/>
      <c r="E258" s="17"/>
      <c r="F258" s="17"/>
      <c r="G258" s="17"/>
      <c r="H258" s="17"/>
    </row>
    <row r="259" spans="2:8" ht="13.15" x14ac:dyDescent="0.4">
      <c r="B259" s="24"/>
      <c r="C259" s="17"/>
      <c r="D259" s="17"/>
      <c r="E259" s="17"/>
      <c r="F259" s="17"/>
      <c r="G259" s="17"/>
      <c r="H259" s="17"/>
    </row>
    <row r="260" spans="2:8" ht="13.15" x14ac:dyDescent="0.4">
      <c r="B260" s="24"/>
      <c r="C260" s="17"/>
      <c r="D260" s="24"/>
      <c r="E260" s="17"/>
      <c r="F260" s="17"/>
      <c r="G260" s="17"/>
      <c r="H260" s="17"/>
    </row>
    <row r="261" spans="2:8" x14ac:dyDescent="0.35">
      <c r="B261" s="17"/>
      <c r="C261" s="17"/>
      <c r="D261" s="17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78"/>
      <c r="C263" s="17"/>
      <c r="D263" s="16"/>
      <c r="E263" s="17"/>
      <c r="F263" s="17"/>
      <c r="G263" s="17"/>
      <c r="H263" s="17"/>
    </row>
    <row r="264" spans="2:8" x14ac:dyDescent="0.35">
      <c r="B264" s="78"/>
      <c r="C264" s="17"/>
      <c r="D264" s="16"/>
      <c r="E264" s="17"/>
      <c r="F264" s="17"/>
      <c r="G264" s="17"/>
      <c r="H264" s="17"/>
    </row>
    <row r="265" spans="2:8" x14ac:dyDescent="0.35">
      <c r="B265" s="78"/>
      <c r="C265" s="17"/>
      <c r="D265" s="16"/>
      <c r="E265" s="17"/>
      <c r="F265" s="17"/>
      <c r="G265" s="17"/>
      <c r="H265" s="17"/>
    </row>
    <row r="266" spans="2:8" x14ac:dyDescent="0.35">
      <c r="B266" s="78"/>
      <c r="C266" s="17"/>
      <c r="D266" s="16"/>
      <c r="E266" s="17"/>
      <c r="F266" s="17"/>
      <c r="G266" s="17"/>
      <c r="H266" s="17"/>
    </row>
    <row r="267" spans="2:8" x14ac:dyDescent="0.35">
      <c r="B267" s="78"/>
      <c r="C267" s="17"/>
      <c r="D267" s="16"/>
      <c r="E267" s="17"/>
      <c r="F267" s="17"/>
      <c r="G267" s="17"/>
      <c r="H267" s="17"/>
    </row>
    <row r="268" spans="2:8" x14ac:dyDescent="0.35">
      <c r="B268" s="78"/>
      <c r="C268" s="17"/>
      <c r="D268" s="16"/>
      <c r="E268" s="17"/>
      <c r="F268" s="17"/>
      <c r="G268" s="17"/>
      <c r="H268" s="17"/>
    </row>
    <row r="269" spans="2:8" x14ac:dyDescent="0.35">
      <c r="B269" s="78"/>
      <c r="C269" s="17"/>
      <c r="D269" s="16"/>
      <c r="E269" s="17"/>
      <c r="F269" s="17"/>
      <c r="G269" s="17"/>
      <c r="H269" s="17"/>
    </row>
    <row r="270" spans="2:8" x14ac:dyDescent="0.35">
      <c r="B270" s="78"/>
      <c r="C270" s="17"/>
      <c r="D270" s="16"/>
      <c r="E270" s="17"/>
      <c r="F270" s="17"/>
      <c r="G270" s="17"/>
      <c r="H270" s="17"/>
    </row>
    <row r="271" spans="2:8" x14ac:dyDescent="0.35">
      <c r="B271" s="78"/>
      <c r="C271" s="17"/>
      <c r="D271" s="16"/>
      <c r="E271" s="17"/>
      <c r="F271" s="17"/>
      <c r="G271" s="17"/>
      <c r="H271" s="17"/>
    </row>
    <row r="272" spans="2:8" x14ac:dyDescent="0.35">
      <c r="B272" s="78"/>
      <c r="C272" s="17"/>
      <c r="D272" s="16"/>
      <c r="E272" s="17"/>
      <c r="F272" s="17"/>
      <c r="G272" s="17"/>
      <c r="H272" s="17"/>
    </row>
    <row r="273" spans="2:8" x14ac:dyDescent="0.35">
      <c r="B273" s="78"/>
      <c r="C273" s="17"/>
      <c r="D273" s="16"/>
      <c r="E273" s="17"/>
      <c r="F273" s="17"/>
      <c r="G273" s="17"/>
      <c r="H273" s="17"/>
    </row>
    <row r="274" spans="2:8" x14ac:dyDescent="0.35">
      <c r="B274" s="17"/>
      <c r="C274" s="17"/>
      <c r="D274" s="19"/>
      <c r="E274" s="17"/>
      <c r="F274" s="17"/>
      <c r="G274" s="17"/>
      <c r="H274" s="17"/>
    </row>
    <row r="275" spans="2:8" x14ac:dyDescent="0.35">
      <c r="B275" s="17"/>
      <c r="C275" s="17"/>
      <c r="D275" s="17"/>
      <c r="E275" s="17"/>
      <c r="F275" s="17"/>
      <c r="G275" s="17"/>
      <c r="H275" s="17"/>
    </row>
    <row r="276" spans="2:8" x14ac:dyDescent="0.35">
      <c r="B276" s="17"/>
      <c r="C276" s="17"/>
      <c r="D276" s="17"/>
      <c r="E276" s="17"/>
      <c r="F276" s="17"/>
      <c r="G276" s="17"/>
      <c r="H276" s="17"/>
    </row>
  </sheetData>
  <mergeCells count="5">
    <mergeCell ref="M4:Q5"/>
    <mergeCell ref="D4:H5"/>
    <mergeCell ref="AE4:AI5"/>
    <mergeCell ref="V4:Z5"/>
    <mergeCell ref="AN4:AR5"/>
  </mergeCells>
  <phoneticPr fontId="0" type="noConversion"/>
  <pageMargins left="0.75" right="0.75" top="1" bottom="1" header="0.5" footer="0.5"/>
  <pageSetup scale="73" orientation="landscape" r:id="rId1"/>
  <headerFooter alignWithMargins="0"/>
  <colBreaks count="3" manualBreakCount="3">
    <brk id="17" max="49" man="1"/>
    <brk id="27" max="49" man="1"/>
    <brk id="36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65"/>
  <sheetViews>
    <sheetView view="pageBreakPreview" topLeftCell="A7" zoomScale="90" zoomScaleNormal="100" zoomScaleSheetLayoutView="90" workbookViewId="0">
      <selection activeCell="AL10" sqref="AL10"/>
    </sheetView>
  </sheetViews>
  <sheetFormatPr defaultRowHeight="12.75" x14ac:dyDescent="0.35"/>
  <cols>
    <col min="1" max="1" width="4.73046875" customWidth="1"/>
    <col min="2" max="2" width="25.1328125" customWidth="1"/>
    <col min="3" max="3" width="2.73046875" customWidth="1"/>
    <col min="4" max="4" width="13.73046875" customWidth="1"/>
    <col min="5" max="5" width="2.73046875" customWidth="1"/>
    <col min="6" max="6" width="11.86328125" customWidth="1"/>
    <col min="7" max="7" width="2.73046875" customWidth="1"/>
    <col min="8" max="8" width="17.86328125" customWidth="1"/>
    <col min="9" max="9" width="2.1328125" customWidth="1"/>
    <col min="10" max="10" width="4.73046875" customWidth="1"/>
    <col min="11" max="11" width="22.3984375" customWidth="1"/>
    <col min="12" max="12" width="2.73046875" customWidth="1"/>
    <col min="13" max="13" width="13.73046875" customWidth="1"/>
    <col min="14" max="14" width="2.73046875" customWidth="1"/>
    <col min="15" max="15" width="11.73046875" customWidth="1"/>
    <col min="16" max="16" width="2.73046875" customWidth="1"/>
    <col min="17" max="17" width="16.86328125" customWidth="1"/>
    <col min="18" max="18" width="4.3984375" customWidth="1"/>
    <col min="19" max="19" width="4.73046875" customWidth="1"/>
    <col min="20" max="20" width="22.3984375" customWidth="1"/>
    <col min="21" max="21" width="2.73046875" customWidth="1"/>
    <col min="22" max="22" width="13.73046875" customWidth="1"/>
    <col min="23" max="23" width="2.73046875" customWidth="1"/>
    <col min="24" max="24" width="11.73046875" customWidth="1"/>
    <col min="25" max="25" width="2.73046875" customWidth="1"/>
    <col min="26" max="26" width="16.86328125" customWidth="1"/>
    <col min="27" max="27" width="4.59765625" customWidth="1"/>
    <col min="28" max="28" width="5.3984375" customWidth="1"/>
    <col min="29" max="29" width="19.73046875" customWidth="1"/>
    <col min="30" max="30" width="4" customWidth="1"/>
    <col min="31" max="31" width="13.73046875" customWidth="1"/>
    <col min="32" max="32" width="4" customWidth="1"/>
    <col min="33" max="33" width="13.265625" customWidth="1"/>
    <col min="34" max="34" width="3.73046875" customWidth="1"/>
    <col min="35" max="35" width="18" customWidth="1"/>
    <col min="36" max="36" width="4.59765625" customWidth="1"/>
    <col min="37" max="37" width="5.3984375" customWidth="1"/>
    <col min="38" max="38" width="19.73046875" customWidth="1"/>
    <col min="39" max="39" width="4" customWidth="1"/>
    <col min="40" max="40" width="13.73046875" customWidth="1"/>
    <col min="41" max="41" width="4" customWidth="1"/>
    <col min="42" max="42" width="13.265625" customWidth="1"/>
    <col min="43" max="43" width="3.73046875" customWidth="1"/>
    <col min="44" max="44" width="18" customWidth="1"/>
  </cols>
  <sheetData>
    <row r="1" spans="1:44" ht="13.15" x14ac:dyDescent="0.4">
      <c r="A1" s="34" t="s">
        <v>35</v>
      </c>
      <c r="J1" s="34"/>
      <c r="S1" s="34"/>
    </row>
    <row r="2" spans="1:44" ht="13.15" x14ac:dyDescent="0.4">
      <c r="A2" s="34" t="s">
        <v>55</v>
      </c>
      <c r="J2" s="34"/>
      <c r="S2" s="34"/>
    </row>
    <row r="3" spans="1:44" ht="13.15" x14ac:dyDescent="0.4">
      <c r="A3" s="75" t="s">
        <v>30</v>
      </c>
      <c r="B3" s="76"/>
      <c r="J3" s="1"/>
      <c r="S3" s="1"/>
    </row>
    <row r="4" spans="1:44" ht="12.75" customHeight="1" x14ac:dyDescent="0.4">
      <c r="A4" s="34"/>
      <c r="B4" s="28"/>
      <c r="D4" s="149" t="s">
        <v>25</v>
      </c>
      <c r="E4" s="150"/>
      <c r="F4" s="150"/>
      <c r="G4" s="150"/>
      <c r="H4" s="151"/>
      <c r="I4" s="87"/>
      <c r="J4" s="34"/>
      <c r="K4" s="28"/>
      <c r="M4" s="149" t="s">
        <v>173</v>
      </c>
      <c r="N4" s="150"/>
      <c r="O4" s="150"/>
      <c r="P4" s="150"/>
      <c r="Q4" s="151"/>
      <c r="R4" s="87"/>
      <c r="S4" s="34"/>
      <c r="T4" s="28"/>
      <c r="V4" s="149" t="s">
        <v>198</v>
      </c>
      <c r="W4" s="150"/>
      <c r="X4" s="150"/>
      <c r="Y4" s="150"/>
      <c r="Z4" s="151"/>
      <c r="AB4" s="34"/>
      <c r="AC4" s="28"/>
      <c r="AE4" s="155" t="s">
        <v>195</v>
      </c>
      <c r="AF4" s="156"/>
      <c r="AG4" s="156"/>
      <c r="AH4" s="156"/>
      <c r="AI4" s="157"/>
      <c r="AK4" s="34"/>
      <c r="AL4" s="28"/>
      <c r="AN4" s="155" t="s">
        <v>194</v>
      </c>
      <c r="AO4" s="156"/>
      <c r="AP4" s="156"/>
      <c r="AQ4" s="156"/>
      <c r="AR4" s="157"/>
    </row>
    <row r="5" spans="1:44" ht="13.15" x14ac:dyDescent="0.4">
      <c r="D5" s="152"/>
      <c r="E5" s="153"/>
      <c r="F5" s="153"/>
      <c r="G5" s="153"/>
      <c r="H5" s="154"/>
      <c r="I5" s="87"/>
      <c r="M5" s="152"/>
      <c r="N5" s="153"/>
      <c r="O5" s="153"/>
      <c r="P5" s="153"/>
      <c r="Q5" s="154"/>
      <c r="R5" s="87"/>
      <c r="V5" s="152"/>
      <c r="W5" s="153"/>
      <c r="X5" s="153"/>
      <c r="Y5" s="153"/>
      <c r="Z5" s="154"/>
      <c r="AE5" s="158"/>
      <c r="AF5" s="159"/>
      <c r="AG5" s="159"/>
      <c r="AH5" s="159"/>
      <c r="AI5" s="160"/>
      <c r="AN5" s="158"/>
      <c r="AO5" s="159"/>
      <c r="AP5" s="159"/>
      <c r="AQ5" s="159"/>
      <c r="AR5" s="160"/>
    </row>
    <row r="6" spans="1:44" ht="26.25" x14ac:dyDescent="0.4">
      <c r="A6" s="1" t="s">
        <v>0</v>
      </c>
      <c r="D6" s="2" t="s">
        <v>2</v>
      </c>
      <c r="F6" s="4" t="s">
        <v>3</v>
      </c>
      <c r="H6" s="2" t="s">
        <v>4</v>
      </c>
      <c r="I6" s="2"/>
      <c r="J6" s="1" t="s">
        <v>0</v>
      </c>
      <c r="M6" s="2" t="s">
        <v>2</v>
      </c>
      <c r="O6" s="4" t="s">
        <v>3</v>
      </c>
      <c r="Q6" s="2" t="s">
        <v>4</v>
      </c>
      <c r="R6" s="2"/>
      <c r="S6" s="1" t="s">
        <v>0</v>
      </c>
      <c r="V6" s="2" t="s">
        <v>2</v>
      </c>
      <c r="X6" s="4" t="s">
        <v>3</v>
      </c>
      <c r="Z6" s="2" t="s">
        <v>4</v>
      </c>
      <c r="AB6" s="1" t="s">
        <v>0</v>
      </c>
      <c r="AE6" s="2" t="s">
        <v>2</v>
      </c>
      <c r="AG6" s="4" t="s">
        <v>3</v>
      </c>
      <c r="AI6" s="2" t="s">
        <v>4</v>
      </c>
      <c r="AK6" s="1" t="s">
        <v>0</v>
      </c>
      <c r="AN6" s="2" t="s">
        <v>2</v>
      </c>
      <c r="AP6" s="4" t="s">
        <v>3</v>
      </c>
      <c r="AR6" s="2" t="s">
        <v>4</v>
      </c>
    </row>
    <row r="9" spans="1:44" ht="13.15" x14ac:dyDescent="0.4">
      <c r="A9" s="1" t="s">
        <v>1</v>
      </c>
      <c r="J9" s="1" t="s">
        <v>1</v>
      </c>
      <c r="S9" s="1" t="s">
        <v>1</v>
      </c>
      <c r="AB9" s="1" t="s">
        <v>1</v>
      </c>
      <c r="AK9" s="1" t="s">
        <v>1</v>
      </c>
    </row>
    <row r="10" spans="1:44" x14ac:dyDescent="0.35">
      <c r="B10" s="108" t="s">
        <v>208</v>
      </c>
      <c r="D10" s="6">
        <v>0</v>
      </c>
      <c r="F10" s="5">
        <v>0</v>
      </c>
      <c r="H10" s="7">
        <f>D10*F10</f>
        <v>0</v>
      </c>
      <c r="I10" s="7"/>
      <c r="K10" s="108" t="s">
        <v>208</v>
      </c>
      <c r="M10" s="6">
        <v>34</v>
      </c>
      <c r="O10" s="5">
        <v>0</v>
      </c>
      <c r="Q10" s="7">
        <f>M10*O10</f>
        <v>0</v>
      </c>
      <c r="R10" s="7"/>
      <c r="T10" s="108" t="s">
        <v>208</v>
      </c>
      <c r="V10" s="6">
        <v>1</v>
      </c>
      <c r="X10" s="5">
        <v>0</v>
      </c>
      <c r="Z10" s="7">
        <f>V10*X10</f>
        <v>0</v>
      </c>
      <c r="AC10" s="108" t="s">
        <v>208</v>
      </c>
      <c r="AE10" s="6">
        <f>V10</f>
        <v>1</v>
      </c>
      <c r="AG10" s="5">
        <v>0</v>
      </c>
      <c r="AI10" s="7">
        <f>AE10*AG10</f>
        <v>0</v>
      </c>
      <c r="AL10" s="108" t="s">
        <v>208</v>
      </c>
      <c r="AN10" s="6">
        <f>V10</f>
        <v>1</v>
      </c>
      <c r="AP10" s="5">
        <v>0</v>
      </c>
      <c r="AR10" s="7">
        <f>AN10*AP10</f>
        <v>0</v>
      </c>
    </row>
    <row r="13" spans="1:44" ht="13.15" x14ac:dyDescent="0.4">
      <c r="A13" s="1" t="s">
        <v>5</v>
      </c>
      <c r="D13" t="s">
        <v>6</v>
      </c>
      <c r="J13" s="1" t="s">
        <v>5</v>
      </c>
      <c r="M13" t="s">
        <v>6</v>
      </c>
      <c r="S13" s="1" t="s">
        <v>5</v>
      </c>
      <c r="V13" t="s">
        <v>6</v>
      </c>
      <c r="AB13" s="1" t="s">
        <v>5</v>
      </c>
      <c r="AE13" t="s">
        <v>6</v>
      </c>
      <c r="AK13" s="1" t="s">
        <v>5</v>
      </c>
      <c r="AN13" t="s">
        <v>6</v>
      </c>
    </row>
    <row r="14" spans="1:44" x14ac:dyDescent="0.35">
      <c r="B14" s="14" t="s">
        <v>29</v>
      </c>
      <c r="D14" s="6">
        <v>18160</v>
      </c>
      <c r="F14" s="45">
        <v>6.7549999999999999E-2</v>
      </c>
      <c r="H14" s="7">
        <f>D14*F14</f>
        <v>1226.7080000000001</v>
      </c>
      <c r="I14" s="7"/>
      <c r="K14" s="108" t="s">
        <v>174</v>
      </c>
      <c r="M14" s="6">
        <f>D16</f>
        <v>20478</v>
      </c>
      <c r="O14" s="45">
        <f>F15</f>
        <v>6.5960000000000005E-2</v>
      </c>
      <c r="Q14" s="7">
        <f>M14*O14</f>
        <v>1350.7288800000001</v>
      </c>
      <c r="R14" s="7"/>
      <c r="T14" s="108" t="s">
        <v>174</v>
      </c>
      <c r="V14" s="6">
        <f>M14/M10</f>
        <v>602.29411764705878</v>
      </c>
      <c r="X14" s="45">
        <v>6.8379999999999996E-2</v>
      </c>
      <c r="Z14" s="7">
        <f>V14*X14</f>
        <v>41.184871764705875</v>
      </c>
      <c r="AC14" s="108" t="s">
        <v>174</v>
      </c>
      <c r="AE14" s="6">
        <f>V14</f>
        <v>602.29411764705878</v>
      </c>
      <c r="AG14" s="45">
        <v>6.8379999999999996E-2</v>
      </c>
      <c r="AI14" s="7">
        <f>AE14*AG14</f>
        <v>41.184871764705875</v>
      </c>
      <c r="AL14" s="108" t="s">
        <v>174</v>
      </c>
      <c r="AN14" s="6">
        <f>V14</f>
        <v>602.29411764705878</v>
      </c>
      <c r="AP14" s="45">
        <v>6.8379999999999996E-2</v>
      </c>
      <c r="AR14" s="7">
        <f>AN14*AP14</f>
        <v>41.184871764705875</v>
      </c>
    </row>
    <row r="15" spans="1:44" x14ac:dyDescent="0.35">
      <c r="B15" s="26" t="s">
        <v>52</v>
      </c>
      <c r="C15" s="10"/>
      <c r="D15" s="9">
        <v>2318</v>
      </c>
      <c r="E15" s="10"/>
      <c r="F15" s="51">
        <v>6.5960000000000005E-2</v>
      </c>
      <c r="G15" s="10"/>
      <c r="H15" s="11">
        <f>D15*F15</f>
        <v>152.89528000000001</v>
      </c>
      <c r="I15" s="7"/>
      <c r="M15" s="6"/>
      <c r="O15" s="45"/>
      <c r="Q15" s="7"/>
      <c r="R15" s="7"/>
      <c r="V15" s="6"/>
      <c r="X15" s="45"/>
      <c r="Z15" s="7"/>
      <c r="AE15" s="6"/>
      <c r="AG15" s="45"/>
      <c r="AI15" s="7"/>
      <c r="AN15" s="6"/>
      <c r="AP15" s="45"/>
      <c r="AR15" s="7"/>
    </row>
    <row r="16" spans="1:44" x14ac:dyDescent="0.35">
      <c r="B16" s="27"/>
      <c r="C16" s="17"/>
      <c r="D16" s="16">
        <f>SUM(D14:D15)</f>
        <v>20478</v>
      </c>
      <c r="E16" s="17"/>
      <c r="F16" s="44"/>
      <c r="G16" s="17"/>
      <c r="H16" s="15">
        <f>SUM(H14:H15)</f>
        <v>1379.60328</v>
      </c>
      <c r="I16" s="15"/>
      <c r="K16" s="117" t="s">
        <v>175</v>
      </c>
      <c r="L16" s="17"/>
      <c r="M16" s="16"/>
      <c r="N16" s="17"/>
      <c r="O16" s="44"/>
      <c r="P16" s="17"/>
      <c r="Q16" s="15">
        <f>H26+(0.00159*D14)</f>
        <v>-77.215600000000023</v>
      </c>
      <c r="R16" s="15"/>
      <c r="T16" s="117" t="s">
        <v>175</v>
      </c>
      <c r="U16" s="17"/>
      <c r="V16" s="16">
        <f>Q16/M14</f>
        <v>-3.770661197382558E-3</v>
      </c>
      <c r="W16" s="17"/>
      <c r="X16" s="44"/>
      <c r="Y16" s="17"/>
      <c r="Z16" s="15">
        <f>V16*V14</f>
        <v>-2.2710470588235299</v>
      </c>
      <c r="AC16" s="117" t="s">
        <v>175</v>
      </c>
      <c r="AD16" s="17"/>
      <c r="AE16" s="16"/>
      <c r="AF16" s="17"/>
      <c r="AG16" s="44"/>
      <c r="AH16" s="17"/>
      <c r="AI16" s="15">
        <f>Z16</f>
        <v>-2.2710470588235299</v>
      </c>
      <c r="AL16" s="117" t="s">
        <v>175</v>
      </c>
      <c r="AM16" s="17"/>
      <c r="AN16" s="16"/>
      <c r="AO16" s="17"/>
      <c r="AP16" s="44"/>
      <c r="AQ16" s="17"/>
      <c r="AR16" s="15">
        <f>Z16</f>
        <v>-2.2710470588235299</v>
      </c>
    </row>
    <row r="17" spans="2:44" x14ac:dyDescent="0.35">
      <c r="B17" s="41"/>
      <c r="C17" s="17"/>
      <c r="D17" s="19"/>
      <c r="E17" s="17"/>
      <c r="F17" s="54"/>
      <c r="G17" s="17"/>
      <c r="H17" s="15"/>
      <c r="I17" s="7"/>
      <c r="K17" s="41"/>
      <c r="L17" s="17"/>
      <c r="M17" s="19"/>
      <c r="N17" s="17"/>
      <c r="O17" s="54"/>
      <c r="P17" s="17"/>
      <c r="Q17" s="15"/>
      <c r="R17" s="15"/>
      <c r="T17" s="41"/>
      <c r="U17" s="17"/>
      <c r="V17" s="19"/>
      <c r="W17" s="17"/>
      <c r="X17" s="54"/>
      <c r="Y17" s="17"/>
      <c r="Z17" s="15"/>
      <c r="AC17" s="41"/>
      <c r="AD17" s="17"/>
      <c r="AE17" s="19"/>
      <c r="AF17" s="17"/>
      <c r="AG17" s="54"/>
      <c r="AH17" s="17"/>
      <c r="AI17" s="15"/>
      <c r="AL17" s="41"/>
      <c r="AM17" s="17"/>
      <c r="AN17" s="19"/>
      <c r="AO17" s="17"/>
      <c r="AP17" s="54"/>
      <c r="AQ17" s="17"/>
      <c r="AR17" s="15"/>
    </row>
    <row r="18" spans="2:44" x14ac:dyDescent="0.35">
      <c r="B18" s="35" t="s">
        <v>26</v>
      </c>
      <c r="D18" s="8"/>
      <c r="H18" s="15">
        <f>F63+F96+F129+F162+F195+F228</f>
        <v>0</v>
      </c>
      <c r="I18" s="7"/>
      <c r="K18" s="35" t="s">
        <v>27</v>
      </c>
      <c r="M18" s="8"/>
      <c r="Q18" s="11">
        <f>H18</f>
        <v>0</v>
      </c>
      <c r="R18" s="15"/>
      <c r="T18" s="35" t="s">
        <v>27</v>
      </c>
      <c r="V18" s="8"/>
      <c r="Z18" s="11">
        <f>Q18</f>
        <v>0</v>
      </c>
      <c r="AC18" s="3"/>
      <c r="AE18" s="8"/>
      <c r="AI18" s="7"/>
      <c r="AL18" s="3"/>
      <c r="AN18" s="8"/>
      <c r="AR18" s="7"/>
    </row>
    <row r="19" spans="2:44" x14ac:dyDescent="0.35">
      <c r="B19" s="3"/>
      <c r="D19" s="8"/>
      <c r="H19" s="15"/>
      <c r="I19" s="7"/>
      <c r="AC19" s="35" t="s">
        <v>27</v>
      </c>
      <c r="AE19" s="8"/>
      <c r="AI19" s="11">
        <f>Q18</f>
        <v>0</v>
      </c>
      <c r="AL19" s="35" t="s">
        <v>27</v>
      </c>
      <c r="AN19" s="8"/>
      <c r="AR19" s="11">
        <f>Z18</f>
        <v>0</v>
      </c>
    </row>
    <row r="20" spans="2:44" x14ac:dyDescent="0.35">
      <c r="B20" s="117" t="s">
        <v>175</v>
      </c>
      <c r="D20" s="8"/>
      <c r="H20" s="15">
        <f>H26</f>
        <v>-106.09000000000002</v>
      </c>
      <c r="K20" t="s">
        <v>33</v>
      </c>
      <c r="Q20" s="7">
        <f>Q10+Q14+Q16+Q18</f>
        <v>1273.5132800000001</v>
      </c>
      <c r="R20" s="7"/>
      <c r="T20" t="s">
        <v>33</v>
      </c>
      <c r="Z20" s="7">
        <f>Z10+Z14+Z16+Z18</f>
        <v>38.913824705882348</v>
      </c>
    </row>
    <row r="21" spans="2:44" x14ac:dyDescent="0.35">
      <c r="I21" s="15"/>
      <c r="AC21" t="s">
        <v>33</v>
      </c>
      <c r="AI21" s="7">
        <f>AI10+AI14+AI16+AI19</f>
        <v>38.913824705882348</v>
      </c>
      <c r="AL21" t="s">
        <v>33</v>
      </c>
      <c r="AR21" s="7">
        <f>AR10+AR14+AR16+AR19</f>
        <v>38.913824705882348</v>
      </c>
    </row>
    <row r="22" spans="2:44" ht="13.5" thickBot="1" x14ac:dyDescent="0.45">
      <c r="B22" s="1" t="s">
        <v>7</v>
      </c>
      <c r="H22" s="13">
        <f>H10+H16+H18+H20</f>
        <v>1273.5132800000001</v>
      </c>
      <c r="K22" t="s">
        <v>34</v>
      </c>
      <c r="Q22" s="83">
        <f>H30</f>
        <v>1.0000288336215859</v>
      </c>
      <c r="R22" s="83"/>
      <c r="T22" t="s">
        <v>34</v>
      </c>
      <c r="Z22" s="83">
        <f>Q22</f>
        <v>1.0000288336215859</v>
      </c>
    </row>
    <row r="23" spans="2:44" ht="13.15" thickTop="1" x14ac:dyDescent="0.35">
      <c r="AC23" t="s">
        <v>34</v>
      </c>
      <c r="AI23" s="83">
        <f>Q22</f>
        <v>1.0000288336215859</v>
      </c>
      <c r="AL23" t="s">
        <v>34</v>
      </c>
      <c r="AR23" s="83">
        <f>Z22</f>
        <v>1.0000288336215859</v>
      </c>
    </row>
    <row r="24" spans="2:44" ht="13.5" thickBot="1" x14ac:dyDescent="0.45">
      <c r="B24" t="s">
        <v>18</v>
      </c>
      <c r="H24" s="5">
        <v>1379.64</v>
      </c>
      <c r="K24" s="1" t="s">
        <v>7</v>
      </c>
      <c r="Q24" s="13">
        <f>Q20*Q22</f>
        <v>1273.5500000000002</v>
      </c>
      <c r="R24" s="15"/>
      <c r="T24" s="1" t="s">
        <v>7</v>
      </c>
      <c r="Z24" s="13">
        <f>Z20*Z22</f>
        <v>38.914946732378375</v>
      </c>
    </row>
    <row r="25" spans="2:44" ht="13.9" thickTop="1" thickBot="1" x14ac:dyDescent="0.45">
      <c r="AC25" s="1" t="s">
        <v>7</v>
      </c>
      <c r="AI25" s="13">
        <f>AI21*AI23</f>
        <v>38.914946732378375</v>
      </c>
      <c r="AL25" s="1" t="s">
        <v>7</v>
      </c>
      <c r="AR25" s="13">
        <f>AR21*AR23</f>
        <v>38.914946732378375</v>
      </c>
    </row>
    <row r="26" spans="2:44" ht="13.15" thickTop="1" x14ac:dyDescent="0.35">
      <c r="B26" s="117" t="s">
        <v>175</v>
      </c>
      <c r="H26" s="5">
        <v>-106.09000000000002</v>
      </c>
      <c r="Q26" s="5"/>
      <c r="R26" s="5"/>
      <c r="Z26" s="5"/>
    </row>
    <row r="27" spans="2:44" x14ac:dyDescent="0.35">
      <c r="AC27" t="s">
        <v>12</v>
      </c>
      <c r="AI27" s="5">
        <f>AI25-Z24</f>
        <v>0</v>
      </c>
      <c r="AL27" t="s">
        <v>12</v>
      </c>
      <c r="AR27" s="5">
        <f>AR25-AI25</f>
        <v>0</v>
      </c>
    </row>
    <row r="28" spans="2:44" ht="13.15" thickBot="1" x14ac:dyDescent="0.4">
      <c r="B28" s="108" t="s">
        <v>177</v>
      </c>
      <c r="H28" s="13">
        <f>H24+H26</f>
        <v>1273.5500000000002</v>
      </c>
      <c r="Q28" s="21"/>
      <c r="R28" s="21"/>
      <c r="Z28" s="21"/>
    </row>
    <row r="29" spans="2:44" ht="13.15" thickTop="1" x14ac:dyDescent="0.35">
      <c r="AC29" t="s">
        <v>15</v>
      </c>
      <c r="AI29" s="21">
        <f>AI27/Z24</f>
        <v>0</v>
      </c>
      <c r="AL29" t="s">
        <v>15</v>
      </c>
      <c r="AR29" s="21">
        <f>AR27/AI25</f>
        <v>0</v>
      </c>
    </row>
    <row r="30" spans="2:44" x14ac:dyDescent="0.35">
      <c r="B30" t="s">
        <v>23</v>
      </c>
      <c r="H30" s="52">
        <f>H28/H22</f>
        <v>1.0000288336215859</v>
      </c>
    </row>
    <row r="32" spans="2:44" x14ac:dyDescent="0.35">
      <c r="B32" s="27" t="s">
        <v>38</v>
      </c>
      <c r="C32" s="17"/>
      <c r="D32" s="17"/>
      <c r="E32" s="17"/>
      <c r="F32" s="17"/>
      <c r="G32" s="17"/>
      <c r="H32" s="23">
        <v>142.13</v>
      </c>
      <c r="Q32" s="30"/>
      <c r="R32" s="30"/>
      <c r="Z32" s="30"/>
    </row>
    <row r="33" spans="2:26" ht="13.15" x14ac:dyDescent="0.4">
      <c r="B33" s="24"/>
      <c r="C33" s="17"/>
      <c r="D33" s="24"/>
      <c r="E33" s="17"/>
      <c r="F33" s="24"/>
      <c r="G33" s="17"/>
      <c r="H33" s="24"/>
      <c r="K33" s="24"/>
      <c r="L33" s="17"/>
      <c r="M33" s="24"/>
      <c r="N33" s="17"/>
      <c r="O33" s="24"/>
      <c r="P33" s="17"/>
      <c r="Q33" s="81"/>
      <c r="R33" s="81"/>
      <c r="T33" s="24"/>
      <c r="U33" s="17"/>
      <c r="V33" s="24"/>
      <c r="W33" s="17"/>
      <c r="X33" s="24"/>
      <c r="Y33" s="17"/>
      <c r="Z33" s="81"/>
    </row>
    <row r="34" spans="2:26" x14ac:dyDescent="0.35">
      <c r="B34" s="27" t="s">
        <v>39</v>
      </c>
      <c r="C34" s="17"/>
      <c r="D34" s="17"/>
      <c r="E34" s="17"/>
      <c r="F34" s="17"/>
      <c r="G34" s="17"/>
      <c r="H34" s="23">
        <v>0</v>
      </c>
      <c r="K34" s="17"/>
      <c r="L34" s="17"/>
      <c r="M34" s="17"/>
      <c r="N34" s="17"/>
      <c r="O34" s="17"/>
      <c r="P34" s="17"/>
      <c r="Q34" s="17"/>
      <c r="R34" s="17"/>
      <c r="T34" s="17"/>
      <c r="U34" s="17"/>
      <c r="V34" s="17"/>
      <c r="W34" s="17"/>
      <c r="X34" s="17"/>
      <c r="Y34" s="17"/>
      <c r="Z34" s="17"/>
    </row>
    <row r="35" spans="2:26" x14ac:dyDescent="0.35">
      <c r="B35" s="37"/>
      <c r="C35" s="17"/>
      <c r="D35" s="16"/>
      <c r="E35" s="17"/>
      <c r="F35" s="42"/>
      <c r="G35" s="17"/>
      <c r="H35" s="23"/>
      <c r="K35" s="16"/>
      <c r="L35" s="17"/>
      <c r="M35" s="16"/>
      <c r="N35" s="17"/>
      <c r="O35" s="42"/>
      <c r="P35" s="17"/>
      <c r="Q35" s="23"/>
      <c r="R35" s="23"/>
      <c r="T35" s="16"/>
      <c r="U35" s="17"/>
      <c r="V35" s="16"/>
      <c r="W35" s="17"/>
      <c r="X35" s="42"/>
      <c r="Y35" s="17"/>
      <c r="Z35" s="23"/>
    </row>
    <row r="36" spans="2:26" x14ac:dyDescent="0.35">
      <c r="B36" s="85" t="s">
        <v>17</v>
      </c>
      <c r="C36" s="17"/>
      <c r="D36" s="16"/>
      <c r="E36" s="17"/>
      <c r="F36" s="42"/>
      <c r="G36" s="17"/>
      <c r="H36" s="23">
        <f>H24+H26+H32+H34</f>
        <v>1415.6800000000003</v>
      </c>
      <c r="K36" s="16"/>
      <c r="L36" s="17"/>
      <c r="M36" s="16"/>
      <c r="N36" s="17"/>
      <c r="O36" s="42"/>
      <c r="P36" s="17"/>
      <c r="Q36" s="23"/>
      <c r="R36" s="23"/>
      <c r="T36" s="16"/>
      <c r="U36" s="17"/>
      <c r="V36" s="16"/>
      <c r="W36" s="17"/>
      <c r="X36" s="42"/>
      <c r="Y36" s="17"/>
      <c r="Z36" s="23"/>
    </row>
    <row r="37" spans="2:26" x14ac:dyDescent="0.35">
      <c r="B37" s="37"/>
      <c r="C37" s="17"/>
      <c r="D37" s="16"/>
      <c r="E37" s="17"/>
      <c r="F37" s="42"/>
      <c r="G37" s="17"/>
      <c r="H37" s="23"/>
      <c r="K37" s="16"/>
      <c r="L37" s="17"/>
      <c r="M37" s="16"/>
      <c r="N37" s="17"/>
      <c r="O37" s="42"/>
      <c r="P37" s="17"/>
      <c r="Q37" s="23"/>
      <c r="R37" s="23"/>
      <c r="T37" s="16"/>
      <c r="U37" s="17"/>
      <c r="V37" s="16"/>
      <c r="W37" s="17"/>
      <c r="X37" s="42"/>
      <c r="Y37" s="17"/>
      <c r="Z37" s="23"/>
    </row>
    <row r="38" spans="2:26" x14ac:dyDescent="0.35">
      <c r="B38" s="37"/>
      <c r="C38" s="17"/>
      <c r="D38" s="16"/>
      <c r="E38" s="17"/>
      <c r="F38" s="42"/>
      <c r="G38" s="17"/>
      <c r="H38" s="23"/>
      <c r="K38" s="16"/>
      <c r="L38" s="17"/>
      <c r="M38" s="16"/>
      <c r="N38" s="17"/>
      <c r="O38" s="42"/>
      <c r="P38" s="17"/>
      <c r="Q38" s="23"/>
      <c r="R38" s="23"/>
      <c r="T38" s="16"/>
      <c r="U38" s="17"/>
      <c r="V38" s="16"/>
      <c r="W38" s="17"/>
      <c r="X38" s="42"/>
      <c r="Y38" s="17"/>
      <c r="Z38" s="23"/>
    </row>
    <row r="39" spans="2:26" x14ac:dyDescent="0.35">
      <c r="B39" s="37"/>
      <c r="C39" s="17"/>
      <c r="D39" s="16"/>
      <c r="E39" s="17"/>
      <c r="F39" s="42"/>
      <c r="G39" s="17"/>
      <c r="H39" s="23"/>
      <c r="K39" s="16"/>
      <c r="L39" s="17"/>
      <c r="M39" s="16"/>
      <c r="N39" s="17"/>
      <c r="O39" s="42"/>
      <c r="P39" s="17"/>
      <c r="Q39" s="23"/>
      <c r="R39" s="23"/>
      <c r="T39" s="16"/>
      <c r="U39" s="17"/>
      <c r="V39" s="16"/>
      <c r="W39" s="17"/>
      <c r="X39" s="42"/>
      <c r="Y39" s="17"/>
      <c r="Z39" s="23"/>
    </row>
    <row r="40" spans="2:26" x14ac:dyDescent="0.35">
      <c r="B40" s="37"/>
      <c r="C40" s="17"/>
      <c r="D40" s="16"/>
      <c r="E40" s="17"/>
      <c r="F40" s="42"/>
      <c r="G40" s="17"/>
      <c r="H40" s="23"/>
      <c r="K40" s="16"/>
      <c r="L40" s="17"/>
      <c r="M40" s="16"/>
      <c r="N40" s="17"/>
      <c r="O40" s="42"/>
      <c r="P40" s="17"/>
      <c r="Q40" s="23"/>
      <c r="R40" s="23"/>
      <c r="T40" s="16"/>
      <c r="U40" s="17"/>
      <c r="V40" s="16"/>
      <c r="W40" s="17"/>
      <c r="X40" s="42"/>
      <c r="Y40" s="17"/>
      <c r="Z40" s="23"/>
    </row>
    <row r="41" spans="2:26" x14ac:dyDescent="0.35">
      <c r="B41" s="37"/>
      <c r="C41" s="17"/>
      <c r="D41" s="16"/>
      <c r="E41" s="17"/>
      <c r="F41" s="42"/>
      <c r="G41" s="17"/>
      <c r="H41" s="23"/>
      <c r="K41" s="16"/>
      <c r="L41" s="17"/>
      <c r="M41" s="16"/>
      <c r="N41" s="17"/>
      <c r="O41" s="42"/>
      <c r="P41" s="17"/>
      <c r="Q41" s="23"/>
      <c r="R41" s="23"/>
      <c r="T41" s="16"/>
      <c r="U41" s="17"/>
      <c r="V41" s="16"/>
      <c r="W41" s="17"/>
      <c r="X41" s="42"/>
      <c r="Y41" s="17"/>
      <c r="Z41" s="23"/>
    </row>
    <row r="42" spans="2:26" x14ac:dyDescent="0.35">
      <c r="B42" s="37"/>
      <c r="C42" s="17"/>
      <c r="D42" s="16"/>
      <c r="E42" s="17"/>
      <c r="F42" s="42"/>
      <c r="G42" s="17"/>
      <c r="H42" s="23"/>
      <c r="K42" s="16"/>
      <c r="L42" s="17"/>
      <c r="M42" s="16"/>
      <c r="N42" s="17"/>
      <c r="O42" s="42"/>
      <c r="P42" s="17"/>
      <c r="Q42" s="23"/>
      <c r="R42" s="23"/>
      <c r="T42" s="16"/>
      <c r="U42" s="17"/>
      <c r="V42" s="16"/>
      <c r="W42" s="17"/>
      <c r="X42" s="42"/>
      <c r="Y42" s="17"/>
      <c r="Z42" s="23"/>
    </row>
    <row r="43" spans="2:26" x14ac:dyDescent="0.35">
      <c r="B43" s="37"/>
      <c r="C43" s="17"/>
      <c r="D43" s="16"/>
      <c r="E43" s="17"/>
      <c r="F43" s="42"/>
      <c r="G43" s="17"/>
      <c r="H43" s="23"/>
      <c r="K43" s="16"/>
      <c r="L43" s="17"/>
      <c r="M43" s="16"/>
      <c r="N43" s="17"/>
      <c r="O43" s="42"/>
      <c r="P43" s="17"/>
      <c r="Q43" s="23"/>
      <c r="R43" s="23"/>
      <c r="T43" s="16"/>
      <c r="U43" s="17"/>
      <c r="V43" s="16"/>
      <c r="W43" s="17"/>
      <c r="X43" s="42"/>
      <c r="Y43" s="17"/>
      <c r="Z43" s="23"/>
    </row>
    <row r="44" spans="2:26" x14ac:dyDescent="0.35">
      <c r="B44" s="37"/>
      <c r="C44" s="17"/>
      <c r="D44" s="16"/>
      <c r="E44" s="17"/>
      <c r="F44" s="42"/>
      <c r="G44" s="17"/>
      <c r="H44" s="23"/>
      <c r="K44" s="16"/>
      <c r="L44" s="17"/>
      <c r="M44" s="16"/>
      <c r="N44" s="17"/>
      <c r="O44" s="42"/>
      <c r="P44" s="17"/>
      <c r="Q44" s="23"/>
      <c r="R44" s="23"/>
      <c r="T44" s="16"/>
      <c r="U44" s="17"/>
      <c r="V44" s="16"/>
      <c r="W44" s="17"/>
      <c r="X44" s="42"/>
      <c r="Y44" s="17"/>
      <c r="Z44" s="23"/>
    </row>
    <row r="45" spans="2:26" x14ac:dyDescent="0.35">
      <c r="B45" s="37"/>
      <c r="C45" s="17"/>
      <c r="D45" s="16"/>
      <c r="E45" s="17"/>
      <c r="F45" s="42"/>
      <c r="G45" s="17"/>
      <c r="H45" s="23"/>
      <c r="K45" s="16"/>
      <c r="L45" s="17"/>
      <c r="M45" s="16"/>
      <c r="N45" s="17"/>
      <c r="O45" s="42"/>
      <c r="P45" s="17"/>
      <c r="Q45" s="23"/>
      <c r="R45" s="23"/>
      <c r="T45" s="16"/>
      <c r="U45" s="17"/>
      <c r="V45" s="16"/>
      <c r="W45" s="17"/>
      <c r="X45" s="42"/>
      <c r="Y45" s="17"/>
      <c r="Z45" s="23"/>
    </row>
    <row r="46" spans="2:26" x14ac:dyDescent="0.35">
      <c r="B46" s="37"/>
      <c r="C46" s="17"/>
      <c r="D46" s="16"/>
      <c r="E46" s="17"/>
      <c r="F46" s="42"/>
      <c r="G46" s="17"/>
      <c r="H46" s="23"/>
      <c r="K46" s="16"/>
      <c r="L46" s="17"/>
      <c r="M46" s="16"/>
      <c r="N46" s="17"/>
      <c r="O46" s="42"/>
      <c r="P46" s="17"/>
      <c r="Q46" s="23"/>
      <c r="R46" s="23"/>
      <c r="T46" s="16"/>
      <c r="U46" s="17"/>
      <c r="V46" s="16"/>
      <c r="W46" s="17"/>
      <c r="X46" s="42"/>
      <c r="Y46" s="17"/>
      <c r="Z46" s="23"/>
    </row>
    <row r="47" spans="2:26" x14ac:dyDescent="0.35">
      <c r="B47" s="17"/>
      <c r="C47" s="17"/>
      <c r="D47" s="19"/>
      <c r="E47" s="17"/>
      <c r="F47" s="17"/>
      <c r="G47" s="17"/>
      <c r="H47" s="15"/>
      <c r="K47" s="19"/>
      <c r="L47" s="17"/>
      <c r="M47" s="19"/>
      <c r="N47" s="17"/>
      <c r="O47" s="17"/>
      <c r="P47" s="17"/>
      <c r="Q47" s="15"/>
      <c r="R47" s="15"/>
      <c r="T47" s="19"/>
      <c r="U47" s="17"/>
      <c r="V47" s="19"/>
      <c r="W47" s="17"/>
      <c r="X47" s="17"/>
      <c r="Y47" s="17"/>
      <c r="Z47" s="15"/>
    </row>
    <row r="48" spans="2:26" x14ac:dyDescent="0.35">
      <c r="B48" s="17"/>
      <c r="C48" s="17"/>
      <c r="D48" s="17"/>
      <c r="E48" s="17"/>
      <c r="F48" s="17"/>
      <c r="G48" s="17"/>
      <c r="H48" s="17"/>
      <c r="K48" s="17"/>
      <c r="L48" s="17"/>
      <c r="M48" s="17"/>
      <c r="N48" s="17"/>
      <c r="O48" s="17"/>
      <c r="T48" s="17"/>
      <c r="U48" s="17"/>
      <c r="V48" s="17"/>
      <c r="W48" s="17"/>
      <c r="X48" s="17"/>
    </row>
    <row r="49" spans="2:24" ht="13.15" x14ac:dyDescent="0.4">
      <c r="B49" s="17"/>
      <c r="C49" s="17"/>
      <c r="D49" s="24"/>
      <c r="E49" s="17"/>
      <c r="F49" s="24"/>
      <c r="G49" s="17"/>
      <c r="H49" s="24"/>
      <c r="K49" s="70" t="s">
        <v>31</v>
      </c>
      <c r="L49" s="17"/>
      <c r="M49" s="77"/>
      <c r="N49" s="17"/>
      <c r="O49" s="17"/>
      <c r="T49" s="70" t="s">
        <v>31</v>
      </c>
      <c r="U49" s="17"/>
      <c r="V49" s="77"/>
      <c r="W49" s="17"/>
      <c r="X49" s="17"/>
    </row>
    <row r="50" spans="2:24" x14ac:dyDescent="0.35">
      <c r="B50" s="17"/>
      <c r="C50" s="17"/>
      <c r="D50" s="17"/>
      <c r="E50" s="17"/>
      <c r="F50" s="17"/>
      <c r="G50" s="17"/>
      <c r="H50" s="17"/>
      <c r="K50" s="17"/>
      <c r="L50" s="17"/>
      <c r="M50" s="17"/>
      <c r="N50" s="17"/>
      <c r="O50" s="17"/>
      <c r="T50" s="17"/>
      <c r="U50" s="17"/>
      <c r="V50" s="17"/>
      <c r="W50" s="17"/>
      <c r="X50" s="17"/>
    </row>
    <row r="51" spans="2:24" x14ac:dyDescent="0.35">
      <c r="B51" s="78"/>
      <c r="C51" s="17"/>
      <c r="D51" s="16"/>
      <c r="E51" s="17"/>
      <c r="F51" s="17"/>
      <c r="G51" s="17"/>
      <c r="H51" s="16"/>
      <c r="K51" s="57">
        <v>552735.09</v>
      </c>
      <c r="L51" s="17"/>
      <c r="M51" s="32"/>
      <c r="N51" s="17"/>
      <c r="O51" s="17"/>
      <c r="T51" s="57">
        <v>552735.09</v>
      </c>
      <c r="U51" s="17"/>
      <c r="V51" s="32"/>
      <c r="W51" s="17"/>
      <c r="X51" s="17"/>
    </row>
    <row r="52" spans="2:24" x14ac:dyDescent="0.35">
      <c r="B52" s="78"/>
      <c r="C52" s="17"/>
      <c r="D52" s="16"/>
      <c r="E52" s="17"/>
      <c r="F52" s="17"/>
      <c r="G52" s="17"/>
      <c r="H52" s="16"/>
      <c r="K52" s="57">
        <v>552404.52</v>
      </c>
      <c r="L52" s="17"/>
      <c r="M52" s="32"/>
      <c r="N52" s="17"/>
      <c r="O52" s="17"/>
      <c r="T52" s="57">
        <v>552404.52</v>
      </c>
      <c r="U52" s="17"/>
      <c r="V52" s="32"/>
      <c r="W52" s="17"/>
      <c r="X52" s="17"/>
    </row>
    <row r="53" spans="2:24" x14ac:dyDescent="0.35">
      <c r="B53" s="78"/>
      <c r="C53" s="17"/>
      <c r="D53" s="16"/>
      <c r="E53" s="17"/>
      <c r="F53" s="17"/>
      <c r="G53" s="17"/>
      <c r="H53" s="16"/>
      <c r="K53" s="57">
        <v>551210.19999999995</v>
      </c>
      <c r="L53" s="17"/>
      <c r="M53" s="32"/>
      <c r="N53" s="17"/>
      <c r="O53" s="17"/>
      <c r="T53" s="57">
        <v>551210.19999999995</v>
      </c>
      <c r="U53" s="17"/>
      <c r="V53" s="32"/>
      <c r="W53" s="17"/>
      <c r="X53" s="17"/>
    </row>
    <row r="54" spans="2:24" x14ac:dyDescent="0.35">
      <c r="B54" s="78"/>
      <c r="C54" s="17"/>
      <c r="D54" s="16"/>
      <c r="E54" s="17"/>
      <c r="F54" s="17"/>
      <c r="G54" s="17"/>
      <c r="H54" s="16"/>
      <c r="K54" s="57">
        <v>550194.51</v>
      </c>
      <c r="L54" s="17"/>
      <c r="M54" s="32"/>
      <c r="N54" s="17"/>
      <c r="O54" s="17"/>
      <c r="T54" s="57">
        <v>550194.51</v>
      </c>
      <c r="U54" s="17"/>
      <c r="V54" s="32"/>
      <c r="W54" s="17"/>
      <c r="X54" s="17"/>
    </row>
    <row r="55" spans="2:24" x14ac:dyDescent="0.35">
      <c r="B55" s="78"/>
      <c r="C55" s="17"/>
      <c r="D55" s="16"/>
      <c r="E55" s="17"/>
      <c r="F55" s="17"/>
      <c r="G55" s="17"/>
      <c r="H55" s="16"/>
      <c r="K55" s="57">
        <v>550231.56000000006</v>
      </c>
      <c r="L55" s="17"/>
      <c r="M55" s="32"/>
      <c r="N55" s="17"/>
      <c r="O55" s="17"/>
      <c r="T55" s="57">
        <v>550231.56000000006</v>
      </c>
      <c r="U55" s="17"/>
      <c r="V55" s="32"/>
      <c r="W55" s="17"/>
      <c r="X55" s="17"/>
    </row>
    <row r="56" spans="2:24" x14ac:dyDescent="0.35">
      <c r="B56" s="78"/>
      <c r="C56" s="17"/>
      <c r="D56" s="16"/>
      <c r="E56" s="17"/>
      <c r="F56" s="17"/>
      <c r="G56" s="17"/>
      <c r="H56" s="16"/>
      <c r="K56" s="57">
        <v>550626.48</v>
      </c>
      <c r="L56" s="17"/>
      <c r="M56" s="32"/>
      <c r="N56" s="17"/>
      <c r="O56" s="17"/>
      <c r="T56" s="57">
        <v>550626.48</v>
      </c>
      <c r="U56" s="17"/>
      <c r="V56" s="32"/>
      <c r="W56" s="17"/>
      <c r="X56" s="17"/>
    </row>
    <row r="57" spans="2:24" x14ac:dyDescent="0.35">
      <c r="B57" s="78"/>
      <c r="C57" s="17"/>
      <c r="D57" s="16"/>
      <c r="E57" s="17"/>
      <c r="F57" s="17"/>
      <c r="G57" s="17"/>
      <c r="H57" s="16"/>
      <c r="K57" s="57">
        <v>549500.01</v>
      </c>
      <c r="L57" s="17"/>
      <c r="M57" s="32"/>
      <c r="N57" s="17"/>
      <c r="O57" s="17"/>
      <c r="T57" s="57">
        <v>549500.01</v>
      </c>
      <c r="U57" s="17"/>
      <c r="V57" s="32"/>
      <c r="W57" s="17"/>
      <c r="X57" s="17"/>
    </row>
    <row r="58" spans="2:24" x14ac:dyDescent="0.35">
      <c r="B58" s="78"/>
      <c r="C58" s="17"/>
      <c r="D58" s="16"/>
      <c r="E58" s="17"/>
      <c r="F58" s="17"/>
      <c r="G58" s="17"/>
      <c r="H58" s="16"/>
      <c r="K58" s="57">
        <v>550649.96</v>
      </c>
      <c r="L58" s="17"/>
      <c r="M58" s="32"/>
      <c r="N58" s="17"/>
      <c r="O58" s="17"/>
      <c r="T58" s="57">
        <v>550649.96</v>
      </c>
      <c r="U58" s="17"/>
      <c r="V58" s="32"/>
      <c r="W58" s="17"/>
      <c r="X58" s="17"/>
    </row>
    <row r="59" spans="2:24" x14ac:dyDescent="0.35">
      <c r="B59" s="78"/>
      <c r="C59" s="17"/>
      <c r="D59" s="16"/>
      <c r="E59" s="17"/>
      <c r="F59" s="17"/>
      <c r="G59" s="17"/>
      <c r="H59" s="16"/>
      <c r="K59" s="57">
        <v>549919.36</v>
      </c>
      <c r="L59" s="17"/>
      <c r="M59" s="32"/>
      <c r="N59" s="17"/>
      <c r="O59" s="17"/>
      <c r="T59" s="57">
        <v>549919.36</v>
      </c>
      <c r="U59" s="17"/>
      <c r="V59" s="32"/>
      <c r="W59" s="17"/>
      <c r="X59" s="17"/>
    </row>
    <row r="60" spans="2:24" x14ac:dyDescent="0.35">
      <c r="B60" s="78"/>
      <c r="C60" s="17"/>
      <c r="D60" s="16"/>
      <c r="E60" s="17"/>
      <c r="F60" s="17"/>
      <c r="G60" s="17"/>
      <c r="H60" s="16"/>
      <c r="K60" s="57">
        <v>549822.25</v>
      </c>
      <c r="L60" s="17"/>
      <c r="M60" s="32"/>
      <c r="N60" s="17"/>
      <c r="O60" s="17"/>
      <c r="T60" s="57">
        <v>549822.25</v>
      </c>
      <c r="U60" s="17"/>
      <c r="V60" s="32"/>
      <c r="W60" s="17"/>
      <c r="X60" s="17"/>
    </row>
    <row r="61" spans="2:24" x14ac:dyDescent="0.35">
      <c r="B61" s="78"/>
      <c r="C61" s="17"/>
      <c r="D61" s="16"/>
      <c r="E61" s="17"/>
      <c r="F61" s="17"/>
      <c r="G61" s="17"/>
      <c r="H61" s="16"/>
      <c r="K61" s="57">
        <v>550431.82999999996</v>
      </c>
      <c r="L61" s="17"/>
      <c r="M61" s="32"/>
      <c r="N61" s="17"/>
      <c r="O61" s="17"/>
      <c r="T61" s="57">
        <v>550431.82999999996</v>
      </c>
      <c r="U61" s="17"/>
      <c r="V61" s="32"/>
      <c r="W61" s="17"/>
      <c r="X61" s="17"/>
    </row>
    <row r="62" spans="2:24" x14ac:dyDescent="0.35">
      <c r="B62" s="78"/>
      <c r="C62" s="17"/>
      <c r="D62" s="16"/>
      <c r="E62" s="17"/>
      <c r="F62" s="17"/>
      <c r="G62" s="17"/>
      <c r="H62" s="16"/>
      <c r="K62" s="40">
        <v>549890.36</v>
      </c>
      <c r="L62" s="17"/>
      <c r="M62" s="32"/>
      <c r="N62" s="17"/>
      <c r="O62" s="17"/>
      <c r="T62" s="40">
        <v>549890.36</v>
      </c>
      <c r="U62" s="17"/>
      <c r="V62" s="32"/>
      <c r="W62" s="17"/>
      <c r="X62" s="17"/>
    </row>
    <row r="63" spans="2:24" x14ac:dyDescent="0.35">
      <c r="B63" s="17"/>
      <c r="C63" s="17"/>
      <c r="D63" s="19"/>
      <c r="E63" s="17"/>
      <c r="F63" s="17"/>
      <c r="G63" s="17"/>
      <c r="H63" s="19"/>
      <c r="K63" s="32">
        <f>SUM(K51:K62)</f>
        <v>6607616.1300000008</v>
      </c>
      <c r="L63" s="17"/>
      <c r="M63" s="17"/>
      <c r="N63" s="17"/>
      <c r="O63" s="17"/>
      <c r="T63" s="32">
        <f>SUM(T51:T62)</f>
        <v>6607616.1300000008</v>
      </c>
      <c r="U63" s="17"/>
      <c r="V63" s="17"/>
      <c r="W63" s="17"/>
      <c r="X63" s="17"/>
    </row>
    <row r="64" spans="2:24" x14ac:dyDescent="0.35">
      <c r="B64" s="17"/>
      <c r="C64" s="17"/>
      <c r="D64" s="17"/>
      <c r="E64" s="17"/>
      <c r="F64" s="17"/>
      <c r="G64" s="17"/>
      <c r="H64" s="17"/>
      <c r="K64" s="17"/>
      <c r="L64" s="17"/>
      <c r="M64" s="17"/>
      <c r="N64" s="17"/>
      <c r="O64" s="17"/>
      <c r="T64" s="17"/>
      <c r="U64" s="17"/>
      <c r="V64" s="17"/>
      <c r="W64" s="17"/>
      <c r="X64" s="17"/>
    </row>
    <row r="65" spans="2:8" ht="13.15" x14ac:dyDescent="0.4">
      <c r="B65" s="24"/>
      <c r="C65" s="17"/>
      <c r="D65" s="17"/>
      <c r="E65" s="17"/>
      <c r="F65" s="17"/>
      <c r="G65" s="17"/>
      <c r="H65" s="17"/>
    </row>
    <row r="66" spans="2:8" ht="13.15" x14ac:dyDescent="0.4">
      <c r="B66" s="24"/>
      <c r="C66" s="17"/>
      <c r="D66" s="24"/>
      <c r="E66" s="17"/>
      <c r="F66" s="24"/>
      <c r="G66" s="17"/>
      <c r="H66" s="24"/>
    </row>
    <row r="67" spans="2:8" x14ac:dyDescent="0.35">
      <c r="B67" s="17"/>
      <c r="C67" s="17"/>
      <c r="D67" s="17"/>
      <c r="E67" s="17"/>
      <c r="F67" s="17"/>
      <c r="G67" s="17"/>
      <c r="H67" s="17"/>
    </row>
    <row r="68" spans="2:8" x14ac:dyDescent="0.35">
      <c r="B68" s="78"/>
      <c r="C68" s="17"/>
      <c r="D68" s="16"/>
      <c r="E68" s="17"/>
      <c r="F68" s="42"/>
      <c r="G68" s="17"/>
      <c r="H68" s="23"/>
    </row>
    <row r="69" spans="2:8" x14ac:dyDescent="0.35">
      <c r="B69" s="78"/>
      <c r="C69" s="17"/>
      <c r="D69" s="16"/>
      <c r="E69" s="17"/>
      <c r="F69" s="42"/>
      <c r="G69" s="17"/>
      <c r="H69" s="23"/>
    </row>
    <row r="70" spans="2:8" x14ac:dyDescent="0.35">
      <c r="B70" s="78"/>
      <c r="C70" s="17"/>
      <c r="D70" s="16"/>
      <c r="E70" s="17"/>
      <c r="F70" s="42"/>
      <c r="G70" s="17"/>
      <c r="H70" s="23"/>
    </row>
    <row r="71" spans="2:8" x14ac:dyDescent="0.35">
      <c r="B71" s="78"/>
      <c r="C71" s="17"/>
      <c r="D71" s="16"/>
      <c r="E71" s="17"/>
      <c r="F71" s="42"/>
      <c r="G71" s="17"/>
      <c r="H71" s="23"/>
    </row>
    <row r="72" spans="2:8" x14ac:dyDescent="0.35">
      <c r="B72" s="78"/>
      <c r="C72" s="17"/>
      <c r="D72" s="16"/>
      <c r="E72" s="17"/>
      <c r="F72" s="42"/>
      <c r="G72" s="17"/>
      <c r="H72" s="23"/>
    </row>
    <row r="73" spans="2:8" x14ac:dyDescent="0.35">
      <c r="B73" s="78"/>
      <c r="C73" s="17"/>
      <c r="D73" s="16"/>
      <c r="E73" s="17"/>
      <c r="F73" s="42"/>
      <c r="G73" s="17"/>
      <c r="H73" s="23"/>
    </row>
    <row r="74" spans="2:8" x14ac:dyDescent="0.35">
      <c r="B74" s="78"/>
      <c r="C74" s="17"/>
      <c r="D74" s="16"/>
      <c r="E74" s="17"/>
      <c r="F74" s="42"/>
      <c r="G74" s="17"/>
      <c r="H74" s="23"/>
    </row>
    <row r="75" spans="2:8" x14ac:dyDescent="0.35">
      <c r="B75" s="78"/>
      <c r="C75" s="17"/>
      <c r="D75" s="16"/>
      <c r="E75" s="17"/>
      <c r="F75" s="42"/>
      <c r="G75" s="17"/>
      <c r="H75" s="23"/>
    </row>
    <row r="76" spans="2:8" x14ac:dyDescent="0.35">
      <c r="B76" s="78"/>
      <c r="C76" s="17"/>
      <c r="D76" s="16"/>
      <c r="E76" s="17"/>
      <c r="F76" s="42"/>
      <c r="G76" s="17"/>
      <c r="H76" s="23"/>
    </row>
    <row r="77" spans="2:8" x14ac:dyDescent="0.35">
      <c r="B77" s="78"/>
      <c r="C77" s="17"/>
      <c r="D77" s="16"/>
      <c r="E77" s="17"/>
      <c r="F77" s="42"/>
      <c r="G77" s="17"/>
      <c r="H77" s="23"/>
    </row>
    <row r="78" spans="2:8" x14ac:dyDescent="0.35">
      <c r="B78" s="78"/>
      <c r="C78" s="17"/>
      <c r="D78" s="16"/>
      <c r="E78" s="17"/>
      <c r="F78" s="42"/>
      <c r="G78" s="17"/>
      <c r="H78" s="23"/>
    </row>
    <row r="79" spans="2:8" x14ac:dyDescent="0.35">
      <c r="B79" s="78"/>
      <c r="C79" s="17"/>
      <c r="D79" s="16"/>
      <c r="E79" s="17"/>
      <c r="F79" s="42"/>
      <c r="G79" s="17"/>
      <c r="H79" s="23"/>
    </row>
    <row r="80" spans="2:8" x14ac:dyDescent="0.35">
      <c r="B80" s="17"/>
      <c r="C80" s="17"/>
      <c r="D80" s="19"/>
      <c r="E80" s="17"/>
      <c r="F80" s="17"/>
      <c r="G80" s="17"/>
      <c r="H80" s="15"/>
    </row>
    <row r="81" spans="2:20" x14ac:dyDescent="0.35">
      <c r="B81" s="17"/>
      <c r="C81" s="17"/>
      <c r="D81" s="17"/>
      <c r="E81" s="17"/>
      <c r="F81" s="17"/>
      <c r="G81" s="17"/>
      <c r="H81" s="17"/>
    </row>
    <row r="82" spans="2:20" ht="13.15" x14ac:dyDescent="0.4">
      <c r="B82" s="17"/>
      <c r="C82" s="17"/>
      <c r="D82" s="24"/>
      <c r="E82" s="17"/>
      <c r="F82" s="24"/>
      <c r="G82" s="17"/>
      <c r="H82" s="24"/>
      <c r="K82" s="70" t="s">
        <v>31</v>
      </c>
      <c r="T82" s="70" t="s">
        <v>31</v>
      </c>
    </row>
    <row r="83" spans="2:20" x14ac:dyDescent="0.35">
      <c r="B83" s="17"/>
      <c r="C83" s="17"/>
      <c r="D83" s="17"/>
      <c r="E83" s="17"/>
      <c r="F83" s="17"/>
      <c r="G83" s="17"/>
      <c r="H83" s="17"/>
      <c r="K83" s="17"/>
      <c r="T83" s="17"/>
    </row>
    <row r="84" spans="2:20" x14ac:dyDescent="0.35">
      <c r="B84" s="78"/>
      <c r="C84" s="17"/>
      <c r="D84" s="16"/>
      <c r="E84" s="17"/>
      <c r="F84" s="17"/>
      <c r="G84" s="17"/>
      <c r="H84" s="16"/>
      <c r="K84" s="57">
        <v>33356.550000000003</v>
      </c>
      <c r="T84" s="57">
        <v>33356.550000000003</v>
      </c>
    </row>
    <row r="85" spans="2:20" x14ac:dyDescent="0.35">
      <c r="B85" s="78"/>
      <c r="C85" s="17"/>
      <c r="D85" s="16"/>
      <c r="E85" s="17"/>
      <c r="F85" s="17"/>
      <c r="G85" s="17"/>
      <c r="H85" s="16"/>
      <c r="K85" s="57">
        <v>33326.36</v>
      </c>
      <c r="T85" s="57">
        <v>33326.36</v>
      </c>
    </row>
    <row r="86" spans="2:20" x14ac:dyDescent="0.35">
      <c r="B86" s="78"/>
      <c r="C86" s="17"/>
      <c r="D86" s="16"/>
      <c r="E86" s="17"/>
      <c r="F86" s="17"/>
      <c r="G86" s="17"/>
      <c r="H86" s="16"/>
      <c r="K86" s="57">
        <v>33287.21</v>
      </c>
      <c r="T86" s="57">
        <v>33287.21</v>
      </c>
    </row>
    <row r="87" spans="2:20" x14ac:dyDescent="0.35">
      <c r="B87" s="78"/>
      <c r="C87" s="17"/>
      <c r="D87" s="16"/>
      <c r="E87" s="17"/>
      <c r="F87" s="17"/>
      <c r="G87" s="17"/>
      <c r="H87" s="16"/>
      <c r="K87" s="57">
        <v>33307.32</v>
      </c>
      <c r="T87" s="57">
        <v>33307.32</v>
      </c>
    </row>
    <row r="88" spans="2:20" x14ac:dyDescent="0.35">
      <c r="B88" s="78"/>
      <c r="C88" s="17"/>
      <c r="D88" s="16"/>
      <c r="E88" s="17"/>
      <c r="F88" s="17"/>
      <c r="G88" s="17"/>
      <c r="H88" s="16"/>
      <c r="K88" s="57">
        <v>33395.67</v>
      </c>
      <c r="T88" s="57">
        <v>33395.67</v>
      </c>
    </row>
    <row r="89" spans="2:20" x14ac:dyDescent="0.35">
      <c r="B89" s="78"/>
      <c r="C89" s="17"/>
      <c r="D89" s="16"/>
      <c r="E89" s="17"/>
      <c r="F89" s="17"/>
      <c r="G89" s="17"/>
      <c r="H89" s="16"/>
      <c r="K89" s="57">
        <v>33399.040000000001</v>
      </c>
      <c r="T89" s="57">
        <v>33399.040000000001</v>
      </c>
    </row>
    <row r="90" spans="2:20" x14ac:dyDescent="0.35">
      <c r="B90" s="78"/>
      <c r="C90" s="17"/>
      <c r="D90" s="16"/>
      <c r="E90" s="17"/>
      <c r="F90" s="17"/>
      <c r="G90" s="17"/>
      <c r="H90" s="16"/>
      <c r="K90" s="57">
        <v>33485.15</v>
      </c>
      <c r="T90" s="57">
        <v>33485.15</v>
      </c>
    </row>
    <row r="91" spans="2:20" x14ac:dyDescent="0.35">
      <c r="B91" s="78"/>
      <c r="C91" s="17"/>
      <c r="D91" s="16"/>
      <c r="E91" s="17"/>
      <c r="F91" s="17"/>
      <c r="G91" s="17"/>
      <c r="H91" s="16"/>
      <c r="K91" s="57">
        <v>33537.79</v>
      </c>
      <c r="T91" s="57">
        <v>33537.79</v>
      </c>
    </row>
    <row r="92" spans="2:20" x14ac:dyDescent="0.35">
      <c r="B92" s="78"/>
      <c r="C92" s="17"/>
      <c r="D92" s="16"/>
      <c r="E92" s="17"/>
      <c r="F92" s="17"/>
      <c r="G92" s="17"/>
      <c r="H92" s="16"/>
      <c r="K92" s="57">
        <v>33622.699999999997</v>
      </c>
      <c r="T92" s="57">
        <v>33622.699999999997</v>
      </c>
    </row>
    <row r="93" spans="2:20" x14ac:dyDescent="0.35">
      <c r="B93" s="78"/>
      <c r="C93" s="17"/>
      <c r="D93" s="16"/>
      <c r="E93" s="17"/>
      <c r="F93" s="17"/>
      <c r="G93" s="17"/>
      <c r="H93" s="16"/>
      <c r="K93" s="57">
        <v>33616.01</v>
      </c>
      <c r="T93" s="57">
        <v>33616.01</v>
      </c>
    </row>
    <row r="94" spans="2:20" x14ac:dyDescent="0.35">
      <c r="B94" s="78"/>
      <c r="C94" s="17"/>
      <c r="D94" s="16"/>
      <c r="E94" s="17"/>
      <c r="F94" s="17"/>
      <c r="G94" s="17"/>
      <c r="H94" s="16"/>
      <c r="K94" s="57">
        <v>33679.730000000003</v>
      </c>
      <c r="T94" s="57">
        <v>33679.730000000003</v>
      </c>
    </row>
    <row r="95" spans="2:20" x14ac:dyDescent="0.35">
      <c r="B95" s="78"/>
      <c r="C95" s="17"/>
      <c r="D95" s="16"/>
      <c r="E95" s="17"/>
      <c r="F95" s="17"/>
      <c r="G95" s="17"/>
      <c r="H95" s="16"/>
      <c r="K95" s="40">
        <v>33646.17</v>
      </c>
      <c r="T95" s="40">
        <v>33646.17</v>
      </c>
    </row>
    <row r="96" spans="2:20" x14ac:dyDescent="0.35">
      <c r="B96" s="17"/>
      <c r="C96" s="17"/>
      <c r="D96" s="19"/>
      <c r="E96" s="17"/>
      <c r="F96" s="17"/>
      <c r="G96" s="17"/>
      <c r="H96" s="19"/>
      <c r="K96" s="32">
        <f>SUM(K84:K95)</f>
        <v>401659.69999999995</v>
      </c>
      <c r="T96" s="32">
        <f>SUM(T84:T95)</f>
        <v>401659.69999999995</v>
      </c>
    </row>
    <row r="97" spans="2:8" x14ac:dyDescent="0.35">
      <c r="B97" s="17"/>
      <c r="C97" s="17"/>
      <c r="D97" s="17"/>
      <c r="E97" s="17"/>
      <c r="F97" s="17"/>
      <c r="G97" s="17"/>
      <c r="H97" s="17"/>
    </row>
    <row r="98" spans="2:8" ht="13.15" x14ac:dyDescent="0.4">
      <c r="B98" s="24"/>
      <c r="C98" s="17"/>
      <c r="D98" s="17"/>
      <c r="E98" s="17"/>
      <c r="F98" s="17"/>
      <c r="G98" s="17"/>
      <c r="H98" s="17"/>
    </row>
    <row r="99" spans="2:8" ht="13.15" x14ac:dyDescent="0.4">
      <c r="B99" s="24"/>
      <c r="C99" s="17"/>
      <c r="D99" s="24"/>
      <c r="E99" s="17"/>
      <c r="F99" s="24"/>
      <c r="G99" s="17"/>
      <c r="H99" s="24"/>
    </row>
    <row r="100" spans="2:8" x14ac:dyDescent="0.35">
      <c r="B100" s="17"/>
      <c r="C100" s="17"/>
      <c r="D100" s="17"/>
      <c r="E100" s="17"/>
      <c r="F100" s="17"/>
      <c r="G100" s="17"/>
      <c r="H100" s="17"/>
    </row>
    <row r="101" spans="2:8" x14ac:dyDescent="0.35">
      <c r="B101" s="78"/>
      <c r="C101" s="17"/>
      <c r="D101" s="16"/>
      <c r="E101" s="17"/>
      <c r="F101" s="42"/>
      <c r="G101" s="17"/>
      <c r="H101" s="23"/>
    </row>
    <row r="102" spans="2:8" x14ac:dyDescent="0.35">
      <c r="B102" s="78"/>
      <c r="C102" s="17"/>
      <c r="D102" s="16"/>
      <c r="E102" s="17"/>
      <c r="F102" s="42"/>
      <c r="G102" s="17"/>
      <c r="H102" s="23"/>
    </row>
    <row r="103" spans="2:8" x14ac:dyDescent="0.35">
      <c r="B103" s="78"/>
      <c r="C103" s="17"/>
      <c r="D103" s="16"/>
      <c r="E103" s="17"/>
      <c r="F103" s="42"/>
      <c r="G103" s="17"/>
      <c r="H103" s="23"/>
    </row>
    <row r="104" spans="2:8" x14ac:dyDescent="0.35">
      <c r="B104" s="78"/>
      <c r="C104" s="17"/>
      <c r="D104" s="16"/>
      <c r="E104" s="17"/>
      <c r="F104" s="42"/>
      <c r="G104" s="17"/>
      <c r="H104" s="23"/>
    </row>
    <row r="105" spans="2:8" x14ac:dyDescent="0.35">
      <c r="B105" s="78"/>
      <c r="C105" s="17"/>
      <c r="D105" s="16"/>
      <c r="E105" s="17"/>
      <c r="F105" s="42"/>
      <c r="G105" s="17"/>
      <c r="H105" s="23"/>
    </row>
    <row r="106" spans="2:8" x14ac:dyDescent="0.35">
      <c r="B106" s="78"/>
      <c r="C106" s="17"/>
      <c r="D106" s="16"/>
      <c r="E106" s="17"/>
      <c r="F106" s="42"/>
      <c r="G106" s="17"/>
      <c r="H106" s="23"/>
    </row>
    <row r="107" spans="2:8" x14ac:dyDescent="0.35">
      <c r="B107" s="78"/>
      <c r="C107" s="17"/>
      <c r="D107" s="16"/>
      <c r="E107" s="17"/>
      <c r="F107" s="42"/>
      <c r="G107" s="17"/>
      <c r="H107" s="23"/>
    </row>
    <row r="108" spans="2:8" x14ac:dyDescent="0.35">
      <c r="B108" s="78"/>
      <c r="C108" s="17"/>
      <c r="D108" s="16"/>
      <c r="E108" s="17"/>
      <c r="F108" s="42"/>
      <c r="G108" s="17"/>
      <c r="H108" s="23"/>
    </row>
    <row r="109" spans="2:8" x14ac:dyDescent="0.35">
      <c r="B109" s="78"/>
      <c r="C109" s="17"/>
      <c r="D109" s="16"/>
      <c r="E109" s="17"/>
      <c r="F109" s="42"/>
      <c r="G109" s="17"/>
      <c r="H109" s="23"/>
    </row>
    <row r="110" spans="2:8" x14ac:dyDescent="0.35">
      <c r="B110" s="78"/>
      <c r="C110" s="17"/>
      <c r="D110" s="16"/>
      <c r="E110" s="17"/>
      <c r="F110" s="42"/>
      <c r="G110" s="17"/>
      <c r="H110" s="23"/>
    </row>
    <row r="111" spans="2:8" x14ac:dyDescent="0.35">
      <c r="B111" s="78"/>
      <c r="C111" s="17"/>
      <c r="D111" s="16"/>
      <c r="E111" s="17"/>
      <c r="F111" s="42"/>
      <c r="G111" s="17"/>
      <c r="H111" s="23"/>
    </row>
    <row r="112" spans="2:8" x14ac:dyDescent="0.35">
      <c r="B112" s="78"/>
      <c r="C112" s="17"/>
      <c r="D112" s="16"/>
      <c r="E112" s="17"/>
      <c r="F112" s="42"/>
      <c r="G112" s="17"/>
      <c r="H112" s="23"/>
    </row>
    <row r="113" spans="2:20" x14ac:dyDescent="0.35">
      <c r="B113" s="17"/>
      <c r="C113" s="17"/>
      <c r="D113" s="19"/>
      <c r="E113" s="17"/>
      <c r="F113" s="17"/>
      <c r="G113" s="17"/>
      <c r="H113" s="15"/>
    </row>
    <row r="114" spans="2:20" x14ac:dyDescent="0.35">
      <c r="B114" s="17"/>
      <c r="C114" s="17"/>
      <c r="D114" s="17"/>
      <c r="E114" s="17"/>
      <c r="F114" s="17"/>
      <c r="G114" s="17"/>
      <c r="H114" s="17"/>
    </row>
    <row r="115" spans="2:20" ht="13.15" x14ac:dyDescent="0.4">
      <c r="B115" s="17"/>
      <c r="C115" s="17"/>
      <c r="D115" s="24"/>
      <c r="E115" s="17"/>
      <c r="F115" s="24"/>
      <c r="G115" s="17"/>
      <c r="H115" s="24"/>
      <c r="K115" s="70" t="s">
        <v>31</v>
      </c>
      <c r="T115" s="70" t="s">
        <v>31</v>
      </c>
    </row>
    <row r="116" spans="2:20" x14ac:dyDescent="0.35">
      <c r="B116" s="17"/>
      <c r="C116" s="17"/>
      <c r="D116" s="17"/>
      <c r="E116" s="17"/>
      <c r="F116" s="17"/>
      <c r="G116" s="17"/>
      <c r="H116" s="17"/>
      <c r="K116" s="17"/>
      <c r="T116" s="17"/>
    </row>
    <row r="117" spans="2:20" x14ac:dyDescent="0.35">
      <c r="B117" s="78"/>
      <c r="C117" s="17"/>
      <c r="D117" s="16"/>
      <c r="E117" s="17"/>
      <c r="F117" s="17"/>
      <c r="G117" s="17"/>
      <c r="H117" s="16"/>
      <c r="K117" s="57">
        <v>9796.6</v>
      </c>
      <c r="T117" s="57">
        <v>9796.6</v>
      </c>
    </row>
    <row r="118" spans="2:20" x14ac:dyDescent="0.35">
      <c r="B118" s="78"/>
      <c r="C118" s="17"/>
      <c r="D118" s="16"/>
      <c r="E118" s="17"/>
      <c r="F118" s="17"/>
      <c r="G118" s="17"/>
      <c r="H118" s="16"/>
      <c r="K118" s="57">
        <v>9763.0500000000011</v>
      </c>
      <c r="T118" s="57">
        <v>9763.0500000000011</v>
      </c>
    </row>
    <row r="119" spans="2:20" x14ac:dyDescent="0.35">
      <c r="B119" s="78"/>
      <c r="C119" s="17"/>
      <c r="D119" s="16"/>
      <c r="E119" s="17"/>
      <c r="F119" s="17"/>
      <c r="G119" s="17"/>
      <c r="H119" s="16"/>
      <c r="K119" s="57">
        <v>9763.0500000000011</v>
      </c>
      <c r="T119" s="57">
        <v>9763.0500000000011</v>
      </c>
    </row>
    <row r="120" spans="2:20" x14ac:dyDescent="0.35">
      <c r="B120" s="78"/>
      <c r="C120" s="17"/>
      <c r="D120" s="16"/>
      <c r="E120" s="17"/>
      <c r="F120" s="17"/>
      <c r="G120" s="17"/>
      <c r="H120" s="16"/>
      <c r="K120" s="57">
        <v>9763.0500000000011</v>
      </c>
      <c r="T120" s="57">
        <v>9763.0500000000011</v>
      </c>
    </row>
    <row r="121" spans="2:20" x14ac:dyDescent="0.35">
      <c r="B121" s="78"/>
      <c r="C121" s="17"/>
      <c r="D121" s="16"/>
      <c r="E121" s="17"/>
      <c r="F121" s="17"/>
      <c r="G121" s="17"/>
      <c r="H121" s="16"/>
      <c r="K121" s="57">
        <v>9763.0500000000011</v>
      </c>
      <c r="T121" s="57">
        <v>9763.0500000000011</v>
      </c>
    </row>
    <row r="122" spans="2:20" x14ac:dyDescent="0.35">
      <c r="B122" s="78"/>
      <c r="C122" s="17"/>
      <c r="D122" s="16"/>
      <c r="E122" s="17"/>
      <c r="F122" s="17"/>
      <c r="G122" s="17"/>
      <c r="H122" s="16"/>
      <c r="K122" s="57">
        <v>9763.0500000000011</v>
      </c>
      <c r="T122" s="57">
        <v>9763.0500000000011</v>
      </c>
    </row>
    <row r="123" spans="2:20" x14ac:dyDescent="0.35">
      <c r="B123" s="78"/>
      <c r="C123" s="17"/>
      <c r="D123" s="16"/>
      <c r="E123" s="17"/>
      <c r="F123" s="17"/>
      <c r="G123" s="17"/>
      <c r="H123" s="16"/>
      <c r="K123" s="57">
        <v>9745.16</v>
      </c>
      <c r="T123" s="57">
        <v>9745.16</v>
      </c>
    </row>
    <row r="124" spans="2:20" x14ac:dyDescent="0.35">
      <c r="B124" s="78"/>
      <c r="C124" s="17"/>
      <c r="D124" s="16"/>
      <c r="E124" s="17"/>
      <c r="F124" s="17"/>
      <c r="G124" s="17"/>
      <c r="H124" s="16"/>
      <c r="K124" s="57">
        <v>9729.5</v>
      </c>
      <c r="T124" s="57">
        <v>9729.5</v>
      </c>
    </row>
    <row r="125" spans="2:20" x14ac:dyDescent="0.35">
      <c r="B125" s="78"/>
      <c r="C125" s="17"/>
      <c r="D125" s="16"/>
      <c r="E125" s="17"/>
      <c r="F125" s="17"/>
      <c r="G125" s="17"/>
      <c r="H125" s="16"/>
      <c r="K125" s="57">
        <v>9729.5</v>
      </c>
      <c r="T125" s="57">
        <v>9729.5</v>
      </c>
    </row>
    <row r="126" spans="2:20" x14ac:dyDescent="0.35">
      <c r="B126" s="78"/>
      <c r="C126" s="17"/>
      <c r="D126" s="16"/>
      <c r="E126" s="17"/>
      <c r="F126" s="17"/>
      <c r="G126" s="17"/>
      <c r="H126" s="16"/>
      <c r="K126" s="57">
        <v>9707.14</v>
      </c>
      <c r="T126" s="57">
        <v>9707.14</v>
      </c>
    </row>
    <row r="127" spans="2:20" x14ac:dyDescent="0.35">
      <c r="B127" s="78"/>
      <c r="C127" s="17"/>
      <c r="D127" s="16"/>
      <c r="E127" s="17"/>
      <c r="F127" s="17"/>
      <c r="G127" s="17"/>
      <c r="H127" s="16"/>
      <c r="K127" s="57">
        <v>9662.4</v>
      </c>
      <c r="T127" s="57">
        <v>9662.4</v>
      </c>
    </row>
    <row r="128" spans="2:20" x14ac:dyDescent="0.35">
      <c r="B128" s="78"/>
      <c r="C128" s="17"/>
      <c r="D128" s="16"/>
      <c r="E128" s="17"/>
      <c r="F128" s="17"/>
      <c r="G128" s="17"/>
      <c r="H128" s="16"/>
      <c r="K128" s="40">
        <v>9661.2800000000007</v>
      </c>
      <c r="T128" s="40">
        <v>9661.2800000000007</v>
      </c>
    </row>
    <row r="129" spans="2:20" x14ac:dyDescent="0.35">
      <c r="B129" s="17"/>
      <c r="C129" s="17"/>
      <c r="D129" s="19"/>
      <c r="E129" s="17"/>
      <c r="F129" s="17"/>
      <c r="G129" s="17"/>
      <c r="H129" s="19"/>
      <c r="K129" s="32">
        <f>SUM(K117:K128)</f>
        <v>116846.83</v>
      </c>
      <c r="T129" s="32">
        <f>SUM(T117:T128)</f>
        <v>116846.83</v>
      </c>
    </row>
    <row r="130" spans="2:20" x14ac:dyDescent="0.35">
      <c r="B130" s="17"/>
      <c r="C130" s="17"/>
      <c r="D130" s="17"/>
      <c r="E130" s="17"/>
      <c r="F130" s="17"/>
      <c r="G130" s="17"/>
      <c r="H130" s="17"/>
    </row>
    <row r="131" spans="2:20" ht="13.15" x14ac:dyDescent="0.4">
      <c r="B131" s="24"/>
      <c r="C131" s="17"/>
      <c r="D131" s="17"/>
      <c r="E131" s="17"/>
      <c r="F131" s="17"/>
      <c r="G131" s="17"/>
      <c r="H131" s="17"/>
    </row>
    <row r="132" spans="2:20" ht="13.15" x14ac:dyDescent="0.4">
      <c r="B132" s="24"/>
      <c r="C132" s="17"/>
      <c r="D132" s="24"/>
      <c r="E132" s="17"/>
      <c r="F132" s="24"/>
      <c r="G132" s="17"/>
      <c r="H132" s="24"/>
    </row>
    <row r="133" spans="2:20" x14ac:dyDescent="0.35">
      <c r="B133" s="17"/>
      <c r="C133" s="17"/>
      <c r="D133" s="17"/>
      <c r="E133" s="17"/>
      <c r="F133" s="17"/>
      <c r="G133" s="17"/>
      <c r="H133" s="17"/>
    </row>
    <row r="134" spans="2:20" x14ac:dyDescent="0.35">
      <c r="B134" s="78"/>
      <c r="C134" s="17"/>
      <c r="D134" s="16"/>
      <c r="E134" s="17"/>
      <c r="F134" s="42"/>
      <c r="G134" s="17"/>
      <c r="H134" s="23"/>
    </row>
    <row r="135" spans="2:20" x14ac:dyDescent="0.35">
      <c r="B135" s="78"/>
      <c r="C135" s="17"/>
      <c r="D135" s="16"/>
      <c r="E135" s="17"/>
      <c r="F135" s="42"/>
      <c r="G135" s="17"/>
      <c r="H135" s="23"/>
    </row>
    <row r="136" spans="2:20" x14ac:dyDescent="0.35">
      <c r="B136" s="78"/>
      <c r="C136" s="17"/>
      <c r="D136" s="16"/>
      <c r="E136" s="17"/>
      <c r="F136" s="42"/>
      <c r="G136" s="17"/>
      <c r="H136" s="23"/>
    </row>
    <row r="137" spans="2:20" x14ac:dyDescent="0.35">
      <c r="B137" s="78"/>
      <c r="C137" s="17"/>
      <c r="D137" s="16"/>
      <c r="E137" s="17"/>
      <c r="F137" s="42"/>
      <c r="G137" s="17"/>
      <c r="H137" s="23"/>
    </row>
    <row r="138" spans="2:20" x14ac:dyDescent="0.35">
      <c r="B138" s="78"/>
      <c r="C138" s="17"/>
      <c r="D138" s="16"/>
      <c r="E138" s="17"/>
      <c r="F138" s="42"/>
      <c r="G138" s="17"/>
      <c r="H138" s="23"/>
    </row>
    <row r="139" spans="2:20" x14ac:dyDescent="0.35">
      <c r="B139" s="78"/>
      <c r="C139" s="17"/>
      <c r="D139" s="16"/>
      <c r="E139" s="17"/>
      <c r="F139" s="42"/>
      <c r="G139" s="17"/>
      <c r="H139" s="23"/>
    </row>
    <row r="140" spans="2:20" x14ac:dyDescent="0.35">
      <c r="B140" s="78"/>
      <c r="C140" s="17"/>
      <c r="D140" s="16"/>
      <c r="E140" s="17"/>
      <c r="F140" s="42"/>
      <c r="G140" s="17"/>
      <c r="H140" s="23"/>
    </row>
    <row r="141" spans="2:20" x14ac:dyDescent="0.35">
      <c r="B141" s="78"/>
      <c r="C141" s="17"/>
      <c r="D141" s="16"/>
      <c r="E141" s="17"/>
      <c r="F141" s="42"/>
      <c r="G141" s="17"/>
      <c r="H141" s="23"/>
    </row>
    <row r="142" spans="2:20" x14ac:dyDescent="0.35">
      <c r="B142" s="78"/>
      <c r="C142" s="17"/>
      <c r="D142" s="16"/>
      <c r="E142" s="17"/>
      <c r="F142" s="42"/>
      <c r="G142" s="17"/>
      <c r="H142" s="23"/>
    </row>
    <row r="143" spans="2:20" x14ac:dyDescent="0.35">
      <c r="B143" s="78"/>
      <c r="C143" s="17"/>
      <c r="D143" s="16"/>
      <c r="E143" s="17"/>
      <c r="F143" s="42"/>
      <c r="G143" s="17"/>
      <c r="H143" s="23"/>
    </row>
    <row r="144" spans="2:20" x14ac:dyDescent="0.35">
      <c r="B144" s="78"/>
      <c r="C144" s="17"/>
      <c r="D144" s="16"/>
      <c r="E144" s="17"/>
      <c r="F144" s="42"/>
      <c r="G144" s="17"/>
      <c r="H144" s="23"/>
    </row>
    <row r="145" spans="2:20" x14ac:dyDescent="0.35">
      <c r="B145" s="78"/>
      <c r="C145" s="17"/>
      <c r="D145" s="16"/>
      <c r="E145" s="17"/>
      <c r="F145" s="42"/>
      <c r="G145" s="17"/>
      <c r="H145" s="23"/>
    </row>
    <row r="146" spans="2:20" x14ac:dyDescent="0.35">
      <c r="B146" s="17"/>
      <c r="C146" s="17"/>
      <c r="D146" s="19"/>
      <c r="E146" s="17"/>
      <c r="F146" s="17"/>
      <c r="G146" s="17"/>
      <c r="H146" s="15"/>
    </row>
    <row r="147" spans="2:20" x14ac:dyDescent="0.35">
      <c r="B147" s="17"/>
      <c r="C147" s="17"/>
      <c r="D147" s="17"/>
      <c r="E147" s="17"/>
      <c r="F147" s="17"/>
      <c r="G147" s="17"/>
      <c r="H147" s="17"/>
    </row>
    <row r="148" spans="2:20" ht="13.15" x14ac:dyDescent="0.4">
      <c r="B148" s="17"/>
      <c r="C148" s="17"/>
      <c r="D148" s="24"/>
      <c r="E148" s="17"/>
      <c r="F148" s="24"/>
      <c r="G148" s="17"/>
      <c r="H148" s="24"/>
      <c r="K148" s="70" t="s">
        <v>31</v>
      </c>
      <c r="T148" s="70" t="s">
        <v>31</v>
      </c>
    </row>
    <row r="149" spans="2:20" x14ac:dyDescent="0.35">
      <c r="B149" s="17"/>
      <c r="C149" s="17"/>
      <c r="D149" s="17"/>
      <c r="E149" s="17"/>
      <c r="F149" s="17"/>
      <c r="G149" s="17"/>
      <c r="H149" s="17"/>
      <c r="K149" s="17"/>
      <c r="T149" s="17"/>
    </row>
    <row r="150" spans="2:20" x14ac:dyDescent="0.35">
      <c r="B150" s="78"/>
      <c r="C150" s="17"/>
      <c r="D150" s="16"/>
      <c r="E150" s="17"/>
      <c r="F150" s="17"/>
      <c r="G150" s="17"/>
      <c r="H150" s="16"/>
      <c r="K150" s="57">
        <v>2717.55</v>
      </c>
      <c r="T150" s="57">
        <v>2717.55</v>
      </c>
    </row>
    <row r="151" spans="2:20" x14ac:dyDescent="0.35">
      <c r="B151" s="78"/>
      <c r="C151" s="17"/>
      <c r="D151" s="16"/>
      <c r="E151" s="17"/>
      <c r="F151" s="17"/>
      <c r="G151" s="17"/>
      <c r="H151" s="16"/>
      <c r="K151" s="57">
        <v>2717.55</v>
      </c>
      <c r="T151" s="57">
        <v>2717.55</v>
      </c>
    </row>
    <row r="152" spans="2:20" x14ac:dyDescent="0.35">
      <c r="B152" s="78"/>
      <c r="C152" s="17"/>
      <c r="D152" s="16"/>
      <c r="E152" s="17"/>
      <c r="F152" s="17"/>
      <c r="G152" s="17"/>
      <c r="H152" s="16"/>
      <c r="K152" s="57">
        <v>2717.55</v>
      </c>
      <c r="T152" s="57">
        <v>2717.55</v>
      </c>
    </row>
    <row r="153" spans="2:20" x14ac:dyDescent="0.35">
      <c r="B153" s="78"/>
      <c r="C153" s="17"/>
      <c r="D153" s="16"/>
      <c r="E153" s="17"/>
      <c r="F153" s="17"/>
      <c r="G153" s="17"/>
      <c r="H153" s="16"/>
      <c r="K153" s="57">
        <v>2717.55</v>
      </c>
      <c r="T153" s="57">
        <v>2717.55</v>
      </c>
    </row>
    <row r="154" spans="2:20" x14ac:dyDescent="0.35">
      <c r="B154" s="78"/>
      <c r="C154" s="17"/>
      <c r="D154" s="16"/>
      <c r="E154" s="17"/>
      <c r="F154" s="17"/>
      <c r="G154" s="17"/>
      <c r="H154" s="16"/>
      <c r="K154" s="57">
        <v>2717.55</v>
      </c>
      <c r="T154" s="57">
        <v>2717.55</v>
      </c>
    </row>
    <row r="155" spans="2:20" x14ac:dyDescent="0.35">
      <c r="B155" s="78"/>
      <c r="C155" s="17"/>
      <c r="D155" s="16"/>
      <c r="E155" s="17"/>
      <c r="F155" s="17"/>
      <c r="G155" s="17"/>
      <c r="H155" s="16"/>
      <c r="K155" s="57">
        <v>2717.55</v>
      </c>
      <c r="T155" s="57">
        <v>2717.55</v>
      </c>
    </row>
    <row r="156" spans="2:20" x14ac:dyDescent="0.35">
      <c r="B156" s="78"/>
      <c r="C156" s="17"/>
      <c r="D156" s="16"/>
      <c r="E156" s="17"/>
      <c r="F156" s="17"/>
      <c r="G156" s="17"/>
      <c r="H156" s="16"/>
      <c r="K156" s="57">
        <v>2717.55</v>
      </c>
      <c r="T156" s="57">
        <v>2717.55</v>
      </c>
    </row>
    <row r="157" spans="2:20" x14ac:dyDescent="0.35">
      <c r="B157" s="78"/>
      <c r="C157" s="17"/>
      <c r="D157" s="16"/>
      <c r="E157" s="17"/>
      <c r="F157" s="17"/>
      <c r="G157" s="17"/>
      <c r="H157" s="16"/>
      <c r="K157" s="57">
        <v>2703.01</v>
      </c>
      <c r="T157" s="57">
        <v>2703.01</v>
      </c>
    </row>
    <row r="158" spans="2:20" x14ac:dyDescent="0.35">
      <c r="B158" s="78"/>
      <c r="C158" s="17"/>
      <c r="D158" s="16"/>
      <c r="E158" s="17"/>
      <c r="F158" s="17"/>
      <c r="G158" s="17"/>
      <c r="H158" s="16"/>
      <c r="K158" s="57">
        <v>2650.4500000000003</v>
      </c>
      <c r="T158" s="57">
        <v>2650.4500000000003</v>
      </c>
    </row>
    <row r="159" spans="2:20" x14ac:dyDescent="0.35">
      <c r="B159" s="78"/>
      <c r="C159" s="17"/>
      <c r="D159" s="16"/>
      <c r="E159" s="17"/>
      <c r="F159" s="17"/>
      <c r="G159" s="17"/>
      <c r="H159" s="16"/>
      <c r="K159" s="57">
        <v>2650.4500000000003</v>
      </c>
      <c r="T159" s="57">
        <v>2650.4500000000003</v>
      </c>
    </row>
    <row r="160" spans="2:20" x14ac:dyDescent="0.35">
      <c r="B160" s="78"/>
      <c r="C160" s="17"/>
      <c r="D160" s="16"/>
      <c r="E160" s="17"/>
      <c r="F160" s="17"/>
      <c r="G160" s="17"/>
      <c r="H160" s="16"/>
      <c r="K160" s="57">
        <v>2650.4500000000003</v>
      </c>
      <c r="T160" s="57">
        <v>2650.4500000000003</v>
      </c>
    </row>
    <row r="161" spans="2:20" x14ac:dyDescent="0.35">
      <c r="B161" s="78"/>
      <c r="C161" s="17"/>
      <c r="D161" s="16"/>
      <c r="E161" s="17"/>
      <c r="F161" s="17"/>
      <c r="G161" s="17"/>
      <c r="H161" s="16"/>
      <c r="K161" s="40">
        <v>2650.4500000000003</v>
      </c>
      <c r="T161" s="40">
        <v>2650.4500000000003</v>
      </c>
    </row>
    <row r="162" spans="2:20" x14ac:dyDescent="0.35">
      <c r="B162" s="17"/>
      <c r="C162" s="17"/>
      <c r="D162" s="19"/>
      <c r="E162" s="17"/>
      <c r="F162" s="17"/>
      <c r="G162" s="17"/>
      <c r="H162" s="19"/>
      <c r="K162" s="32">
        <f>SUM(K150:K161)</f>
        <v>32327.660000000003</v>
      </c>
      <c r="T162" s="32">
        <f>SUM(T150:T161)</f>
        <v>32327.660000000003</v>
      </c>
    </row>
    <row r="163" spans="2:20" x14ac:dyDescent="0.35">
      <c r="B163" s="17"/>
      <c r="C163" s="17"/>
      <c r="D163" s="17"/>
      <c r="E163" s="17"/>
      <c r="F163" s="17"/>
      <c r="G163" s="17"/>
      <c r="H163" s="17"/>
    </row>
    <row r="164" spans="2:20" ht="13.15" x14ac:dyDescent="0.4">
      <c r="B164" s="24"/>
      <c r="C164" s="17"/>
      <c r="D164" s="17"/>
      <c r="E164" s="17"/>
      <c r="F164" s="17"/>
      <c r="G164" s="17"/>
      <c r="H164" s="17"/>
    </row>
    <row r="165" spans="2:20" ht="13.15" x14ac:dyDescent="0.4">
      <c r="B165" s="24"/>
      <c r="C165" s="17"/>
      <c r="D165" s="24"/>
      <c r="E165" s="17"/>
      <c r="F165" s="24"/>
      <c r="G165" s="17"/>
      <c r="H165" s="24"/>
    </row>
    <row r="166" spans="2:20" x14ac:dyDescent="0.35">
      <c r="B166" s="17"/>
      <c r="C166" s="17"/>
      <c r="D166" s="17"/>
      <c r="E166" s="17"/>
      <c r="F166" s="17"/>
      <c r="G166" s="17"/>
      <c r="H166" s="17"/>
    </row>
    <row r="167" spans="2:20" x14ac:dyDescent="0.35">
      <c r="B167" s="78"/>
      <c r="C167" s="17"/>
      <c r="D167" s="16"/>
      <c r="E167" s="17"/>
      <c r="F167" s="42"/>
      <c r="G167" s="17"/>
      <c r="H167" s="23"/>
    </row>
    <row r="168" spans="2:20" x14ac:dyDescent="0.35">
      <c r="B168" s="78"/>
      <c r="C168" s="17"/>
      <c r="D168" s="16"/>
      <c r="E168" s="17"/>
      <c r="F168" s="42"/>
      <c r="G168" s="17"/>
      <c r="H168" s="23"/>
    </row>
    <row r="169" spans="2:20" x14ac:dyDescent="0.35">
      <c r="B169" s="78"/>
      <c r="C169" s="17"/>
      <c r="D169" s="16"/>
      <c r="E169" s="17"/>
      <c r="F169" s="42"/>
      <c r="G169" s="17"/>
      <c r="H169" s="23"/>
    </row>
    <row r="170" spans="2:20" x14ac:dyDescent="0.35">
      <c r="B170" s="78"/>
      <c r="C170" s="17"/>
      <c r="D170" s="16"/>
      <c r="E170" s="17"/>
      <c r="F170" s="42"/>
      <c r="G170" s="17"/>
      <c r="H170" s="23"/>
    </row>
    <row r="171" spans="2:20" x14ac:dyDescent="0.35">
      <c r="B171" s="78"/>
      <c r="C171" s="17"/>
      <c r="D171" s="16"/>
      <c r="E171" s="17"/>
      <c r="F171" s="42"/>
      <c r="G171" s="17"/>
      <c r="H171" s="23"/>
    </row>
    <row r="172" spans="2:20" x14ac:dyDescent="0.35">
      <c r="B172" s="78"/>
      <c r="C172" s="17"/>
      <c r="D172" s="16"/>
      <c r="E172" s="17"/>
      <c r="F172" s="42"/>
      <c r="G172" s="17"/>
      <c r="H172" s="23"/>
    </row>
    <row r="173" spans="2:20" x14ac:dyDescent="0.35">
      <c r="B173" s="78"/>
      <c r="C173" s="17"/>
      <c r="D173" s="16"/>
      <c r="E173" s="17"/>
      <c r="F173" s="42"/>
      <c r="G173" s="17"/>
      <c r="H173" s="23"/>
    </row>
    <row r="174" spans="2:20" x14ac:dyDescent="0.35">
      <c r="B174" s="78"/>
      <c r="C174" s="17"/>
      <c r="D174" s="16"/>
      <c r="E174" s="17"/>
      <c r="F174" s="42"/>
      <c r="G174" s="17"/>
      <c r="H174" s="23"/>
    </row>
    <row r="175" spans="2:20" x14ac:dyDescent="0.35">
      <c r="B175" s="78"/>
      <c r="C175" s="17"/>
      <c r="D175" s="16"/>
      <c r="E175" s="17"/>
      <c r="F175" s="42"/>
      <c r="G175" s="17"/>
      <c r="H175" s="23"/>
    </row>
    <row r="176" spans="2:20" x14ac:dyDescent="0.35">
      <c r="B176" s="78"/>
      <c r="C176" s="17"/>
      <c r="D176" s="16"/>
      <c r="E176" s="17"/>
      <c r="F176" s="42"/>
      <c r="G176" s="17"/>
      <c r="H176" s="23"/>
    </row>
    <row r="177" spans="2:20" x14ac:dyDescent="0.35">
      <c r="B177" s="78"/>
      <c r="C177" s="17"/>
      <c r="D177" s="16"/>
      <c r="E177" s="17"/>
      <c r="F177" s="42"/>
      <c r="G177" s="17"/>
      <c r="H177" s="23"/>
    </row>
    <row r="178" spans="2:20" x14ac:dyDescent="0.35">
      <c r="B178" s="78"/>
      <c r="C178" s="17"/>
      <c r="D178" s="16"/>
      <c r="E178" s="17"/>
      <c r="F178" s="42"/>
      <c r="G178" s="17"/>
      <c r="H178" s="23"/>
    </row>
    <row r="179" spans="2:20" x14ac:dyDescent="0.35">
      <c r="B179" s="17"/>
      <c r="C179" s="17"/>
      <c r="D179" s="19"/>
      <c r="E179" s="17"/>
      <c r="F179" s="17"/>
      <c r="G179" s="17"/>
      <c r="H179" s="15"/>
    </row>
    <row r="180" spans="2:20" x14ac:dyDescent="0.35">
      <c r="B180" s="17"/>
      <c r="C180" s="17"/>
      <c r="D180" s="17"/>
      <c r="E180" s="17"/>
      <c r="F180" s="17"/>
      <c r="G180" s="17"/>
      <c r="H180" s="17"/>
    </row>
    <row r="181" spans="2:20" ht="13.15" x14ac:dyDescent="0.4">
      <c r="B181" s="17"/>
      <c r="C181" s="17"/>
      <c r="D181" s="24"/>
      <c r="E181" s="17"/>
      <c r="F181" s="24"/>
      <c r="G181" s="17"/>
      <c r="H181" s="24"/>
      <c r="K181" s="70" t="s">
        <v>31</v>
      </c>
      <c r="T181" s="70" t="s">
        <v>31</v>
      </c>
    </row>
    <row r="182" spans="2:20" x14ac:dyDescent="0.35">
      <c r="B182" s="17"/>
      <c r="C182" s="17"/>
      <c r="D182" s="17"/>
      <c r="E182" s="17"/>
      <c r="F182" s="17"/>
      <c r="G182" s="17"/>
      <c r="H182" s="17"/>
      <c r="K182" s="17"/>
      <c r="T182" s="17"/>
    </row>
    <row r="183" spans="2:20" x14ac:dyDescent="0.35">
      <c r="B183" s="78"/>
      <c r="C183" s="17"/>
      <c r="D183" s="16"/>
      <c r="E183" s="17"/>
      <c r="F183" s="17"/>
      <c r="G183" s="17"/>
      <c r="H183" s="16"/>
      <c r="K183" s="57">
        <v>145595.97</v>
      </c>
      <c r="T183" s="57">
        <v>145595.97</v>
      </c>
    </row>
    <row r="184" spans="2:20" x14ac:dyDescent="0.35">
      <c r="B184" s="78"/>
      <c r="C184" s="17"/>
      <c r="D184" s="16"/>
      <c r="E184" s="17"/>
      <c r="F184" s="17"/>
      <c r="G184" s="17"/>
      <c r="H184" s="16"/>
      <c r="K184" s="57">
        <v>146047.73000000001</v>
      </c>
      <c r="T184" s="57">
        <v>146047.73000000001</v>
      </c>
    </row>
    <row r="185" spans="2:20" x14ac:dyDescent="0.35">
      <c r="B185" s="78"/>
      <c r="C185" s="17"/>
      <c r="D185" s="16"/>
      <c r="E185" s="17"/>
      <c r="F185" s="17"/>
      <c r="G185" s="17"/>
      <c r="H185" s="16"/>
      <c r="K185" s="57">
        <v>146320.74</v>
      </c>
      <c r="T185" s="57">
        <v>146320.74</v>
      </c>
    </row>
    <row r="186" spans="2:20" x14ac:dyDescent="0.35">
      <c r="B186" s="78"/>
      <c r="C186" s="17"/>
      <c r="D186" s="16"/>
      <c r="E186" s="17"/>
      <c r="F186" s="17"/>
      <c r="G186" s="17"/>
      <c r="H186" s="16"/>
      <c r="K186" s="57">
        <v>147167.18</v>
      </c>
      <c r="T186" s="57">
        <v>147167.18</v>
      </c>
    </row>
    <row r="187" spans="2:20" x14ac:dyDescent="0.35">
      <c r="B187" s="78"/>
      <c r="C187" s="17"/>
      <c r="D187" s="16"/>
      <c r="E187" s="17"/>
      <c r="F187" s="17"/>
      <c r="G187" s="17"/>
      <c r="H187" s="16"/>
      <c r="K187" s="57">
        <v>148300.14000000001</v>
      </c>
      <c r="T187" s="57">
        <v>148300.14000000001</v>
      </c>
    </row>
    <row r="188" spans="2:20" x14ac:dyDescent="0.35">
      <c r="B188" s="78"/>
      <c r="C188" s="17"/>
      <c r="D188" s="16"/>
      <c r="E188" s="17"/>
      <c r="F188" s="17"/>
      <c r="G188" s="17"/>
      <c r="H188" s="16"/>
      <c r="K188" s="57">
        <v>148560.66</v>
      </c>
      <c r="T188" s="57">
        <v>148560.66</v>
      </c>
    </row>
    <row r="189" spans="2:20" x14ac:dyDescent="0.35">
      <c r="B189" s="78"/>
      <c r="C189" s="17"/>
      <c r="D189" s="16"/>
      <c r="E189" s="17"/>
      <c r="F189" s="17"/>
      <c r="G189" s="17"/>
      <c r="H189" s="16"/>
      <c r="K189" s="57">
        <v>148785.44</v>
      </c>
      <c r="T189" s="57">
        <v>148785.44</v>
      </c>
    </row>
    <row r="190" spans="2:20" x14ac:dyDescent="0.35">
      <c r="B190" s="78"/>
      <c r="C190" s="17"/>
      <c r="D190" s="16"/>
      <c r="E190" s="17"/>
      <c r="F190" s="17"/>
      <c r="G190" s="17"/>
      <c r="H190" s="16"/>
      <c r="K190" s="57">
        <v>149287.67999999999</v>
      </c>
      <c r="T190" s="57">
        <v>149287.67999999999</v>
      </c>
    </row>
    <row r="191" spans="2:20" x14ac:dyDescent="0.35">
      <c r="B191" s="78"/>
      <c r="C191" s="17"/>
      <c r="D191" s="16"/>
      <c r="E191" s="17"/>
      <c r="F191" s="17"/>
      <c r="G191" s="17"/>
      <c r="H191" s="16"/>
      <c r="K191" s="57">
        <v>149288.14000000001</v>
      </c>
      <c r="T191" s="57">
        <v>149288.14000000001</v>
      </c>
    </row>
    <row r="192" spans="2:20" x14ac:dyDescent="0.35">
      <c r="B192" s="78"/>
      <c r="C192" s="17"/>
      <c r="D192" s="16"/>
      <c r="E192" s="17"/>
      <c r="F192" s="17"/>
      <c r="G192" s="17"/>
      <c r="H192" s="16"/>
      <c r="K192" s="57">
        <v>149946.28</v>
      </c>
      <c r="T192" s="57">
        <v>149946.28</v>
      </c>
    </row>
    <row r="193" spans="2:20" x14ac:dyDescent="0.35">
      <c r="B193" s="78"/>
      <c r="C193" s="17"/>
      <c r="D193" s="16"/>
      <c r="E193" s="17"/>
      <c r="F193" s="17"/>
      <c r="G193" s="17"/>
      <c r="H193" s="16"/>
      <c r="K193" s="57">
        <v>150685.5</v>
      </c>
      <c r="T193" s="57">
        <v>150685.5</v>
      </c>
    </row>
    <row r="194" spans="2:20" x14ac:dyDescent="0.35">
      <c r="B194" s="78"/>
      <c r="C194" s="17"/>
      <c r="D194" s="16"/>
      <c r="E194" s="17"/>
      <c r="F194" s="17"/>
      <c r="G194" s="17"/>
      <c r="H194" s="16"/>
      <c r="K194" s="40">
        <v>150975.03</v>
      </c>
      <c r="T194" s="40">
        <v>150975.03</v>
      </c>
    </row>
    <row r="195" spans="2:20" x14ac:dyDescent="0.35">
      <c r="B195" s="17"/>
      <c r="C195" s="17"/>
      <c r="D195" s="19"/>
      <c r="E195" s="17"/>
      <c r="F195" s="17"/>
      <c r="G195" s="17"/>
      <c r="H195" s="19"/>
      <c r="K195" s="32">
        <f>SUM(K183:K194)</f>
        <v>1780960.4900000002</v>
      </c>
      <c r="T195" s="32">
        <f>SUM(T183:T194)</f>
        <v>1780960.4900000002</v>
      </c>
    </row>
    <row r="196" spans="2:20" x14ac:dyDescent="0.35">
      <c r="B196" s="17"/>
      <c r="C196" s="17"/>
      <c r="D196" s="17"/>
      <c r="E196" s="17"/>
      <c r="F196" s="17"/>
      <c r="G196" s="17"/>
      <c r="H196" s="17"/>
    </row>
    <row r="197" spans="2:20" ht="13.15" x14ac:dyDescent="0.4">
      <c r="B197" s="24"/>
      <c r="C197" s="17"/>
      <c r="D197" s="17"/>
      <c r="E197" s="17"/>
      <c r="F197" s="17"/>
      <c r="G197" s="17"/>
      <c r="H197" s="17"/>
    </row>
    <row r="198" spans="2:20" ht="13.15" x14ac:dyDescent="0.4">
      <c r="B198" s="24"/>
      <c r="C198" s="17"/>
      <c r="D198" s="24"/>
      <c r="E198" s="17"/>
      <c r="F198" s="24"/>
      <c r="G198" s="17"/>
      <c r="H198" s="24"/>
    </row>
    <row r="199" spans="2:20" x14ac:dyDescent="0.35">
      <c r="B199" s="17"/>
      <c r="C199" s="17"/>
      <c r="D199" s="17"/>
      <c r="E199" s="17"/>
      <c r="F199" s="17"/>
      <c r="G199" s="17"/>
      <c r="H199" s="17"/>
    </row>
    <row r="200" spans="2:20" x14ac:dyDescent="0.35">
      <c r="B200" s="78"/>
      <c r="C200" s="17"/>
      <c r="D200" s="16"/>
      <c r="E200" s="17"/>
      <c r="F200" s="42"/>
      <c r="G200" s="17"/>
      <c r="H200" s="23"/>
    </row>
    <row r="201" spans="2:20" x14ac:dyDescent="0.35">
      <c r="B201" s="78"/>
      <c r="C201" s="17"/>
      <c r="D201" s="16"/>
      <c r="E201" s="17"/>
      <c r="F201" s="42"/>
      <c r="G201" s="17"/>
      <c r="H201" s="23"/>
    </row>
    <row r="202" spans="2:20" x14ac:dyDescent="0.35">
      <c r="B202" s="78"/>
      <c r="C202" s="17"/>
      <c r="D202" s="16"/>
      <c r="E202" s="17"/>
      <c r="F202" s="42"/>
      <c r="G202" s="17"/>
      <c r="H202" s="23"/>
    </row>
    <row r="203" spans="2:20" x14ac:dyDescent="0.35">
      <c r="B203" s="78"/>
      <c r="C203" s="17"/>
      <c r="D203" s="16"/>
      <c r="E203" s="17"/>
      <c r="F203" s="42"/>
      <c r="G203" s="17"/>
      <c r="H203" s="23"/>
    </row>
    <row r="204" spans="2:20" x14ac:dyDescent="0.35">
      <c r="B204" s="78"/>
      <c r="C204" s="17"/>
      <c r="D204" s="16"/>
      <c r="E204" s="17"/>
      <c r="F204" s="42"/>
      <c r="G204" s="17"/>
      <c r="H204" s="23"/>
    </row>
    <row r="205" spans="2:20" x14ac:dyDescent="0.35">
      <c r="B205" s="78"/>
      <c r="C205" s="17"/>
      <c r="D205" s="16"/>
      <c r="E205" s="17"/>
      <c r="F205" s="42"/>
      <c r="G205" s="17"/>
      <c r="H205" s="23"/>
    </row>
    <row r="206" spans="2:20" x14ac:dyDescent="0.35">
      <c r="B206" s="78"/>
      <c r="C206" s="17"/>
      <c r="D206" s="16"/>
      <c r="E206" s="17"/>
      <c r="F206" s="42"/>
      <c r="G206" s="17"/>
      <c r="H206" s="23"/>
    </row>
    <row r="207" spans="2:20" x14ac:dyDescent="0.35">
      <c r="B207" s="78"/>
      <c r="C207" s="17"/>
      <c r="D207" s="16"/>
      <c r="E207" s="17"/>
      <c r="F207" s="42"/>
      <c r="G207" s="17"/>
      <c r="H207" s="23"/>
    </row>
    <row r="208" spans="2:20" x14ac:dyDescent="0.35">
      <c r="B208" s="78"/>
      <c r="C208" s="17"/>
      <c r="D208" s="16"/>
      <c r="E208" s="17"/>
      <c r="F208" s="42"/>
      <c r="G208" s="17"/>
      <c r="H208" s="23"/>
    </row>
    <row r="209" spans="2:20" x14ac:dyDescent="0.35">
      <c r="B209" s="78"/>
      <c r="C209" s="17"/>
      <c r="D209" s="16"/>
      <c r="E209" s="17"/>
      <c r="F209" s="42"/>
      <c r="G209" s="17"/>
      <c r="H209" s="23"/>
    </row>
    <row r="210" spans="2:20" x14ac:dyDescent="0.35">
      <c r="B210" s="78"/>
      <c r="C210" s="17"/>
      <c r="D210" s="16"/>
      <c r="E210" s="17"/>
      <c r="F210" s="42"/>
      <c r="G210" s="17"/>
      <c r="H210" s="23"/>
    </row>
    <row r="211" spans="2:20" x14ac:dyDescent="0.35">
      <c r="B211" s="78"/>
      <c r="C211" s="17"/>
      <c r="D211" s="16"/>
      <c r="E211" s="17"/>
      <c r="F211" s="42"/>
      <c r="G211" s="17"/>
      <c r="H211" s="23"/>
    </row>
    <row r="212" spans="2:20" x14ac:dyDescent="0.35">
      <c r="B212" s="17"/>
      <c r="C212" s="17"/>
      <c r="D212" s="19"/>
      <c r="E212" s="17"/>
      <c r="F212" s="17"/>
      <c r="G212" s="17"/>
      <c r="H212" s="15"/>
    </row>
    <row r="213" spans="2:20" x14ac:dyDescent="0.35">
      <c r="B213" s="17"/>
      <c r="C213" s="17"/>
      <c r="D213" s="17"/>
      <c r="E213" s="17"/>
      <c r="F213" s="17"/>
      <c r="G213" s="17"/>
      <c r="H213" s="17"/>
    </row>
    <row r="214" spans="2:20" ht="13.15" x14ac:dyDescent="0.4">
      <c r="B214" s="17"/>
      <c r="C214" s="17"/>
      <c r="D214" s="24"/>
      <c r="E214" s="17"/>
      <c r="F214" s="24"/>
      <c r="G214" s="17"/>
      <c r="H214" s="24"/>
      <c r="K214" s="70" t="s">
        <v>31</v>
      </c>
      <c r="T214" s="70" t="s">
        <v>31</v>
      </c>
    </row>
    <row r="215" spans="2:20" x14ac:dyDescent="0.35">
      <c r="B215" s="17"/>
      <c r="C215" s="17"/>
      <c r="D215" s="17"/>
      <c r="E215" s="17"/>
      <c r="F215" s="17"/>
      <c r="G215" s="17"/>
      <c r="H215" s="17"/>
      <c r="K215" s="17"/>
      <c r="T215" s="17"/>
    </row>
    <row r="216" spans="2:20" x14ac:dyDescent="0.35">
      <c r="B216" s="78"/>
      <c r="C216" s="17"/>
      <c r="D216" s="16"/>
      <c r="E216" s="17"/>
      <c r="F216" s="17"/>
      <c r="G216" s="17"/>
      <c r="H216" s="16"/>
      <c r="K216" s="57">
        <v>17191.09</v>
      </c>
      <c r="T216" s="57">
        <v>17191.09</v>
      </c>
    </row>
    <row r="217" spans="2:20" x14ac:dyDescent="0.35">
      <c r="B217" s="78"/>
      <c r="C217" s="17"/>
      <c r="D217" s="16"/>
      <c r="E217" s="17"/>
      <c r="F217" s="17"/>
      <c r="G217" s="17"/>
      <c r="H217" s="16"/>
      <c r="K217" s="57">
        <v>17289.43</v>
      </c>
      <c r="T217" s="57">
        <v>17289.43</v>
      </c>
    </row>
    <row r="218" spans="2:20" x14ac:dyDescent="0.35">
      <c r="B218" s="78"/>
      <c r="C218" s="17"/>
      <c r="D218" s="16"/>
      <c r="E218" s="17"/>
      <c r="F218" s="17"/>
      <c r="G218" s="17"/>
      <c r="H218" s="16"/>
      <c r="K218" s="57">
        <v>17386.8</v>
      </c>
      <c r="T218" s="57">
        <v>17386.8</v>
      </c>
    </row>
    <row r="219" spans="2:20" x14ac:dyDescent="0.35">
      <c r="B219" s="78"/>
      <c r="C219" s="17"/>
      <c r="D219" s="16"/>
      <c r="E219" s="17"/>
      <c r="F219" s="17"/>
      <c r="G219" s="17"/>
      <c r="H219" s="16"/>
      <c r="K219" s="57">
        <v>17437.060000000001</v>
      </c>
      <c r="T219" s="57">
        <v>17437.060000000001</v>
      </c>
    </row>
    <row r="220" spans="2:20" x14ac:dyDescent="0.35">
      <c r="B220" s="78"/>
      <c r="C220" s="17"/>
      <c r="D220" s="16"/>
      <c r="E220" s="17"/>
      <c r="F220" s="17"/>
      <c r="G220" s="17"/>
      <c r="H220" s="16"/>
      <c r="K220" s="57">
        <v>17616</v>
      </c>
      <c r="T220" s="57">
        <v>17616</v>
      </c>
    </row>
    <row r="221" spans="2:20" x14ac:dyDescent="0.35">
      <c r="B221" s="78"/>
      <c r="C221" s="17"/>
      <c r="D221" s="16"/>
      <c r="E221" s="17"/>
      <c r="F221" s="17"/>
      <c r="G221" s="17"/>
      <c r="H221" s="16"/>
      <c r="K221" s="57">
        <v>17651.79</v>
      </c>
      <c r="T221" s="57">
        <v>17651.79</v>
      </c>
    </row>
    <row r="222" spans="2:20" x14ac:dyDescent="0.35">
      <c r="B222" s="78"/>
      <c r="C222" s="17"/>
      <c r="D222" s="16"/>
      <c r="E222" s="17"/>
      <c r="F222" s="17"/>
      <c r="G222" s="17"/>
      <c r="H222" s="16"/>
      <c r="K222" s="57">
        <v>17716.650000000001</v>
      </c>
      <c r="T222" s="57">
        <v>17716.650000000001</v>
      </c>
    </row>
    <row r="223" spans="2:20" x14ac:dyDescent="0.35">
      <c r="B223" s="78"/>
      <c r="C223" s="17"/>
      <c r="D223" s="16"/>
      <c r="E223" s="17"/>
      <c r="F223" s="17"/>
      <c r="G223" s="17"/>
      <c r="H223" s="16"/>
      <c r="K223" s="57">
        <v>17919.09</v>
      </c>
      <c r="T223" s="57">
        <v>17919.09</v>
      </c>
    </row>
    <row r="224" spans="2:20" x14ac:dyDescent="0.35">
      <c r="B224" s="78"/>
      <c r="C224" s="17"/>
      <c r="D224" s="16"/>
      <c r="E224" s="17"/>
      <c r="F224" s="17"/>
      <c r="G224" s="17"/>
      <c r="H224" s="16"/>
      <c r="K224" s="57">
        <v>17934.73</v>
      </c>
      <c r="T224" s="57">
        <v>17934.73</v>
      </c>
    </row>
    <row r="225" spans="2:20" x14ac:dyDescent="0.35">
      <c r="B225" s="78"/>
      <c r="C225" s="17"/>
      <c r="D225" s="16"/>
      <c r="E225" s="17"/>
      <c r="F225" s="17"/>
      <c r="G225" s="17"/>
      <c r="H225" s="16"/>
      <c r="K225" s="57">
        <v>18149.47</v>
      </c>
      <c r="T225" s="57">
        <v>18149.47</v>
      </c>
    </row>
    <row r="226" spans="2:20" x14ac:dyDescent="0.35">
      <c r="B226" s="78"/>
      <c r="C226" s="17"/>
      <c r="D226" s="16"/>
      <c r="E226" s="17"/>
      <c r="F226" s="17"/>
      <c r="G226" s="17"/>
      <c r="H226" s="16"/>
      <c r="K226" s="57">
        <v>18270.260000000002</v>
      </c>
      <c r="T226" s="57">
        <v>18270.260000000002</v>
      </c>
    </row>
    <row r="227" spans="2:20" x14ac:dyDescent="0.35">
      <c r="B227" s="78"/>
      <c r="C227" s="17"/>
      <c r="D227" s="16"/>
      <c r="E227" s="17"/>
      <c r="F227" s="17"/>
      <c r="G227" s="17"/>
      <c r="H227" s="16"/>
      <c r="K227" s="40">
        <v>18665</v>
      </c>
      <c r="T227" s="40">
        <v>18665</v>
      </c>
    </row>
    <row r="228" spans="2:20" x14ac:dyDescent="0.35">
      <c r="B228" s="17"/>
      <c r="C228" s="17"/>
      <c r="D228" s="19"/>
      <c r="E228" s="17"/>
      <c r="F228" s="17"/>
      <c r="G228" s="17"/>
      <c r="H228" s="19"/>
      <c r="K228" s="32">
        <f>SUM(K216:K227)</f>
        <v>213227.37000000002</v>
      </c>
      <c r="T228" s="32">
        <f>SUM(T216:T227)</f>
        <v>213227.37000000002</v>
      </c>
    </row>
    <row r="229" spans="2:20" x14ac:dyDescent="0.35">
      <c r="B229" s="17"/>
      <c r="C229" s="17"/>
      <c r="D229" s="17"/>
      <c r="E229" s="17"/>
      <c r="F229" s="17"/>
      <c r="G229" s="17"/>
      <c r="H229" s="17"/>
    </row>
    <row r="230" spans="2:20" ht="13.15" x14ac:dyDescent="0.4">
      <c r="B230" s="24"/>
      <c r="C230" s="17"/>
      <c r="D230" s="17"/>
      <c r="E230" s="17"/>
      <c r="F230" s="17"/>
      <c r="G230" s="17"/>
      <c r="H230" s="17"/>
    </row>
    <row r="231" spans="2:20" ht="13.15" x14ac:dyDescent="0.4">
      <c r="B231" s="24"/>
      <c r="C231" s="17"/>
      <c r="D231" s="24"/>
      <c r="E231" s="17"/>
      <c r="F231" s="17"/>
      <c r="G231" s="17"/>
      <c r="H231" s="17"/>
    </row>
    <row r="232" spans="2:20" x14ac:dyDescent="0.35">
      <c r="B232" s="17"/>
      <c r="C232" s="17"/>
      <c r="D232" s="17"/>
      <c r="E232" s="17"/>
      <c r="F232" s="17"/>
      <c r="G232" s="17"/>
      <c r="H232" s="17"/>
    </row>
    <row r="233" spans="2:20" x14ac:dyDescent="0.35">
      <c r="B233" s="78"/>
      <c r="C233" s="17"/>
      <c r="D233" s="16"/>
      <c r="E233" s="17"/>
      <c r="F233" s="17"/>
      <c r="G233" s="17"/>
      <c r="H233" s="17"/>
    </row>
    <row r="234" spans="2:20" x14ac:dyDescent="0.35">
      <c r="B234" s="78"/>
      <c r="C234" s="17"/>
      <c r="D234" s="16"/>
      <c r="E234" s="17"/>
      <c r="F234" s="17"/>
      <c r="G234" s="17"/>
      <c r="H234" s="17"/>
    </row>
    <row r="235" spans="2:20" x14ac:dyDescent="0.35">
      <c r="B235" s="78"/>
      <c r="C235" s="17"/>
      <c r="D235" s="16"/>
      <c r="E235" s="17"/>
      <c r="F235" s="17"/>
      <c r="G235" s="17"/>
      <c r="H235" s="17"/>
    </row>
    <row r="236" spans="2:20" x14ac:dyDescent="0.35">
      <c r="B236" s="78"/>
      <c r="C236" s="17"/>
      <c r="D236" s="16"/>
      <c r="E236" s="17"/>
      <c r="F236" s="17"/>
      <c r="G236" s="17"/>
      <c r="H236" s="17"/>
    </row>
    <row r="237" spans="2:20" x14ac:dyDescent="0.35">
      <c r="B237" s="78"/>
      <c r="C237" s="17"/>
      <c r="D237" s="16"/>
      <c r="E237" s="17"/>
      <c r="F237" s="17"/>
      <c r="G237" s="17"/>
      <c r="H237" s="17"/>
    </row>
    <row r="238" spans="2:20" x14ac:dyDescent="0.35">
      <c r="B238" s="78"/>
      <c r="C238" s="17"/>
      <c r="D238" s="16"/>
      <c r="E238" s="17"/>
      <c r="F238" s="17"/>
      <c r="G238" s="17"/>
      <c r="H238" s="17"/>
    </row>
    <row r="239" spans="2:20" x14ac:dyDescent="0.35">
      <c r="B239" s="78"/>
      <c r="C239" s="17"/>
      <c r="D239" s="16"/>
      <c r="E239" s="17"/>
      <c r="F239" s="17"/>
      <c r="G239" s="17"/>
      <c r="H239" s="17"/>
    </row>
    <row r="240" spans="2:20" x14ac:dyDescent="0.35">
      <c r="B240" s="78"/>
      <c r="C240" s="17"/>
      <c r="D240" s="16"/>
      <c r="E240" s="17"/>
      <c r="F240" s="17"/>
      <c r="G240" s="17"/>
      <c r="H240" s="17"/>
    </row>
    <row r="241" spans="2:8" x14ac:dyDescent="0.35">
      <c r="B241" s="78"/>
      <c r="C241" s="17"/>
      <c r="D241" s="16"/>
      <c r="E241" s="17"/>
      <c r="F241" s="17"/>
      <c r="G241" s="17"/>
      <c r="H241" s="17"/>
    </row>
    <row r="242" spans="2:8" x14ac:dyDescent="0.35">
      <c r="B242" s="78"/>
      <c r="C242" s="17"/>
      <c r="D242" s="16"/>
      <c r="E242" s="17"/>
      <c r="F242" s="17"/>
      <c r="G242" s="17"/>
      <c r="H242" s="17"/>
    </row>
    <row r="243" spans="2:8" x14ac:dyDescent="0.35">
      <c r="B243" s="78"/>
      <c r="C243" s="17"/>
      <c r="D243" s="16"/>
      <c r="E243" s="17"/>
      <c r="F243" s="17"/>
      <c r="G243" s="17"/>
      <c r="H243" s="17"/>
    </row>
    <row r="244" spans="2:8" x14ac:dyDescent="0.35">
      <c r="B244" s="78"/>
      <c r="C244" s="17"/>
      <c r="D244" s="16"/>
      <c r="E244" s="17"/>
      <c r="F244" s="17"/>
      <c r="G244" s="17"/>
      <c r="H244" s="17"/>
    </row>
    <row r="245" spans="2:8" x14ac:dyDescent="0.35">
      <c r="B245" s="17"/>
      <c r="C245" s="17"/>
      <c r="D245" s="19"/>
      <c r="E245" s="17"/>
      <c r="F245" s="17"/>
      <c r="G245" s="17"/>
      <c r="H245" s="17"/>
    </row>
    <row r="246" spans="2:8" x14ac:dyDescent="0.35">
      <c r="B246" s="17"/>
      <c r="C246" s="17"/>
      <c r="D246" s="17"/>
      <c r="E246" s="17"/>
      <c r="F246" s="17"/>
      <c r="G246" s="17"/>
      <c r="H246" s="17"/>
    </row>
    <row r="247" spans="2:8" x14ac:dyDescent="0.35">
      <c r="B247" s="17"/>
      <c r="C247" s="17"/>
      <c r="D247" s="17"/>
      <c r="E247" s="17"/>
      <c r="F247" s="17"/>
      <c r="G247" s="17"/>
      <c r="H247" s="17"/>
    </row>
    <row r="248" spans="2:8" ht="13.15" x14ac:dyDescent="0.4">
      <c r="B248" s="24"/>
      <c r="C248" s="17"/>
      <c r="D248" s="17"/>
      <c r="E248" s="17"/>
      <c r="F248" s="17"/>
      <c r="G248" s="17"/>
      <c r="H248" s="17"/>
    </row>
    <row r="249" spans="2:8" ht="13.15" x14ac:dyDescent="0.4">
      <c r="B249" s="24"/>
      <c r="C249" s="17"/>
      <c r="D249" s="24"/>
      <c r="E249" s="17"/>
      <c r="F249" s="17"/>
      <c r="G249" s="17"/>
      <c r="H249" s="17"/>
    </row>
    <row r="250" spans="2:8" x14ac:dyDescent="0.35">
      <c r="B250" s="17"/>
      <c r="C250" s="17"/>
      <c r="D250" s="17"/>
      <c r="E250" s="17"/>
      <c r="F250" s="17"/>
      <c r="G250" s="17"/>
      <c r="H250" s="17"/>
    </row>
    <row r="251" spans="2:8" x14ac:dyDescent="0.35">
      <c r="B251" s="78"/>
      <c r="C251" s="17"/>
      <c r="D251" s="16"/>
      <c r="E251" s="17"/>
      <c r="F251" s="17"/>
      <c r="G251" s="17"/>
      <c r="H251" s="17"/>
    </row>
    <row r="252" spans="2:8" x14ac:dyDescent="0.35">
      <c r="B252" s="78"/>
      <c r="C252" s="17"/>
      <c r="D252" s="16"/>
      <c r="E252" s="17"/>
      <c r="F252" s="17"/>
      <c r="G252" s="17"/>
      <c r="H252" s="17"/>
    </row>
    <row r="253" spans="2:8" x14ac:dyDescent="0.35">
      <c r="B253" s="78"/>
      <c r="C253" s="17"/>
      <c r="D253" s="16"/>
      <c r="E253" s="17"/>
      <c r="F253" s="17"/>
      <c r="G253" s="17"/>
      <c r="H253" s="17"/>
    </row>
    <row r="254" spans="2:8" x14ac:dyDescent="0.35">
      <c r="B254" s="78"/>
      <c r="C254" s="17"/>
      <c r="D254" s="16"/>
      <c r="E254" s="17"/>
      <c r="F254" s="17"/>
      <c r="G254" s="17"/>
      <c r="H254" s="17"/>
    </row>
    <row r="255" spans="2:8" x14ac:dyDescent="0.35">
      <c r="B255" s="78"/>
      <c r="C255" s="17"/>
      <c r="D255" s="16"/>
      <c r="E255" s="17"/>
      <c r="F255" s="17"/>
      <c r="G255" s="17"/>
      <c r="H255" s="17"/>
    </row>
    <row r="256" spans="2:8" x14ac:dyDescent="0.35">
      <c r="B256" s="78"/>
      <c r="C256" s="17"/>
      <c r="D256" s="16"/>
      <c r="E256" s="17"/>
      <c r="F256" s="17"/>
      <c r="G256" s="17"/>
      <c r="H256" s="17"/>
    </row>
    <row r="257" spans="2:8" x14ac:dyDescent="0.35">
      <c r="B257" s="78"/>
      <c r="C257" s="17"/>
      <c r="D257" s="16"/>
      <c r="E257" s="17"/>
      <c r="F257" s="17"/>
      <c r="G257" s="17"/>
      <c r="H257" s="17"/>
    </row>
    <row r="258" spans="2:8" x14ac:dyDescent="0.35">
      <c r="B258" s="78"/>
      <c r="C258" s="17"/>
      <c r="D258" s="16"/>
      <c r="E258" s="17"/>
      <c r="F258" s="17"/>
      <c r="G258" s="17"/>
      <c r="H258" s="17"/>
    </row>
    <row r="259" spans="2:8" x14ac:dyDescent="0.35">
      <c r="B259" s="78"/>
      <c r="C259" s="17"/>
      <c r="D259" s="16"/>
      <c r="E259" s="17"/>
      <c r="F259" s="17"/>
      <c r="G259" s="17"/>
      <c r="H259" s="17"/>
    </row>
    <row r="260" spans="2:8" x14ac:dyDescent="0.35">
      <c r="B260" s="78"/>
      <c r="C260" s="17"/>
      <c r="D260" s="16"/>
      <c r="E260" s="17"/>
      <c r="F260" s="17"/>
      <c r="G260" s="17"/>
      <c r="H260" s="17"/>
    </row>
    <row r="261" spans="2:8" x14ac:dyDescent="0.35">
      <c r="B261" s="78"/>
      <c r="C261" s="17"/>
      <c r="D261" s="16"/>
      <c r="E261" s="17"/>
      <c r="F261" s="17"/>
      <c r="G261" s="17"/>
      <c r="H261" s="17"/>
    </row>
    <row r="262" spans="2:8" x14ac:dyDescent="0.35">
      <c r="B262" s="78"/>
      <c r="C262" s="17"/>
      <c r="D262" s="16"/>
      <c r="E262" s="17"/>
      <c r="F262" s="17"/>
      <c r="G262" s="17"/>
      <c r="H262" s="17"/>
    </row>
    <row r="263" spans="2:8" x14ac:dyDescent="0.35">
      <c r="B263" s="17"/>
      <c r="C263" s="17"/>
      <c r="D263" s="19"/>
      <c r="E263" s="17"/>
      <c r="F263" s="17"/>
      <c r="G263" s="17"/>
      <c r="H263" s="17"/>
    </row>
    <row r="264" spans="2:8" x14ac:dyDescent="0.35">
      <c r="B264" s="17"/>
      <c r="C264" s="17"/>
      <c r="D264" s="17"/>
      <c r="E264" s="17"/>
      <c r="F264" s="17"/>
      <c r="G264" s="17"/>
      <c r="H264" s="17"/>
    </row>
    <row r="265" spans="2:8" x14ac:dyDescent="0.35">
      <c r="B265" s="17"/>
      <c r="C265" s="17"/>
      <c r="D265" s="17"/>
      <c r="E265" s="17"/>
      <c r="F265" s="17"/>
      <c r="G265" s="17"/>
      <c r="H265" s="17"/>
    </row>
  </sheetData>
  <mergeCells count="5">
    <mergeCell ref="M4:Q5"/>
    <mergeCell ref="D4:H5"/>
    <mergeCell ref="AE4:AI5"/>
    <mergeCell ref="V4:Z5"/>
    <mergeCell ref="AN4:AR5"/>
  </mergeCells>
  <phoneticPr fontId="0" type="noConversion"/>
  <pageMargins left="0.75" right="0.75" top="1" bottom="1" header="0.5" footer="0.5"/>
  <pageSetup scale="71" orientation="landscape" r:id="rId1"/>
  <headerFooter alignWithMargins="0"/>
  <colBreaks count="1" manualBreakCount="1">
    <brk id="26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00"/>
  <sheetViews>
    <sheetView view="pageBreakPreview" topLeftCell="X22" zoomScaleNormal="75" zoomScaleSheetLayoutView="100" workbookViewId="0">
      <selection activeCell="AD25" sqref="AD25"/>
    </sheetView>
  </sheetViews>
  <sheetFormatPr defaultRowHeight="12.75" x14ac:dyDescent="0.35"/>
  <cols>
    <col min="1" max="1" width="4.1328125" customWidth="1"/>
    <col min="2" max="2" width="26.59765625" bestFit="1" customWidth="1"/>
    <col min="3" max="3" width="12.86328125" customWidth="1"/>
    <col min="4" max="4" width="3" customWidth="1"/>
    <col min="5" max="5" width="11.73046875" customWidth="1"/>
    <col min="6" max="6" width="2.86328125" customWidth="1"/>
    <col min="7" max="7" width="16.1328125" customWidth="1"/>
    <col min="8" max="8" width="3.1328125" customWidth="1"/>
    <col min="9" max="9" width="4.1328125" customWidth="1"/>
    <col min="10" max="10" width="26.59765625" customWidth="1"/>
    <col min="11" max="11" width="3.265625" customWidth="1"/>
    <col min="12" max="12" width="12.1328125" customWidth="1"/>
    <col min="13" max="13" width="3" customWidth="1"/>
    <col min="14" max="14" width="11.73046875" customWidth="1"/>
    <col min="15" max="15" width="2.86328125" customWidth="1"/>
    <col min="16" max="16" width="16" customWidth="1"/>
    <col min="17" max="17" width="2.3984375" customWidth="1"/>
    <col min="18" max="18" width="4.1328125" customWidth="1"/>
    <col min="19" max="19" width="26.59765625" customWidth="1"/>
    <col min="20" max="20" width="4.265625" customWidth="1"/>
    <col min="21" max="21" width="11.73046875" customWidth="1"/>
    <col min="22" max="22" width="3" customWidth="1"/>
    <col min="23" max="23" width="11.73046875" customWidth="1"/>
    <col min="24" max="24" width="2.86328125" customWidth="1"/>
    <col min="25" max="25" width="15.3984375" customWidth="1"/>
    <col min="26" max="26" width="4.59765625" customWidth="1"/>
    <col min="27" max="27" width="4.1328125" customWidth="1"/>
    <col min="28" max="28" width="26.59765625" customWidth="1"/>
    <col min="29" max="29" width="4.265625" customWidth="1"/>
    <col min="30" max="30" width="11.73046875" customWidth="1"/>
    <col min="31" max="31" width="3" customWidth="1"/>
    <col min="32" max="32" width="11.73046875" customWidth="1"/>
    <col min="33" max="33" width="2.86328125" customWidth="1"/>
    <col min="34" max="34" width="15.3984375" customWidth="1"/>
    <col min="35" max="35" width="3.1328125" customWidth="1"/>
    <col min="36" max="36" width="4.1328125" customWidth="1"/>
    <col min="37" max="37" width="26.59765625" customWidth="1"/>
    <col min="38" max="38" width="3.265625" customWidth="1"/>
    <col min="39" max="39" width="12.1328125" customWidth="1"/>
    <col min="40" max="40" width="3" customWidth="1"/>
    <col min="41" max="41" width="11.73046875" customWidth="1"/>
    <col min="42" max="42" width="2.86328125" customWidth="1"/>
    <col min="43" max="43" width="14.3984375" customWidth="1"/>
    <col min="44" max="44" width="3.86328125" customWidth="1"/>
    <col min="45" max="45" width="4.1328125" customWidth="1"/>
    <col min="46" max="46" width="26.59765625" customWidth="1"/>
    <col min="47" max="47" width="3.265625" customWidth="1"/>
    <col min="48" max="48" width="12.1328125" customWidth="1"/>
    <col min="49" max="49" width="3" customWidth="1"/>
    <col min="50" max="50" width="11.73046875" customWidth="1"/>
    <col min="51" max="51" width="2.86328125" customWidth="1"/>
    <col min="52" max="52" width="14.3984375" customWidth="1"/>
  </cols>
  <sheetData>
    <row r="1" spans="1:52" ht="13.15" x14ac:dyDescent="0.4">
      <c r="A1" s="34" t="s">
        <v>35</v>
      </c>
      <c r="I1" s="34"/>
      <c r="R1" s="34" t="s">
        <v>35</v>
      </c>
      <c r="AA1" s="34"/>
      <c r="AJ1" s="34"/>
      <c r="AS1" s="34"/>
    </row>
    <row r="2" spans="1:52" ht="13.15" x14ac:dyDescent="0.4">
      <c r="A2" s="34" t="s">
        <v>56</v>
      </c>
      <c r="I2" s="34"/>
      <c r="R2" s="34" t="s">
        <v>56</v>
      </c>
      <c r="AA2" s="34"/>
      <c r="AJ2" s="34"/>
      <c r="AS2" s="34"/>
    </row>
    <row r="3" spans="1:52" ht="13.15" x14ac:dyDescent="0.4">
      <c r="A3" s="75" t="s">
        <v>30</v>
      </c>
      <c r="B3" s="76"/>
      <c r="I3" s="34"/>
      <c r="J3" s="28"/>
      <c r="K3" s="28"/>
      <c r="R3" s="34"/>
      <c r="S3" s="28"/>
      <c r="T3" s="28"/>
      <c r="AA3" s="34"/>
      <c r="AB3" s="28"/>
      <c r="AC3" s="28"/>
      <c r="AJ3" s="34"/>
      <c r="AK3" s="28"/>
      <c r="AL3" s="28"/>
      <c r="AS3" s="34"/>
      <c r="AT3" s="28"/>
      <c r="AU3" s="28"/>
    </row>
    <row r="5" spans="1:52" ht="12.75" customHeight="1" x14ac:dyDescent="0.4">
      <c r="A5" s="87"/>
      <c r="C5" s="149" t="s">
        <v>25</v>
      </c>
      <c r="D5" s="150"/>
      <c r="E5" s="150"/>
      <c r="F5" s="150"/>
      <c r="G5" s="151"/>
      <c r="H5" s="87"/>
      <c r="I5" s="87"/>
      <c r="L5" s="155" t="s">
        <v>166</v>
      </c>
      <c r="M5" s="156"/>
      <c r="N5" s="156"/>
      <c r="O5" s="156"/>
      <c r="P5" s="157"/>
      <c r="R5" s="87"/>
      <c r="U5" s="149" t="s">
        <v>173</v>
      </c>
      <c r="V5" s="150"/>
      <c r="W5" s="150"/>
      <c r="X5" s="150"/>
      <c r="Y5" s="151"/>
      <c r="Z5" s="87"/>
      <c r="AA5" s="87"/>
      <c r="AD5" s="149" t="s">
        <v>198</v>
      </c>
      <c r="AE5" s="150"/>
      <c r="AF5" s="150"/>
      <c r="AG5" s="150"/>
      <c r="AH5" s="151"/>
      <c r="AI5" s="87"/>
      <c r="AJ5" s="87"/>
      <c r="AM5" s="155" t="s">
        <v>195</v>
      </c>
      <c r="AN5" s="156"/>
      <c r="AO5" s="156"/>
      <c r="AP5" s="156"/>
      <c r="AQ5" s="157"/>
      <c r="AS5" s="87"/>
      <c r="AV5" s="155" t="s">
        <v>194</v>
      </c>
      <c r="AW5" s="156"/>
      <c r="AX5" s="156"/>
      <c r="AY5" s="156"/>
      <c r="AZ5" s="157"/>
    </row>
    <row r="6" spans="1:52" ht="13.15" x14ac:dyDescent="0.4">
      <c r="A6" s="87"/>
      <c r="C6" s="152"/>
      <c r="D6" s="153"/>
      <c r="E6" s="153"/>
      <c r="F6" s="153"/>
      <c r="G6" s="154"/>
      <c r="H6" s="87"/>
      <c r="I6" s="87"/>
      <c r="L6" s="158"/>
      <c r="M6" s="159"/>
      <c r="N6" s="159"/>
      <c r="O6" s="159"/>
      <c r="P6" s="160"/>
      <c r="R6" s="87"/>
      <c r="U6" s="152"/>
      <c r="V6" s="153"/>
      <c r="W6" s="153"/>
      <c r="X6" s="153"/>
      <c r="Y6" s="154"/>
      <c r="Z6" s="87"/>
      <c r="AA6" s="87"/>
      <c r="AD6" s="152"/>
      <c r="AE6" s="153"/>
      <c r="AF6" s="153"/>
      <c r="AG6" s="153"/>
      <c r="AH6" s="154"/>
      <c r="AI6" s="87"/>
      <c r="AJ6" s="87"/>
      <c r="AM6" s="158"/>
      <c r="AN6" s="159"/>
      <c r="AO6" s="159"/>
      <c r="AP6" s="159"/>
      <c r="AQ6" s="160"/>
      <c r="AS6" s="87"/>
      <c r="AV6" s="158"/>
      <c r="AW6" s="159"/>
      <c r="AX6" s="159"/>
      <c r="AY6" s="159"/>
      <c r="AZ6" s="160"/>
    </row>
    <row r="7" spans="1:52" ht="26.25" x14ac:dyDescent="0.4">
      <c r="A7" s="1" t="s">
        <v>0</v>
      </c>
      <c r="C7" s="2" t="s">
        <v>2</v>
      </c>
      <c r="E7" s="4" t="s">
        <v>3</v>
      </c>
      <c r="G7" s="2" t="s">
        <v>4</v>
      </c>
      <c r="H7" s="2"/>
      <c r="I7" s="1" t="s">
        <v>0</v>
      </c>
      <c r="L7" s="2" t="s">
        <v>2</v>
      </c>
      <c r="N7" s="4" t="s">
        <v>3</v>
      </c>
      <c r="P7" s="2" t="s">
        <v>4</v>
      </c>
      <c r="R7" s="1" t="s">
        <v>0</v>
      </c>
      <c r="U7" s="2" t="s">
        <v>2</v>
      </c>
      <c r="W7" s="4" t="s">
        <v>3</v>
      </c>
      <c r="Y7" s="2" t="s">
        <v>4</v>
      </c>
      <c r="Z7" s="2"/>
      <c r="AA7" s="1" t="s">
        <v>0</v>
      </c>
      <c r="AD7" s="2" t="s">
        <v>2</v>
      </c>
      <c r="AF7" s="4" t="s">
        <v>3</v>
      </c>
      <c r="AH7" s="2" t="s">
        <v>4</v>
      </c>
      <c r="AI7" s="2"/>
      <c r="AJ7" s="1" t="s">
        <v>0</v>
      </c>
      <c r="AM7" s="2" t="s">
        <v>2</v>
      </c>
      <c r="AO7" s="4" t="s">
        <v>3</v>
      </c>
      <c r="AQ7" s="2" t="s">
        <v>4</v>
      </c>
      <c r="AS7" s="1" t="s">
        <v>0</v>
      </c>
      <c r="AV7" s="2" t="s">
        <v>2</v>
      </c>
      <c r="AX7" s="4" t="s">
        <v>3</v>
      </c>
      <c r="AZ7" s="2" t="s">
        <v>4</v>
      </c>
    </row>
    <row r="10" spans="1:52" ht="13.15" x14ac:dyDescent="0.4">
      <c r="A10" s="1" t="s">
        <v>1</v>
      </c>
      <c r="I10" s="1" t="s">
        <v>1</v>
      </c>
      <c r="R10" s="1" t="s">
        <v>1</v>
      </c>
      <c r="AA10" s="1" t="s">
        <v>1</v>
      </c>
      <c r="AJ10" s="1" t="s">
        <v>1</v>
      </c>
      <c r="AS10" s="1" t="s">
        <v>1</v>
      </c>
    </row>
    <row r="11" spans="1:52" x14ac:dyDescent="0.35">
      <c r="B11" t="s">
        <v>14</v>
      </c>
      <c r="C11" s="8">
        <v>16</v>
      </c>
      <c r="E11" s="60">
        <v>142.85</v>
      </c>
      <c r="G11" s="7">
        <f>C11*E11</f>
        <v>2285.6</v>
      </c>
      <c r="H11" s="7"/>
      <c r="J11" t="s">
        <v>14</v>
      </c>
      <c r="L11" s="8">
        <v>12</v>
      </c>
      <c r="N11" s="60">
        <v>142.85</v>
      </c>
      <c r="P11" s="7">
        <f>L11*N11</f>
        <v>1714.1999999999998</v>
      </c>
      <c r="S11" t="s">
        <v>14</v>
      </c>
      <c r="U11" s="8">
        <f>L11</f>
        <v>12</v>
      </c>
      <c r="W11" s="5">
        <v>142.85</v>
      </c>
      <c r="Y11" s="7">
        <f>U11*W11</f>
        <v>1714.1999999999998</v>
      </c>
      <c r="Z11" s="7"/>
      <c r="AB11" t="s">
        <v>14</v>
      </c>
      <c r="AD11" s="8">
        <v>1</v>
      </c>
      <c r="AF11" s="5">
        <v>148.09</v>
      </c>
      <c r="AH11" s="7">
        <f>AD11*AF11</f>
        <v>148.09</v>
      </c>
      <c r="AI11" s="7"/>
      <c r="AK11" t="s">
        <v>14</v>
      </c>
      <c r="AM11" s="8">
        <f>AD11</f>
        <v>1</v>
      </c>
      <c r="AO11" s="5">
        <v>225</v>
      </c>
      <c r="AQ11" s="7">
        <f>AM11*AO11</f>
        <v>225</v>
      </c>
      <c r="AT11" t="s">
        <v>14</v>
      </c>
      <c r="AV11" s="8">
        <f>AD11</f>
        <v>1</v>
      </c>
      <c r="AX11" s="5">
        <v>225</v>
      </c>
      <c r="AZ11" s="7">
        <f>AV11*AX11</f>
        <v>225</v>
      </c>
    </row>
    <row r="12" spans="1:52" x14ac:dyDescent="0.35">
      <c r="B12" t="s">
        <v>57</v>
      </c>
      <c r="C12" s="8">
        <v>12</v>
      </c>
      <c r="E12" s="60">
        <v>1078.8399999999999</v>
      </c>
      <c r="G12" s="7">
        <f>C12*E12</f>
        <v>12946.079999999998</v>
      </c>
      <c r="H12" s="7"/>
      <c r="J12" s="10" t="s">
        <v>57</v>
      </c>
      <c r="K12" s="10"/>
      <c r="L12" s="12">
        <v>12</v>
      </c>
      <c r="M12" s="10"/>
      <c r="N12" s="62">
        <v>1078.8399999999999</v>
      </c>
      <c r="O12" s="10"/>
      <c r="P12" s="11">
        <f>L12*N12</f>
        <v>12946.079999999998</v>
      </c>
      <c r="S12" s="10" t="s">
        <v>57</v>
      </c>
      <c r="T12" s="10"/>
      <c r="U12" s="12">
        <v>12</v>
      </c>
      <c r="V12" s="10"/>
      <c r="W12" s="22">
        <v>1078.8399999999999</v>
      </c>
      <c r="X12" s="10"/>
      <c r="Y12" s="11">
        <f>U12*W12</f>
        <v>12946.079999999998</v>
      </c>
      <c r="Z12" s="15"/>
      <c r="AB12" s="10" t="s">
        <v>57</v>
      </c>
      <c r="AC12" s="10"/>
      <c r="AD12" s="12">
        <v>1</v>
      </c>
      <c r="AE12" s="10"/>
      <c r="AF12" s="22">
        <v>1118.42</v>
      </c>
      <c r="AG12" s="10"/>
      <c r="AH12" s="11">
        <f>AD12*AF12</f>
        <v>1118.42</v>
      </c>
      <c r="AI12" s="7"/>
      <c r="AK12" s="10" t="s">
        <v>57</v>
      </c>
      <c r="AL12" s="10"/>
      <c r="AM12" s="12">
        <f>AD12</f>
        <v>1</v>
      </c>
      <c r="AN12" s="10"/>
      <c r="AO12" s="22">
        <v>1118.42</v>
      </c>
      <c r="AP12" s="10"/>
      <c r="AQ12" s="11">
        <f>AM12*AO12</f>
        <v>1118.42</v>
      </c>
      <c r="AT12" s="10" t="s">
        <v>57</v>
      </c>
      <c r="AU12" s="10"/>
      <c r="AV12" s="12">
        <f>AD12</f>
        <v>1</v>
      </c>
      <c r="AW12" s="10"/>
      <c r="AX12" s="22">
        <v>1118.42</v>
      </c>
      <c r="AY12" s="10"/>
      <c r="AZ12" s="11">
        <f>AV12*AX12</f>
        <v>1118.42</v>
      </c>
    </row>
    <row r="13" spans="1:52" x14ac:dyDescent="0.35">
      <c r="B13" s="10" t="s">
        <v>57</v>
      </c>
      <c r="C13" s="12">
        <v>4</v>
      </c>
      <c r="D13" s="10"/>
      <c r="E13" s="62">
        <v>2711.96</v>
      </c>
      <c r="F13" s="10"/>
      <c r="G13" s="11">
        <f>C13*E13</f>
        <v>10847.84</v>
      </c>
      <c r="H13" s="15"/>
      <c r="J13" s="17"/>
      <c r="K13" s="17"/>
      <c r="L13" s="19"/>
      <c r="M13" s="17"/>
      <c r="N13" s="61"/>
      <c r="O13" s="17"/>
      <c r="P13" s="15">
        <f>SUM(P11:P12)</f>
        <v>14660.279999999999</v>
      </c>
      <c r="S13" s="17"/>
      <c r="T13" s="17"/>
      <c r="U13" s="19"/>
      <c r="V13" s="17"/>
      <c r="W13" s="23"/>
      <c r="X13" s="17"/>
      <c r="Y13" s="7">
        <f>SUM(Y11:Y12)</f>
        <v>14660.279999999999</v>
      </c>
      <c r="Z13" s="7"/>
      <c r="AB13" s="17"/>
      <c r="AC13" s="17"/>
      <c r="AD13" s="19"/>
      <c r="AE13" s="17"/>
      <c r="AF13" s="23"/>
      <c r="AG13" s="17"/>
      <c r="AH13" s="7">
        <f>SUM(AH11:AH12)</f>
        <v>1266.51</v>
      </c>
      <c r="AI13" s="15"/>
      <c r="AK13" s="17"/>
      <c r="AL13" s="17"/>
      <c r="AM13" s="19"/>
      <c r="AN13" s="17"/>
      <c r="AO13" s="23"/>
      <c r="AP13" s="17"/>
      <c r="AQ13" s="7">
        <f>SUM(AQ11:AQ12)</f>
        <v>1343.42</v>
      </c>
      <c r="AT13" s="17"/>
      <c r="AU13" s="17"/>
      <c r="AV13" s="19"/>
      <c r="AW13" s="17"/>
      <c r="AX13" s="23"/>
      <c r="AY13" s="17"/>
      <c r="AZ13" s="7">
        <f>SUM(AZ11:AZ12)</f>
        <v>1343.42</v>
      </c>
    </row>
    <row r="14" spans="1:52" x14ac:dyDescent="0.35">
      <c r="B14" s="17"/>
      <c r="C14" s="19"/>
      <c r="D14" s="17"/>
      <c r="E14" s="61"/>
      <c r="F14" s="17"/>
      <c r="G14" s="15">
        <f>SUM(G11:G13)</f>
        <v>26079.519999999997</v>
      </c>
      <c r="H14" s="15"/>
      <c r="J14" s="17"/>
      <c r="K14" s="17"/>
      <c r="L14" s="19"/>
      <c r="M14" s="17"/>
      <c r="N14" s="61"/>
      <c r="O14" s="17"/>
      <c r="U14" s="8"/>
      <c r="W14" s="5"/>
      <c r="AD14" s="8"/>
      <c r="AF14" s="5"/>
      <c r="AI14" s="15"/>
      <c r="AK14" s="17"/>
      <c r="AL14" s="17"/>
      <c r="AM14" s="19"/>
      <c r="AN14" s="17"/>
      <c r="AO14" s="23"/>
      <c r="AP14" s="17"/>
      <c r="AQ14" s="15"/>
      <c r="AT14" s="17"/>
      <c r="AU14" s="17"/>
      <c r="AV14" s="19"/>
      <c r="AW14" s="17"/>
      <c r="AX14" s="23"/>
      <c r="AY14" s="17"/>
      <c r="AZ14" s="15"/>
    </row>
    <row r="15" spans="1:52" x14ac:dyDescent="0.35">
      <c r="B15" s="17"/>
      <c r="C15" s="19"/>
      <c r="D15" s="17"/>
      <c r="E15" s="61"/>
      <c r="F15" s="17"/>
      <c r="G15" s="15"/>
      <c r="H15" s="7"/>
      <c r="J15" s="17"/>
      <c r="K15" s="17"/>
      <c r="L15" s="19"/>
      <c r="M15" s="17"/>
      <c r="N15" s="23"/>
      <c r="O15" s="17"/>
      <c r="P15" s="15"/>
      <c r="AI15" s="7"/>
      <c r="AK15" s="17"/>
      <c r="AL15" s="17"/>
      <c r="AM15" s="19"/>
      <c r="AN15" s="17"/>
      <c r="AO15" s="23"/>
      <c r="AP15" s="17"/>
      <c r="AQ15" s="15"/>
      <c r="AT15" s="17"/>
      <c r="AU15" s="17"/>
      <c r="AV15" s="19"/>
      <c r="AW15" s="17"/>
      <c r="AX15" s="23"/>
      <c r="AY15" s="17"/>
      <c r="AZ15" s="15"/>
    </row>
    <row r="16" spans="1:52" ht="13.15" x14ac:dyDescent="0.4">
      <c r="A16" s="1" t="s">
        <v>8</v>
      </c>
      <c r="I16" s="1" t="s">
        <v>8</v>
      </c>
      <c r="R16" s="1" t="s">
        <v>8</v>
      </c>
      <c r="AA16" s="1" t="s">
        <v>8</v>
      </c>
      <c r="AJ16" s="1" t="s">
        <v>8</v>
      </c>
      <c r="AS16" s="1" t="s">
        <v>8</v>
      </c>
    </row>
    <row r="17" spans="1:52" x14ac:dyDescent="0.35">
      <c r="B17" s="14" t="s">
        <v>64</v>
      </c>
      <c r="C17" s="46">
        <v>59224</v>
      </c>
      <c r="E17" s="5">
        <v>6.16</v>
      </c>
      <c r="G17" s="5">
        <f>C17*E17</f>
        <v>364819.84</v>
      </c>
      <c r="J17" s="14" t="s">
        <v>64</v>
      </c>
      <c r="K17" s="14"/>
      <c r="L17" s="6">
        <v>27600</v>
      </c>
      <c r="N17" s="5">
        <v>6.16</v>
      </c>
      <c r="P17" s="5">
        <f>L17*N17</f>
        <v>170016</v>
      </c>
      <c r="S17" s="14" t="s">
        <v>64</v>
      </c>
      <c r="U17" s="6">
        <f>L17</f>
        <v>27600</v>
      </c>
      <c r="W17" s="5">
        <v>6.16</v>
      </c>
      <c r="Y17" s="5">
        <f>U17*W17</f>
        <v>170016</v>
      </c>
      <c r="Z17" s="5"/>
      <c r="AB17" s="14" t="s">
        <v>64</v>
      </c>
      <c r="AD17" s="6">
        <f>U17/U11</f>
        <v>2300</v>
      </c>
      <c r="AF17" s="5">
        <v>6.39</v>
      </c>
      <c r="AH17" s="5">
        <f>AD17*AF17</f>
        <v>14697</v>
      </c>
      <c r="AK17" s="14" t="s">
        <v>64</v>
      </c>
      <c r="AL17" s="14"/>
      <c r="AM17" s="6">
        <f>AD17</f>
        <v>2300</v>
      </c>
      <c r="AO17" s="5">
        <v>6.49</v>
      </c>
      <c r="AQ17" s="5">
        <f>AM17*AO17</f>
        <v>14927</v>
      </c>
      <c r="AT17" s="14" t="s">
        <v>64</v>
      </c>
      <c r="AU17" s="14"/>
      <c r="AV17" s="6">
        <f>AD17</f>
        <v>2300</v>
      </c>
      <c r="AX17" s="5">
        <v>6.63</v>
      </c>
      <c r="AZ17" s="5">
        <f>AV17*AX17</f>
        <v>15249</v>
      </c>
    </row>
    <row r="18" spans="1:52" x14ac:dyDescent="0.35">
      <c r="B18" s="26" t="s">
        <v>65</v>
      </c>
      <c r="C18" s="88">
        <f>60974.773-59224</f>
        <v>1750.773000000001</v>
      </c>
      <c r="D18" s="10"/>
      <c r="E18" s="22">
        <v>6.16</v>
      </c>
      <c r="F18" s="10"/>
      <c r="G18" s="22">
        <f>C18*E18</f>
        <v>10784.761680000007</v>
      </c>
      <c r="J18" s="26" t="s">
        <v>65</v>
      </c>
      <c r="K18" s="26"/>
      <c r="L18" s="88">
        <f>C18</f>
        <v>1750.773000000001</v>
      </c>
      <c r="M18" s="10"/>
      <c r="N18" s="22">
        <v>6.16</v>
      </c>
      <c r="O18" s="10"/>
      <c r="P18" s="22">
        <f>L18*N18</f>
        <v>10784.761680000007</v>
      </c>
      <c r="S18" s="26" t="s">
        <v>65</v>
      </c>
      <c r="T18" s="10"/>
      <c r="U18" s="12">
        <f>L18</f>
        <v>1750.773000000001</v>
      </c>
      <c r="V18" s="10"/>
      <c r="W18" s="22">
        <v>6.16</v>
      </c>
      <c r="X18" s="10"/>
      <c r="Y18" s="22">
        <f>U18*W18</f>
        <v>10784.761680000007</v>
      </c>
      <c r="Z18" s="23"/>
      <c r="AB18" s="26" t="s">
        <v>65</v>
      </c>
      <c r="AC18" s="10"/>
      <c r="AD18" s="12">
        <f>U18/U12</f>
        <v>145.89775000000009</v>
      </c>
      <c r="AE18" s="10"/>
      <c r="AF18" s="22">
        <v>6.39</v>
      </c>
      <c r="AG18" s="10"/>
      <c r="AH18" s="22">
        <f>AD18*AF18</f>
        <v>932.28662250000048</v>
      </c>
      <c r="AK18" s="26" t="s">
        <v>65</v>
      </c>
      <c r="AL18" s="26"/>
      <c r="AM18" s="9">
        <f>AD18</f>
        <v>145.89775000000009</v>
      </c>
      <c r="AN18" s="10"/>
      <c r="AO18" s="22">
        <f>AO17</f>
        <v>6.49</v>
      </c>
      <c r="AP18" s="10"/>
      <c r="AQ18" s="22">
        <f>AM18*AO18</f>
        <v>946.87639750000062</v>
      </c>
      <c r="AT18" s="26" t="s">
        <v>65</v>
      </c>
      <c r="AU18" s="26"/>
      <c r="AV18" s="9">
        <f>AD18</f>
        <v>145.89775000000009</v>
      </c>
      <c r="AW18" s="10"/>
      <c r="AX18" s="22">
        <f>AX17</f>
        <v>6.63</v>
      </c>
      <c r="AY18" s="10"/>
      <c r="AZ18" s="22">
        <f>AV18*AX18</f>
        <v>967.30208250000055</v>
      </c>
    </row>
    <row r="19" spans="1:52" x14ac:dyDescent="0.35">
      <c r="C19" s="107">
        <f>SUM(C17:C18)</f>
        <v>60974.773000000001</v>
      </c>
      <c r="G19" s="7">
        <f>SUM(G17:G18)</f>
        <v>375604.60168000002</v>
      </c>
      <c r="H19" s="60"/>
      <c r="J19" s="17"/>
      <c r="K19" s="17"/>
      <c r="L19" s="8"/>
      <c r="N19" s="7">
        <f>SUM(N17:N18)</f>
        <v>12.32</v>
      </c>
      <c r="P19" s="7">
        <f>SUM(P17:P18)</f>
        <v>180800.76168</v>
      </c>
      <c r="W19" s="7">
        <f>SUM(W17:W18)</f>
        <v>12.32</v>
      </c>
      <c r="Y19" s="7">
        <f>SUM(Y17:Y18)</f>
        <v>180800.76168</v>
      </c>
      <c r="Z19" s="7"/>
      <c r="AF19" s="7">
        <f>SUM(AF17:AF18)</f>
        <v>12.78</v>
      </c>
      <c r="AH19" s="7">
        <f>SUM(AH17:AH18)</f>
        <v>15629.2866225</v>
      </c>
      <c r="AI19" s="60"/>
      <c r="AK19" s="17"/>
      <c r="AL19" s="17"/>
      <c r="AO19" s="7">
        <f>SUM(AO17:AO18)</f>
        <v>12.98</v>
      </c>
      <c r="AQ19" s="7">
        <f>SUM(AQ17:AQ18)</f>
        <v>15873.8763975</v>
      </c>
      <c r="AT19" s="17"/>
      <c r="AU19" s="17"/>
      <c r="AX19" s="7">
        <f>SUM(AX17:AX18)</f>
        <v>13.26</v>
      </c>
      <c r="AZ19" s="7">
        <f>SUM(AZ17:AZ18)</f>
        <v>16216.3020825</v>
      </c>
    </row>
    <row r="20" spans="1:52" x14ac:dyDescent="0.35">
      <c r="B20" s="17"/>
      <c r="C20" s="59"/>
      <c r="D20" s="17"/>
      <c r="E20" s="23"/>
      <c r="F20" s="17"/>
      <c r="G20" s="23"/>
      <c r="W20" s="7"/>
      <c r="Y20" s="7"/>
      <c r="Z20" s="7"/>
      <c r="AF20" s="7"/>
      <c r="AH20" s="7"/>
    </row>
    <row r="21" spans="1:52" ht="13.15" x14ac:dyDescent="0.4">
      <c r="A21" s="1" t="s">
        <v>5</v>
      </c>
      <c r="W21" s="7"/>
      <c r="Y21" s="7"/>
      <c r="Z21" s="7"/>
      <c r="AF21" s="7"/>
      <c r="AH21" s="7"/>
      <c r="AM21" s="43"/>
      <c r="AO21" s="53"/>
      <c r="AQ21" s="71"/>
      <c r="AV21" s="43"/>
      <c r="AX21" s="53"/>
      <c r="AZ21" s="71"/>
    </row>
    <row r="22" spans="1:52" ht="13.15" x14ac:dyDescent="0.4">
      <c r="A22" s="7"/>
      <c r="B22" s="14" t="s">
        <v>29</v>
      </c>
      <c r="C22" s="43">
        <v>25097497</v>
      </c>
      <c r="E22" s="44">
        <v>5.1709999999999999E-2</v>
      </c>
      <c r="G22" s="7">
        <f>C22*E22</f>
        <v>1297791.56987</v>
      </c>
      <c r="I22" s="1" t="s">
        <v>5</v>
      </c>
      <c r="L22" s="43"/>
      <c r="N22" s="53"/>
      <c r="P22" s="71"/>
      <c r="AJ22" s="1" t="s">
        <v>5</v>
      </c>
      <c r="AM22" s="43"/>
      <c r="AO22" s="53"/>
      <c r="AQ22" s="71"/>
      <c r="AS22" s="1" t="s">
        <v>5</v>
      </c>
      <c r="AV22" s="43"/>
      <c r="AX22" s="53"/>
      <c r="AZ22" s="71"/>
    </row>
    <row r="23" spans="1:52" ht="13.15" x14ac:dyDescent="0.4">
      <c r="A23" s="7"/>
      <c r="B23" s="26" t="s">
        <v>52</v>
      </c>
      <c r="C23" s="69">
        <v>920000</v>
      </c>
      <c r="D23" s="10"/>
      <c r="E23" s="51">
        <v>5.0119999999999998E-2</v>
      </c>
      <c r="F23" s="10"/>
      <c r="G23" s="11">
        <f>C23*E23</f>
        <v>46110.400000000001</v>
      </c>
      <c r="I23" s="1"/>
      <c r="J23" s="14" t="s">
        <v>29</v>
      </c>
      <c r="L23" s="43">
        <f>11857233-920000</f>
        <v>10937233</v>
      </c>
      <c r="N23" s="44">
        <v>5.1709999999999999E-2</v>
      </c>
      <c r="P23" s="7">
        <f>L23*N23</f>
        <v>565564.31842999998</v>
      </c>
      <c r="R23" s="1" t="s">
        <v>5</v>
      </c>
      <c r="U23" s="43"/>
      <c r="AA23" s="1" t="s">
        <v>5</v>
      </c>
      <c r="AD23" s="43"/>
      <c r="AJ23" s="1"/>
      <c r="AK23" s="108" t="s">
        <v>174</v>
      </c>
      <c r="AM23" s="43">
        <f>AD24</f>
        <v>988102.75</v>
      </c>
      <c r="AO23" s="44">
        <f>AF24</f>
        <v>5.1959999999999999E-2</v>
      </c>
      <c r="AQ23" s="7">
        <f>AM23*AO23</f>
        <v>51341.818890000002</v>
      </c>
      <c r="AS23" s="1"/>
      <c r="AT23" s="108" t="s">
        <v>174</v>
      </c>
      <c r="AV23" s="43">
        <f>AD24</f>
        <v>988102.75</v>
      </c>
      <c r="AX23" s="44">
        <f>AO23</f>
        <v>5.1959999999999999E-2</v>
      </c>
      <c r="AZ23" s="7">
        <f>AV23*AX23</f>
        <v>51341.818890000002</v>
      </c>
    </row>
    <row r="24" spans="1:52" ht="13.15" x14ac:dyDescent="0.4">
      <c r="C24" s="43">
        <f>SUM(C22:C23)</f>
        <v>26017497</v>
      </c>
      <c r="G24" s="7">
        <f>SUM(G22:G23)</f>
        <v>1343901.9698699999</v>
      </c>
      <c r="I24" s="1"/>
      <c r="J24" s="26" t="s">
        <v>52</v>
      </c>
      <c r="K24" s="10"/>
      <c r="L24" s="69">
        <v>920000</v>
      </c>
      <c r="M24" s="10"/>
      <c r="N24" s="51">
        <v>5.0119999999999998E-2</v>
      </c>
      <c r="O24" s="10"/>
      <c r="P24" s="11">
        <f>L24*N24</f>
        <v>46110.400000000001</v>
      </c>
      <c r="R24" s="1"/>
      <c r="S24" s="108" t="s">
        <v>174</v>
      </c>
      <c r="U24" s="43">
        <f>L25</f>
        <v>11857233</v>
      </c>
      <c r="W24" s="44">
        <f>N24</f>
        <v>5.0119999999999998E-2</v>
      </c>
      <c r="Y24" s="7">
        <f>U24*W24</f>
        <v>594284.51795999997</v>
      </c>
      <c r="Z24" s="7"/>
      <c r="AA24" s="1"/>
      <c r="AB24" s="108" t="s">
        <v>174</v>
      </c>
      <c r="AD24" s="43">
        <f>U24/U11</f>
        <v>988102.75</v>
      </c>
      <c r="AF24" s="44">
        <v>5.1959999999999999E-2</v>
      </c>
      <c r="AH24" s="7">
        <f>AD24*AF24</f>
        <v>51341.818890000002</v>
      </c>
      <c r="AJ24" s="1"/>
      <c r="AK24" s="17"/>
      <c r="AL24" s="17"/>
      <c r="AM24" s="118"/>
      <c r="AN24" s="17"/>
      <c r="AO24" s="44"/>
      <c r="AP24" s="17"/>
      <c r="AQ24" s="15"/>
      <c r="AS24" s="1"/>
      <c r="AT24" s="17"/>
      <c r="AU24" s="17"/>
      <c r="AV24" s="118"/>
      <c r="AW24" s="17"/>
      <c r="AX24" s="44"/>
      <c r="AY24" s="17"/>
      <c r="AZ24" s="15"/>
    </row>
    <row r="25" spans="1:52" ht="13.15" x14ac:dyDescent="0.4">
      <c r="H25" s="7"/>
      <c r="I25" s="1"/>
      <c r="J25" s="27"/>
      <c r="K25" s="27"/>
      <c r="L25" s="19">
        <f>SUM(L23:L24)</f>
        <v>11857233</v>
      </c>
      <c r="M25" s="17"/>
      <c r="N25" s="44"/>
      <c r="O25" s="17"/>
      <c r="P25" s="15">
        <f>SUM(P23:P24)</f>
        <v>611674.71843000001</v>
      </c>
      <c r="R25" s="1"/>
      <c r="S25" s="17"/>
      <c r="T25" s="17"/>
      <c r="U25" s="118"/>
      <c r="V25" s="17"/>
      <c r="W25" s="44"/>
      <c r="X25" s="17"/>
      <c r="Y25" s="15"/>
      <c r="Z25" s="15"/>
      <c r="AA25" s="1"/>
      <c r="AB25" s="17"/>
      <c r="AC25" s="17"/>
      <c r="AD25" s="118"/>
      <c r="AE25" s="17"/>
      <c r="AF25" s="44"/>
      <c r="AG25" s="17"/>
      <c r="AH25" s="15"/>
      <c r="AI25" s="7"/>
      <c r="AJ25" s="7"/>
      <c r="AK25" s="27"/>
      <c r="AL25" s="27"/>
      <c r="AM25" s="19"/>
      <c r="AN25" s="17"/>
      <c r="AO25" s="44"/>
      <c r="AP25" s="17"/>
      <c r="AQ25" s="15"/>
      <c r="AS25" s="7"/>
      <c r="AT25" s="27"/>
      <c r="AU25" s="27"/>
      <c r="AV25" s="19"/>
      <c r="AW25" s="17"/>
      <c r="AX25" s="44"/>
      <c r="AY25" s="17"/>
      <c r="AZ25" s="15"/>
    </row>
    <row r="26" spans="1:52" x14ac:dyDescent="0.35">
      <c r="A26" s="7"/>
      <c r="B26" s="27" t="s">
        <v>26</v>
      </c>
      <c r="C26" s="19"/>
      <c r="D26" s="17"/>
      <c r="E26" s="63"/>
      <c r="F26" s="17"/>
      <c r="G26" s="15">
        <f>E75</f>
        <v>0</v>
      </c>
      <c r="H26" s="7"/>
      <c r="I26" s="7"/>
      <c r="R26" s="7"/>
      <c r="S26" s="27"/>
      <c r="T26" s="27"/>
      <c r="U26" s="19"/>
      <c r="V26" s="17"/>
      <c r="W26" s="44"/>
      <c r="X26" s="17"/>
      <c r="Y26" s="15"/>
      <c r="Z26" s="15"/>
      <c r="AA26" s="7"/>
      <c r="AB26" s="27"/>
      <c r="AC26" s="27"/>
      <c r="AD26" s="19"/>
      <c r="AE26" s="17"/>
      <c r="AF26" s="44"/>
      <c r="AG26" s="17"/>
      <c r="AH26" s="15"/>
      <c r="AI26" s="7"/>
      <c r="AK26" s="117" t="s">
        <v>175</v>
      </c>
      <c r="AL26" s="27"/>
      <c r="AM26" s="19"/>
      <c r="AN26" s="17"/>
      <c r="AO26" s="17"/>
      <c r="AP26" s="17"/>
      <c r="AQ26" s="15">
        <f>AH27</f>
        <v>-3061.5491274999999</v>
      </c>
      <c r="AT26" s="117" t="s">
        <v>175</v>
      </c>
      <c r="AU26" s="27"/>
      <c r="AV26" s="19"/>
      <c r="AW26" s="17"/>
      <c r="AX26" s="17"/>
      <c r="AY26" s="17"/>
      <c r="AZ26" s="15">
        <f>AH27</f>
        <v>-3061.5491274999999</v>
      </c>
    </row>
    <row r="27" spans="1:52" x14ac:dyDescent="0.35">
      <c r="A27" s="7"/>
      <c r="H27" s="7"/>
      <c r="S27" s="117" t="s">
        <v>175</v>
      </c>
      <c r="T27" s="27"/>
      <c r="U27" s="19"/>
      <c r="V27" s="17"/>
      <c r="W27" s="18"/>
      <c r="X27" s="17"/>
      <c r="Y27" s="15">
        <f>P30+(0.00159*L23)</f>
        <v>-36738.589529999997</v>
      </c>
      <c r="Z27" s="15"/>
      <c r="AB27" s="117" t="s">
        <v>175</v>
      </c>
      <c r="AC27" s="27"/>
      <c r="AD27" s="19">
        <f>Y27/U24</f>
        <v>-3.0984117061712457E-3</v>
      </c>
      <c r="AE27" s="17"/>
      <c r="AF27" s="18"/>
      <c r="AG27" s="17"/>
      <c r="AH27" s="15">
        <f>AD24*AD27</f>
        <v>-3061.5491274999999</v>
      </c>
      <c r="AI27" s="7"/>
      <c r="AK27" s="27"/>
      <c r="AL27" s="27"/>
      <c r="AM27" s="19"/>
      <c r="AN27" s="17"/>
      <c r="AO27" s="18"/>
      <c r="AP27" s="17"/>
      <c r="AQ27" s="32"/>
      <c r="AT27" s="27"/>
      <c r="AU27" s="27"/>
      <c r="AV27" s="19"/>
      <c r="AW27" s="17"/>
      <c r="AX27" s="18"/>
      <c r="AY27" s="17"/>
      <c r="AZ27" s="32"/>
    </row>
    <row r="28" spans="1:52" ht="13.15" x14ac:dyDescent="0.4">
      <c r="B28" s="108" t="s">
        <v>175</v>
      </c>
      <c r="G28" s="5">
        <v>-114950.09</v>
      </c>
      <c r="H28" s="15"/>
      <c r="J28" s="27" t="s">
        <v>26</v>
      </c>
      <c r="K28" s="27"/>
      <c r="L28" s="19"/>
      <c r="M28" s="17"/>
      <c r="N28" s="18"/>
      <c r="O28" s="17"/>
      <c r="P28" s="15">
        <v>0</v>
      </c>
      <c r="S28" s="27"/>
      <c r="T28" s="27"/>
      <c r="U28" s="19"/>
      <c r="V28" s="17"/>
      <c r="W28" s="18"/>
      <c r="X28" s="17"/>
      <c r="Y28" s="32"/>
      <c r="Z28" s="32"/>
      <c r="AB28" s="27"/>
      <c r="AC28" s="27"/>
      <c r="AD28" s="19"/>
      <c r="AE28" s="17"/>
      <c r="AF28" s="18"/>
      <c r="AG28" s="17"/>
      <c r="AH28" s="32"/>
      <c r="AI28" s="15"/>
      <c r="AJ28" s="1"/>
      <c r="AK28" s="1" t="s">
        <v>33</v>
      </c>
      <c r="AQ28" s="7">
        <f>AQ13+AQ19+AQ23+AQ26</f>
        <v>65497.566159999995</v>
      </c>
      <c r="AS28" s="1"/>
      <c r="AT28" s="1" t="s">
        <v>33</v>
      </c>
      <c r="AZ28" s="7">
        <f>AZ13+AZ19+AZ23+AZ26</f>
        <v>65839.991845000011</v>
      </c>
    </row>
    <row r="29" spans="1:52" ht="13.15" x14ac:dyDescent="0.4">
      <c r="B29" s="27"/>
      <c r="C29" s="19"/>
      <c r="D29" s="17"/>
      <c r="E29" s="63"/>
      <c r="F29" s="17"/>
      <c r="G29" s="32"/>
      <c r="H29" s="15"/>
      <c r="I29" s="1"/>
      <c r="R29" s="1"/>
      <c r="S29" s="1" t="s">
        <v>33</v>
      </c>
      <c r="Y29" s="7">
        <f>Y13+Y19+Y24+Y27</f>
        <v>753006.97010999999</v>
      </c>
      <c r="Z29" s="7"/>
      <c r="AA29" s="1"/>
      <c r="AB29" s="1" t="s">
        <v>33</v>
      </c>
      <c r="AH29" s="7">
        <f>AH13+AH19+AH24+AH27</f>
        <v>65176.066384999991</v>
      </c>
      <c r="AI29" s="15"/>
      <c r="AJ29" s="15"/>
      <c r="AS29" s="15"/>
    </row>
    <row r="30" spans="1:52" ht="13.5" thickBot="1" x14ac:dyDescent="0.45">
      <c r="A30" s="1"/>
      <c r="B30" t="s">
        <v>17</v>
      </c>
      <c r="C30" s="8"/>
      <c r="E30" s="65"/>
      <c r="G30" s="13">
        <f>G14+G19+G24+G26+G28</f>
        <v>1630636.0015499999</v>
      </c>
      <c r="I30" s="15"/>
      <c r="J30" s="108" t="s">
        <v>175</v>
      </c>
      <c r="K30" s="27"/>
      <c r="L30" s="19">
        <f>L22</f>
        <v>0</v>
      </c>
      <c r="M30" s="17"/>
      <c r="N30" s="17">
        <v>0</v>
      </c>
      <c r="O30" s="17"/>
      <c r="P30" s="15">
        <v>-54128.789999999994</v>
      </c>
      <c r="R30" s="15"/>
      <c r="AA30" s="15"/>
      <c r="AJ30" s="15"/>
      <c r="AK30" t="s">
        <v>34</v>
      </c>
      <c r="AQ30" s="83">
        <f>Y31</f>
        <v>1.000000005182027</v>
      </c>
      <c r="AS30" s="15"/>
      <c r="AT30" t="s">
        <v>34</v>
      </c>
      <c r="AZ30" s="83">
        <f>AH31</f>
        <v>1.000000005182027</v>
      </c>
    </row>
    <row r="31" spans="1:52" ht="13.15" thickTop="1" x14ac:dyDescent="0.35">
      <c r="A31" s="15"/>
      <c r="C31" s="8"/>
      <c r="E31" s="65"/>
      <c r="G31" s="7"/>
      <c r="H31" s="15"/>
      <c r="I31" s="15"/>
      <c r="J31" s="27"/>
      <c r="K31" s="27"/>
      <c r="L31" s="19"/>
      <c r="M31" s="17"/>
      <c r="N31" s="18"/>
      <c r="O31" s="17"/>
      <c r="P31" s="32"/>
      <c r="R31" s="15"/>
      <c r="S31" t="s">
        <v>34</v>
      </c>
      <c r="Y31" s="83">
        <f>P34</f>
        <v>1.000000005182027</v>
      </c>
      <c r="Z31" s="83"/>
      <c r="AA31" s="15"/>
      <c r="AB31" t="s">
        <v>34</v>
      </c>
      <c r="AH31" s="83">
        <f>Y31</f>
        <v>1.000000005182027</v>
      </c>
      <c r="AI31" s="15"/>
      <c r="AJ31" s="15"/>
      <c r="AS31" s="15"/>
    </row>
    <row r="32" spans="1:52" ht="13.5" thickBot="1" x14ac:dyDescent="0.45">
      <c r="A32" s="15"/>
      <c r="B32" t="s">
        <v>18</v>
      </c>
      <c r="G32" s="60">
        <f>1721792.18+23793.92</f>
        <v>1745586.0999999999</v>
      </c>
      <c r="H32" s="32"/>
      <c r="I32" s="15"/>
      <c r="J32" s="1" t="s">
        <v>33</v>
      </c>
      <c r="P32" s="7">
        <f>P13+P19+P25+P28+P30</f>
        <v>753006.97010999999</v>
      </c>
      <c r="R32" s="15"/>
      <c r="AA32" s="15"/>
      <c r="AI32" s="32"/>
      <c r="AJ32" s="15"/>
      <c r="AK32" s="1" t="s">
        <v>7</v>
      </c>
      <c r="AQ32" s="13">
        <f>AQ28*AQ30</f>
        <v>65497.566499410153</v>
      </c>
      <c r="AS32" s="15"/>
      <c r="AT32" s="1" t="s">
        <v>7</v>
      </c>
      <c r="AZ32" s="13">
        <f>AZ28*AZ30</f>
        <v>65839.992186184623</v>
      </c>
    </row>
    <row r="33" spans="1:52" ht="13.9" thickTop="1" thickBot="1" x14ac:dyDescent="0.45">
      <c r="A33" s="15"/>
      <c r="H33" s="15"/>
      <c r="I33" s="15"/>
      <c r="R33" s="15"/>
      <c r="S33" s="1" t="s">
        <v>7</v>
      </c>
      <c r="Y33" s="13">
        <f>Y29*Y31</f>
        <v>753006.97401210247</v>
      </c>
      <c r="Z33" s="15"/>
      <c r="AA33" s="15"/>
      <c r="AB33" s="1" t="s">
        <v>7</v>
      </c>
      <c r="AH33" s="13">
        <f>AH29*AH31</f>
        <v>65176.06672274413</v>
      </c>
      <c r="AI33" s="15"/>
      <c r="AJ33" s="15"/>
      <c r="AK33" s="17"/>
      <c r="AL33" s="17"/>
      <c r="AM33" s="19"/>
      <c r="AN33" s="17"/>
      <c r="AO33" s="18"/>
      <c r="AP33" s="17"/>
      <c r="AQ33" s="15"/>
      <c r="AS33" s="15"/>
      <c r="AT33" s="17"/>
      <c r="AU33" s="17"/>
      <c r="AV33" s="19"/>
      <c r="AW33" s="17"/>
      <c r="AX33" s="18"/>
      <c r="AY33" s="17"/>
      <c r="AZ33" s="15"/>
    </row>
    <row r="34" spans="1:52" ht="13.15" thickTop="1" x14ac:dyDescent="0.35">
      <c r="A34" s="7"/>
      <c r="B34" s="108" t="s">
        <v>175</v>
      </c>
      <c r="G34" s="5">
        <v>-114950.09</v>
      </c>
      <c r="H34" s="7"/>
      <c r="I34" s="15"/>
      <c r="J34" t="s">
        <v>34</v>
      </c>
      <c r="P34" s="83">
        <f>G38</f>
        <v>1.000000005182027</v>
      </c>
      <c r="R34" s="15"/>
      <c r="S34" s="17"/>
      <c r="T34" s="17"/>
      <c r="U34" s="19"/>
      <c r="V34" s="17"/>
      <c r="W34" s="18"/>
      <c r="X34" s="17"/>
      <c r="Y34" s="15"/>
      <c r="Z34" s="15"/>
      <c r="AA34" s="15"/>
      <c r="AB34" s="17"/>
      <c r="AC34" s="17"/>
      <c r="AD34" s="19"/>
      <c r="AE34" s="17"/>
      <c r="AF34" s="18"/>
      <c r="AG34" s="17"/>
      <c r="AH34" s="15"/>
      <c r="AI34" s="7"/>
      <c r="AK34" t="s">
        <v>12</v>
      </c>
      <c r="AQ34" s="5">
        <f>AQ32-AH33</f>
        <v>321.49977666602354</v>
      </c>
      <c r="AT34" t="s">
        <v>12</v>
      </c>
      <c r="AZ34" s="5">
        <f>AZ32-AQ32</f>
        <v>342.4256867744698</v>
      </c>
    </row>
    <row r="35" spans="1:52" x14ac:dyDescent="0.35">
      <c r="A35" s="7"/>
      <c r="H35" s="60"/>
      <c r="R35" s="15"/>
      <c r="Y35" s="5"/>
      <c r="Z35" s="5"/>
      <c r="AA35" s="15"/>
      <c r="AH35" s="5"/>
      <c r="AI35" s="60"/>
    </row>
    <row r="36" spans="1:52" ht="13.5" thickBot="1" x14ac:dyDescent="0.45">
      <c r="A36" s="15"/>
      <c r="B36" s="108" t="s">
        <v>177</v>
      </c>
      <c r="G36" s="13">
        <f>G32+G34</f>
        <v>1630636.0099999998</v>
      </c>
      <c r="H36" s="7"/>
      <c r="J36" s="1" t="s">
        <v>7</v>
      </c>
      <c r="P36" s="13">
        <f>P32*P34</f>
        <v>753006.97401210247</v>
      </c>
      <c r="R36" s="17"/>
      <c r="AA36" s="17"/>
      <c r="AJ36" s="15"/>
      <c r="AK36" t="s">
        <v>15</v>
      </c>
      <c r="AQ36" s="21">
        <f>AQ34/AH33</f>
        <v>4.9327888722353894E-3</v>
      </c>
      <c r="AS36" s="15"/>
      <c r="AT36" t="s">
        <v>15</v>
      </c>
      <c r="AZ36" s="21">
        <f>AZ34/AQ32</f>
        <v>5.2280673172422909E-3</v>
      </c>
    </row>
    <row r="37" spans="1:52" ht="13.15" thickTop="1" x14ac:dyDescent="0.35">
      <c r="H37" s="60"/>
      <c r="I37" s="15"/>
      <c r="J37" s="17"/>
      <c r="K37" s="17"/>
      <c r="L37" s="19"/>
      <c r="M37" s="17"/>
      <c r="N37" s="18"/>
      <c r="O37" s="17"/>
      <c r="P37" s="15"/>
      <c r="R37" s="17"/>
      <c r="Y37" s="21"/>
      <c r="Z37" s="21"/>
      <c r="AA37" s="17"/>
      <c r="AH37" s="21"/>
      <c r="AI37" s="60"/>
    </row>
    <row r="38" spans="1:52" x14ac:dyDescent="0.35">
      <c r="B38" t="s">
        <v>23</v>
      </c>
      <c r="G38" s="66">
        <f>G36/G30</f>
        <v>1.000000005182027</v>
      </c>
      <c r="H38" s="5"/>
      <c r="J38" t="s">
        <v>12</v>
      </c>
      <c r="P38" s="5">
        <f>P36-G36</f>
        <v>-877629.03598789731</v>
      </c>
      <c r="R38" s="17"/>
      <c r="AA38" s="17"/>
    </row>
    <row r="39" spans="1:52" x14ac:dyDescent="0.35">
      <c r="R39" s="17"/>
      <c r="AA39" s="17"/>
      <c r="AI39" s="66"/>
      <c r="AQ39" s="71">
        <f>AQ41/2</f>
        <v>3910.5</v>
      </c>
      <c r="AZ39" s="71">
        <f>AZ41/2</f>
        <v>3765</v>
      </c>
    </row>
    <row r="40" spans="1:52" x14ac:dyDescent="0.35">
      <c r="B40" s="27" t="s">
        <v>38</v>
      </c>
      <c r="C40" s="17"/>
      <c r="D40" s="17"/>
      <c r="E40" s="17"/>
      <c r="F40" s="17"/>
      <c r="G40" s="23">
        <v>170822.46000000002</v>
      </c>
      <c r="H40" s="23"/>
      <c r="J40" t="s">
        <v>15</v>
      </c>
      <c r="P40" s="21">
        <f>P38/G32</f>
        <v>-0.50277040816714647</v>
      </c>
    </row>
    <row r="41" spans="1:52" ht="13.15" x14ac:dyDescent="0.4">
      <c r="B41" s="24"/>
      <c r="C41" s="17"/>
      <c r="D41" s="24"/>
      <c r="E41" s="17"/>
      <c r="F41" s="24"/>
      <c r="G41" s="17"/>
      <c r="H41" s="24"/>
      <c r="AI41" s="24"/>
      <c r="AQ41" s="30">
        <v>7821</v>
      </c>
      <c r="AZ41" s="30">
        <v>7530</v>
      </c>
    </row>
    <row r="42" spans="1:52" ht="13.15" x14ac:dyDescent="0.4">
      <c r="B42" s="27" t="s">
        <v>39</v>
      </c>
      <c r="C42" s="17"/>
      <c r="D42" s="17"/>
      <c r="E42" s="17"/>
      <c r="F42" s="17"/>
      <c r="G42" s="23">
        <v>0</v>
      </c>
      <c r="H42" s="23"/>
      <c r="J42" s="27" t="s">
        <v>38</v>
      </c>
      <c r="K42" s="17"/>
      <c r="L42" s="17"/>
      <c r="M42" s="17"/>
      <c r="N42" s="17"/>
      <c r="O42" s="23"/>
      <c r="P42" s="5">
        <v>83707.590000000011</v>
      </c>
      <c r="R42" s="17"/>
      <c r="Y42" s="21"/>
      <c r="Z42" s="21"/>
      <c r="AA42" s="17"/>
      <c r="AH42" s="21"/>
      <c r="AI42" s="24"/>
      <c r="AQ42" s="21"/>
      <c r="AZ42" s="21"/>
    </row>
    <row r="43" spans="1:52" ht="13.15" x14ac:dyDescent="0.4">
      <c r="B43" s="37"/>
      <c r="C43" s="17"/>
      <c r="D43" s="16"/>
      <c r="E43" s="17"/>
      <c r="F43" s="42"/>
      <c r="G43" s="17"/>
      <c r="H43" s="23"/>
      <c r="P43" s="103"/>
      <c r="R43" s="17"/>
      <c r="Y43" s="21"/>
      <c r="Z43" s="21"/>
      <c r="AA43" s="17"/>
      <c r="AH43" s="21"/>
      <c r="AI43" s="24"/>
      <c r="AQ43" s="21"/>
      <c r="AZ43" s="103">
        <f>AQ34+AZ34</f>
        <v>663.92546344049333</v>
      </c>
    </row>
    <row r="44" spans="1:52" ht="13.15" x14ac:dyDescent="0.4">
      <c r="B44" s="85" t="s">
        <v>17</v>
      </c>
      <c r="C44" s="17"/>
      <c r="D44" s="16"/>
      <c r="E44" s="17"/>
      <c r="F44" s="42"/>
      <c r="G44" s="15">
        <f>G32+G34+G40+G42</f>
        <v>1801458.4699999997</v>
      </c>
      <c r="H44" s="23"/>
      <c r="J44" s="85" t="s">
        <v>17</v>
      </c>
      <c r="P44" s="103">
        <f>P36+P42</f>
        <v>836714.56401210243</v>
      </c>
      <c r="R44" s="17"/>
      <c r="Y44" s="21"/>
      <c r="Z44" s="21"/>
      <c r="AA44" s="17"/>
      <c r="AH44" s="21"/>
      <c r="AI44" s="24"/>
      <c r="AQ44" s="21"/>
      <c r="AZ44" s="21"/>
    </row>
    <row r="45" spans="1:52" ht="13.15" x14ac:dyDescent="0.4">
      <c r="B45" s="24"/>
      <c r="C45" s="17"/>
      <c r="D45" s="17"/>
      <c r="E45" s="24"/>
      <c r="F45" s="17"/>
      <c r="G45" s="24"/>
      <c r="H45" s="24"/>
      <c r="P45" s="103"/>
      <c r="R45" s="17"/>
      <c r="Y45" s="21"/>
      <c r="Z45" s="21"/>
      <c r="AA45" s="17"/>
      <c r="AH45" s="21"/>
      <c r="AI45" s="24"/>
      <c r="AQ45" s="21"/>
      <c r="AZ45" s="21"/>
    </row>
    <row r="46" spans="1:52" ht="13.15" x14ac:dyDescent="0.4">
      <c r="B46" s="24"/>
      <c r="C46" s="24"/>
      <c r="D46" s="17"/>
      <c r="E46" s="24"/>
      <c r="F46" s="17"/>
      <c r="G46" s="24"/>
      <c r="H46" s="24"/>
      <c r="I46" s="17"/>
      <c r="J46" s="24"/>
      <c r="K46" s="24"/>
      <c r="L46" s="24"/>
      <c r="M46" s="17"/>
      <c r="N46" s="24"/>
      <c r="O46" s="17"/>
      <c r="P46" s="81"/>
      <c r="Q46" s="17"/>
      <c r="R46" s="17"/>
      <c r="S46" s="17"/>
      <c r="T46" s="17"/>
      <c r="U46" s="17"/>
      <c r="V46" s="17"/>
      <c r="W46" s="17"/>
      <c r="X46" s="17"/>
      <c r="Y46" s="31"/>
      <c r="Z46" s="31"/>
      <c r="AA46" s="17"/>
      <c r="AB46" s="17"/>
      <c r="AC46" s="17"/>
      <c r="AD46" s="17"/>
      <c r="AE46" s="17"/>
      <c r="AF46" s="17"/>
      <c r="AG46" s="17"/>
      <c r="AH46" s="31"/>
      <c r="AI46" s="24"/>
      <c r="AJ46" s="17"/>
      <c r="AK46" s="24"/>
      <c r="AL46" s="24"/>
      <c r="AM46" s="24"/>
      <c r="AN46" s="17"/>
      <c r="AO46" s="24"/>
      <c r="AP46" s="17"/>
      <c r="AQ46" s="81"/>
      <c r="AS46" s="17"/>
      <c r="AT46" s="24"/>
      <c r="AU46" s="24"/>
      <c r="AV46" s="24"/>
      <c r="AW46" s="17"/>
      <c r="AX46" s="24"/>
      <c r="AY46" s="17"/>
      <c r="AZ46" s="81"/>
    </row>
    <row r="47" spans="1:52" x14ac:dyDescent="0.3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S47" s="17"/>
      <c r="AT47" s="17"/>
      <c r="AU47" s="17"/>
      <c r="AV47" s="17"/>
      <c r="AW47" s="17"/>
      <c r="AX47" s="17"/>
      <c r="AY47" s="17"/>
      <c r="AZ47" s="17"/>
    </row>
    <row r="48" spans="1:52" x14ac:dyDescent="0.35">
      <c r="B48" s="78"/>
      <c r="C48" s="64"/>
      <c r="D48" s="17"/>
      <c r="E48" s="42"/>
      <c r="F48" s="17"/>
      <c r="G48" s="61"/>
      <c r="H48" s="61"/>
      <c r="I48" s="17"/>
      <c r="J48" s="78"/>
      <c r="K48" s="78"/>
      <c r="L48" s="64"/>
      <c r="M48" s="17"/>
      <c r="N48" s="67"/>
      <c r="O48" s="17"/>
      <c r="P48" s="61"/>
      <c r="Q48" s="17"/>
      <c r="R48" s="17"/>
      <c r="S48" s="17"/>
      <c r="T48" s="17"/>
      <c r="U48" s="16"/>
      <c r="V48" s="17"/>
      <c r="W48" s="42"/>
      <c r="X48" s="17"/>
      <c r="Y48" s="23"/>
      <c r="Z48" s="23"/>
      <c r="AA48" s="17"/>
      <c r="AB48" s="17"/>
      <c r="AC48" s="17"/>
      <c r="AD48" s="16"/>
      <c r="AE48" s="17"/>
      <c r="AF48" s="42"/>
      <c r="AG48" s="17"/>
      <c r="AH48" s="23"/>
      <c r="AI48" s="61"/>
      <c r="AJ48" s="17"/>
      <c r="AK48" s="78"/>
      <c r="AL48" s="78"/>
      <c r="AM48" s="64"/>
      <c r="AN48" s="17"/>
      <c r="AO48" s="67"/>
      <c r="AP48" s="17"/>
      <c r="AQ48" s="61"/>
      <c r="AS48" s="17"/>
      <c r="AT48" s="78"/>
      <c r="AU48" s="78"/>
      <c r="AV48" s="64"/>
      <c r="AW48" s="17"/>
      <c r="AX48" s="67"/>
      <c r="AY48" s="17"/>
      <c r="AZ48" s="61"/>
    </row>
    <row r="49" spans="2:52" x14ac:dyDescent="0.35">
      <c r="B49" s="78"/>
      <c r="C49" s="64"/>
      <c r="D49" s="17"/>
      <c r="E49" s="42"/>
      <c r="F49" s="17"/>
      <c r="G49" s="61"/>
      <c r="H49" s="61"/>
      <c r="I49" s="17"/>
      <c r="J49" s="78"/>
      <c r="K49" s="78"/>
      <c r="L49" s="64"/>
      <c r="M49" s="17"/>
      <c r="N49" s="67"/>
      <c r="O49" s="17"/>
      <c r="P49" s="61"/>
      <c r="Q49" s="17"/>
      <c r="R49" s="17"/>
      <c r="S49" s="17"/>
      <c r="T49" s="17"/>
      <c r="U49" s="16"/>
      <c r="V49" s="17"/>
      <c r="W49" s="42"/>
      <c r="X49" s="17"/>
      <c r="Y49" s="23"/>
      <c r="Z49" s="23"/>
      <c r="AA49" s="17"/>
      <c r="AB49" s="17"/>
      <c r="AC49" s="17"/>
      <c r="AD49" s="16"/>
      <c r="AE49" s="17"/>
      <c r="AF49" s="42"/>
      <c r="AG49" s="17"/>
      <c r="AH49" s="23"/>
      <c r="AI49" s="61"/>
      <c r="AJ49" s="17"/>
      <c r="AK49" s="78"/>
      <c r="AL49" s="78"/>
      <c r="AM49" s="64"/>
      <c r="AN49" s="17"/>
      <c r="AO49" s="67"/>
      <c r="AP49" s="17"/>
      <c r="AQ49" s="61"/>
      <c r="AS49" s="17"/>
      <c r="AT49" s="78"/>
      <c r="AU49" s="78"/>
      <c r="AV49" s="64"/>
      <c r="AW49" s="17"/>
      <c r="AX49" s="67"/>
      <c r="AY49" s="17"/>
      <c r="AZ49" s="61"/>
    </row>
    <row r="50" spans="2:52" x14ac:dyDescent="0.35">
      <c r="B50" s="78"/>
      <c r="C50" s="64"/>
      <c r="D50" s="17"/>
      <c r="E50" s="42"/>
      <c r="F50" s="17"/>
      <c r="G50" s="61"/>
      <c r="H50" s="61"/>
      <c r="I50" s="17"/>
      <c r="J50" s="78"/>
      <c r="K50" s="78"/>
      <c r="L50" s="64"/>
      <c r="M50" s="17"/>
      <c r="N50" s="67"/>
      <c r="O50" s="17"/>
      <c r="P50" s="61"/>
      <c r="Q50" s="17"/>
      <c r="R50" s="17"/>
      <c r="S50" s="17"/>
      <c r="T50" s="17"/>
      <c r="U50" s="16"/>
      <c r="V50" s="17"/>
      <c r="W50" s="42"/>
      <c r="X50" s="17"/>
      <c r="Y50" s="23"/>
      <c r="Z50" s="23"/>
      <c r="AA50" s="17"/>
      <c r="AB50" s="17"/>
      <c r="AC50" s="17"/>
      <c r="AD50" s="16"/>
      <c r="AE50" s="17"/>
      <c r="AF50" s="42"/>
      <c r="AG50" s="17"/>
      <c r="AH50" s="23"/>
      <c r="AI50" s="61"/>
      <c r="AJ50" s="17"/>
      <c r="AK50" s="78"/>
      <c r="AL50" s="78"/>
      <c r="AM50" s="64"/>
      <c r="AN50" s="17"/>
      <c r="AO50" s="67"/>
      <c r="AP50" s="17"/>
      <c r="AQ50" s="61"/>
      <c r="AS50" s="17"/>
      <c r="AT50" s="78"/>
      <c r="AU50" s="78"/>
      <c r="AV50" s="64"/>
      <c r="AW50" s="17"/>
      <c r="AX50" s="67"/>
      <c r="AY50" s="17"/>
      <c r="AZ50" s="61"/>
    </row>
    <row r="51" spans="2:52" x14ac:dyDescent="0.35">
      <c r="B51" s="78"/>
      <c r="C51" s="64"/>
      <c r="D51" s="17"/>
      <c r="E51" s="42"/>
      <c r="F51" s="17"/>
      <c r="G51" s="61"/>
      <c r="H51" s="61"/>
      <c r="I51" s="17"/>
      <c r="J51" s="78"/>
      <c r="K51" s="78"/>
      <c r="L51" s="64"/>
      <c r="M51" s="17"/>
      <c r="N51" s="67"/>
      <c r="O51" s="17"/>
      <c r="P51" s="61"/>
      <c r="Q51" s="17"/>
      <c r="R51" s="17"/>
      <c r="S51" s="17"/>
      <c r="T51" s="17"/>
      <c r="U51" s="16"/>
      <c r="V51" s="17"/>
      <c r="W51" s="42"/>
      <c r="X51" s="17"/>
      <c r="Y51" s="23"/>
      <c r="Z51" s="23"/>
      <c r="AA51" s="17"/>
      <c r="AB51" s="17"/>
      <c r="AC51" s="17"/>
      <c r="AD51" s="16"/>
      <c r="AE51" s="17"/>
      <c r="AF51" s="42"/>
      <c r="AG51" s="17"/>
      <c r="AH51" s="23"/>
      <c r="AI51" s="61"/>
      <c r="AJ51" s="17"/>
      <c r="AK51" s="78"/>
      <c r="AL51" s="78"/>
      <c r="AM51" s="64"/>
      <c r="AN51" s="17"/>
      <c r="AO51" s="67"/>
      <c r="AP51" s="17"/>
      <c r="AQ51" s="61"/>
      <c r="AS51" s="17"/>
      <c r="AT51" s="78"/>
      <c r="AU51" s="78"/>
      <c r="AV51" s="64"/>
      <c r="AW51" s="17"/>
      <c r="AX51" s="67"/>
      <c r="AY51" s="17"/>
      <c r="AZ51" s="61"/>
    </row>
    <row r="52" spans="2:52" x14ac:dyDescent="0.35">
      <c r="B52" s="78"/>
      <c r="C52" s="64"/>
      <c r="D52" s="17"/>
      <c r="E52" s="42"/>
      <c r="F52" s="17"/>
      <c r="G52" s="61"/>
      <c r="H52" s="61"/>
      <c r="I52" s="17"/>
      <c r="J52" s="78"/>
      <c r="K52" s="78"/>
      <c r="L52" s="64"/>
      <c r="M52" s="17"/>
      <c r="N52" s="67"/>
      <c r="O52" s="17"/>
      <c r="P52" s="61"/>
      <c r="Q52" s="17"/>
      <c r="R52" s="17"/>
      <c r="S52" s="17"/>
      <c r="T52" s="17"/>
      <c r="U52" s="16"/>
      <c r="V52" s="17"/>
      <c r="W52" s="42"/>
      <c r="X52" s="17"/>
      <c r="Y52" s="23"/>
      <c r="Z52" s="23"/>
      <c r="AA52" s="17"/>
      <c r="AB52" s="17"/>
      <c r="AC52" s="17"/>
      <c r="AD52" s="16"/>
      <c r="AE52" s="17"/>
      <c r="AF52" s="42"/>
      <c r="AG52" s="17"/>
      <c r="AH52" s="23"/>
      <c r="AI52" s="61"/>
      <c r="AJ52" s="17"/>
      <c r="AK52" s="78"/>
      <c r="AL52" s="78"/>
      <c r="AM52" s="64"/>
      <c r="AN52" s="17"/>
      <c r="AO52" s="67"/>
      <c r="AP52" s="17"/>
      <c r="AQ52" s="61"/>
      <c r="AS52" s="17"/>
      <c r="AT52" s="78"/>
      <c r="AU52" s="78"/>
      <c r="AV52" s="64"/>
      <c r="AW52" s="17"/>
      <c r="AX52" s="67"/>
      <c r="AY52" s="17"/>
      <c r="AZ52" s="61"/>
    </row>
    <row r="53" spans="2:52" x14ac:dyDescent="0.35">
      <c r="B53" s="78"/>
      <c r="C53" s="64"/>
      <c r="D53" s="17"/>
      <c r="E53" s="42"/>
      <c r="F53" s="17"/>
      <c r="G53" s="61"/>
      <c r="H53" s="61"/>
      <c r="I53" s="17"/>
      <c r="J53" s="78"/>
      <c r="K53" s="78"/>
      <c r="L53" s="64"/>
      <c r="M53" s="17"/>
      <c r="N53" s="67"/>
      <c r="O53" s="17"/>
      <c r="P53" s="61"/>
      <c r="Q53" s="17"/>
      <c r="R53" s="17"/>
      <c r="S53" s="17"/>
      <c r="T53" s="17"/>
      <c r="U53" s="16"/>
      <c r="V53" s="17"/>
      <c r="W53" s="42"/>
      <c r="X53" s="17"/>
      <c r="Y53" s="23"/>
      <c r="Z53" s="23"/>
      <c r="AA53" s="17"/>
      <c r="AB53" s="17"/>
      <c r="AC53" s="17"/>
      <c r="AD53" s="16"/>
      <c r="AE53" s="17"/>
      <c r="AF53" s="42"/>
      <c r="AG53" s="17"/>
      <c r="AH53" s="23"/>
      <c r="AI53" s="61"/>
      <c r="AJ53" s="17"/>
      <c r="AK53" s="78"/>
      <c r="AL53" s="78"/>
      <c r="AM53" s="64"/>
      <c r="AN53" s="17"/>
      <c r="AO53" s="67"/>
      <c r="AP53" s="17"/>
      <c r="AQ53" s="61"/>
      <c r="AS53" s="17"/>
      <c r="AT53" s="78"/>
      <c r="AU53" s="78"/>
      <c r="AV53" s="64"/>
      <c r="AW53" s="17"/>
      <c r="AX53" s="67"/>
      <c r="AY53" s="17"/>
      <c r="AZ53" s="61"/>
    </row>
    <row r="54" spans="2:52" x14ac:dyDescent="0.35">
      <c r="B54" s="78"/>
      <c r="C54" s="64"/>
      <c r="D54" s="17"/>
      <c r="E54" s="42"/>
      <c r="F54" s="17"/>
      <c r="G54" s="61"/>
      <c r="H54" s="61"/>
      <c r="I54" s="17"/>
      <c r="J54" s="78"/>
      <c r="K54" s="78"/>
      <c r="L54" s="64"/>
      <c r="M54" s="17"/>
      <c r="N54" s="67"/>
      <c r="O54" s="17"/>
      <c r="P54" s="61"/>
      <c r="Q54" s="17"/>
      <c r="R54" s="17"/>
      <c r="S54" s="17"/>
      <c r="T54" s="17"/>
      <c r="U54" s="16"/>
      <c r="V54" s="17"/>
      <c r="W54" s="42"/>
      <c r="X54" s="17"/>
      <c r="Y54" s="23"/>
      <c r="Z54" s="23"/>
      <c r="AA54" s="17"/>
      <c r="AB54" s="17"/>
      <c r="AC54" s="17"/>
      <c r="AD54" s="16"/>
      <c r="AE54" s="17"/>
      <c r="AF54" s="42"/>
      <c r="AG54" s="17"/>
      <c r="AH54" s="23"/>
      <c r="AI54" s="61"/>
      <c r="AJ54" s="17"/>
      <c r="AK54" s="78"/>
      <c r="AL54" s="78"/>
      <c r="AM54" s="64"/>
      <c r="AN54" s="17"/>
      <c r="AO54" s="67"/>
      <c r="AP54" s="17"/>
      <c r="AQ54" s="61"/>
      <c r="AS54" s="17"/>
      <c r="AT54" s="78"/>
      <c r="AU54" s="78"/>
      <c r="AV54" s="64"/>
      <c r="AW54" s="17"/>
      <c r="AX54" s="67"/>
      <c r="AY54" s="17"/>
      <c r="AZ54" s="61"/>
    </row>
    <row r="55" spans="2:52" x14ac:dyDescent="0.35">
      <c r="B55" s="78"/>
      <c r="C55" s="64"/>
      <c r="D55" s="17"/>
      <c r="E55" s="42"/>
      <c r="F55" s="17"/>
      <c r="G55" s="61"/>
      <c r="H55" s="61"/>
      <c r="I55" s="17"/>
      <c r="J55" s="78"/>
      <c r="K55" s="78"/>
      <c r="L55" s="64"/>
      <c r="M55" s="17"/>
      <c r="N55" s="67"/>
      <c r="O55" s="17"/>
      <c r="P55" s="61"/>
      <c r="Q55" s="17"/>
      <c r="R55" s="17"/>
      <c r="S55" s="17"/>
      <c r="T55" s="17"/>
      <c r="U55" s="16"/>
      <c r="V55" s="17"/>
      <c r="W55" s="42"/>
      <c r="X55" s="17"/>
      <c r="Y55" s="23"/>
      <c r="Z55" s="23"/>
      <c r="AA55" s="17"/>
      <c r="AB55" s="17"/>
      <c r="AC55" s="17"/>
      <c r="AD55" s="16"/>
      <c r="AE55" s="17"/>
      <c r="AF55" s="42"/>
      <c r="AG55" s="17"/>
      <c r="AH55" s="23"/>
      <c r="AI55" s="61"/>
      <c r="AJ55" s="17"/>
      <c r="AK55" s="78"/>
      <c r="AL55" s="78"/>
      <c r="AM55" s="64"/>
      <c r="AN55" s="17"/>
      <c r="AO55" s="67"/>
      <c r="AP55" s="17"/>
      <c r="AQ55" s="61"/>
      <c r="AS55" s="17"/>
      <c r="AT55" s="78"/>
      <c r="AU55" s="78"/>
      <c r="AV55" s="64"/>
      <c r="AW55" s="17"/>
      <c r="AX55" s="67"/>
      <c r="AY55" s="17"/>
      <c r="AZ55" s="61"/>
    </row>
    <row r="56" spans="2:52" x14ac:dyDescent="0.35">
      <c r="B56" s="78"/>
      <c r="C56" s="64"/>
      <c r="D56" s="17"/>
      <c r="E56" s="42"/>
      <c r="F56" s="17"/>
      <c r="G56" s="61"/>
      <c r="H56" s="61"/>
      <c r="I56" s="17"/>
      <c r="J56" s="78"/>
      <c r="K56" s="78"/>
      <c r="L56" s="64"/>
      <c r="M56" s="17"/>
      <c r="N56" s="67"/>
      <c r="O56" s="17"/>
      <c r="P56" s="61"/>
      <c r="Q56" s="17"/>
      <c r="R56" s="17"/>
      <c r="S56" s="17"/>
      <c r="T56" s="17"/>
      <c r="U56" s="16"/>
      <c r="V56" s="17"/>
      <c r="W56" s="42"/>
      <c r="X56" s="17"/>
      <c r="Y56" s="23"/>
      <c r="Z56" s="23"/>
      <c r="AA56" s="17"/>
      <c r="AB56" s="17"/>
      <c r="AC56" s="17"/>
      <c r="AD56" s="16"/>
      <c r="AE56" s="17"/>
      <c r="AF56" s="42"/>
      <c r="AG56" s="17"/>
      <c r="AH56" s="23"/>
      <c r="AI56" s="61"/>
      <c r="AJ56" s="17"/>
      <c r="AK56" s="78"/>
      <c r="AL56" s="78"/>
      <c r="AM56" s="64"/>
      <c r="AN56" s="17"/>
      <c r="AO56" s="67"/>
      <c r="AP56" s="17"/>
      <c r="AQ56" s="61"/>
      <c r="AS56" s="17"/>
      <c r="AT56" s="78"/>
      <c r="AU56" s="78"/>
      <c r="AV56" s="64"/>
      <c r="AW56" s="17"/>
      <c r="AX56" s="67"/>
      <c r="AY56" s="17"/>
      <c r="AZ56" s="61"/>
    </row>
    <row r="57" spans="2:52" x14ac:dyDescent="0.35">
      <c r="B57" s="78"/>
      <c r="C57" s="64"/>
      <c r="D57" s="17"/>
      <c r="E57" s="42"/>
      <c r="F57" s="17"/>
      <c r="G57" s="61"/>
      <c r="H57" s="61"/>
      <c r="I57" s="17"/>
      <c r="J57" s="72"/>
      <c r="K57" s="72"/>
      <c r="L57" s="64"/>
      <c r="M57" s="17"/>
      <c r="N57" s="67"/>
      <c r="O57" s="17"/>
      <c r="P57" s="61"/>
      <c r="Q57" s="17"/>
      <c r="R57" s="17"/>
      <c r="S57" s="17"/>
      <c r="T57" s="17"/>
      <c r="U57" s="16"/>
      <c r="V57" s="17"/>
      <c r="W57" s="42"/>
      <c r="X57" s="17"/>
      <c r="Y57" s="23"/>
      <c r="Z57" s="23"/>
      <c r="AA57" s="17"/>
      <c r="AB57" s="17"/>
      <c r="AC57" s="17"/>
      <c r="AD57" s="16"/>
      <c r="AE57" s="17"/>
      <c r="AF57" s="42"/>
      <c r="AG57" s="17"/>
      <c r="AH57" s="23"/>
      <c r="AI57" s="61"/>
      <c r="AJ57" s="17"/>
      <c r="AK57" s="72"/>
      <c r="AL57" s="72"/>
      <c r="AM57" s="64"/>
      <c r="AN57" s="17"/>
      <c r="AO57" s="67"/>
      <c r="AP57" s="17"/>
      <c r="AQ57" s="61"/>
      <c r="AS57" s="17"/>
      <c r="AT57" s="72"/>
      <c r="AU57" s="72"/>
      <c r="AV57" s="64"/>
      <c r="AW57" s="17"/>
      <c r="AX57" s="67"/>
      <c r="AY57" s="17"/>
      <c r="AZ57" s="61"/>
    </row>
    <row r="58" spans="2:52" x14ac:dyDescent="0.35">
      <c r="B58" s="78"/>
      <c r="C58" s="64"/>
      <c r="D58" s="17"/>
      <c r="E58" s="42"/>
      <c r="F58" s="17"/>
      <c r="G58" s="61"/>
      <c r="H58" s="61"/>
      <c r="I58" s="17"/>
      <c r="J58" s="78"/>
      <c r="K58" s="78"/>
      <c r="L58" s="64"/>
      <c r="M58" s="17"/>
      <c r="N58" s="67"/>
      <c r="O58" s="17"/>
      <c r="P58" s="61"/>
      <c r="Q58" s="17"/>
      <c r="R58" s="17"/>
      <c r="S58" s="17"/>
      <c r="T58" s="17"/>
      <c r="U58" s="16"/>
      <c r="V58" s="17"/>
      <c r="W58" s="42"/>
      <c r="X58" s="17"/>
      <c r="Y58" s="23"/>
      <c r="Z58" s="23"/>
      <c r="AA58" s="17"/>
      <c r="AB58" s="17"/>
      <c r="AC58" s="17"/>
      <c r="AD58" s="16"/>
      <c r="AE58" s="17"/>
      <c r="AF58" s="42"/>
      <c r="AG58" s="17"/>
      <c r="AH58" s="23"/>
      <c r="AI58" s="61"/>
      <c r="AJ58" s="17"/>
      <c r="AK58" s="78"/>
      <c r="AL58" s="78"/>
      <c r="AM58" s="64"/>
      <c r="AN58" s="17"/>
      <c r="AO58" s="67"/>
      <c r="AP58" s="17"/>
      <c r="AQ58" s="61"/>
      <c r="AS58" s="17"/>
      <c r="AT58" s="78"/>
      <c r="AU58" s="78"/>
      <c r="AV58" s="64"/>
      <c r="AW58" s="17"/>
      <c r="AX58" s="67"/>
      <c r="AY58" s="17"/>
      <c r="AZ58" s="61"/>
    </row>
    <row r="59" spans="2:52" x14ac:dyDescent="0.35">
      <c r="B59" s="78"/>
      <c r="C59" s="64"/>
      <c r="D59" s="17"/>
      <c r="E59" s="42"/>
      <c r="F59" s="17"/>
      <c r="G59" s="61"/>
      <c r="H59" s="61"/>
      <c r="I59" s="17"/>
      <c r="J59" s="78"/>
      <c r="K59" s="78"/>
      <c r="L59" s="64"/>
      <c r="M59" s="17"/>
      <c r="N59" s="67"/>
      <c r="O59" s="17"/>
      <c r="P59" s="61"/>
      <c r="Q59" s="17"/>
      <c r="R59" s="17"/>
      <c r="S59" s="17"/>
      <c r="T59" s="17"/>
      <c r="U59" s="16"/>
      <c r="V59" s="17"/>
      <c r="W59" s="42"/>
      <c r="X59" s="17"/>
      <c r="Y59" s="23"/>
      <c r="Z59" s="23"/>
      <c r="AA59" s="17"/>
      <c r="AB59" s="17"/>
      <c r="AC59" s="17"/>
      <c r="AD59" s="16"/>
      <c r="AE59" s="17"/>
      <c r="AF59" s="42"/>
      <c r="AG59" s="17"/>
      <c r="AH59" s="23"/>
      <c r="AI59" s="61"/>
      <c r="AJ59" s="17"/>
      <c r="AK59" s="78"/>
      <c r="AL59" s="78"/>
      <c r="AM59" s="64"/>
      <c r="AN59" s="17"/>
      <c r="AO59" s="67"/>
      <c r="AP59" s="17"/>
      <c r="AQ59" s="61"/>
      <c r="AS59" s="17"/>
      <c r="AT59" s="78"/>
      <c r="AU59" s="78"/>
      <c r="AV59" s="64"/>
      <c r="AW59" s="17"/>
      <c r="AX59" s="67"/>
      <c r="AY59" s="17"/>
      <c r="AZ59" s="61"/>
    </row>
    <row r="60" spans="2:52" x14ac:dyDescent="0.35">
      <c r="B60" s="17"/>
      <c r="C60" s="19"/>
      <c r="D60" s="17"/>
      <c r="E60" s="17"/>
      <c r="F60" s="17"/>
      <c r="G60" s="15"/>
      <c r="H60" s="15"/>
      <c r="I60" s="17"/>
      <c r="J60" s="17"/>
      <c r="K60" s="17"/>
      <c r="L60" s="19"/>
      <c r="M60" s="17"/>
      <c r="N60" s="17"/>
      <c r="O60" s="17"/>
      <c r="P60" s="15"/>
      <c r="Q60" s="17"/>
      <c r="R60" s="17"/>
      <c r="S60" s="17"/>
      <c r="T60" s="17"/>
      <c r="U60" s="19"/>
      <c r="V60" s="17"/>
      <c r="W60" s="17"/>
      <c r="X60" s="17"/>
      <c r="Y60" s="15"/>
      <c r="Z60" s="15"/>
      <c r="AA60" s="17"/>
      <c r="AB60" s="17"/>
      <c r="AC60" s="17"/>
      <c r="AD60" s="19"/>
      <c r="AE60" s="17"/>
      <c r="AF60" s="17"/>
      <c r="AG60" s="17"/>
      <c r="AH60" s="15"/>
      <c r="AI60" s="15"/>
      <c r="AJ60" s="17"/>
      <c r="AK60" s="17"/>
      <c r="AL60" s="17"/>
      <c r="AM60" s="19"/>
      <c r="AN60" s="17"/>
      <c r="AO60" s="17"/>
      <c r="AP60" s="17"/>
      <c r="AQ60" s="15"/>
      <c r="AS60" s="17"/>
      <c r="AT60" s="17"/>
      <c r="AU60" s="17"/>
      <c r="AV60" s="19"/>
      <c r="AW60" s="17"/>
      <c r="AX60" s="17"/>
      <c r="AY60" s="17"/>
      <c r="AZ60" s="15"/>
    </row>
    <row r="61" spans="2:52" x14ac:dyDescent="0.3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S61" s="17"/>
      <c r="AT61" s="17"/>
      <c r="AU61" s="17"/>
      <c r="AV61" s="17"/>
      <c r="AW61" s="17"/>
      <c r="AX61" s="17"/>
      <c r="AY61" s="17"/>
      <c r="AZ61" s="17"/>
    </row>
    <row r="62" spans="2:52" ht="13.15" x14ac:dyDescent="0.4">
      <c r="B62" s="17"/>
      <c r="C62" s="24"/>
      <c r="D62" s="17"/>
      <c r="E62" s="77"/>
      <c r="F62" s="17"/>
      <c r="G62" s="24"/>
      <c r="H62" s="17"/>
      <c r="I62" s="17"/>
      <c r="J62" s="17"/>
      <c r="K62" s="17"/>
      <c r="L62" s="24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4"/>
      <c r="AN62" s="17"/>
      <c r="AO62" s="17"/>
      <c r="AP62" s="17"/>
      <c r="AQ62" s="17"/>
      <c r="AS62" s="17"/>
      <c r="AT62" s="17"/>
      <c r="AU62" s="17"/>
      <c r="AV62" s="24"/>
      <c r="AW62" s="17"/>
      <c r="AX62" s="17"/>
      <c r="AY62" s="17"/>
      <c r="AZ62" s="17"/>
    </row>
    <row r="63" spans="2:52" x14ac:dyDescent="0.35">
      <c r="B63" s="78"/>
      <c r="C63" s="17"/>
      <c r="D63" s="17"/>
      <c r="E63" s="17"/>
      <c r="F63" s="17"/>
      <c r="G63" s="72"/>
      <c r="H63" s="17"/>
      <c r="I63" s="17"/>
      <c r="J63" s="78"/>
      <c r="K63" s="7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8"/>
      <c r="AL63" s="78"/>
      <c r="AM63" s="17"/>
      <c r="AN63" s="17"/>
      <c r="AO63" s="17"/>
      <c r="AP63" s="17"/>
      <c r="AQ63" s="17"/>
      <c r="AS63" s="17"/>
      <c r="AT63" s="78"/>
      <c r="AU63" s="78"/>
      <c r="AV63" s="17"/>
      <c r="AW63" s="17"/>
      <c r="AX63" s="17"/>
      <c r="AY63" s="17"/>
      <c r="AZ63" s="17"/>
    </row>
    <row r="64" spans="2:52" x14ac:dyDescent="0.35">
      <c r="B64" s="78"/>
      <c r="C64" s="17"/>
      <c r="D64" s="17"/>
      <c r="E64" s="17"/>
      <c r="F64" s="17"/>
      <c r="G64" s="72"/>
      <c r="H64" s="17"/>
      <c r="I64" s="17"/>
      <c r="J64" s="78"/>
      <c r="K64" s="7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8"/>
      <c r="AL64" s="78"/>
      <c r="AM64" s="17"/>
      <c r="AN64" s="17"/>
      <c r="AO64" s="17"/>
      <c r="AP64" s="17"/>
      <c r="AQ64" s="17"/>
      <c r="AS64" s="17"/>
      <c r="AT64" s="78"/>
      <c r="AU64" s="78"/>
      <c r="AV64" s="17"/>
      <c r="AW64" s="17"/>
      <c r="AX64" s="17"/>
      <c r="AY64" s="17"/>
      <c r="AZ64" s="17"/>
    </row>
    <row r="65" spans="2:52" x14ac:dyDescent="0.35">
      <c r="B65" s="78"/>
      <c r="C65" s="17"/>
      <c r="D65" s="17"/>
      <c r="E65" s="17"/>
      <c r="F65" s="17"/>
      <c r="G65" s="72"/>
      <c r="H65" s="17"/>
      <c r="I65" s="17"/>
      <c r="J65" s="78"/>
      <c r="K65" s="78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78"/>
      <c r="AL65" s="78"/>
      <c r="AM65" s="17"/>
      <c r="AN65" s="17"/>
      <c r="AO65" s="17"/>
      <c r="AP65" s="17"/>
      <c r="AQ65" s="17"/>
      <c r="AS65" s="17"/>
      <c r="AT65" s="78"/>
      <c r="AU65" s="78"/>
      <c r="AV65" s="17"/>
      <c r="AW65" s="17"/>
      <c r="AX65" s="17"/>
      <c r="AY65" s="17"/>
      <c r="AZ65" s="17"/>
    </row>
    <row r="66" spans="2:52" x14ac:dyDescent="0.35">
      <c r="B66" s="78"/>
      <c r="C66" s="17"/>
      <c r="D66" s="17"/>
      <c r="E66" s="17"/>
      <c r="F66" s="17"/>
      <c r="G66" s="72"/>
      <c r="H66" s="17"/>
      <c r="I66" s="17"/>
      <c r="J66" s="78"/>
      <c r="K66" s="7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78"/>
      <c r="AL66" s="78"/>
      <c r="AM66" s="17"/>
      <c r="AN66" s="17"/>
      <c r="AO66" s="17"/>
      <c r="AP66" s="17"/>
      <c r="AQ66" s="17"/>
      <c r="AS66" s="17"/>
      <c r="AT66" s="78"/>
      <c r="AU66" s="78"/>
      <c r="AV66" s="17"/>
      <c r="AW66" s="17"/>
      <c r="AX66" s="17"/>
      <c r="AY66" s="17"/>
      <c r="AZ66" s="17"/>
    </row>
    <row r="67" spans="2:52" x14ac:dyDescent="0.35">
      <c r="B67" s="78"/>
      <c r="C67" s="17"/>
      <c r="D67" s="17"/>
      <c r="E67" s="17"/>
      <c r="F67" s="17"/>
      <c r="G67" s="72"/>
      <c r="H67" s="17"/>
      <c r="I67" s="17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78"/>
      <c r="AL67" s="78"/>
      <c r="AM67" s="17"/>
      <c r="AN67" s="17"/>
      <c r="AO67" s="17"/>
      <c r="AP67" s="17"/>
      <c r="AQ67" s="17"/>
      <c r="AS67" s="17"/>
      <c r="AT67" s="78"/>
      <c r="AU67" s="78"/>
      <c r="AV67" s="17"/>
      <c r="AW67" s="17"/>
      <c r="AX67" s="17"/>
      <c r="AY67" s="17"/>
      <c r="AZ67" s="17"/>
    </row>
    <row r="68" spans="2:52" x14ac:dyDescent="0.35">
      <c r="B68" s="78"/>
      <c r="C68" s="17"/>
      <c r="D68" s="17"/>
      <c r="E68" s="17"/>
      <c r="F68" s="17"/>
      <c r="G68" s="72"/>
      <c r="H68" s="17"/>
      <c r="I68" s="17"/>
      <c r="J68" s="78"/>
      <c r="K68" s="78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78"/>
      <c r="AL68" s="78"/>
      <c r="AM68" s="17"/>
      <c r="AN68" s="17"/>
      <c r="AO68" s="17"/>
      <c r="AP68" s="17"/>
      <c r="AQ68" s="17"/>
      <c r="AS68" s="17"/>
      <c r="AT68" s="78"/>
      <c r="AU68" s="78"/>
      <c r="AV68" s="17"/>
      <c r="AW68" s="17"/>
      <c r="AX68" s="17"/>
      <c r="AY68" s="17"/>
      <c r="AZ68" s="17"/>
    </row>
    <row r="69" spans="2:52" x14ac:dyDescent="0.35">
      <c r="B69" s="78"/>
      <c r="C69" s="17"/>
      <c r="D69" s="17"/>
      <c r="E69" s="17"/>
      <c r="F69" s="17"/>
      <c r="G69" s="72"/>
      <c r="H69" s="17"/>
      <c r="I69" s="17"/>
      <c r="J69" s="78"/>
      <c r="K69" s="78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78"/>
      <c r="AL69" s="78"/>
      <c r="AM69" s="17"/>
      <c r="AN69" s="17"/>
      <c r="AO69" s="17"/>
      <c r="AP69" s="17"/>
      <c r="AQ69" s="17"/>
      <c r="AS69" s="17"/>
      <c r="AT69" s="78"/>
      <c r="AU69" s="78"/>
      <c r="AV69" s="17"/>
      <c r="AW69" s="17"/>
      <c r="AX69" s="17"/>
      <c r="AY69" s="17"/>
      <c r="AZ69" s="17"/>
    </row>
    <row r="70" spans="2:52" x14ac:dyDescent="0.35">
      <c r="B70" s="78"/>
      <c r="C70" s="17"/>
      <c r="D70" s="17"/>
      <c r="E70" s="17"/>
      <c r="F70" s="17"/>
      <c r="G70" s="72"/>
      <c r="H70" s="17"/>
      <c r="I70" s="17"/>
      <c r="J70" s="78"/>
      <c r="K70" s="78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78"/>
      <c r="AL70" s="78"/>
      <c r="AM70" s="17"/>
      <c r="AN70" s="17"/>
      <c r="AO70" s="17"/>
      <c r="AP70" s="17"/>
      <c r="AQ70" s="17"/>
      <c r="AS70" s="17"/>
      <c r="AT70" s="78"/>
      <c r="AU70" s="78"/>
      <c r="AV70" s="17"/>
      <c r="AW70" s="17"/>
      <c r="AX70" s="17"/>
      <c r="AY70" s="17"/>
      <c r="AZ70" s="17"/>
    </row>
    <row r="71" spans="2:52" x14ac:dyDescent="0.35">
      <c r="B71" s="78"/>
      <c r="C71" s="17"/>
      <c r="D71" s="17"/>
      <c r="E71" s="17"/>
      <c r="F71" s="17"/>
      <c r="G71" s="72"/>
      <c r="H71" s="17"/>
      <c r="I71" s="17"/>
      <c r="J71" s="78"/>
      <c r="K71" s="78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78"/>
      <c r="AL71" s="78"/>
      <c r="AM71" s="17"/>
      <c r="AN71" s="17"/>
      <c r="AO71" s="17"/>
      <c r="AP71" s="17"/>
      <c r="AQ71" s="17"/>
      <c r="AS71" s="17"/>
      <c r="AT71" s="78"/>
      <c r="AU71" s="78"/>
      <c r="AV71" s="17"/>
      <c r="AW71" s="17"/>
      <c r="AX71" s="17"/>
      <c r="AY71" s="17"/>
      <c r="AZ71" s="17"/>
    </row>
    <row r="72" spans="2:52" x14ac:dyDescent="0.35">
      <c r="B72" s="78"/>
      <c r="C72" s="17"/>
      <c r="D72" s="17"/>
      <c r="E72" s="17"/>
      <c r="F72" s="17"/>
      <c r="G72" s="72"/>
      <c r="H72" s="17"/>
      <c r="I72" s="17"/>
      <c r="J72" s="78"/>
      <c r="K72" s="78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78"/>
      <c r="AL72" s="78"/>
      <c r="AM72" s="17"/>
      <c r="AN72" s="17"/>
      <c r="AO72" s="17"/>
      <c r="AP72" s="17"/>
      <c r="AQ72" s="17"/>
      <c r="AS72" s="17"/>
      <c r="AT72" s="78"/>
      <c r="AU72" s="78"/>
      <c r="AV72" s="17"/>
      <c r="AW72" s="17"/>
      <c r="AX72" s="17"/>
      <c r="AY72" s="17"/>
      <c r="AZ72" s="17"/>
    </row>
    <row r="73" spans="2:52" x14ac:dyDescent="0.35">
      <c r="B73" s="78"/>
      <c r="C73" s="17"/>
      <c r="D73" s="17"/>
      <c r="E73" s="17"/>
      <c r="F73" s="17"/>
      <c r="G73" s="72"/>
      <c r="H73" s="17"/>
      <c r="I73" s="17"/>
      <c r="J73" s="78"/>
      <c r="K73" s="7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78"/>
      <c r="AL73" s="78"/>
      <c r="AM73" s="17"/>
      <c r="AN73" s="17"/>
      <c r="AO73" s="17"/>
      <c r="AP73" s="17"/>
      <c r="AQ73" s="17"/>
      <c r="AS73" s="17"/>
      <c r="AT73" s="78"/>
      <c r="AU73" s="78"/>
      <c r="AV73" s="17"/>
      <c r="AW73" s="17"/>
      <c r="AX73" s="17"/>
      <c r="AY73" s="17"/>
      <c r="AZ73" s="17"/>
    </row>
    <row r="74" spans="2:52" x14ac:dyDescent="0.35">
      <c r="B74" s="78"/>
      <c r="C74" s="17"/>
      <c r="D74" s="17"/>
      <c r="E74" s="17"/>
      <c r="F74" s="17"/>
      <c r="G74" s="72"/>
      <c r="H74" s="17"/>
      <c r="I74" s="17"/>
      <c r="J74" s="78"/>
      <c r="K74" s="7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78"/>
      <c r="AL74" s="78"/>
      <c r="AM74" s="17"/>
      <c r="AN74" s="17"/>
      <c r="AO74" s="17"/>
      <c r="AP74" s="17"/>
      <c r="AQ74" s="17"/>
      <c r="AS74" s="17"/>
      <c r="AT74" s="78"/>
      <c r="AU74" s="78"/>
      <c r="AV74" s="17"/>
      <c r="AW74" s="17"/>
      <c r="AX74" s="17"/>
      <c r="AY74" s="17"/>
      <c r="AZ74" s="17"/>
    </row>
    <row r="75" spans="2:52" x14ac:dyDescent="0.3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S75" s="17"/>
      <c r="AT75" s="17"/>
      <c r="AU75" s="17"/>
      <c r="AV75" s="17"/>
      <c r="AW75" s="17"/>
      <c r="AX75" s="17"/>
      <c r="AY75" s="17"/>
      <c r="AZ75" s="17"/>
    </row>
    <row r="76" spans="2:52" x14ac:dyDescent="0.3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S76" s="17"/>
      <c r="AT76" s="17"/>
      <c r="AU76" s="17"/>
      <c r="AV76" s="17"/>
      <c r="AW76" s="17"/>
      <c r="AX76" s="17"/>
      <c r="AY76" s="17"/>
      <c r="AZ76" s="17"/>
    </row>
    <row r="77" spans="2:52" ht="13.15" x14ac:dyDescent="0.4">
      <c r="B77" s="17"/>
      <c r="C77" s="24"/>
      <c r="D77" s="17"/>
      <c r="E77" s="77"/>
      <c r="F77" s="17"/>
      <c r="G77" s="7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S77" s="17"/>
      <c r="AT77" s="17"/>
      <c r="AU77" s="17"/>
      <c r="AV77" s="17"/>
      <c r="AW77" s="17"/>
      <c r="AX77" s="17"/>
      <c r="AY77" s="17"/>
      <c r="AZ77" s="17"/>
    </row>
    <row r="78" spans="2:52" x14ac:dyDescent="0.35">
      <c r="B78" s="78"/>
      <c r="C78" s="72"/>
      <c r="D78" s="17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S78" s="17"/>
      <c r="AT78" s="17"/>
      <c r="AU78" s="17"/>
      <c r="AV78" s="17"/>
      <c r="AW78" s="17"/>
      <c r="AX78" s="17"/>
      <c r="AY78" s="17"/>
      <c r="AZ78" s="17"/>
    </row>
    <row r="79" spans="2:52" x14ac:dyDescent="0.35">
      <c r="B79" s="78"/>
      <c r="C79" s="72"/>
      <c r="D79" s="17"/>
      <c r="E79" s="1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S79" s="17"/>
      <c r="AT79" s="17"/>
      <c r="AU79" s="17"/>
      <c r="AV79" s="17"/>
      <c r="AW79" s="17"/>
      <c r="AX79" s="17"/>
      <c r="AY79" s="17"/>
      <c r="AZ79" s="17"/>
    </row>
    <row r="80" spans="2:52" x14ac:dyDescent="0.35">
      <c r="B80" s="78"/>
      <c r="C80" s="72"/>
      <c r="D80" s="17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S80" s="17"/>
      <c r="AT80" s="17"/>
      <c r="AU80" s="17"/>
      <c r="AV80" s="17"/>
      <c r="AW80" s="17"/>
      <c r="AX80" s="17"/>
      <c r="AY80" s="17"/>
      <c r="AZ80" s="17"/>
    </row>
    <row r="81" spans="2:52" x14ac:dyDescent="0.35">
      <c r="B81" s="78"/>
      <c r="C81" s="72"/>
      <c r="D81" s="1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S81" s="17"/>
      <c r="AT81" s="17"/>
      <c r="AU81" s="17"/>
      <c r="AV81" s="17"/>
      <c r="AW81" s="17"/>
      <c r="AX81" s="17"/>
      <c r="AY81" s="17"/>
      <c r="AZ81" s="17"/>
    </row>
    <row r="82" spans="2:52" x14ac:dyDescent="0.35">
      <c r="B82" s="78"/>
      <c r="C82" s="72"/>
      <c r="D82" s="17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S82" s="17"/>
      <c r="AT82" s="17"/>
      <c r="AU82" s="17"/>
      <c r="AV82" s="17"/>
      <c r="AW82" s="17"/>
      <c r="AX82" s="17"/>
      <c r="AY82" s="17"/>
      <c r="AZ82" s="17"/>
    </row>
    <row r="83" spans="2:52" x14ac:dyDescent="0.35">
      <c r="B83" s="78"/>
      <c r="C83" s="72"/>
      <c r="D83" s="17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S83" s="17"/>
      <c r="AT83" s="17"/>
      <c r="AU83" s="17"/>
      <c r="AV83" s="17"/>
      <c r="AW83" s="17"/>
      <c r="AX83" s="17"/>
      <c r="AY83" s="17"/>
      <c r="AZ83" s="17"/>
    </row>
    <row r="84" spans="2:52" x14ac:dyDescent="0.35">
      <c r="B84" s="78"/>
      <c r="C84" s="72"/>
      <c r="D84" s="17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S84" s="17"/>
      <c r="AT84" s="17"/>
      <c r="AU84" s="17"/>
      <c r="AV84" s="17"/>
      <c r="AW84" s="17"/>
      <c r="AX84" s="17"/>
      <c r="AY84" s="17"/>
      <c r="AZ84" s="17"/>
    </row>
    <row r="85" spans="2:52" x14ac:dyDescent="0.35">
      <c r="B85" s="78"/>
      <c r="C85" s="72"/>
      <c r="D85" s="17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S85" s="17"/>
      <c r="AT85" s="17"/>
      <c r="AU85" s="17"/>
      <c r="AV85" s="17"/>
      <c r="AW85" s="17"/>
      <c r="AX85" s="17"/>
      <c r="AY85" s="17"/>
      <c r="AZ85" s="17"/>
    </row>
    <row r="86" spans="2:52" x14ac:dyDescent="0.35">
      <c r="B86" s="78"/>
      <c r="C86" s="72"/>
      <c r="D86" s="17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S86" s="17"/>
      <c r="AT86" s="17"/>
      <c r="AU86" s="17"/>
      <c r="AV86" s="17"/>
      <c r="AW86" s="17"/>
      <c r="AX86" s="17"/>
      <c r="AY86" s="17"/>
      <c r="AZ86" s="17"/>
    </row>
    <row r="87" spans="2:52" x14ac:dyDescent="0.35">
      <c r="B87" s="78"/>
      <c r="C87" s="72"/>
      <c r="D87" s="17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S87" s="17"/>
      <c r="AT87" s="17"/>
      <c r="AU87" s="17"/>
      <c r="AV87" s="17"/>
      <c r="AW87" s="17"/>
      <c r="AX87" s="17"/>
      <c r="AY87" s="17"/>
      <c r="AZ87" s="17"/>
    </row>
    <row r="88" spans="2:52" x14ac:dyDescent="0.35">
      <c r="B88" s="78"/>
      <c r="C88" s="72"/>
      <c r="D88" s="17"/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S88" s="17"/>
      <c r="AT88" s="17"/>
      <c r="AU88" s="17"/>
      <c r="AV88" s="17"/>
      <c r="AW88" s="17"/>
      <c r="AX88" s="17"/>
      <c r="AY88" s="17"/>
      <c r="AZ88" s="17"/>
    </row>
    <row r="89" spans="2:52" x14ac:dyDescent="0.35">
      <c r="B89" s="78"/>
      <c r="C89" s="72"/>
      <c r="D89" s="17"/>
      <c r="E89" s="1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S89" s="17"/>
      <c r="AT89" s="17"/>
      <c r="AU89" s="17"/>
      <c r="AV89" s="17"/>
      <c r="AW89" s="17"/>
      <c r="AX89" s="17"/>
      <c r="AY89" s="17"/>
      <c r="AZ89" s="17"/>
    </row>
    <row r="90" spans="2:52" x14ac:dyDescent="0.35">
      <c r="B90" s="17"/>
      <c r="C90" s="82"/>
      <c r="D90" s="17"/>
      <c r="E90" s="19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S90" s="17"/>
      <c r="AT90" s="17"/>
      <c r="AU90" s="17"/>
      <c r="AV90" s="17"/>
      <c r="AW90" s="17"/>
      <c r="AX90" s="17"/>
      <c r="AY90" s="17"/>
      <c r="AZ90" s="17"/>
    </row>
    <row r="91" spans="2:52" x14ac:dyDescent="0.3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S91" s="17"/>
      <c r="AT91" s="17"/>
      <c r="AU91" s="17"/>
      <c r="AV91" s="17"/>
      <c r="AW91" s="17"/>
      <c r="AX91" s="17"/>
      <c r="AY91" s="17"/>
      <c r="AZ91" s="17"/>
    </row>
    <row r="92" spans="2:52" x14ac:dyDescent="0.3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S92" s="17"/>
      <c r="AT92" s="17"/>
      <c r="AU92" s="17"/>
      <c r="AV92" s="17"/>
      <c r="AW92" s="17"/>
      <c r="AX92" s="17"/>
      <c r="AY92" s="17"/>
      <c r="AZ92" s="17"/>
    </row>
    <row r="93" spans="2:52" x14ac:dyDescent="0.35">
      <c r="B93" s="17"/>
      <c r="C93" s="7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S93" s="17"/>
      <c r="AT93" s="17"/>
      <c r="AU93" s="17"/>
      <c r="AV93" s="17"/>
      <c r="AW93" s="17"/>
      <c r="AX93" s="17"/>
      <c r="AY93" s="17"/>
      <c r="AZ93" s="17"/>
    </row>
    <row r="94" spans="2:52" x14ac:dyDescent="0.35">
      <c r="B94" s="17"/>
      <c r="C94" s="7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S94" s="17"/>
      <c r="AT94" s="17"/>
      <c r="AU94" s="17"/>
      <c r="AV94" s="17"/>
      <c r="AW94" s="17"/>
      <c r="AX94" s="17"/>
      <c r="AY94" s="17"/>
      <c r="AZ94" s="17"/>
    </row>
    <row r="95" spans="2:52" x14ac:dyDescent="0.35">
      <c r="B95" s="17"/>
      <c r="C95" s="7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S95" s="17"/>
      <c r="AT95" s="17"/>
      <c r="AU95" s="17"/>
      <c r="AV95" s="17"/>
      <c r="AW95" s="17"/>
      <c r="AX95" s="17"/>
      <c r="AY95" s="17"/>
      <c r="AZ95" s="17"/>
    </row>
    <row r="96" spans="2:52" x14ac:dyDescent="0.35">
      <c r="B96" s="17"/>
      <c r="C96" s="7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S96" s="17"/>
      <c r="AT96" s="17"/>
      <c r="AU96" s="17"/>
      <c r="AV96" s="17"/>
      <c r="AW96" s="17"/>
      <c r="AX96" s="17"/>
      <c r="AY96" s="17"/>
      <c r="AZ96" s="17"/>
    </row>
    <row r="97" spans="2:52" x14ac:dyDescent="0.35">
      <c r="B97" s="17"/>
      <c r="C97" s="7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S97" s="17"/>
      <c r="AT97" s="17"/>
      <c r="AU97" s="17"/>
      <c r="AV97" s="17"/>
      <c r="AW97" s="17"/>
      <c r="AX97" s="17"/>
      <c r="AY97" s="17"/>
      <c r="AZ97" s="17"/>
    </row>
    <row r="98" spans="2:52" x14ac:dyDescent="0.35">
      <c r="B98" s="17"/>
      <c r="C98" s="7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S98" s="17"/>
      <c r="AT98" s="17"/>
      <c r="AU98" s="17"/>
      <c r="AV98" s="17"/>
      <c r="AW98" s="17"/>
      <c r="AX98" s="17"/>
      <c r="AY98" s="17"/>
      <c r="AZ98" s="17"/>
    </row>
    <row r="99" spans="2:52" x14ac:dyDescent="0.35">
      <c r="B99" s="17"/>
      <c r="C99" s="7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S99" s="17"/>
      <c r="AT99" s="17"/>
      <c r="AU99" s="17"/>
      <c r="AV99" s="17"/>
      <c r="AW99" s="17"/>
      <c r="AX99" s="17"/>
      <c r="AY99" s="17"/>
      <c r="AZ99" s="17"/>
    </row>
    <row r="100" spans="2:52" x14ac:dyDescent="0.3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S100" s="17"/>
      <c r="AT100" s="17"/>
      <c r="AU100" s="17"/>
      <c r="AV100" s="17"/>
      <c r="AW100" s="17"/>
      <c r="AX100" s="17"/>
      <c r="AY100" s="17"/>
      <c r="AZ100" s="17"/>
    </row>
  </sheetData>
  <mergeCells count="6">
    <mergeCell ref="AV5:AZ6"/>
    <mergeCell ref="C5:G6"/>
    <mergeCell ref="L5:P6"/>
    <mergeCell ref="U5:Y6"/>
    <mergeCell ref="AM5:AQ6"/>
    <mergeCell ref="AD5:AH6"/>
  </mergeCells>
  <phoneticPr fontId="0" type="noConversion"/>
  <pageMargins left="0.75" right="0.75" top="1" bottom="1" header="0.5" footer="0.5"/>
  <pageSetup scale="74" orientation="landscape" r:id="rId1"/>
  <headerFooter alignWithMargins="0"/>
  <colBreaks count="2" manualBreakCount="2">
    <brk id="16" max="44" man="1"/>
    <brk id="34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Z100"/>
  <sheetViews>
    <sheetView view="pageBreakPreview" topLeftCell="U16" zoomScale="90" zoomScaleNormal="100" zoomScaleSheetLayoutView="90" workbookViewId="0">
      <selection activeCell="AD21" sqref="AD21"/>
    </sheetView>
  </sheetViews>
  <sheetFormatPr defaultRowHeight="12.75" x14ac:dyDescent="0.35"/>
  <cols>
    <col min="1" max="1" width="4.1328125" customWidth="1"/>
    <col min="2" max="2" width="26.59765625" bestFit="1" customWidth="1"/>
    <col min="3" max="3" width="12.86328125" customWidth="1"/>
    <col min="4" max="4" width="3" customWidth="1"/>
    <col min="5" max="5" width="11.73046875" customWidth="1"/>
    <col min="6" max="6" width="2.86328125" customWidth="1"/>
    <col min="7" max="7" width="16.1328125" customWidth="1"/>
    <col min="8" max="8" width="3.1328125" customWidth="1"/>
    <col min="9" max="9" width="4.1328125" customWidth="1"/>
    <col min="10" max="10" width="26.59765625" customWidth="1"/>
    <col min="11" max="11" width="3.265625" customWidth="1"/>
    <col min="12" max="12" width="12.1328125" customWidth="1"/>
    <col min="13" max="13" width="3" customWidth="1"/>
    <col min="14" max="14" width="11.73046875" customWidth="1"/>
    <col min="15" max="15" width="2.86328125" customWidth="1"/>
    <col min="16" max="16" width="17.1328125" customWidth="1"/>
    <col min="17" max="17" width="2.3984375" customWidth="1"/>
    <col min="18" max="18" width="4.1328125" customWidth="1"/>
    <col min="19" max="19" width="26.59765625" customWidth="1"/>
    <col min="20" max="20" width="4.265625" customWidth="1"/>
    <col min="21" max="21" width="12.86328125" customWidth="1"/>
    <col min="22" max="22" width="3" customWidth="1"/>
    <col min="23" max="23" width="11.73046875" customWidth="1"/>
    <col min="24" max="24" width="2.86328125" customWidth="1"/>
    <col min="25" max="25" width="15.3984375" customWidth="1"/>
    <col min="26" max="26" width="3.73046875" customWidth="1"/>
    <col min="27" max="27" width="4.1328125" customWidth="1"/>
    <col min="28" max="28" width="26.59765625" customWidth="1"/>
    <col min="29" max="29" width="4.265625" customWidth="1"/>
    <col min="30" max="30" width="12.86328125" customWidth="1"/>
    <col min="31" max="31" width="3" customWidth="1"/>
    <col min="32" max="32" width="11.73046875" customWidth="1"/>
    <col min="33" max="33" width="2.86328125" customWidth="1"/>
    <col min="34" max="34" width="15.3984375" customWidth="1"/>
    <col min="35" max="35" width="3.1328125" customWidth="1"/>
    <col min="36" max="36" width="4.1328125" customWidth="1"/>
    <col min="37" max="37" width="26.59765625" customWidth="1"/>
    <col min="38" max="38" width="3.265625" customWidth="1"/>
    <col min="39" max="39" width="12.1328125" customWidth="1"/>
    <col min="40" max="40" width="3" customWidth="1"/>
    <col min="41" max="41" width="11.73046875" customWidth="1"/>
    <col min="42" max="42" width="2.86328125" customWidth="1"/>
    <col min="43" max="43" width="16.265625" customWidth="1"/>
    <col min="44" max="44" width="3.1328125" customWidth="1"/>
    <col min="45" max="45" width="4.1328125" customWidth="1"/>
    <col min="46" max="46" width="26.59765625" customWidth="1"/>
    <col min="47" max="47" width="3.265625" customWidth="1"/>
    <col min="48" max="48" width="12.1328125" customWidth="1"/>
    <col min="49" max="49" width="3" customWidth="1"/>
    <col min="50" max="50" width="11.73046875" customWidth="1"/>
    <col min="51" max="51" width="2.86328125" customWidth="1"/>
    <col min="52" max="52" width="16.265625" customWidth="1"/>
  </cols>
  <sheetData>
    <row r="1" spans="1:52" ht="13.15" x14ac:dyDescent="0.4">
      <c r="A1" s="34" t="s">
        <v>35</v>
      </c>
      <c r="I1" s="34"/>
      <c r="R1" s="34" t="s">
        <v>35</v>
      </c>
      <c r="AA1" s="34"/>
      <c r="AJ1" s="34"/>
      <c r="AS1" s="34"/>
    </row>
    <row r="2" spans="1:52" ht="13.15" x14ac:dyDescent="0.4">
      <c r="A2" s="34" t="s">
        <v>58</v>
      </c>
      <c r="I2" s="34"/>
      <c r="R2" s="34" t="s">
        <v>58</v>
      </c>
      <c r="AA2" s="34"/>
      <c r="AJ2" s="34"/>
      <c r="AS2" s="34"/>
    </row>
    <row r="3" spans="1:52" ht="13.15" x14ac:dyDescent="0.4">
      <c r="A3" s="75" t="s">
        <v>30</v>
      </c>
      <c r="B3" s="76"/>
      <c r="I3" s="34"/>
      <c r="J3" s="28"/>
      <c r="K3" s="28"/>
      <c r="R3" s="34"/>
      <c r="S3" s="28"/>
      <c r="T3" s="28"/>
      <c r="AA3" s="34"/>
      <c r="AB3" s="28"/>
      <c r="AC3" s="28"/>
      <c r="AJ3" s="34"/>
      <c r="AK3" s="28"/>
      <c r="AL3" s="28"/>
      <c r="AS3" s="34"/>
      <c r="AT3" s="28"/>
      <c r="AU3" s="28"/>
    </row>
    <row r="5" spans="1:52" ht="12.75" customHeight="1" x14ac:dyDescent="0.4">
      <c r="A5" s="87"/>
      <c r="C5" s="149" t="s">
        <v>25</v>
      </c>
      <c r="D5" s="150"/>
      <c r="E5" s="150"/>
      <c r="F5" s="150"/>
      <c r="G5" s="151"/>
      <c r="H5" s="87"/>
      <c r="I5" s="87"/>
      <c r="L5" s="155" t="s">
        <v>167</v>
      </c>
      <c r="M5" s="156"/>
      <c r="N5" s="156"/>
      <c r="O5" s="156"/>
      <c r="P5" s="157"/>
      <c r="R5" s="87"/>
      <c r="U5" s="149" t="s">
        <v>173</v>
      </c>
      <c r="V5" s="150"/>
      <c r="W5" s="150"/>
      <c r="X5" s="150"/>
      <c r="Y5" s="151"/>
      <c r="Z5" s="87"/>
      <c r="AA5" s="87"/>
      <c r="AD5" s="149" t="s">
        <v>198</v>
      </c>
      <c r="AE5" s="150"/>
      <c r="AF5" s="150"/>
      <c r="AG5" s="150"/>
      <c r="AH5" s="151"/>
      <c r="AI5" s="87"/>
      <c r="AJ5" s="87"/>
      <c r="AM5" s="155" t="s">
        <v>195</v>
      </c>
      <c r="AN5" s="156"/>
      <c r="AO5" s="156"/>
      <c r="AP5" s="156"/>
      <c r="AQ5" s="157"/>
      <c r="AR5" s="87"/>
      <c r="AS5" s="87"/>
      <c r="AV5" s="155" t="s">
        <v>194</v>
      </c>
      <c r="AW5" s="156"/>
      <c r="AX5" s="156"/>
      <c r="AY5" s="156"/>
      <c r="AZ5" s="157"/>
    </row>
    <row r="6" spans="1:52" ht="13.15" x14ac:dyDescent="0.4">
      <c r="A6" s="87"/>
      <c r="C6" s="152"/>
      <c r="D6" s="153"/>
      <c r="E6" s="153"/>
      <c r="F6" s="153"/>
      <c r="G6" s="154"/>
      <c r="H6" s="87"/>
      <c r="I6" s="87"/>
      <c r="L6" s="158"/>
      <c r="M6" s="159"/>
      <c r="N6" s="159"/>
      <c r="O6" s="159"/>
      <c r="P6" s="160"/>
      <c r="R6" s="87"/>
      <c r="U6" s="152"/>
      <c r="V6" s="153"/>
      <c r="W6" s="153"/>
      <c r="X6" s="153"/>
      <c r="Y6" s="154"/>
      <c r="Z6" s="87"/>
      <c r="AA6" s="87"/>
      <c r="AD6" s="152"/>
      <c r="AE6" s="153"/>
      <c r="AF6" s="153"/>
      <c r="AG6" s="153"/>
      <c r="AH6" s="154"/>
      <c r="AI6" s="87"/>
      <c r="AJ6" s="87"/>
      <c r="AM6" s="158"/>
      <c r="AN6" s="159"/>
      <c r="AO6" s="159"/>
      <c r="AP6" s="159"/>
      <c r="AQ6" s="160"/>
      <c r="AR6" s="87"/>
      <c r="AS6" s="87"/>
      <c r="AV6" s="158"/>
      <c r="AW6" s="159"/>
      <c r="AX6" s="159"/>
      <c r="AY6" s="159"/>
      <c r="AZ6" s="160"/>
    </row>
    <row r="7" spans="1:52" ht="26.25" x14ac:dyDescent="0.4">
      <c r="A7" s="1" t="s">
        <v>0</v>
      </c>
      <c r="C7" s="2" t="s">
        <v>2</v>
      </c>
      <c r="E7" s="4" t="s">
        <v>3</v>
      </c>
      <c r="G7" s="2" t="s">
        <v>4</v>
      </c>
      <c r="H7" s="2"/>
      <c r="I7" s="1" t="s">
        <v>0</v>
      </c>
      <c r="L7" s="2" t="s">
        <v>2</v>
      </c>
      <c r="N7" s="4" t="s">
        <v>3</v>
      </c>
      <c r="P7" s="2" t="s">
        <v>4</v>
      </c>
      <c r="R7" s="1" t="s">
        <v>0</v>
      </c>
      <c r="U7" s="2" t="s">
        <v>2</v>
      </c>
      <c r="W7" s="4" t="s">
        <v>3</v>
      </c>
      <c r="Y7" s="2" t="s">
        <v>4</v>
      </c>
      <c r="Z7" s="2"/>
      <c r="AA7" s="1" t="s">
        <v>0</v>
      </c>
      <c r="AD7" s="2" t="s">
        <v>2</v>
      </c>
      <c r="AF7" s="4" t="s">
        <v>3</v>
      </c>
      <c r="AH7" s="2" t="s">
        <v>4</v>
      </c>
      <c r="AI7" s="2"/>
      <c r="AJ7" s="1" t="s">
        <v>0</v>
      </c>
      <c r="AM7" s="2" t="s">
        <v>2</v>
      </c>
      <c r="AO7" s="4" t="s">
        <v>3</v>
      </c>
      <c r="AQ7" s="2" t="s">
        <v>4</v>
      </c>
      <c r="AR7" s="2"/>
      <c r="AS7" s="1" t="s">
        <v>0</v>
      </c>
      <c r="AV7" s="2" t="s">
        <v>2</v>
      </c>
      <c r="AX7" s="4" t="s">
        <v>3</v>
      </c>
      <c r="AZ7" s="2" t="s">
        <v>4</v>
      </c>
    </row>
    <row r="10" spans="1:52" ht="13.15" x14ac:dyDescent="0.4">
      <c r="A10" s="1" t="s">
        <v>1</v>
      </c>
      <c r="I10" s="1" t="s">
        <v>1</v>
      </c>
      <c r="R10" s="1" t="s">
        <v>1</v>
      </c>
      <c r="AA10" s="1" t="s">
        <v>1</v>
      </c>
      <c r="AJ10" s="1" t="s">
        <v>1</v>
      </c>
      <c r="AS10" s="1" t="s">
        <v>1</v>
      </c>
    </row>
    <row r="11" spans="1:52" x14ac:dyDescent="0.35">
      <c r="B11" t="s">
        <v>14</v>
      </c>
      <c r="C11" s="8">
        <v>20</v>
      </c>
      <c r="E11" s="60">
        <v>142.85</v>
      </c>
      <c r="G11" s="7">
        <f>C11*E11</f>
        <v>2857</v>
      </c>
      <c r="H11" s="7"/>
      <c r="J11" t="s">
        <v>14</v>
      </c>
      <c r="L11" s="8">
        <f>C11+4</f>
        <v>24</v>
      </c>
      <c r="N11" s="60">
        <v>142.85</v>
      </c>
      <c r="P11" s="7">
        <f>L11*N11</f>
        <v>3428.3999999999996</v>
      </c>
      <c r="S11" t="s">
        <v>14</v>
      </c>
      <c r="U11" s="8">
        <f>L11</f>
        <v>24</v>
      </c>
      <c r="W11" s="5">
        <v>142.85</v>
      </c>
      <c r="Y11" s="7">
        <f>U11*W11</f>
        <v>3428.3999999999996</v>
      </c>
      <c r="Z11" s="7"/>
      <c r="AB11" t="s">
        <v>14</v>
      </c>
      <c r="AD11" s="8">
        <v>1</v>
      </c>
      <c r="AF11" s="5">
        <v>148.09</v>
      </c>
      <c r="AH11" s="7">
        <f>AD11*AF11</f>
        <v>148.09</v>
      </c>
      <c r="AI11" s="7"/>
      <c r="AK11" t="s">
        <v>14</v>
      </c>
      <c r="AM11" s="8">
        <f>AD11</f>
        <v>1</v>
      </c>
      <c r="AO11" s="5">
        <v>160</v>
      </c>
      <c r="AQ11" s="7">
        <f>AM11*AO11</f>
        <v>160</v>
      </c>
      <c r="AR11" s="7"/>
      <c r="AT11" t="s">
        <v>14</v>
      </c>
      <c r="AV11" s="8">
        <f>AD11</f>
        <v>1</v>
      </c>
      <c r="AX11" s="5">
        <v>160</v>
      </c>
      <c r="AZ11" s="7">
        <f>AV11*AX11</f>
        <v>160</v>
      </c>
    </row>
    <row r="12" spans="1:52" x14ac:dyDescent="0.35">
      <c r="B12" s="10" t="s">
        <v>57</v>
      </c>
      <c r="C12" s="12">
        <v>20</v>
      </c>
      <c r="D12" s="10"/>
      <c r="E12" s="62">
        <v>2711.96</v>
      </c>
      <c r="F12" s="10"/>
      <c r="G12" s="11">
        <f>C12*E12</f>
        <v>54239.199999999997</v>
      </c>
      <c r="H12" s="15"/>
      <c r="J12" s="10" t="s">
        <v>57</v>
      </c>
      <c r="K12" s="10"/>
      <c r="L12" s="12">
        <f>L11</f>
        <v>24</v>
      </c>
      <c r="M12" s="10"/>
      <c r="N12" s="62">
        <v>2711.96</v>
      </c>
      <c r="O12" s="10"/>
      <c r="P12" s="11">
        <f>L12*N12</f>
        <v>65087.040000000001</v>
      </c>
      <c r="S12" s="10" t="s">
        <v>57</v>
      </c>
      <c r="T12" s="10"/>
      <c r="U12" s="12">
        <f>L12</f>
        <v>24</v>
      </c>
      <c r="V12" s="10"/>
      <c r="W12" s="22">
        <v>2711.96</v>
      </c>
      <c r="X12" s="10"/>
      <c r="Y12" s="11">
        <f>U12*W12</f>
        <v>65087.040000000001</v>
      </c>
      <c r="Z12" s="15"/>
      <c r="AB12" s="10" t="s">
        <v>57</v>
      </c>
      <c r="AC12" s="10"/>
      <c r="AD12" s="12">
        <v>1</v>
      </c>
      <c r="AE12" s="10"/>
      <c r="AF12" s="22">
        <v>2811.45</v>
      </c>
      <c r="AG12" s="10"/>
      <c r="AH12" s="11">
        <f>AD12*AF12</f>
        <v>2811.45</v>
      </c>
      <c r="AI12" s="15"/>
      <c r="AK12" s="10" t="s">
        <v>57</v>
      </c>
      <c r="AL12" s="10"/>
      <c r="AM12" s="12">
        <f>AD12</f>
        <v>1</v>
      </c>
      <c r="AN12" s="10"/>
      <c r="AO12" s="22">
        <v>2811.45</v>
      </c>
      <c r="AP12" s="10"/>
      <c r="AQ12" s="11">
        <f>AM12*AO12</f>
        <v>2811.45</v>
      </c>
      <c r="AR12" s="15"/>
      <c r="AT12" s="10" t="s">
        <v>57</v>
      </c>
      <c r="AU12" s="10"/>
      <c r="AV12" s="12">
        <f>AD12</f>
        <v>1</v>
      </c>
      <c r="AW12" s="10"/>
      <c r="AX12" s="22">
        <v>2811.45</v>
      </c>
      <c r="AY12" s="10"/>
      <c r="AZ12" s="11">
        <f>AV12*AX12</f>
        <v>2811.45</v>
      </c>
    </row>
    <row r="13" spans="1:52" x14ac:dyDescent="0.35">
      <c r="B13" s="17"/>
      <c r="C13" s="19"/>
      <c r="D13" s="17"/>
      <c r="E13" s="61"/>
      <c r="F13" s="17"/>
      <c r="G13" s="15">
        <f>SUM(G11:G12)</f>
        <v>57096.2</v>
      </c>
      <c r="H13" s="15"/>
      <c r="J13" s="17"/>
      <c r="K13" s="17"/>
      <c r="L13" s="19"/>
      <c r="M13" s="17"/>
      <c r="N13" s="23"/>
      <c r="O13" s="17"/>
      <c r="P13" s="15">
        <f>SUM(P11:P12)</f>
        <v>68515.44</v>
      </c>
      <c r="S13" s="17"/>
      <c r="T13" s="17"/>
      <c r="U13" s="19"/>
      <c r="V13" s="17"/>
      <c r="W13" s="23"/>
      <c r="X13" s="17"/>
      <c r="Y13" s="7">
        <f>SUM(Y11:Y12)</f>
        <v>68515.44</v>
      </c>
      <c r="Z13" s="7"/>
      <c r="AB13" s="17"/>
      <c r="AC13" s="17"/>
      <c r="AD13" s="19"/>
      <c r="AE13" s="17"/>
      <c r="AF13" s="23"/>
      <c r="AG13" s="17"/>
      <c r="AH13" s="7">
        <f>SUM(AH11:AH12)</f>
        <v>2959.54</v>
      </c>
      <c r="AI13" s="15"/>
      <c r="AK13" s="17"/>
      <c r="AL13" s="17"/>
      <c r="AM13" s="19"/>
      <c r="AN13" s="17"/>
      <c r="AO13" s="23"/>
      <c r="AP13" s="17"/>
      <c r="AQ13" s="7">
        <f>SUM(AQ11:AQ12)</f>
        <v>2971.45</v>
      </c>
      <c r="AR13" s="15"/>
      <c r="AT13" s="17"/>
      <c r="AU13" s="17"/>
      <c r="AV13" s="19"/>
      <c r="AW13" s="17"/>
      <c r="AX13" s="23"/>
      <c r="AY13" s="17"/>
      <c r="AZ13" s="7">
        <f>SUM(AZ11:AZ12)</f>
        <v>2971.45</v>
      </c>
    </row>
    <row r="14" spans="1:52" x14ac:dyDescent="0.35">
      <c r="B14" s="17"/>
      <c r="C14" s="19"/>
      <c r="D14" s="17"/>
      <c r="E14" s="61"/>
      <c r="F14" s="17"/>
      <c r="G14" s="15"/>
      <c r="H14" s="7"/>
      <c r="J14" s="17"/>
      <c r="K14" s="17"/>
      <c r="L14" s="19"/>
      <c r="M14" s="17"/>
      <c r="N14" s="23"/>
      <c r="O14" s="17"/>
      <c r="P14" s="15"/>
      <c r="U14" s="8"/>
      <c r="W14" s="5"/>
      <c r="AD14" s="8"/>
      <c r="AF14" s="5"/>
      <c r="AI14" s="7"/>
      <c r="AK14" s="17"/>
      <c r="AL14" s="17"/>
      <c r="AM14" s="19"/>
      <c r="AN14" s="17"/>
      <c r="AO14" s="23"/>
      <c r="AP14" s="17"/>
      <c r="AQ14" s="15"/>
      <c r="AR14" s="7"/>
      <c r="AT14" s="17"/>
      <c r="AU14" s="17"/>
      <c r="AV14" s="19"/>
      <c r="AW14" s="17"/>
      <c r="AX14" s="23"/>
      <c r="AY14" s="17"/>
      <c r="AZ14" s="15"/>
    </row>
    <row r="15" spans="1:52" ht="13.15" x14ac:dyDescent="0.4">
      <c r="A15" s="1" t="s">
        <v>8</v>
      </c>
      <c r="I15" s="1" t="s">
        <v>8</v>
      </c>
    </row>
    <row r="16" spans="1:52" ht="13.15" x14ac:dyDescent="0.4">
      <c r="B16" s="14" t="s">
        <v>32</v>
      </c>
      <c r="C16" s="46">
        <v>138996</v>
      </c>
      <c r="E16" s="5">
        <v>6.16</v>
      </c>
      <c r="G16" s="5">
        <f>C16*E16</f>
        <v>856215.36</v>
      </c>
      <c r="J16" s="14" t="s">
        <v>32</v>
      </c>
      <c r="K16" s="14"/>
      <c r="L16" s="6">
        <f>C16+31624</f>
        <v>170620</v>
      </c>
      <c r="N16" s="5">
        <v>6.16</v>
      </c>
      <c r="P16" s="5">
        <f>L16*N16</f>
        <v>1051019.2</v>
      </c>
      <c r="R16" s="1" t="s">
        <v>8</v>
      </c>
      <c r="AA16" s="1" t="s">
        <v>8</v>
      </c>
      <c r="AJ16" s="1" t="s">
        <v>8</v>
      </c>
      <c r="AS16" s="1" t="s">
        <v>8</v>
      </c>
    </row>
    <row r="17" spans="1:52" x14ac:dyDescent="0.35">
      <c r="H17" s="60"/>
      <c r="J17" s="27"/>
      <c r="K17" s="27"/>
      <c r="L17" s="16"/>
      <c r="M17" s="17"/>
      <c r="N17" s="23"/>
      <c r="O17" s="17"/>
      <c r="P17" s="23"/>
      <c r="S17" s="14" t="s">
        <v>32</v>
      </c>
      <c r="U17" s="6">
        <f>L16</f>
        <v>170620</v>
      </c>
      <c r="W17" s="5">
        <v>6.16</v>
      </c>
      <c r="Y17" s="5">
        <f>U17*W17</f>
        <v>1051019.2</v>
      </c>
      <c r="Z17" s="5"/>
      <c r="AB17" s="14" t="s">
        <v>32</v>
      </c>
      <c r="AD17" s="6">
        <f>U17/U11</f>
        <v>7109.166666666667</v>
      </c>
      <c r="AF17" s="5">
        <v>6.39</v>
      </c>
      <c r="AH17" s="5">
        <f>AD17*AF17</f>
        <v>45427.574999999997</v>
      </c>
      <c r="AI17" s="60"/>
      <c r="AK17" s="14" t="s">
        <v>32</v>
      </c>
      <c r="AL17" s="14"/>
      <c r="AM17" s="6">
        <f>AD17</f>
        <v>7109.166666666667</v>
      </c>
      <c r="AO17" s="5">
        <v>6.54</v>
      </c>
      <c r="AQ17" s="5">
        <f>AM17*AO17</f>
        <v>46493.950000000004</v>
      </c>
      <c r="AR17" s="60"/>
      <c r="AT17" s="14" t="s">
        <v>32</v>
      </c>
      <c r="AU17" s="14"/>
      <c r="AV17" s="6">
        <f>AD17</f>
        <v>7109.166666666667</v>
      </c>
      <c r="AX17" s="5">
        <v>6.69</v>
      </c>
      <c r="AZ17" s="5">
        <f>AV17*AX17</f>
        <v>47560.325000000004</v>
      </c>
    </row>
    <row r="18" spans="1:52" x14ac:dyDescent="0.35">
      <c r="B18" s="17"/>
      <c r="C18" s="59"/>
      <c r="D18" s="17"/>
      <c r="E18" s="23"/>
      <c r="F18" s="17"/>
      <c r="G18" s="23"/>
      <c r="J18" s="17"/>
      <c r="K18" s="17"/>
      <c r="L18" s="17"/>
      <c r="M18" s="17"/>
      <c r="N18" s="15"/>
      <c r="O18" s="17"/>
      <c r="P18" s="15"/>
      <c r="S18" s="37"/>
      <c r="T18" s="37"/>
      <c r="U18" s="119"/>
      <c r="V18" s="37"/>
      <c r="W18" s="120"/>
      <c r="X18" s="37"/>
      <c r="Y18" s="120"/>
      <c r="Z18" s="120"/>
      <c r="AB18" s="37"/>
      <c r="AC18" s="37"/>
      <c r="AD18" s="119"/>
      <c r="AE18" s="37"/>
      <c r="AF18" s="120"/>
      <c r="AG18" s="37"/>
      <c r="AH18" s="120"/>
      <c r="AK18" s="27"/>
      <c r="AL18" s="27"/>
      <c r="AM18" s="16"/>
      <c r="AN18" s="17"/>
      <c r="AO18" s="23"/>
      <c r="AP18" s="17"/>
      <c r="AQ18" s="23"/>
      <c r="AT18" s="27"/>
      <c r="AU18" s="27"/>
      <c r="AV18" s="16"/>
      <c r="AW18" s="17"/>
      <c r="AX18" s="23"/>
      <c r="AY18" s="17"/>
      <c r="AZ18" s="23"/>
    </row>
    <row r="19" spans="1:52" ht="13.15" x14ac:dyDescent="0.4">
      <c r="A19" s="1" t="s">
        <v>5</v>
      </c>
      <c r="I19" s="1" t="s">
        <v>5</v>
      </c>
      <c r="L19" s="43"/>
      <c r="N19" s="53"/>
      <c r="P19" s="71"/>
      <c r="S19" s="37"/>
      <c r="T19" s="37"/>
      <c r="U19" s="37"/>
      <c r="V19" s="37"/>
      <c r="W19" s="121"/>
      <c r="X19" s="37"/>
      <c r="Y19" s="121"/>
      <c r="Z19" s="121"/>
      <c r="AB19" s="37"/>
      <c r="AC19" s="37"/>
      <c r="AD19" s="37"/>
      <c r="AE19" s="37"/>
      <c r="AF19" s="121"/>
      <c r="AG19" s="37"/>
      <c r="AH19" s="121"/>
      <c r="AK19" s="17"/>
      <c r="AL19" s="17"/>
      <c r="AM19" s="17"/>
      <c r="AN19" s="17"/>
      <c r="AO19" s="15"/>
      <c r="AP19" s="17"/>
      <c r="AQ19" s="15"/>
      <c r="AT19" s="17"/>
      <c r="AU19" s="17"/>
      <c r="AV19" s="17"/>
      <c r="AW19" s="17"/>
      <c r="AX19" s="15"/>
      <c r="AY19" s="17"/>
      <c r="AZ19" s="15"/>
    </row>
    <row r="20" spans="1:52" ht="13.15" x14ac:dyDescent="0.4">
      <c r="A20" s="7"/>
      <c r="B20" s="14" t="s">
        <v>59</v>
      </c>
      <c r="C20" s="43">
        <f>2000000*18</f>
        <v>36000000</v>
      </c>
      <c r="E20" s="44">
        <v>5.1709999999999999E-2</v>
      </c>
      <c r="G20" s="7">
        <f>C20*E20</f>
        <v>1861560</v>
      </c>
      <c r="I20" s="1"/>
      <c r="J20" s="14" t="s">
        <v>59</v>
      </c>
      <c r="L20" s="43">
        <f>C20</f>
        <v>36000000</v>
      </c>
      <c r="N20" s="44">
        <v>5.1709999999999999E-2</v>
      </c>
      <c r="P20" s="7">
        <f t="shared" ref="P20:P22" si="0">L20*N20</f>
        <v>1861560</v>
      </c>
      <c r="R20" s="1" t="s">
        <v>5</v>
      </c>
      <c r="U20" s="43"/>
      <c r="AA20" s="1" t="s">
        <v>5</v>
      </c>
      <c r="AD20" s="43"/>
      <c r="AJ20" s="1" t="s">
        <v>5</v>
      </c>
      <c r="AM20" s="43"/>
      <c r="AO20" s="53"/>
      <c r="AQ20" s="71"/>
      <c r="AS20" s="1" t="s">
        <v>5</v>
      </c>
      <c r="AV20" s="43"/>
      <c r="AX20" s="53"/>
      <c r="AZ20" s="71"/>
    </row>
    <row r="21" spans="1:52" ht="13.15" x14ac:dyDescent="0.4">
      <c r="A21" s="7"/>
      <c r="B21" s="14" t="s">
        <v>60</v>
      </c>
      <c r="C21" s="43">
        <f>71941616-C20-C22-C23</f>
        <v>29447276</v>
      </c>
      <c r="E21" s="44">
        <v>4.4839999999999998E-2</v>
      </c>
      <c r="G21" s="7">
        <f t="shared" ref="G21:G22" si="1">C21*E21</f>
        <v>1320415.8558399999</v>
      </c>
      <c r="I21" s="1"/>
      <c r="J21" s="14" t="s">
        <v>60</v>
      </c>
      <c r="L21" s="43">
        <f t="shared" ref="L21:L23" si="2">C21</f>
        <v>29447276</v>
      </c>
      <c r="N21" s="44">
        <v>4.4839999999999998E-2</v>
      </c>
      <c r="P21" s="7">
        <f t="shared" si="0"/>
        <v>1320415.8558399999</v>
      </c>
      <c r="R21" s="1"/>
      <c r="S21" s="108" t="s">
        <v>183</v>
      </c>
      <c r="U21" s="43">
        <f>L20+L22+L24</f>
        <v>54160264</v>
      </c>
      <c r="W21" s="44">
        <v>5.0119999999999998E-2</v>
      </c>
      <c r="Y21" s="7">
        <f>U21*W21</f>
        <v>2714512.4316799999</v>
      </c>
      <c r="Z21" s="7"/>
      <c r="AA21" s="1"/>
      <c r="AB21" s="108" t="s">
        <v>183</v>
      </c>
      <c r="AD21" s="43">
        <f>400*5000</f>
        <v>2000000</v>
      </c>
      <c r="AF21" s="44">
        <v>5.1959999999999999E-2</v>
      </c>
      <c r="AH21" s="7">
        <f>AD21*AF21</f>
        <v>103920</v>
      </c>
      <c r="AJ21" s="1"/>
      <c r="AK21" s="108" t="s">
        <v>183</v>
      </c>
      <c r="AM21" s="43">
        <f>AD21</f>
        <v>2000000</v>
      </c>
      <c r="AO21" s="44">
        <f>AF21</f>
        <v>5.1959999999999999E-2</v>
      </c>
      <c r="AQ21" s="7">
        <f>AM21*AO21</f>
        <v>103920</v>
      </c>
      <c r="AS21" s="1"/>
      <c r="AT21" s="108" t="s">
        <v>183</v>
      </c>
      <c r="AV21" s="43">
        <f>AD21</f>
        <v>2000000</v>
      </c>
      <c r="AX21" s="44">
        <f>AO21</f>
        <v>5.1959999999999999E-2</v>
      </c>
      <c r="AZ21" s="7">
        <f>AV21*AX21</f>
        <v>103920</v>
      </c>
    </row>
    <row r="22" spans="1:52" ht="13.15" x14ac:dyDescent="0.4">
      <c r="A22" s="7"/>
      <c r="B22" s="14" t="s">
        <v>61</v>
      </c>
      <c r="C22" s="43">
        <v>4000000</v>
      </c>
      <c r="E22" s="44">
        <v>5.0119999999999998E-2</v>
      </c>
      <c r="G22" s="7">
        <f t="shared" si="1"/>
        <v>200480</v>
      </c>
      <c r="I22" s="1"/>
      <c r="J22" s="14" t="s">
        <v>61</v>
      </c>
      <c r="L22" s="43">
        <f t="shared" si="2"/>
        <v>4000000</v>
      </c>
      <c r="N22" s="44">
        <v>5.0119999999999998E-2</v>
      </c>
      <c r="P22" s="7">
        <f t="shared" si="0"/>
        <v>200480</v>
      </c>
      <c r="R22" s="1"/>
      <c r="S22" s="112" t="s">
        <v>184</v>
      </c>
      <c r="T22" s="10"/>
      <c r="U22" s="69">
        <f>L21+L23</f>
        <v>31941616</v>
      </c>
      <c r="V22" s="10"/>
      <c r="W22" s="51">
        <f>N23</f>
        <v>4.3249999999999997E-2</v>
      </c>
      <c r="X22" s="10"/>
      <c r="Y22" s="11">
        <f>U22*W22</f>
        <v>1381474.892</v>
      </c>
      <c r="Z22" s="15"/>
      <c r="AA22" s="1"/>
      <c r="AB22" s="112" t="s">
        <v>184</v>
      </c>
      <c r="AC22" s="10"/>
      <c r="AD22" s="69">
        <f>((U27-400)*AD17)+(400*(AD17-5000))</f>
        <v>1587578.3333333335</v>
      </c>
      <c r="AE22" s="10"/>
      <c r="AF22" s="51">
        <v>4.4839999999999998E-2</v>
      </c>
      <c r="AG22" s="10"/>
      <c r="AH22" s="11">
        <f>AD22*AF22</f>
        <v>71187.012466666667</v>
      </c>
      <c r="AJ22" s="1"/>
      <c r="AK22" s="112" t="s">
        <v>184</v>
      </c>
      <c r="AL22" s="10"/>
      <c r="AM22" s="69">
        <f>AD22</f>
        <v>1587578.3333333335</v>
      </c>
      <c r="AN22" s="10"/>
      <c r="AO22" s="51">
        <f>AF22</f>
        <v>4.4839999999999998E-2</v>
      </c>
      <c r="AP22" s="10"/>
      <c r="AQ22" s="11">
        <f>AM22*AO22</f>
        <v>71187.012466666667</v>
      </c>
      <c r="AS22" s="1"/>
      <c r="AT22" s="112" t="s">
        <v>184</v>
      </c>
      <c r="AU22" s="10"/>
      <c r="AV22" s="69">
        <f>AD22</f>
        <v>1587578.3333333335</v>
      </c>
      <c r="AW22" s="10"/>
      <c r="AX22" s="51">
        <f>AO22</f>
        <v>4.4839999999999998E-2</v>
      </c>
      <c r="AY22" s="10"/>
      <c r="AZ22" s="11">
        <f>AV22*AX22</f>
        <v>71187.012466666667</v>
      </c>
    </row>
    <row r="23" spans="1:52" ht="13.15" x14ac:dyDescent="0.4">
      <c r="A23" s="7"/>
      <c r="B23" s="26" t="s">
        <v>62</v>
      </c>
      <c r="C23" s="69">
        <f>3265140+3229200-C22</f>
        <v>2494340</v>
      </c>
      <c r="D23" s="10"/>
      <c r="E23" s="51">
        <v>4.3249999999999997E-2</v>
      </c>
      <c r="F23" s="10"/>
      <c r="G23" s="11">
        <f>C23*E23</f>
        <v>107880.20499999999</v>
      </c>
      <c r="I23" s="1"/>
      <c r="J23" s="27" t="s">
        <v>62</v>
      </c>
      <c r="L23" s="43">
        <f t="shared" si="2"/>
        <v>2494340</v>
      </c>
      <c r="N23" s="44">
        <v>4.3249999999999997E-2</v>
      </c>
      <c r="P23" s="7">
        <f>L23*N23</f>
        <v>107880.20499999999</v>
      </c>
      <c r="R23" s="7"/>
      <c r="S23" s="27"/>
      <c r="T23" s="27"/>
      <c r="U23" s="19">
        <f>SUM(U21:U22)</f>
        <v>86101880</v>
      </c>
      <c r="V23" s="17"/>
      <c r="W23" s="44"/>
      <c r="X23" s="17"/>
      <c r="Y23" s="15">
        <f>SUM(Y21:Y22)</f>
        <v>4095987.3236799999</v>
      </c>
      <c r="Z23" s="15"/>
      <c r="AA23" s="7"/>
      <c r="AB23" s="27"/>
      <c r="AC23" s="27"/>
      <c r="AD23" s="19">
        <f>SUM(AD21:AD22)</f>
        <v>3587578.3333333335</v>
      </c>
      <c r="AE23" s="17"/>
      <c r="AF23" s="44"/>
      <c r="AG23" s="17"/>
      <c r="AH23" s="15">
        <f>SUM(AH21:AH22)</f>
        <v>175107.01246666667</v>
      </c>
      <c r="AJ23" s="1"/>
      <c r="AK23" s="27"/>
      <c r="AL23" s="27"/>
      <c r="AM23" s="19"/>
      <c r="AN23" s="17"/>
      <c r="AO23" s="44"/>
      <c r="AP23" s="17"/>
      <c r="AQ23" s="15">
        <f>SUM(AQ21:AQ22)</f>
        <v>175107.01246666667</v>
      </c>
      <c r="AS23" s="1"/>
      <c r="AT23" s="27"/>
      <c r="AU23" s="27"/>
      <c r="AV23" s="19"/>
      <c r="AW23" s="17"/>
      <c r="AX23" s="44"/>
      <c r="AY23" s="17"/>
      <c r="AZ23" s="15">
        <f>SUM(AZ21:AZ22)</f>
        <v>175107.01246666667</v>
      </c>
    </row>
    <row r="24" spans="1:52" ht="13.15" x14ac:dyDescent="0.4">
      <c r="C24" s="43">
        <f>SUM(C20:C23)</f>
        <v>71941616</v>
      </c>
      <c r="G24" s="7">
        <f>SUM(G20:G23)</f>
        <v>3490336.0608399999</v>
      </c>
      <c r="I24" s="1"/>
      <c r="J24" s="10" t="s">
        <v>168</v>
      </c>
      <c r="K24" s="10"/>
      <c r="L24" s="69">
        <v>14160264</v>
      </c>
      <c r="M24" s="10"/>
      <c r="N24" s="51">
        <v>5.1709999999999999E-2</v>
      </c>
      <c r="O24" s="10"/>
      <c r="P24" s="11">
        <f>L24*N24</f>
        <v>732227.25144000002</v>
      </c>
      <c r="AJ24" s="1"/>
      <c r="AS24" s="1"/>
    </row>
    <row r="25" spans="1:52" ht="13.15" x14ac:dyDescent="0.4">
      <c r="H25" s="7"/>
      <c r="I25" s="7"/>
      <c r="J25" s="27"/>
      <c r="K25" s="27"/>
      <c r="L25" s="19">
        <f>SUM(L20:L24)</f>
        <v>86101880</v>
      </c>
      <c r="M25" s="17"/>
      <c r="N25" s="44"/>
      <c r="O25" s="17"/>
      <c r="P25" s="15">
        <f>SUM(P20:P24)</f>
        <v>4222563.3122800002</v>
      </c>
      <c r="S25" s="27"/>
      <c r="T25" s="27"/>
      <c r="U25" s="19"/>
      <c r="V25" s="17"/>
      <c r="W25" s="18"/>
      <c r="X25" s="17"/>
      <c r="Y25" s="15"/>
      <c r="Z25" s="15"/>
      <c r="AB25" s="27"/>
      <c r="AC25" s="27"/>
      <c r="AD25" s="19"/>
      <c r="AE25" s="17"/>
      <c r="AF25" s="18"/>
      <c r="AG25" s="17"/>
      <c r="AH25" s="15"/>
      <c r="AI25" s="7"/>
      <c r="AJ25" s="1"/>
      <c r="AR25" s="7"/>
      <c r="AS25" s="1"/>
    </row>
    <row r="26" spans="1:52" ht="13.15" x14ac:dyDescent="0.4">
      <c r="A26" s="7"/>
      <c r="B26" s="27" t="s">
        <v>26</v>
      </c>
      <c r="C26" s="19"/>
      <c r="D26" s="17"/>
      <c r="E26" s="63"/>
      <c r="F26" s="17"/>
      <c r="G26" s="15">
        <f>E75</f>
        <v>0</v>
      </c>
      <c r="H26" s="7"/>
      <c r="R26" s="1"/>
      <c r="S26" s="108" t="s">
        <v>175</v>
      </c>
      <c r="T26" s="27"/>
      <c r="U26" s="19">
        <f>U23/U11</f>
        <v>3587578.3333333335</v>
      </c>
      <c r="V26" s="17"/>
      <c r="W26" s="18"/>
      <c r="X26" s="17"/>
      <c r="Y26" s="15">
        <f>P31</f>
        <v>-395239.18</v>
      </c>
      <c r="Z26" s="15"/>
      <c r="AA26" s="1"/>
      <c r="AB26" s="108" t="s">
        <v>175</v>
      </c>
      <c r="AC26" s="27"/>
      <c r="AD26" s="138">
        <f>Y26/U23</f>
        <v>-4.5903664356690002E-3</v>
      </c>
      <c r="AE26" s="17"/>
      <c r="AF26" s="18"/>
      <c r="AG26" s="17"/>
      <c r="AH26" s="15">
        <f>AD23*AD26</f>
        <v>-16468.299166666668</v>
      </c>
      <c r="AI26" s="7"/>
      <c r="AJ26" s="7"/>
      <c r="AK26" s="108" t="s">
        <v>175</v>
      </c>
      <c r="AL26" s="27"/>
      <c r="AM26" s="19"/>
      <c r="AN26" s="17"/>
      <c r="AO26" s="17"/>
      <c r="AP26" s="17"/>
      <c r="AQ26" s="15">
        <f>AH26</f>
        <v>-16468.299166666668</v>
      </c>
      <c r="AR26" s="7"/>
      <c r="AS26" s="7"/>
      <c r="AT26" s="108" t="s">
        <v>175</v>
      </c>
      <c r="AU26" s="27"/>
      <c r="AV26" s="19"/>
      <c r="AW26" s="17"/>
      <c r="AX26" s="17"/>
      <c r="AY26" s="17"/>
      <c r="AZ26" s="15">
        <f>AH26</f>
        <v>-16468.299166666668</v>
      </c>
    </row>
    <row r="27" spans="1:52" x14ac:dyDescent="0.35">
      <c r="A27" s="7"/>
      <c r="H27" s="7"/>
      <c r="R27" s="15"/>
      <c r="S27" s="27"/>
      <c r="T27" s="27"/>
      <c r="U27" s="19">
        <f>U26/AD17</f>
        <v>504.64119095065058</v>
      </c>
      <c r="V27" s="17"/>
      <c r="W27" s="18"/>
      <c r="X27" s="17"/>
      <c r="Y27" s="32"/>
      <c r="Z27" s="32"/>
      <c r="AA27" s="15"/>
      <c r="AB27" s="27"/>
      <c r="AC27" s="27"/>
      <c r="AD27" s="19"/>
      <c r="AE27" s="17"/>
      <c r="AF27" s="18"/>
      <c r="AG27" s="17"/>
      <c r="AH27" s="32"/>
      <c r="AI27" s="7"/>
      <c r="AK27" s="27"/>
      <c r="AL27" s="27"/>
      <c r="AM27" s="19"/>
      <c r="AN27" s="17"/>
      <c r="AO27" s="18"/>
      <c r="AP27" s="17"/>
      <c r="AQ27" s="32"/>
      <c r="AR27" s="7"/>
      <c r="AT27" s="27"/>
      <c r="AU27" s="27"/>
      <c r="AV27" s="19"/>
      <c r="AW27" s="17"/>
      <c r="AX27" s="18"/>
      <c r="AY27" s="17"/>
      <c r="AZ27" s="32"/>
    </row>
    <row r="28" spans="1:52" ht="13.15" x14ac:dyDescent="0.4">
      <c r="B28" s="108" t="s">
        <v>175</v>
      </c>
      <c r="C28" s="19"/>
      <c r="D28" s="17"/>
      <c r="E28" s="63"/>
      <c r="F28" s="17"/>
      <c r="G28" s="15">
        <f>G34</f>
        <v>-334417.88</v>
      </c>
      <c r="H28" s="15"/>
      <c r="R28" s="15"/>
      <c r="S28" s="1" t="s">
        <v>33</v>
      </c>
      <c r="Y28" s="7">
        <f>Y13+Y17+Y23+Y26</f>
        <v>4820282.7836800003</v>
      </c>
      <c r="Z28" s="7"/>
      <c r="AA28" s="15"/>
      <c r="AB28" s="1" t="s">
        <v>33</v>
      </c>
      <c r="AH28" s="7">
        <f>AH13+AH17+AH23+AH26</f>
        <v>207025.82829999999</v>
      </c>
      <c r="AI28" s="15"/>
      <c r="AK28" s="1" t="s">
        <v>33</v>
      </c>
      <c r="AQ28" s="7">
        <f>AQ13+AQ17+AQ23+AQ26</f>
        <v>208104.1133</v>
      </c>
      <c r="AR28" s="15"/>
      <c r="AT28" s="1" t="s">
        <v>33</v>
      </c>
      <c r="AZ28" s="7">
        <f>AZ13+AZ17+AZ23+AZ26</f>
        <v>209170.4883</v>
      </c>
    </row>
    <row r="29" spans="1:52" ht="13.15" x14ac:dyDescent="0.4">
      <c r="B29" s="27"/>
      <c r="C29" s="19"/>
      <c r="D29" s="17"/>
      <c r="E29" s="63"/>
      <c r="F29" s="17"/>
      <c r="G29" s="32"/>
      <c r="H29" s="15"/>
      <c r="I29" s="1"/>
      <c r="J29" s="27" t="s">
        <v>26</v>
      </c>
      <c r="K29" s="27"/>
      <c r="L29" s="19"/>
      <c r="M29" s="17"/>
      <c r="N29" s="18"/>
      <c r="O29" s="17"/>
      <c r="P29" s="15">
        <f>G26</f>
        <v>0</v>
      </c>
      <c r="R29" s="15"/>
      <c r="AA29" s="15"/>
      <c r="AI29" s="15"/>
      <c r="AJ29" s="1"/>
      <c r="AR29" s="15"/>
      <c r="AS29" s="1"/>
    </row>
    <row r="30" spans="1:52" ht="13.5" thickBot="1" x14ac:dyDescent="0.45">
      <c r="A30" s="1"/>
      <c r="B30" t="s">
        <v>17</v>
      </c>
      <c r="C30" s="8"/>
      <c r="E30" s="65"/>
      <c r="G30" s="13">
        <f>G13+G16+G24+G26+G28</f>
        <v>4069229.7408400001</v>
      </c>
      <c r="I30" s="15"/>
      <c r="R30" s="15"/>
      <c r="S30" t="s">
        <v>34</v>
      </c>
      <c r="Y30" s="83">
        <f>P35</f>
        <v>0.99999999733610523</v>
      </c>
      <c r="Z30" s="83"/>
      <c r="AA30" s="15"/>
      <c r="AB30" t="s">
        <v>34</v>
      </c>
      <c r="AH30" s="83">
        <f>Y30</f>
        <v>0.99999999733610523</v>
      </c>
      <c r="AJ30" s="15"/>
      <c r="AK30" t="s">
        <v>34</v>
      </c>
      <c r="AQ30" s="83">
        <f>Y30</f>
        <v>0.99999999733610523</v>
      </c>
      <c r="AS30" s="15"/>
      <c r="AT30" t="s">
        <v>34</v>
      </c>
      <c r="AZ30" s="83">
        <f>AH30</f>
        <v>0.99999999733610523</v>
      </c>
    </row>
    <row r="31" spans="1:52" ht="13.15" thickTop="1" x14ac:dyDescent="0.35">
      <c r="A31" s="15"/>
      <c r="C31" s="8"/>
      <c r="E31" s="65"/>
      <c r="G31" s="7"/>
      <c r="H31" s="15"/>
      <c r="I31" s="15"/>
      <c r="J31" s="108" t="s">
        <v>175</v>
      </c>
      <c r="K31" s="27"/>
      <c r="L31" s="19"/>
      <c r="M31" s="17"/>
      <c r="N31" s="17"/>
      <c r="O31" s="17"/>
      <c r="P31" s="15">
        <f>G28+-60821.3</f>
        <v>-395239.18</v>
      </c>
      <c r="R31" s="15"/>
      <c r="AA31" s="15"/>
      <c r="AD31" s="6">
        <f>AD17*400</f>
        <v>2843666.666666667</v>
      </c>
      <c r="AI31" s="15"/>
      <c r="AJ31" s="15"/>
      <c r="AR31" s="15"/>
      <c r="AS31" s="15"/>
    </row>
    <row r="32" spans="1:52" ht="13.5" thickBot="1" x14ac:dyDescent="0.45">
      <c r="A32" s="15"/>
      <c r="B32" t="s">
        <v>18</v>
      </c>
      <c r="G32" s="60">
        <f>4349408.41+54239.2</f>
        <v>4403647.6100000003</v>
      </c>
      <c r="H32" s="32"/>
      <c r="I32" s="15"/>
      <c r="J32" s="27"/>
      <c r="K32" s="27"/>
      <c r="L32" s="19"/>
      <c r="M32" s="17"/>
      <c r="N32" s="18"/>
      <c r="O32" s="17"/>
      <c r="P32" s="32"/>
      <c r="R32" s="15"/>
      <c r="S32" s="1" t="s">
        <v>7</v>
      </c>
      <c r="Y32" s="13">
        <f>Y28*Y30</f>
        <v>4820282.7708392739</v>
      </c>
      <c r="Z32" s="15"/>
      <c r="AA32" s="15"/>
      <c r="AB32" s="1" t="s">
        <v>7</v>
      </c>
      <c r="AH32" s="13">
        <f>AH28*AH30</f>
        <v>207025.82774850496</v>
      </c>
      <c r="AI32" s="32"/>
      <c r="AJ32" s="15"/>
      <c r="AK32" s="1" t="s">
        <v>7</v>
      </c>
      <c r="AQ32" s="13">
        <f>AQ28*AQ30</f>
        <v>208104.11274563253</v>
      </c>
      <c r="AR32" s="32"/>
      <c r="AS32" s="15"/>
      <c r="AT32" s="1" t="s">
        <v>7</v>
      </c>
      <c r="AZ32" s="13">
        <f>AZ28*AZ30</f>
        <v>209170.48774279183</v>
      </c>
    </row>
    <row r="33" spans="1:52" ht="13.5" thickTop="1" x14ac:dyDescent="0.4">
      <c r="A33" s="15"/>
      <c r="H33" s="15"/>
      <c r="I33" s="15"/>
      <c r="J33" s="1" t="s">
        <v>33</v>
      </c>
      <c r="P33" s="7">
        <f>P13+P16+P25+P29+P31</f>
        <v>4946858.7722800002</v>
      </c>
      <c r="R33" s="17"/>
      <c r="S33" s="17"/>
      <c r="T33" s="17"/>
      <c r="U33" s="19"/>
      <c r="V33" s="17"/>
      <c r="W33" s="18"/>
      <c r="X33" s="17"/>
      <c r="Y33" s="15"/>
      <c r="Z33" s="15"/>
      <c r="AA33" s="17"/>
      <c r="AB33" s="17"/>
      <c r="AC33" s="17"/>
      <c r="AD33" s="19"/>
      <c r="AE33" s="17"/>
      <c r="AF33" s="18"/>
      <c r="AG33" s="17"/>
      <c r="AH33" s="15"/>
      <c r="AI33" s="15"/>
      <c r="AJ33" s="15"/>
      <c r="AK33" s="17"/>
      <c r="AL33" s="17"/>
      <c r="AM33" s="19"/>
      <c r="AN33" s="17"/>
      <c r="AO33" s="18"/>
      <c r="AP33" s="17"/>
      <c r="AQ33" s="15"/>
      <c r="AR33" s="15"/>
      <c r="AS33" s="15"/>
      <c r="AT33" s="17"/>
      <c r="AU33" s="17"/>
      <c r="AV33" s="19"/>
      <c r="AW33" s="17"/>
      <c r="AX33" s="18"/>
      <c r="AY33" s="17"/>
      <c r="AZ33" s="15"/>
    </row>
    <row r="34" spans="1:52" x14ac:dyDescent="0.35">
      <c r="A34" s="7"/>
      <c r="B34" s="108" t="s">
        <v>175</v>
      </c>
      <c r="G34" s="5">
        <v>-334417.88</v>
      </c>
      <c r="H34" s="7"/>
      <c r="I34" s="15"/>
      <c r="R34" s="17"/>
      <c r="Y34" s="5"/>
      <c r="Z34" s="5"/>
      <c r="AA34" s="17"/>
      <c r="AH34" s="5"/>
      <c r="AI34" s="7"/>
      <c r="AJ34" s="15"/>
      <c r="AK34" t="s">
        <v>12</v>
      </c>
      <c r="AQ34" s="5">
        <f>AQ32-AH32</f>
        <v>1078.2849971275718</v>
      </c>
      <c r="AR34" s="7"/>
      <c r="AS34" s="15"/>
      <c r="AT34" t="s">
        <v>12</v>
      </c>
      <c r="AZ34" s="5">
        <f>AZ32-AQ32</f>
        <v>1066.3749971592915</v>
      </c>
    </row>
    <row r="35" spans="1:52" x14ac:dyDescent="0.35">
      <c r="A35" s="7"/>
      <c r="H35" s="60"/>
      <c r="J35" t="s">
        <v>34</v>
      </c>
      <c r="P35" s="83">
        <f>G38</f>
        <v>0.99999999733610523</v>
      </c>
      <c r="AI35" s="60"/>
      <c r="AR35" s="60"/>
    </row>
    <row r="36" spans="1:52" ht="13.15" thickBot="1" x14ac:dyDescent="0.4">
      <c r="A36" s="15"/>
      <c r="B36" s="108" t="s">
        <v>177</v>
      </c>
      <c r="G36" s="13">
        <f>G32+G34</f>
        <v>4069229.7300000004</v>
      </c>
      <c r="AK36" s="108" t="s">
        <v>185</v>
      </c>
      <c r="AQ36" s="21">
        <f>AQ34/AH32</f>
        <v>5.2084563981914028E-3</v>
      </c>
      <c r="AT36" s="108" t="s">
        <v>185</v>
      </c>
      <c r="AZ36" s="21">
        <f>AZ34/AQ32</f>
        <v>5.1242379743966469E-3</v>
      </c>
    </row>
    <row r="37" spans="1:52" ht="13.9" thickTop="1" thickBot="1" x14ac:dyDescent="0.45">
      <c r="H37" s="60"/>
      <c r="I37" s="15"/>
      <c r="J37" s="1" t="s">
        <v>7</v>
      </c>
      <c r="P37" s="13">
        <f>P33*P35</f>
        <v>4946858.7591020893</v>
      </c>
      <c r="AI37" s="60"/>
      <c r="AJ37" s="15"/>
      <c r="AR37" s="60"/>
      <c r="AS37" s="15"/>
    </row>
    <row r="38" spans="1:52" ht="13.15" thickTop="1" x14ac:dyDescent="0.35">
      <c r="B38" t="s">
        <v>23</v>
      </c>
      <c r="G38" s="66">
        <f>G36/G30</f>
        <v>0.99999999733610523</v>
      </c>
      <c r="H38" s="5"/>
      <c r="J38" s="17"/>
      <c r="K38" s="17"/>
      <c r="L38" s="19"/>
      <c r="M38" s="17"/>
      <c r="N38" s="18"/>
      <c r="O38" s="17"/>
      <c r="P38" s="15"/>
      <c r="AH38" s="7"/>
    </row>
    <row r="39" spans="1:52" x14ac:dyDescent="0.35">
      <c r="J39" t="s">
        <v>12</v>
      </c>
      <c r="P39" s="5">
        <f>P37-G36</f>
        <v>877629.02910208888</v>
      </c>
      <c r="AI39" s="66"/>
      <c r="AQ39" s="71">
        <f>AQ40/2</f>
        <v>25695.284703379501</v>
      </c>
      <c r="AR39" s="66"/>
    </row>
    <row r="40" spans="1:52" x14ac:dyDescent="0.35">
      <c r="B40" s="27" t="s">
        <v>38</v>
      </c>
      <c r="C40" s="17"/>
      <c r="D40" s="17"/>
      <c r="E40" s="17"/>
      <c r="F40" s="17"/>
      <c r="G40" s="23">
        <v>462037.63430753723</v>
      </c>
      <c r="H40" s="23"/>
      <c r="R40" s="17"/>
      <c r="U40">
        <f>U23/U11</f>
        <v>3587578.3333333335</v>
      </c>
      <c r="AA40" s="17"/>
      <c r="AQ40" s="30">
        <v>51390.569406759001</v>
      </c>
      <c r="AZ40" s="30"/>
    </row>
    <row r="41" spans="1:52" x14ac:dyDescent="0.35">
      <c r="B41" s="27"/>
      <c r="C41" s="17"/>
      <c r="D41" s="17"/>
      <c r="E41" s="17"/>
      <c r="F41" s="17"/>
      <c r="G41" s="23"/>
      <c r="H41" s="23"/>
      <c r="R41" s="17"/>
      <c r="AA41" s="17"/>
    </row>
    <row r="42" spans="1:52" ht="13.15" x14ac:dyDescent="0.4">
      <c r="B42" s="27" t="s">
        <v>63</v>
      </c>
      <c r="C42" s="17"/>
      <c r="D42" s="17"/>
      <c r="E42" s="17"/>
      <c r="F42" s="17"/>
      <c r="G42" s="23">
        <v>93861</v>
      </c>
      <c r="H42" s="23"/>
      <c r="N42" s="53">
        <f>N20-N22</f>
        <v>1.5900000000000011E-3</v>
      </c>
      <c r="P42" s="21"/>
      <c r="R42" s="17"/>
      <c r="Y42" s="21"/>
      <c r="Z42" s="21"/>
      <c r="AA42" s="17"/>
      <c r="AH42" s="21"/>
      <c r="AI42" s="24"/>
      <c r="AQ42" s="103">
        <f>AQ34+AZ34</f>
        <v>2144.6599942868634</v>
      </c>
      <c r="AR42" s="24"/>
      <c r="AZ42" s="21"/>
    </row>
    <row r="43" spans="1:52" ht="13.15" x14ac:dyDescent="0.4">
      <c r="B43" s="37"/>
      <c r="C43" s="17"/>
      <c r="D43" s="16"/>
      <c r="E43" s="17"/>
      <c r="F43" s="42"/>
      <c r="G43" s="17"/>
      <c r="H43" s="23"/>
      <c r="N43" s="53">
        <f>N21-N23</f>
        <v>1.5900000000000011E-3</v>
      </c>
      <c r="P43" s="103"/>
      <c r="R43" s="17"/>
      <c r="Y43" s="21"/>
      <c r="Z43" s="21"/>
      <c r="AA43" s="17"/>
      <c r="AH43" s="21"/>
      <c r="AI43" s="24"/>
      <c r="AQ43" s="21"/>
      <c r="AR43" s="24"/>
      <c r="AZ43" s="21"/>
    </row>
    <row r="44" spans="1:52" ht="13.15" x14ac:dyDescent="0.4">
      <c r="B44" s="85" t="s">
        <v>17</v>
      </c>
      <c r="C44" s="17"/>
      <c r="D44" s="16"/>
      <c r="E44" s="17"/>
      <c r="F44" s="42"/>
      <c r="G44" s="15">
        <f>G32+G34+G40+G42</f>
        <v>4625128.3643075377</v>
      </c>
      <c r="H44" s="23"/>
      <c r="P44" s="103"/>
      <c r="R44" s="17"/>
      <c r="Y44" s="21"/>
      <c r="Z44" s="21"/>
      <c r="AA44" s="17"/>
      <c r="AH44" s="21"/>
      <c r="AI44" s="24"/>
      <c r="AQ44" s="21"/>
      <c r="AR44" s="24"/>
      <c r="AZ44" s="21"/>
    </row>
    <row r="45" spans="1:52" ht="13.15" x14ac:dyDescent="0.4">
      <c r="B45" s="24"/>
      <c r="C45" s="17"/>
      <c r="D45" s="17"/>
      <c r="E45" s="24"/>
      <c r="F45" s="17"/>
      <c r="G45" s="24"/>
      <c r="H45" s="24"/>
      <c r="P45" s="103"/>
      <c r="R45" s="17"/>
      <c r="Y45" s="21"/>
      <c r="Z45" s="21"/>
      <c r="AA45" s="17"/>
      <c r="AH45" s="21"/>
      <c r="AI45" s="24"/>
      <c r="AQ45" s="21"/>
      <c r="AR45" s="24"/>
      <c r="AZ45" s="21"/>
    </row>
    <row r="46" spans="1:52" ht="13.15" x14ac:dyDescent="0.4">
      <c r="B46" s="24"/>
      <c r="C46" s="24"/>
      <c r="D46" s="17"/>
      <c r="E46" s="24"/>
      <c r="F46" s="17"/>
      <c r="G46" s="24"/>
      <c r="H46" s="24"/>
      <c r="I46" s="17"/>
      <c r="J46" s="24"/>
      <c r="K46" s="24"/>
      <c r="L46" s="24"/>
      <c r="M46" s="17"/>
      <c r="N46" s="24"/>
      <c r="O46" s="17"/>
      <c r="P46" s="81"/>
      <c r="Q46" s="17"/>
      <c r="R46" s="17"/>
      <c r="S46" s="17"/>
      <c r="T46" s="17"/>
      <c r="U46" s="17"/>
      <c r="V46" s="17"/>
      <c r="W46" s="17"/>
      <c r="X46" s="17"/>
      <c r="Y46" s="31"/>
      <c r="Z46" s="31"/>
      <c r="AA46" s="17"/>
      <c r="AB46" s="17"/>
      <c r="AC46" s="17"/>
      <c r="AD46" s="17"/>
      <c r="AE46" s="17"/>
      <c r="AF46" s="17"/>
      <c r="AG46" s="17"/>
      <c r="AH46" s="31"/>
      <c r="AI46" s="24"/>
      <c r="AJ46" s="17"/>
      <c r="AK46" s="24"/>
      <c r="AL46" s="24"/>
      <c r="AM46" s="24"/>
      <c r="AN46" s="17"/>
      <c r="AO46" s="24"/>
      <c r="AP46" s="17"/>
      <c r="AQ46" s="81"/>
      <c r="AR46" s="24"/>
      <c r="AS46" s="17"/>
      <c r="AT46" s="24"/>
      <c r="AU46" s="24"/>
      <c r="AV46" s="24"/>
      <c r="AW46" s="17"/>
      <c r="AX46" s="24"/>
      <c r="AY46" s="17"/>
      <c r="AZ46" s="81"/>
    </row>
    <row r="47" spans="1:52" x14ac:dyDescent="0.3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x14ac:dyDescent="0.35">
      <c r="B48" s="78"/>
      <c r="C48" s="64"/>
      <c r="D48" s="17"/>
      <c r="E48" s="42"/>
      <c r="F48" s="17"/>
      <c r="G48" s="61"/>
      <c r="H48" s="61"/>
      <c r="I48" s="17"/>
      <c r="J48" s="78"/>
      <c r="K48" s="78"/>
      <c r="L48" s="64"/>
      <c r="M48" s="17"/>
      <c r="N48" s="67"/>
      <c r="O48" s="17"/>
      <c r="P48" s="61"/>
      <c r="Q48" s="17"/>
      <c r="R48" s="17"/>
      <c r="S48" s="17"/>
      <c r="T48" s="17"/>
      <c r="U48" s="16"/>
      <c r="V48" s="17"/>
      <c r="W48" s="42"/>
      <c r="X48" s="17"/>
      <c r="Y48" s="23"/>
      <c r="Z48" s="23"/>
      <c r="AA48" s="17"/>
      <c r="AB48" s="17"/>
      <c r="AC48" s="17"/>
      <c r="AD48" s="16"/>
      <c r="AE48" s="17"/>
      <c r="AF48" s="42"/>
      <c r="AG48" s="17"/>
      <c r="AH48" s="23"/>
      <c r="AI48" s="61"/>
      <c r="AJ48" s="17"/>
      <c r="AK48" s="78"/>
      <c r="AL48" s="78"/>
      <c r="AM48" s="64"/>
      <c r="AN48" s="17"/>
      <c r="AO48" s="67"/>
      <c r="AP48" s="17"/>
      <c r="AQ48" s="61"/>
      <c r="AR48" s="61"/>
      <c r="AS48" s="17"/>
      <c r="AT48" s="78"/>
      <c r="AU48" s="78"/>
      <c r="AV48" s="64"/>
      <c r="AW48" s="17"/>
      <c r="AX48" s="67"/>
      <c r="AY48" s="17"/>
      <c r="AZ48" s="61"/>
    </row>
    <row r="49" spans="2:52" x14ac:dyDescent="0.35">
      <c r="B49" s="78"/>
      <c r="C49" s="64"/>
      <c r="D49" s="17"/>
      <c r="E49" s="42"/>
      <c r="F49" s="17"/>
      <c r="G49" s="61"/>
      <c r="H49" s="61"/>
      <c r="I49" s="17"/>
      <c r="J49" s="78"/>
      <c r="K49" s="78"/>
      <c r="L49" s="64"/>
      <c r="M49" s="17"/>
      <c r="N49" s="67"/>
      <c r="O49" s="17"/>
      <c r="P49" s="61"/>
      <c r="Q49" s="17"/>
      <c r="R49" s="17"/>
      <c r="S49" s="17"/>
      <c r="T49" s="17"/>
      <c r="U49" s="16"/>
      <c r="V49" s="17"/>
      <c r="W49" s="42"/>
      <c r="X49" s="17"/>
      <c r="Y49" s="23"/>
      <c r="Z49" s="23"/>
      <c r="AA49" s="17"/>
      <c r="AB49" s="17"/>
      <c r="AC49" s="17"/>
      <c r="AD49" s="16"/>
      <c r="AE49" s="17"/>
      <c r="AF49" s="42"/>
      <c r="AG49" s="17"/>
      <c r="AH49" s="23"/>
      <c r="AI49" s="61"/>
      <c r="AJ49" s="17"/>
      <c r="AK49" s="78"/>
      <c r="AL49" s="78"/>
      <c r="AM49" s="64"/>
      <c r="AN49" s="17"/>
      <c r="AO49" s="67"/>
      <c r="AP49" s="17"/>
      <c r="AQ49" s="61"/>
      <c r="AR49" s="61"/>
      <c r="AS49" s="17"/>
      <c r="AT49" s="78"/>
      <c r="AU49" s="78"/>
      <c r="AV49" s="64"/>
      <c r="AW49" s="17"/>
      <c r="AX49" s="67"/>
      <c r="AY49" s="17"/>
      <c r="AZ49" s="61"/>
    </row>
    <row r="50" spans="2:52" x14ac:dyDescent="0.35">
      <c r="B50" s="78"/>
      <c r="C50" s="64"/>
      <c r="D50" s="17"/>
      <c r="E50" s="42"/>
      <c r="F50" s="17"/>
      <c r="G50" s="61"/>
      <c r="H50" s="61"/>
      <c r="I50" s="17"/>
      <c r="J50" s="78"/>
      <c r="K50" s="78"/>
      <c r="L50" s="64"/>
      <c r="M50" s="17"/>
      <c r="N50" s="67"/>
      <c r="O50" s="17"/>
      <c r="P50" s="61"/>
      <c r="Q50" s="17"/>
      <c r="R50" s="17"/>
      <c r="S50" s="17"/>
      <c r="T50" s="17"/>
      <c r="U50" s="16"/>
      <c r="V50" s="17"/>
      <c r="W50" s="42"/>
      <c r="X50" s="17"/>
      <c r="Y50" s="23"/>
      <c r="Z50" s="23"/>
      <c r="AA50" s="17"/>
      <c r="AB50" s="17"/>
      <c r="AC50" s="17"/>
      <c r="AD50" s="16"/>
      <c r="AE50" s="17"/>
      <c r="AF50" s="42"/>
      <c r="AG50" s="17"/>
      <c r="AH50" s="23"/>
      <c r="AI50" s="61"/>
      <c r="AJ50" s="17"/>
      <c r="AK50" s="78"/>
      <c r="AL50" s="78"/>
      <c r="AM50" s="64"/>
      <c r="AN50" s="17"/>
      <c r="AO50" s="67"/>
      <c r="AP50" s="17"/>
      <c r="AQ50" s="61"/>
      <c r="AR50" s="61"/>
      <c r="AS50" s="17"/>
      <c r="AT50" s="78"/>
      <c r="AU50" s="78"/>
      <c r="AV50" s="64"/>
      <c r="AW50" s="17"/>
      <c r="AX50" s="67"/>
      <c r="AY50" s="17"/>
      <c r="AZ50" s="61"/>
    </row>
    <row r="51" spans="2:52" x14ac:dyDescent="0.35">
      <c r="B51" s="78"/>
      <c r="C51" s="64"/>
      <c r="D51" s="17"/>
      <c r="E51" s="42"/>
      <c r="F51" s="17"/>
      <c r="G51" s="61"/>
      <c r="H51" s="61"/>
      <c r="I51" s="17"/>
      <c r="J51" s="78"/>
      <c r="K51" s="78"/>
      <c r="L51" s="64"/>
      <c r="M51" s="17"/>
      <c r="N51" s="67"/>
      <c r="O51" s="17"/>
      <c r="P51" s="61"/>
      <c r="Q51" s="17"/>
      <c r="R51" s="17"/>
      <c r="S51" s="17"/>
      <c r="T51" s="17"/>
      <c r="U51" s="16"/>
      <c r="V51" s="17"/>
      <c r="W51" s="42"/>
      <c r="X51" s="17"/>
      <c r="Y51" s="23"/>
      <c r="Z51" s="23"/>
      <c r="AA51" s="17"/>
      <c r="AB51" s="17"/>
      <c r="AC51" s="17"/>
      <c r="AD51" s="16"/>
      <c r="AE51" s="17"/>
      <c r="AF51" s="42"/>
      <c r="AG51" s="17"/>
      <c r="AH51" s="23"/>
      <c r="AI51" s="61"/>
      <c r="AJ51" s="17"/>
      <c r="AK51" s="78"/>
      <c r="AL51" s="78"/>
      <c r="AM51" s="64"/>
      <c r="AN51" s="17"/>
      <c r="AO51" s="67"/>
      <c r="AP51" s="17"/>
      <c r="AQ51" s="61"/>
      <c r="AR51" s="61"/>
      <c r="AS51" s="17"/>
      <c r="AT51" s="78"/>
      <c r="AU51" s="78"/>
      <c r="AV51" s="64"/>
      <c r="AW51" s="17"/>
      <c r="AX51" s="67"/>
      <c r="AY51" s="17"/>
      <c r="AZ51" s="61"/>
    </row>
    <row r="52" spans="2:52" x14ac:dyDescent="0.35">
      <c r="B52" s="78"/>
      <c r="C52" s="64"/>
      <c r="D52" s="17"/>
      <c r="E52" s="42"/>
      <c r="F52" s="17"/>
      <c r="G52" s="61"/>
      <c r="H52" s="61"/>
      <c r="I52" s="17"/>
      <c r="J52" s="78"/>
      <c r="K52" s="78"/>
      <c r="L52" s="64"/>
      <c r="M52" s="17"/>
      <c r="N52" s="67"/>
      <c r="O52" s="17"/>
      <c r="P52" s="61"/>
      <c r="Q52" s="17"/>
      <c r="R52" s="17"/>
      <c r="S52" s="17"/>
      <c r="T52" s="17"/>
      <c r="U52" s="16"/>
      <c r="V52" s="17"/>
      <c r="W52" s="42"/>
      <c r="X52" s="17"/>
      <c r="Y52" s="23"/>
      <c r="Z52" s="23"/>
      <c r="AA52" s="17"/>
      <c r="AB52" s="17"/>
      <c r="AC52" s="17"/>
      <c r="AD52" s="16"/>
      <c r="AE52" s="17"/>
      <c r="AF52" s="42"/>
      <c r="AG52" s="17"/>
      <c r="AH52" s="23"/>
      <c r="AI52" s="61"/>
      <c r="AJ52" s="17"/>
      <c r="AK52" s="78"/>
      <c r="AL52" s="78"/>
      <c r="AM52" s="64"/>
      <c r="AN52" s="17"/>
      <c r="AO52" s="67"/>
      <c r="AP52" s="17"/>
      <c r="AQ52" s="61"/>
      <c r="AR52" s="61"/>
      <c r="AS52" s="17"/>
      <c r="AT52" s="78"/>
      <c r="AU52" s="78"/>
      <c r="AV52" s="64"/>
      <c r="AW52" s="17"/>
      <c r="AX52" s="67"/>
      <c r="AY52" s="17"/>
      <c r="AZ52" s="61"/>
    </row>
    <row r="53" spans="2:52" x14ac:dyDescent="0.35">
      <c r="B53" s="78"/>
      <c r="C53" s="64"/>
      <c r="D53" s="17"/>
      <c r="E53" s="42"/>
      <c r="F53" s="17"/>
      <c r="G53" s="61"/>
      <c r="H53" s="61"/>
      <c r="I53" s="17"/>
      <c r="J53" s="78"/>
      <c r="K53" s="78"/>
      <c r="L53" s="64"/>
      <c r="M53" s="17"/>
      <c r="N53" s="67"/>
      <c r="O53" s="17"/>
      <c r="P53" s="61"/>
      <c r="Q53" s="17"/>
      <c r="R53" s="17"/>
      <c r="S53" s="17"/>
      <c r="T53" s="17"/>
      <c r="U53" s="16"/>
      <c r="V53" s="17"/>
      <c r="W53" s="42"/>
      <c r="X53" s="17"/>
      <c r="Y53" s="23"/>
      <c r="Z53" s="23"/>
      <c r="AA53" s="17"/>
      <c r="AB53" s="17"/>
      <c r="AC53" s="17"/>
      <c r="AD53" s="16"/>
      <c r="AE53" s="17"/>
      <c r="AF53" s="42"/>
      <c r="AG53" s="17"/>
      <c r="AH53" s="23"/>
      <c r="AI53" s="61"/>
      <c r="AJ53" s="17"/>
      <c r="AK53" s="78"/>
      <c r="AL53" s="78"/>
      <c r="AM53" s="64"/>
      <c r="AN53" s="17"/>
      <c r="AO53" s="67"/>
      <c r="AP53" s="17"/>
      <c r="AQ53" s="61"/>
      <c r="AR53" s="61"/>
      <c r="AS53" s="17"/>
      <c r="AT53" s="78"/>
      <c r="AU53" s="78"/>
      <c r="AV53" s="64"/>
      <c r="AW53" s="17"/>
      <c r="AX53" s="67"/>
      <c r="AY53" s="17"/>
      <c r="AZ53" s="61"/>
    </row>
    <row r="54" spans="2:52" x14ac:dyDescent="0.35">
      <c r="B54" s="78"/>
      <c r="C54" s="64"/>
      <c r="D54" s="17"/>
      <c r="E54" s="42"/>
      <c r="F54" s="17"/>
      <c r="G54" s="61"/>
      <c r="H54" s="61"/>
      <c r="I54" s="17"/>
      <c r="J54" s="78"/>
      <c r="K54" s="78"/>
      <c r="L54" s="64"/>
      <c r="M54" s="17"/>
      <c r="N54" s="67"/>
      <c r="O54" s="17"/>
      <c r="P54" s="61"/>
      <c r="Q54" s="17"/>
      <c r="R54" s="17"/>
      <c r="S54" s="17"/>
      <c r="T54" s="17"/>
      <c r="U54" s="16"/>
      <c r="V54" s="17"/>
      <c r="W54" s="42"/>
      <c r="X54" s="17"/>
      <c r="Y54" s="23"/>
      <c r="Z54" s="23"/>
      <c r="AA54" s="17"/>
      <c r="AB54" s="17"/>
      <c r="AC54" s="17"/>
      <c r="AD54" s="16"/>
      <c r="AE54" s="17"/>
      <c r="AF54" s="42"/>
      <c r="AG54" s="17"/>
      <c r="AH54" s="23"/>
      <c r="AI54" s="61"/>
      <c r="AJ54" s="17"/>
      <c r="AK54" s="78"/>
      <c r="AL54" s="78"/>
      <c r="AM54" s="64"/>
      <c r="AN54" s="17"/>
      <c r="AO54" s="67"/>
      <c r="AP54" s="17"/>
      <c r="AQ54" s="61"/>
      <c r="AR54" s="61"/>
      <c r="AS54" s="17"/>
      <c r="AT54" s="78"/>
      <c r="AU54" s="78"/>
      <c r="AV54" s="64"/>
      <c r="AW54" s="17"/>
      <c r="AX54" s="67"/>
      <c r="AY54" s="17"/>
      <c r="AZ54" s="61"/>
    </row>
    <row r="55" spans="2:52" x14ac:dyDescent="0.35">
      <c r="B55" s="78"/>
      <c r="C55" s="64"/>
      <c r="D55" s="17"/>
      <c r="E55" s="42"/>
      <c r="F55" s="17"/>
      <c r="G55" s="61"/>
      <c r="H55" s="61"/>
      <c r="I55" s="17"/>
      <c r="J55" s="78"/>
      <c r="K55" s="78"/>
      <c r="L55" s="64"/>
      <c r="M55" s="17"/>
      <c r="N55" s="67"/>
      <c r="O55" s="17"/>
      <c r="P55" s="61"/>
      <c r="Q55" s="17"/>
      <c r="R55" s="17"/>
      <c r="S55" s="17"/>
      <c r="T55" s="17"/>
      <c r="U55" s="16"/>
      <c r="V55" s="17"/>
      <c r="W55" s="42"/>
      <c r="X55" s="17"/>
      <c r="Y55" s="23"/>
      <c r="Z55" s="23"/>
      <c r="AA55" s="17"/>
      <c r="AB55" s="17"/>
      <c r="AC55" s="17"/>
      <c r="AD55" s="16"/>
      <c r="AE55" s="17"/>
      <c r="AF55" s="42"/>
      <c r="AG55" s="17"/>
      <c r="AH55" s="23"/>
      <c r="AI55" s="61"/>
      <c r="AJ55" s="17"/>
      <c r="AK55" s="78"/>
      <c r="AL55" s="78"/>
      <c r="AM55" s="64"/>
      <c r="AN55" s="17"/>
      <c r="AO55" s="67"/>
      <c r="AP55" s="17"/>
      <c r="AQ55" s="61"/>
      <c r="AR55" s="61"/>
      <c r="AS55" s="17"/>
      <c r="AT55" s="78"/>
      <c r="AU55" s="78"/>
      <c r="AV55" s="64"/>
      <c r="AW55" s="17"/>
      <c r="AX55" s="67"/>
      <c r="AY55" s="17"/>
      <c r="AZ55" s="61"/>
    </row>
    <row r="56" spans="2:52" x14ac:dyDescent="0.35">
      <c r="B56" s="78"/>
      <c r="C56" s="64"/>
      <c r="D56" s="17"/>
      <c r="E56" s="42"/>
      <c r="F56" s="17"/>
      <c r="G56" s="61"/>
      <c r="H56" s="61"/>
      <c r="I56" s="17"/>
      <c r="J56" s="78"/>
      <c r="K56" s="78"/>
      <c r="L56" s="64"/>
      <c r="M56" s="17"/>
      <c r="N56" s="67"/>
      <c r="O56" s="17"/>
      <c r="P56" s="61"/>
      <c r="Q56" s="17"/>
      <c r="R56" s="17"/>
      <c r="S56" s="17"/>
      <c r="T56" s="17"/>
      <c r="U56" s="16"/>
      <c r="V56" s="17"/>
      <c r="W56" s="42"/>
      <c r="X56" s="17"/>
      <c r="Y56" s="23"/>
      <c r="Z56" s="23"/>
      <c r="AA56" s="17"/>
      <c r="AB56" s="17"/>
      <c r="AC56" s="17"/>
      <c r="AD56" s="16"/>
      <c r="AE56" s="17"/>
      <c r="AF56" s="42"/>
      <c r="AG56" s="17"/>
      <c r="AH56" s="23"/>
      <c r="AI56" s="61"/>
      <c r="AJ56" s="17"/>
      <c r="AK56" s="78"/>
      <c r="AL56" s="78"/>
      <c r="AM56" s="64"/>
      <c r="AN56" s="17"/>
      <c r="AO56" s="67"/>
      <c r="AP56" s="17"/>
      <c r="AQ56" s="61"/>
      <c r="AR56" s="61"/>
      <c r="AS56" s="17"/>
      <c r="AT56" s="78"/>
      <c r="AU56" s="78"/>
      <c r="AV56" s="64"/>
      <c r="AW56" s="17"/>
      <c r="AX56" s="67"/>
      <c r="AY56" s="17"/>
      <c r="AZ56" s="61"/>
    </row>
    <row r="57" spans="2:52" x14ac:dyDescent="0.35">
      <c r="B57" s="78"/>
      <c r="C57" s="64"/>
      <c r="D57" s="17"/>
      <c r="E57" s="42"/>
      <c r="F57" s="17"/>
      <c r="G57" s="61"/>
      <c r="H57" s="61"/>
      <c r="I57" s="17"/>
      <c r="J57" s="72"/>
      <c r="K57" s="72"/>
      <c r="L57" s="64"/>
      <c r="M57" s="17"/>
      <c r="N57" s="67"/>
      <c r="O57" s="17"/>
      <c r="P57" s="61"/>
      <c r="Q57" s="17"/>
      <c r="R57" s="17"/>
      <c r="S57" s="17"/>
      <c r="T57" s="17"/>
      <c r="U57" s="16"/>
      <c r="V57" s="17"/>
      <c r="W57" s="42"/>
      <c r="X57" s="17"/>
      <c r="Y57" s="23"/>
      <c r="Z57" s="23"/>
      <c r="AA57" s="17"/>
      <c r="AB57" s="17"/>
      <c r="AC57" s="17"/>
      <c r="AD57" s="16"/>
      <c r="AE57" s="17"/>
      <c r="AF57" s="42"/>
      <c r="AG57" s="17"/>
      <c r="AH57" s="23"/>
      <c r="AI57" s="61"/>
      <c r="AJ57" s="17"/>
      <c r="AK57" s="72"/>
      <c r="AL57" s="72"/>
      <c r="AM57" s="64"/>
      <c r="AN57" s="17"/>
      <c r="AO57" s="67"/>
      <c r="AP57" s="17"/>
      <c r="AQ57" s="61"/>
      <c r="AR57" s="61"/>
      <c r="AS57" s="17"/>
      <c r="AT57" s="72"/>
      <c r="AU57" s="72"/>
      <c r="AV57" s="64"/>
      <c r="AW57" s="17"/>
      <c r="AX57" s="67"/>
      <c r="AY57" s="17"/>
      <c r="AZ57" s="61"/>
    </row>
    <row r="58" spans="2:52" x14ac:dyDescent="0.35">
      <c r="B58" s="78"/>
      <c r="C58" s="64"/>
      <c r="D58" s="17"/>
      <c r="E58" s="42"/>
      <c r="F58" s="17"/>
      <c r="G58" s="61"/>
      <c r="H58" s="61"/>
      <c r="I58" s="17"/>
      <c r="J58" s="78"/>
      <c r="K58" s="78"/>
      <c r="L58" s="64"/>
      <c r="M58" s="17"/>
      <c r="N58" s="67"/>
      <c r="O58" s="17"/>
      <c r="P58" s="61"/>
      <c r="Q58" s="17"/>
      <c r="R58" s="17"/>
      <c r="S58" s="17"/>
      <c r="T58" s="17"/>
      <c r="U58" s="16"/>
      <c r="V58" s="17"/>
      <c r="W58" s="42"/>
      <c r="X58" s="17"/>
      <c r="Y58" s="23"/>
      <c r="Z58" s="23"/>
      <c r="AA58" s="17"/>
      <c r="AB58" s="17"/>
      <c r="AC58" s="17"/>
      <c r="AD58" s="16"/>
      <c r="AE58" s="17"/>
      <c r="AF58" s="42"/>
      <c r="AG58" s="17"/>
      <c r="AH58" s="23"/>
      <c r="AI58" s="61"/>
      <c r="AJ58" s="17"/>
      <c r="AK58" s="78"/>
      <c r="AL58" s="78"/>
      <c r="AM58" s="64"/>
      <c r="AN58" s="17"/>
      <c r="AO58" s="67"/>
      <c r="AP58" s="17"/>
      <c r="AQ58" s="61"/>
      <c r="AR58" s="61"/>
      <c r="AS58" s="17"/>
      <c r="AT58" s="78"/>
      <c r="AU58" s="78"/>
      <c r="AV58" s="64"/>
      <c r="AW58" s="17"/>
      <c r="AX58" s="67"/>
      <c r="AY58" s="17"/>
      <c r="AZ58" s="61"/>
    </row>
    <row r="59" spans="2:52" x14ac:dyDescent="0.35">
      <c r="B59" s="78"/>
      <c r="C59" s="64"/>
      <c r="D59" s="17"/>
      <c r="E59" s="42"/>
      <c r="F59" s="17"/>
      <c r="G59" s="61"/>
      <c r="H59" s="61"/>
      <c r="I59" s="17"/>
      <c r="J59" s="78"/>
      <c r="K59" s="78"/>
      <c r="L59" s="64"/>
      <c r="M59" s="17"/>
      <c r="N59" s="67"/>
      <c r="O59" s="17"/>
      <c r="P59" s="61"/>
      <c r="Q59" s="17"/>
      <c r="R59" s="17"/>
      <c r="S59" s="17"/>
      <c r="T59" s="17"/>
      <c r="U59" s="16"/>
      <c r="V59" s="17"/>
      <c r="W59" s="42"/>
      <c r="X59" s="17"/>
      <c r="Y59" s="23"/>
      <c r="Z59" s="23"/>
      <c r="AA59" s="17"/>
      <c r="AB59" s="17"/>
      <c r="AC59" s="17"/>
      <c r="AD59" s="16"/>
      <c r="AE59" s="17"/>
      <c r="AF59" s="42"/>
      <c r="AG59" s="17"/>
      <c r="AH59" s="23"/>
      <c r="AI59" s="61"/>
      <c r="AJ59" s="17"/>
      <c r="AK59" s="78"/>
      <c r="AL59" s="78"/>
      <c r="AM59" s="64"/>
      <c r="AN59" s="17"/>
      <c r="AO59" s="67"/>
      <c r="AP59" s="17"/>
      <c r="AQ59" s="61"/>
      <c r="AR59" s="61"/>
      <c r="AS59" s="17"/>
      <c r="AT59" s="78"/>
      <c r="AU59" s="78"/>
      <c r="AV59" s="64"/>
      <c r="AW59" s="17"/>
      <c r="AX59" s="67"/>
      <c r="AY59" s="17"/>
      <c r="AZ59" s="61"/>
    </row>
    <row r="60" spans="2:52" x14ac:dyDescent="0.35">
      <c r="B60" s="17"/>
      <c r="C60" s="19"/>
      <c r="D60" s="17"/>
      <c r="E60" s="17"/>
      <c r="F60" s="17"/>
      <c r="G60" s="15"/>
      <c r="H60" s="15"/>
      <c r="I60" s="17"/>
      <c r="J60" s="17"/>
      <c r="K60" s="17"/>
      <c r="L60" s="19"/>
      <c r="M60" s="17"/>
      <c r="N60" s="17"/>
      <c r="O60" s="17"/>
      <c r="P60" s="15"/>
      <c r="Q60" s="17"/>
      <c r="R60" s="17"/>
      <c r="S60" s="17"/>
      <c r="T60" s="17"/>
      <c r="U60" s="19"/>
      <c r="V60" s="17"/>
      <c r="W60" s="17"/>
      <c r="X60" s="17"/>
      <c r="Y60" s="15"/>
      <c r="Z60" s="15"/>
      <c r="AA60" s="17"/>
      <c r="AB60" s="17"/>
      <c r="AC60" s="17"/>
      <c r="AD60" s="19"/>
      <c r="AE60" s="17"/>
      <c r="AF60" s="17"/>
      <c r="AG60" s="17"/>
      <c r="AH60" s="15"/>
      <c r="AI60" s="15"/>
      <c r="AJ60" s="17"/>
      <c r="AK60" s="17"/>
      <c r="AL60" s="17"/>
      <c r="AM60" s="19"/>
      <c r="AN60" s="17"/>
      <c r="AO60" s="17"/>
      <c r="AP60" s="17"/>
      <c r="AQ60" s="15"/>
      <c r="AR60" s="15"/>
      <c r="AS60" s="17"/>
      <c r="AT60" s="17"/>
      <c r="AU60" s="17"/>
      <c r="AV60" s="19"/>
      <c r="AW60" s="17"/>
      <c r="AX60" s="17"/>
      <c r="AY60" s="17"/>
      <c r="AZ60" s="15"/>
    </row>
    <row r="61" spans="2:52" x14ac:dyDescent="0.3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2:52" ht="13.15" x14ac:dyDescent="0.4">
      <c r="B62" s="17"/>
      <c r="C62" s="24"/>
      <c r="D62" s="17"/>
      <c r="E62" s="77"/>
      <c r="F62" s="17"/>
      <c r="G62" s="24"/>
      <c r="H62" s="17"/>
      <c r="I62" s="17"/>
      <c r="J62" s="17"/>
      <c r="K62" s="17"/>
      <c r="L62" s="24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4"/>
      <c r="AN62" s="17"/>
      <c r="AO62" s="17"/>
      <c r="AP62" s="17"/>
      <c r="AQ62" s="17"/>
      <c r="AR62" s="17"/>
      <c r="AS62" s="17"/>
      <c r="AT62" s="17"/>
      <c r="AU62" s="17"/>
      <c r="AV62" s="24"/>
      <c r="AW62" s="17"/>
      <c r="AX62" s="17"/>
      <c r="AY62" s="17"/>
      <c r="AZ62" s="17"/>
    </row>
    <row r="63" spans="2:52" x14ac:dyDescent="0.35">
      <c r="B63" s="78"/>
      <c r="C63" s="17"/>
      <c r="D63" s="17"/>
      <c r="E63" s="17"/>
      <c r="F63" s="17"/>
      <c r="G63" s="72"/>
      <c r="H63" s="17"/>
      <c r="I63" s="17"/>
      <c r="J63" s="78"/>
      <c r="K63" s="7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8"/>
      <c r="AL63" s="78"/>
      <c r="AM63" s="17"/>
      <c r="AN63" s="17"/>
      <c r="AO63" s="17"/>
      <c r="AP63" s="17"/>
      <c r="AQ63" s="17"/>
      <c r="AR63" s="17"/>
      <c r="AS63" s="17"/>
      <c r="AT63" s="78"/>
      <c r="AU63" s="78"/>
      <c r="AV63" s="17"/>
      <c r="AW63" s="17"/>
      <c r="AX63" s="17"/>
      <c r="AY63" s="17"/>
      <c r="AZ63" s="17"/>
    </row>
    <row r="64" spans="2:52" x14ac:dyDescent="0.35">
      <c r="B64" s="78"/>
      <c r="C64" s="17"/>
      <c r="D64" s="17"/>
      <c r="E64" s="17"/>
      <c r="F64" s="17"/>
      <c r="G64" s="72"/>
      <c r="H64" s="17"/>
      <c r="I64" s="17"/>
      <c r="J64" s="78"/>
      <c r="K64" s="7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8"/>
      <c r="AL64" s="78"/>
      <c r="AM64" s="17"/>
      <c r="AN64" s="17"/>
      <c r="AO64" s="17"/>
      <c r="AP64" s="17"/>
      <c r="AQ64" s="17"/>
      <c r="AR64" s="17"/>
      <c r="AS64" s="17"/>
      <c r="AT64" s="78"/>
      <c r="AU64" s="78"/>
      <c r="AV64" s="17"/>
      <c r="AW64" s="17"/>
      <c r="AX64" s="17"/>
      <c r="AY64" s="17"/>
      <c r="AZ64" s="17"/>
    </row>
    <row r="65" spans="2:52" x14ac:dyDescent="0.35">
      <c r="B65" s="78"/>
      <c r="C65" s="17"/>
      <c r="D65" s="17"/>
      <c r="E65" s="17"/>
      <c r="F65" s="17"/>
      <c r="G65" s="72"/>
      <c r="H65" s="17"/>
      <c r="I65" s="17"/>
      <c r="J65" s="78"/>
      <c r="K65" s="78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78"/>
      <c r="AL65" s="78"/>
      <c r="AM65" s="17"/>
      <c r="AN65" s="17"/>
      <c r="AO65" s="17"/>
      <c r="AP65" s="17"/>
      <c r="AQ65" s="17"/>
      <c r="AR65" s="17"/>
      <c r="AS65" s="17"/>
      <c r="AT65" s="78"/>
      <c r="AU65" s="78"/>
      <c r="AV65" s="17"/>
      <c r="AW65" s="17"/>
      <c r="AX65" s="17"/>
      <c r="AY65" s="17"/>
      <c r="AZ65" s="17"/>
    </row>
    <row r="66" spans="2:52" x14ac:dyDescent="0.35">
      <c r="B66" s="78"/>
      <c r="C66" s="17"/>
      <c r="D66" s="17"/>
      <c r="E66" s="17"/>
      <c r="F66" s="17"/>
      <c r="G66" s="72"/>
      <c r="H66" s="17"/>
      <c r="I66" s="17"/>
      <c r="J66" s="78"/>
      <c r="K66" s="7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78"/>
      <c r="AL66" s="78"/>
      <c r="AM66" s="17"/>
      <c r="AN66" s="17"/>
      <c r="AO66" s="17"/>
      <c r="AP66" s="17"/>
      <c r="AQ66" s="17"/>
      <c r="AR66" s="17"/>
      <c r="AS66" s="17"/>
      <c r="AT66" s="78"/>
      <c r="AU66" s="78"/>
      <c r="AV66" s="17"/>
      <c r="AW66" s="17"/>
      <c r="AX66" s="17"/>
      <c r="AY66" s="17"/>
      <c r="AZ66" s="17"/>
    </row>
    <row r="67" spans="2:52" x14ac:dyDescent="0.35">
      <c r="B67" s="78"/>
      <c r="C67" s="17"/>
      <c r="D67" s="17"/>
      <c r="E67" s="17"/>
      <c r="F67" s="17"/>
      <c r="G67" s="72"/>
      <c r="H67" s="17"/>
      <c r="I67" s="17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78"/>
      <c r="AL67" s="78"/>
      <c r="AM67" s="17"/>
      <c r="AN67" s="17"/>
      <c r="AO67" s="17"/>
      <c r="AP67" s="17"/>
      <c r="AQ67" s="17"/>
      <c r="AR67" s="17"/>
      <c r="AS67" s="17"/>
      <c r="AT67" s="78"/>
      <c r="AU67" s="78"/>
      <c r="AV67" s="17"/>
      <c r="AW67" s="17"/>
      <c r="AX67" s="17"/>
      <c r="AY67" s="17"/>
      <c r="AZ67" s="17"/>
    </row>
    <row r="68" spans="2:52" x14ac:dyDescent="0.35">
      <c r="B68" s="78"/>
      <c r="C68" s="17"/>
      <c r="D68" s="17"/>
      <c r="E68" s="17"/>
      <c r="F68" s="17"/>
      <c r="G68" s="72"/>
      <c r="H68" s="17"/>
      <c r="I68" s="17"/>
      <c r="J68" s="78"/>
      <c r="K68" s="78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78"/>
      <c r="AL68" s="78"/>
      <c r="AM68" s="17"/>
      <c r="AN68" s="17"/>
      <c r="AO68" s="17"/>
      <c r="AP68" s="17"/>
      <c r="AQ68" s="17"/>
      <c r="AR68" s="17"/>
      <c r="AS68" s="17"/>
      <c r="AT68" s="78"/>
      <c r="AU68" s="78"/>
      <c r="AV68" s="17"/>
      <c r="AW68" s="17"/>
      <c r="AX68" s="17"/>
      <c r="AY68" s="17"/>
      <c r="AZ68" s="17"/>
    </row>
    <row r="69" spans="2:52" x14ac:dyDescent="0.35">
      <c r="B69" s="78"/>
      <c r="C69" s="17"/>
      <c r="D69" s="17"/>
      <c r="E69" s="17"/>
      <c r="F69" s="17"/>
      <c r="G69" s="72"/>
      <c r="H69" s="17"/>
      <c r="I69" s="17"/>
      <c r="J69" s="78"/>
      <c r="K69" s="78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78"/>
      <c r="AL69" s="78"/>
      <c r="AM69" s="17"/>
      <c r="AN69" s="17"/>
      <c r="AO69" s="17"/>
      <c r="AP69" s="17"/>
      <c r="AQ69" s="17"/>
      <c r="AR69" s="17"/>
      <c r="AS69" s="17"/>
      <c r="AT69" s="78"/>
      <c r="AU69" s="78"/>
      <c r="AV69" s="17"/>
      <c r="AW69" s="17"/>
      <c r="AX69" s="17"/>
      <c r="AY69" s="17"/>
      <c r="AZ69" s="17"/>
    </row>
    <row r="70" spans="2:52" x14ac:dyDescent="0.35">
      <c r="B70" s="78"/>
      <c r="C70" s="17"/>
      <c r="D70" s="17"/>
      <c r="E70" s="17"/>
      <c r="F70" s="17"/>
      <c r="G70" s="72"/>
      <c r="H70" s="17"/>
      <c r="I70" s="17"/>
      <c r="J70" s="78"/>
      <c r="K70" s="78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78"/>
      <c r="AL70" s="78"/>
      <c r="AM70" s="17"/>
      <c r="AN70" s="17"/>
      <c r="AO70" s="17"/>
      <c r="AP70" s="17"/>
      <c r="AQ70" s="17"/>
      <c r="AR70" s="17"/>
      <c r="AS70" s="17"/>
      <c r="AT70" s="78"/>
      <c r="AU70" s="78"/>
      <c r="AV70" s="17"/>
      <c r="AW70" s="17"/>
      <c r="AX70" s="17"/>
      <c r="AY70" s="17"/>
      <c r="AZ70" s="17"/>
    </row>
    <row r="71" spans="2:52" x14ac:dyDescent="0.35">
      <c r="B71" s="78"/>
      <c r="C71" s="17"/>
      <c r="D71" s="17"/>
      <c r="E71" s="17"/>
      <c r="F71" s="17"/>
      <c r="G71" s="72"/>
      <c r="H71" s="17"/>
      <c r="I71" s="17"/>
      <c r="J71" s="78"/>
      <c r="K71" s="78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78"/>
      <c r="AL71" s="78"/>
      <c r="AM71" s="17"/>
      <c r="AN71" s="17"/>
      <c r="AO71" s="17"/>
      <c r="AP71" s="17"/>
      <c r="AQ71" s="17"/>
      <c r="AR71" s="17"/>
      <c r="AS71" s="17"/>
      <c r="AT71" s="78"/>
      <c r="AU71" s="78"/>
      <c r="AV71" s="17"/>
      <c r="AW71" s="17"/>
      <c r="AX71" s="17"/>
      <c r="AY71" s="17"/>
      <c r="AZ71" s="17"/>
    </row>
    <row r="72" spans="2:52" x14ac:dyDescent="0.35">
      <c r="B72" s="78"/>
      <c r="C72" s="17"/>
      <c r="D72" s="17"/>
      <c r="E72" s="17"/>
      <c r="F72" s="17"/>
      <c r="G72" s="72"/>
      <c r="H72" s="17"/>
      <c r="I72" s="17"/>
      <c r="J72" s="78"/>
      <c r="K72" s="78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78"/>
      <c r="AL72" s="78"/>
      <c r="AM72" s="17"/>
      <c r="AN72" s="17"/>
      <c r="AO72" s="17"/>
      <c r="AP72" s="17"/>
      <c r="AQ72" s="17"/>
      <c r="AR72" s="17"/>
      <c r="AS72" s="17"/>
      <c r="AT72" s="78"/>
      <c r="AU72" s="78"/>
      <c r="AV72" s="17"/>
      <c r="AW72" s="17"/>
      <c r="AX72" s="17"/>
      <c r="AY72" s="17"/>
      <c r="AZ72" s="17"/>
    </row>
    <row r="73" spans="2:52" x14ac:dyDescent="0.35">
      <c r="B73" s="78"/>
      <c r="C73" s="17"/>
      <c r="D73" s="17"/>
      <c r="E73" s="17"/>
      <c r="F73" s="17"/>
      <c r="G73" s="72"/>
      <c r="H73" s="17"/>
      <c r="I73" s="17"/>
      <c r="J73" s="78"/>
      <c r="K73" s="7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78"/>
      <c r="AL73" s="78"/>
      <c r="AM73" s="17"/>
      <c r="AN73" s="17"/>
      <c r="AO73" s="17"/>
      <c r="AP73" s="17"/>
      <c r="AQ73" s="17"/>
      <c r="AR73" s="17"/>
      <c r="AS73" s="17"/>
      <c r="AT73" s="78"/>
      <c r="AU73" s="78"/>
      <c r="AV73" s="17"/>
      <c r="AW73" s="17"/>
      <c r="AX73" s="17"/>
      <c r="AY73" s="17"/>
      <c r="AZ73" s="17"/>
    </row>
    <row r="74" spans="2:52" x14ac:dyDescent="0.35">
      <c r="B74" s="78"/>
      <c r="C74" s="17"/>
      <c r="D74" s="17"/>
      <c r="E74" s="17"/>
      <c r="F74" s="17"/>
      <c r="G74" s="72"/>
      <c r="H74" s="17"/>
      <c r="I74" s="17"/>
      <c r="J74" s="78"/>
      <c r="K74" s="7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78"/>
      <c r="AL74" s="78"/>
      <c r="AM74" s="17"/>
      <c r="AN74" s="17"/>
      <c r="AO74" s="17"/>
      <c r="AP74" s="17"/>
      <c r="AQ74" s="17"/>
      <c r="AR74" s="17"/>
      <c r="AS74" s="17"/>
      <c r="AT74" s="78"/>
      <c r="AU74" s="78"/>
      <c r="AV74" s="17"/>
      <c r="AW74" s="17"/>
      <c r="AX74" s="17"/>
      <c r="AY74" s="17"/>
      <c r="AZ74" s="17"/>
    </row>
    <row r="75" spans="2:52" x14ac:dyDescent="0.3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2:52" x14ac:dyDescent="0.3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2:52" ht="13.15" x14ac:dyDescent="0.4">
      <c r="B77" s="17"/>
      <c r="C77" s="24"/>
      <c r="D77" s="17"/>
      <c r="E77" s="77"/>
      <c r="F77" s="17"/>
      <c r="G77" s="7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2:52" x14ac:dyDescent="0.35">
      <c r="B78" s="78"/>
      <c r="C78" s="72"/>
      <c r="D78" s="17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2:52" x14ac:dyDescent="0.35">
      <c r="B79" s="78"/>
      <c r="C79" s="72"/>
      <c r="D79" s="17"/>
      <c r="E79" s="1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2:52" x14ac:dyDescent="0.35">
      <c r="B80" s="78"/>
      <c r="C80" s="72"/>
      <c r="D80" s="17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2:52" x14ac:dyDescent="0.35">
      <c r="B81" s="78"/>
      <c r="C81" s="72"/>
      <c r="D81" s="1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2:52" x14ac:dyDescent="0.35">
      <c r="B82" s="78"/>
      <c r="C82" s="72"/>
      <c r="D82" s="17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2:52" x14ac:dyDescent="0.35">
      <c r="B83" s="78"/>
      <c r="C83" s="72"/>
      <c r="D83" s="17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2:52" x14ac:dyDescent="0.35">
      <c r="B84" s="78"/>
      <c r="C84" s="72"/>
      <c r="D84" s="17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2:52" x14ac:dyDescent="0.35">
      <c r="B85" s="78"/>
      <c r="C85" s="72"/>
      <c r="D85" s="17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2:52" x14ac:dyDescent="0.35">
      <c r="B86" s="78"/>
      <c r="C86" s="72"/>
      <c r="D86" s="17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2:52" x14ac:dyDescent="0.35">
      <c r="B87" s="78"/>
      <c r="C87" s="72"/>
      <c r="D87" s="17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2:52" x14ac:dyDescent="0.35">
      <c r="B88" s="78"/>
      <c r="C88" s="72"/>
      <c r="D88" s="17"/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2:52" x14ac:dyDescent="0.35">
      <c r="B89" s="78"/>
      <c r="C89" s="72"/>
      <c r="D89" s="17"/>
      <c r="E89" s="1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2:52" x14ac:dyDescent="0.35">
      <c r="B90" s="17"/>
      <c r="C90" s="82"/>
      <c r="D90" s="17"/>
      <c r="E90" s="19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2:52" x14ac:dyDescent="0.3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2:52" x14ac:dyDescent="0.3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2:52" x14ac:dyDescent="0.35">
      <c r="B93" s="17"/>
      <c r="C93" s="7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2:52" x14ac:dyDescent="0.35">
      <c r="B94" s="17"/>
      <c r="C94" s="7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2:52" x14ac:dyDescent="0.35">
      <c r="B95" s="17"/>
      <c r="C95" s="7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2:52" x14ac:dyDescent="0.35">
      <c r="B96" s="17"/>
      <c r="C96" s="7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2:52" x14ac:dyDescent="0.35">
      <c r="B97" s="17"/>
      <c r="C97" s="7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2:52" x14ac:dyDescent="0.35">
      <c r="B98" s="17"/>
      <c r="C98" s="7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2:52" x14ac:dyDescent="0.35">
      <c r="B99" s="17"/>
      <c r="C99" s="7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2:52" x14ac:dyDescent="0.3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</sheetData>
  <mergeCells count="6">
    <mergeCell ref="AV5:AZ6"/>
    <mergeCell ref="C5:G6"/>
    <mergeCell ref="L5:P6"/>
    <mergeCell ref="U5:Y6"/>
    <mergeCell ref="AM5:AQ6"/>
    <mergeCell ref="AD5:AH6"/>
  </mergeCells>
  <phoneticPr fontId="0" type="noConversion"/>
  <pageMargins left="0.75" right="0.75" top="1" bottom="1" header="0.5" footer="0.5"/>
  <pageSetup scale="54" orientation="portrait" r:id="rId1"/>
  <headerFooter alignWithMargins="0"/>
  <colBreaks count="1" manualBreakCount="1">
    <brk id="16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DA83A-8C30-4696-AB23-CDC58A1788E4}">
  <ds:schemaRefs>
    <ds:schemaRef ds:uri="0a97646d-5e46-4532-99d2-95b688ae320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9e1b56-1bc3-4bb6-83f9-6df8fea7da2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E77632-57EB-43FE-BC62-23BE0445F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79E24-1891-4EAB-8D7D-09A75EF4B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</vt:lpstr>
      <vt:lpstr>Res &amp; Farm</vt:lpstr>
      <vt:lpstr>Small Com</vt:lpstr>
      <vt:lpstr>LP</vt:lpstr>
      <vt:lpstr>Optional Power Service</vt:lpstr>
      <vt:lpstr>Residential ETS</vt:lpstr>
      <vt:lpstr>Small Commercial ETS</vt:lpstr>
      <vt:lpstr>LP-1</vt:lpstr>
      <vt:lpstr>LP-2</vt:lpstr>
      <vt:lpstr>LP-3</vt:lpstr>
      <vt:lpstr>Schools</vt:lpstr>
      <vt:lpstr>Lighting</vt:lpstr>
      <vt:lpstr>Lighting!Print_Area</vt:lpstr>
      <vt:lpstr>LP!Print_Area</vt:lpstr>
      <vt:lpstr>'LP-1'!Print_Area</vt:lpstr>
      <vt:lpstr>'LP-2'!Print_Area</vt:lpstr>
      <vt:lpstr>'LP-3'!Print_Area</vt:lpstr>
      <vt:lpstr>'Optional Power Service'!Print_Area</vt:lpstr>
      <vt:lpstr>'Res &amp; Farm'!Print_Area</vt:lpstr>
      <vt:lpstr>'Residential ETS'!Print_Area</vt:lpstr>
      <vt:lpstr>Schools!Print_Area</vt:lpstr>
      <vt:lpstr>'Small Com'!Print_Area</vt:lpstr>
      <vt:lpstr>'Small Commercial ETS'!Print_Area</vt:lpstr>
      <vt:lpstr>Summary!Print_Area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Allyson Honaker</cp:lastModifiedBy>
  <cp:lastPrinted>2021-11-11T20:20:02Z</cp:lastPrinted>
  <dcterms:created xsi:type="dcterms:W3CDTF">2000-08-08T17:19:06Z</dcterms:created>
  <dcterms:modified xsi:type="dcterms:W3CDTF">2021-12-23T17:20:00Z</dcterms:modified>
</cp:coreProperties>
</file>