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2021 Rate Increase Application\Data Requests\DR1\Exhibits\"/>
    </mc:Choice>
  </mc:AlternateContent>
  <bookViews>
    <workbookView xWindow="0" yWindow="0" windowWidth="28800" windowHeight="11700"/>
  </bookViews>
  <sheets>
    <sheet name="LTD 123120" sheetId="1" r:id="rId1"/>
    <sheet name="LTDTestYR" sheetId="2" r:id="rId2"/>
  </sheets>
  <definedNames>
    <definedName name="_xlnm.Print_Area" localSheetId="1">LTDTestYR!$A$1:$N$62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5" i="2" l="1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 l="1"/>
  <c r="M11" i="2"/>
  <c r="M49" i="2" l="1"/>
  <c r="M48" i="2"/>
  <c r="M47" i="2"/>
  <c r="M46" i="2"/>
  <c r="M45" i="2"/>
  <c r="M44" i="2"/>
  <c r="M43" i="2"/>
  <c r="M42" i="2"/>
  <c r="M41" i="2"/>
  <c r="M40" i="2"/>
  <c r="M39" i="2"/>
  <c r="M55" i="2" s="1"/>
  <c r="L58" i="2" s="1"/>
  <c r="L38" i="2"/>
  <c r="L44" i="2" l="1"/>
  <c r="O43" i="1"/>
  <c r="L11" i="2" l="1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9" i="2"/>
  <c r="L40" i="2"/>
  <c r="L41" i="2"/>
  <c r="L42" i="2"/>
  <c r="L43" i="2"/>
  <c r="L45" i="2"/>
  <c r="L46" i="2"/>
  <c r="L47" i="2"/>
  <c r="L48" i="2"/>
  <c r="L49" i="2"/>
  <c r="L50" i="2"/>
  <c r="L51" i="2"/>
  <c r="L52" i="2"/>
  <c r="L53" i="2"/>
  <c r="L54" i="2"/>
  <c r="L10" i="2"/>
  <c r="L55" i="2" l="1"/>
  <c r="L57" i="2" s="1"/>
  <c r="F53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4" i="1"/>
  <c r="O45" i="1"/>
  <c r="O46" i="1"/>
  <c r="O47" i="1"/>
  <c r="O48" i="1"/>
  <c r="O49" i="1"/>
  <c r="O50" i="1"/>
  <c r="O51" i="1"/>
  <c r="O52" i="1"/>
  <c r="O10" i="1"/>
  <c r="O53" i="1" s="1"/>
  <c r="O55" i="1" l="1"/>
</calcChain>
</file>

<file path=xl/sharedStrings.xml><?xml version="1.0" encoding="utf-8"?>
<sst xmlns="http://schemas.openxmlformats.org/spreadsheetml/2006/main" count="400" uniqueCount="125">
  <si>
    <t>Schedule B1, page 1</t>
  </si>
  <si>
    <t>South Kentucky Rural Electric Cooperateive Corporation</t>
  </si>
  <si>
    <t>Case No. 2021-00407</t>
  </si>
  <si>
    <t>Schedule of Outstanding Long-Term Debt</t>
  </si>
  <si>
    <t>Line No.</t>
  </si>
  <si>
    <t>Type of Debt Issue</t>
  </si>
  <si>
    <t>Date of Issue</t>
  </si>
  <si>
    <t>Date of Maturity</t>
  </si>
  <si>
    <t>Amount Outstanding</t>
  </si>
  <si>
    <t>Type of Obligation</t>
  </si>
  <si>
    <t>Annualized Cost Col. (d) X Col. (g)</t>
  </si>
  <si>
    <t>(a)</t>
  </si>
  <si>
    <t>(b)</t>
  </si>
  <si>
    <t xml:space="preserve">(c) </t>
  </si>
  <si>
    <t>(d)</t>
  </si>
  <si>
    <t xml:space="preserve">(e) </t>
  </si>
  <si>
    <t>(f)</t>
  </si>
  <si>
    <t>(g)</t>
  </si>
  <si>
    <t>(h)</t>
  </si>
  <si>
    <t>(i)</t>
  </si>
  <si>
    <t>(j)</t>
  </si>
  <si>
    <t>Schedule B1, page2</t>
  </si>
  <si>
    <r>
      <t xml:space="preserve">For the Year Ended December 31, </t>
    </r>
    <r>
      <rPr>
        <u/>
        <sz val="11"/>
        <color theme="1"/>
        <rFont val="Calibri"/>
        <family val="2"/>
        <scheme val="minor"/>
      </rPr>
      <t>2020</t>
    </r>
  </si>
  <si>
    <r>
      <t xml:space="preserve">Cost Rate at Issue </t>
    </r>
    <r>
      <rPr>
        <sz val="8"/>
        <color theme="1"/>
        <rFont val="Calibri"/>
        <family val="2"/>
        <scheme val="minor"/>
      </rPr>
      <t>(2)</t>
    </r>
  </si>
  <si>
    <r>
      <t xml:space="preserve">Coupon Interest Rate </t>
    </r>
    <r>
      <rPr>
        <sz val="8"/>
        <color theme="1"/>
        <rFont val="Calibri"/>
        <family val="2"/>
        <scheme val="minor"/>
      </rPr>
      <t>(1)</t>
    </r>
  </si>
  <si>
    <r>
      <t xml:space="preserve">Cost Rate at Maturity </t>
    </r>
    <r>
      <rPr>
        <sz val="8"/>
        <color theme="1"/>
        <rFont val="Calibri"/>
        <family val="2"/>
        <scheme val="minor"/>
      </rPr>
      <t>(3)</t>
    </r>
  </si>
  <si>
    <r>
      <t xml:space="preserve">Bond Rating at Time of Issue </t>
    </r>
    <r>
      <rPr>
        <sz val="8"/>
        <color theme="1"/>
        <rFont val="Calibri"/>
        <family val="2"/>
        <scheme val="minor"/>
      </rPr>
      <t>(4)</t>
    </r>
  </si>
  <si>
    <r>
      <t xml:space="preserve">Actual Test Year Interest Cost </t>
    </r>
    <r>
      <rPr>
        <sz val="8"/>
        <color theme="1"/>
        <rFont val="Calibri"/>
        <family val="2"/>
        <scheme val="minor"/>
      </rPr>
      <t>(5)</t>
    </r>
  </si>
  <si>
    <t>(k)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</si>
  <si>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</si>
  <si>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</si>
  <si>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</si>
  <si>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</si>
  <si>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</si>
  <si>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</si>
  <si>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</si>
  <si>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</si>
  <si>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</si>
  <si>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</si>
  <si>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</si>
  <si>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</si>
  <si>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</si>
  <si>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</si>
  <si>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</si>
  <si>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</si>
  <si>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</si>
  <si>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</si>
  <si>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</si>
  <si>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</si>
  <si>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</si>
  <si>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</si>
  <si>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</si>
  <si>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</si>
  <si>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</si>
  <si>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</si>
  <si>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</si>
  <si>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</si>
  <si>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</si>
  <si>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</si>
  <si>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</si>
  <si>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</si>
  <si>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</si>
  <si>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</si>
  <si>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</si>
  <si>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37.</t>
  </si>
  <si>
    <t>38.</t>
  </si>
  <si>
    <t>39.</t>
  </si>
  <si>
    <t>40.</t>
  </si>
  <si>
    <t>41.</t>
  </si>
  <si>
    <t>42.</t>
  </si>
  <si>
    <t>Mortgage</t>
  </si>
  <si>
    <t>CoBank</t>
  </si>
  <si>
    <t>B330</t>
  </si>
  <si>
    <t>B335</t>
  </si>
  <si>
    <t>H0010</t>
  </si>
  <si>
    <t>H0015</t>
  </si>
  <si>
    <t>H0020</t>
  </si>
  <si>
    <t>H0025</t>
  </si>
  <si>
    <r>
      <t xml:space="preserve">For the Test Year Ended </t>
    </r>
    <r>
      <rPr>
        <u/>
        <sz val="11"/>
        <color theme="1"/>
        <rFont val="Calibri"/>
        <family val="2"/>
        <scheme val="minor"/>
      </rPr>
      <t>April of 2019 to March of 2020</t>
    </r>
  </si>
  <si>
    <t>H0030</t>
  </si>
  <si>
    <t>H0035</t>
  </si>
  <si>
    <t>H0040</t>
  </si>
  <si>
    <t>H0045</t>
  </si>
  <si>
    <t>H0050</t>
  </si>
  <si>
    <t>H0055</t>
  </si>
  <si>
    <t>H0060</t>
  </si>
  <si>
    <t>H0065</t>
  </si>
  <si>
    <t>H0075</t>
  </si>
  <si>
    <t>H0070</t>
  </si>
  <si>
    <t>H0080</t>
  </si>
  <si>
    <t>H0085</t>
  </si>
  <si>
    <t>H0090</t>
  </si>
  <si>
    <t>H0095</t>
  </si>
  <si>
    <t>F0100</t>
  </si>
  <si>
    <t>F0105</t>
  </si>
  <si>
    <t>F0110</t>
  </si>
  <si>
    <t>F0115</t>
  </si>
  <si>
    <t>F0020</t>
  </si>
  <si>
    <t>REDL-17-1</t>
  </si>
  <si>
    <t>REDL-23-1</t>
  </si>
  <si>
    <t>REDL-24-1</t>
  </si>
  <si>
    <t>REDL-25-1</t>
  </si>
  <si>
    <t>Total</t>
  </si>
  <si>
    <t>Annualized Cost Rate</t>
  </si>
  <si>
    <t>36.</t>
  </si>
  <si>
    <t>40</t>
  </si>
  <si>
    <t>42</t>
  </si>
  <si>
    <t>43.</t>
  </si>
  <si>
    <t>44.</t>
  </si>
  <si>
    <t>45.</t>
  </si>
  <si>
    <t>Actual Test Year Cost Rate</t>
  </si>
  <si>
    <t>F0025</t>
  </si>
  <si>
    <t>F0030</t>
  </si>
  <si>
    <t>**</t>
  </si>
  <si>
    <t>**Adjustment made to interest after loan was paid in full**</t>
  </si>
  <si>
    <t>South Kentucky Rural Electric Cooperative Corporation</t>
  </si>
  <si>
    <t>RUS/FFB</t>
  </si>
  <si>
    <t>City of Monticello, KY</t>
  </si>
  <si>
    <t>CFC</t>
  </si>
  <si>
    <t>USDA Revolving Loan and Grant</t>
  </si>
  <si>
    <t>Coupon Interest Rate</t>
  </si>
  <si>
    <t>( e)</t>
  </si>
  <si>
    <t>Cost Rate at Issue</t>
  </si>
  <si>
    <t>* Column H in template- Bond Rating at Time of Issue is not applicable.</t>
  </si>
  <si>
    <t>Type f Obligation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</si>
</sst>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00%"/>
  </numFmts>
  <fonts count="5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Border="1"/>
    <xf numFmtId="0" fontId="0" fillId="0" borderId="15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0" fontId="0" fillId="0" borderId="20" xfId="0" applyFill="1" applyBorder="1" applyAlignment="1">
      <alignment horizontal="center" wrapText="1"/>
    </xf>
    <xf numFmtId="49" fontId="0" fillId="0" borderId="0" xfId="0" applyNumberFormat="1"/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43" fontId="0" fillId="0" borderId="0" xfId="1" applyFont="1"/>
    <xf numFmtId="49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horizontal="center"/>
    </xf>
    <xf numFmtId="14" fontId="0" fillId="0" borderId="19" xfId="0" applyNumberFormat="1" applyBorder="1" applyAlignment="1">
      <alignment horizontal="center"/>
    </xf>
    <xf numFmtId="43" fontId="0" fillId="0" borderId="19" xfId="1" applyFont="1" applyBorder="1" applyAlignment="1">
      <alignment horizontal="center"/>
    </xf>
    <xf numFmtId="10" fontId="3" fillId="0" borderId="19" xfId="2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43" fontId="0" fillId="0" borderId="24" xfId="1" applyFont="1" applyBorder="1" applyAlignment="1">
      <alignment horizontal="center"/>
    </xf>
    <xf numFmtId="43" fontId="0" fillId="0" borderId="24" xfId="0" applyNumberFormat="1" applyBorder="1" applyAlignment="1">
      <alignment horizontal="center"/>
    </xf>
    <xf numFmtId="164" fontId="0" fillId="0" borderId="19" xfId="2" applyNumberFormat="1" applyFont="1" applyBorder="1" applyAlignment="1">
      <alignment horizontal="center"/>
    </xf>
    <xf numFmtId="43" fontId="0" fillId="0" borderId="19" xfId="0" applyNumberFormat="1" applyBorder="1" applyAlignment="1">
      <alignment horizontal="center"/>
    </xf>
    <xf numFmtId="43" fontId="0" fillId="0" borderId="0" xfId="0" applyNumberFormat="1" applyAlignment="1">
      <alignment horizontal="center"/>
    </xf>
    <xf numFmtId="0" fontId="3" fillId="0" borderId="0" xfId="0" applyFont="1"/>
    <xf numFmtId="0" fontId="0" fillId="0" borderId="15" xfId="0" applyBorder="1" applyAlignment="1">
      <alignment horizontal="center" wrapText="1"/>
    </xf>
    <xf numFmtId="0" fontId="3" fillId="0" borderId="0" xfId="0" applyFont="1" applyAlignment="1">
      <alignment horizontal="right"/>
    </xf>
    <xf numFmtId="49" fontId="0" fillId="0" borderId="0" xfId="0" applyNumberFormat="1" applyAlignment="1">
      <alignment horizontal="left" vertical="center"/>
    </xf>
    <xf numFmtId="0" fontId="3" fillId="0" borderId="0" xfId="0" applyFont="1" applyBorder="1" applyAlignment="1">
      <alignment horizontal="right"/>
    </xf>
    <xf numFmtId="10" fontId="3" fillId="0" borderId="0" xfId="2" applyNumberFormat="1" applyFont="1" applyBorder="1" applyAlignment="1">
      <alignment horizont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3" fillId="0" borderId="19" xfId="0" applyFont="1" applyBorder="1" applyAlignment="1">
      <alignment horizontal="right"/>
    </xf>
    <xf numFmtId="0" fontId="0" fillId="0" borderId="18" xfId="0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8"/>
  <sheetViews>
    <sheetView tabSelected="1" workbookViewId="0">
      <selection activeCell="B70" sqref="B70"/>
    </sheetView>
  </sheetViews>
  <sheetFormatPr defaultRowHeight="14.4" x14ac:dyDescent="0.3"/>
  <cols>
    <col min="1" max="1" width="4.6640625" bestFit="1" customWidth="1"/>
    <col min="2" max="2" width="28.109375" customWidth="1"/>
    <col min="3" max="3" width="9.6640625" bestFit="1" customWidth="1"/>
    <col min="4" max="5" width="10.6640625" bestFit="1" customWidth="1"/>
    <col min="6" max="6" width="15.33203125" bestFit="1" customWidth="1"/>
    <col min="7" max="7" width="7.88671875" hidden="1" customWidth="1"/>
    <col min="8" max="8" width="7.109375" hidden="1" customWidth="1"/>
    <col min="9" max="10" width="7.109375" customWidth="1"/>
    <col min="11" max="11" width="10.109375" bestFit="1" customWidth="1"/>
    <col min="12" max="12" width="8.6640625" hidden="1" customWidth="1"/>
    <col min="13" max="13" width="10.109375" hidden="1" customWidth="1"/>
    <col min="14" max="14" width="29.109375" bestFit="1" customWidth="1"/>
    <col min="15" max="15" width="15" customWidth="1"/>
  </cols>
  <sheetData>
    <row r="1" spans="1:18" x14ac:dyDescent="0.3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2"/>
    </row>
    <row r="2" spans="1:18" x14ac:dyDescent="0.3">
      <c r="A2" s="32" t="s">
        <v>115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8" x14ac:dyDescent="0.3">
      <c r="A3" s="43" t="s">
        <v>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5"/>
    </row>
    <row r="4" spans="1:18" x14ac:dyDescent="0.3">
      <c r="A4" s="46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8"/>
      <c r="R4" s="1"/>
    </row>
    <row r="5" spans="1:18" x14ac:dyDescent="0.3">
      <c r="A5" s="32" t="s">
        <v>3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4"/>
      <c r="R5" s="1"/>
    </row>
    <row r="6" spans="1:18" x14ac:dyDescent="0.3">
      <c r="A6" s="32" t="s">
        <v>22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4"/>
    </row>
    <row r="7" spans="1:18" x14ac:dyDescent="0.3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7"/>
    </row>
    <row r="8" spans="1:18" ht="83.25" customHeight="1" x14ac:dyDescent="0.3">
      <c r="A8" s="38" t="s">
        <v>4</v>
      </c>
      <c r="B8" s="49" t="s">
        <v>5</v>
      </c>
      <c r="C8" s="50"/>
      <c r="D8" s="2" t="s">
        <v>6</v>
      </c>
      <c r="E8" s="2" t="s">
        <v>7</v>
      </c>
      <c r="F8" s="2" t="s">
        <v>8</v>
      </c>
      <c r="G8" s="2" t="s">
        <v>24</v>
      </c>
      <c r="H8" s="2" t="s">
        <v>23</v>
      </c>
      <c r="I8" s="25" t="s">
        <v>120</v>
      </c>
      <c r="J8" s="25" t="s">
        <v>122</v>
      </c>
      <c r="K8" s="2" t="s">
        <v>25</v>
      </c>
      <c r="L8" s="2" t="s">
        <v>26</v>
      </c>
      <c r="M8" s="2" t="s">
        <v>9</v>
      </c>
      <c r="N8" s="25" t="s">
        <v>124</v>
      </c>
      <c r="O8" s="2" t="s">
        <v>10</v>
      </c>
    </row>
    <row r="9" spans="1:18" x14ac:dyDescent="0.3">
      <c r="A9" s="39"/>
      <c r="B9" s="35" t="s">
        <v>11</v>
      </c>
      <c r="C9" s="37"/>
      <c r="D9" s="3" t="s">
        <v>12</v>
      </c>
      <c r="E9" s="3" t="s">
        <v>13</v>
      </c>
      <c r="F9" s="3" t="s">
        <v>14</v>
      </c>
      <c r="G9" s="3" t="s">
        <v>15</v>
      </c>
      <c r="H9" s="3" t="s">
        <v>16</v>
      </c>
      <c r="I9" s="3" t="s">
        <v>121</v>
      </c>
      <c r="J9" s="3" t="s">
        <v>16</v>
      </c>
      <c r="K9" s="3" t="s">
        <v>17</v>
      </c>
      <c r="L9" s="3" t="s">
        <v>18</v>
      </c>
      <c r="M9" s="3" t="s">
        <v>19</v>
      </c>
      <c r="N9" s="3" t="s">
        <v>19</v>
      </c>
      <c r="O9" s="3" t="s">
        <v>20</v>
      </c>
    </row>
    <row r="10" spans="1:18" x14ac:dyDescent="0.3">
      <c r="A10" s="11" t="s">
        <v>29</v>
      </c>
      <c r="B10" s="11" t="s">
        <v>71</v>
      </c>
      <c r="C10" s="12" t="s">
        <v>71</v>
      </c>
      <c r="D10" s="13">
        <v>42486</v>
      </c>
      <c r="E10" s="13">
        <v>49084</v>
      </c>
      <c r="F10" s="14">
        <v>46712888.659999996</v>
      </c>
      <c r="G10" s="12"/>
      <c r="H10" s="12"/>
      <c r="I10" s="21">
        <v>3.5499999999999997E-2</v>
      </c>
      <c r="J10" s="21">
        <v>3.5499999999999997E-2</v>
      </c>
      <c r="K10" s="21">
        <v>3.5499999999999997E-2</v>
      </c>
      <c r="L10" s="12"/>
      <c r="M10" s="12"/>
      <c r="N10" s="11" t="s">
        <v>71</v>
      </c>
      <c r="O10" s="22">
        <f>F10*K10</f>
        <v>1658307.5474299998</v>
      </c>
    </row>
    <row r="11" spans="1:18" x14ac:dyDescent="0.3">
      <c r="A11" s="11" t="s">
        <v>30</v>
      </c>
      <c r="B11" s="11" t="s">
        <v>116</v>
      </c>
      <c r="C11" s="12" t="s">
        <v>72</v>
      </c>
      <c r="D11" s="13">
        <v>35735</v>
      </c>
      <c r="E11" s="13">
        <v>46721</v>
      </c>
      <c r="F11" s="14">
        <v>1685394.1</v>
      </c>
      <c r="G11" s="12"/>
      <c r="H11" s="12"/>
      <c r="I11" s="21">
        <v>1.25E-3</v>
      </c>
      <c r="J11" s="21">
        <v>1.25E-3</v>
      </c>
      <c r="K11" s="21">
        <v>1.25E-3</v>
      </c>
      <c r="L11" s="12"/>
      <c r="M11" s="12"/>
      <c r="N11" s="11" t="s">
        <v>116</v>
      </c>
      <c r="O11" s="22">
        <f t="shared" ref="O11:O52" si="0">F11*K11</f>
        <v>2106.7426250000003</v>
      </c>
    </row>
    <row r="12" spans="1:18" x14ac:dyDescent="0.3">
      <c r="A12" s="11" t="s">
        <v>31</v>
      </c>
      <c r="B12" s="11" t="s">
        <v>116</v>
      </c>
      <c r="C12" s="12" t="s">
        <v>73</v>
      </c>
      <c r="D12" s="13">
        <v>36312</v>
      </c>
      <c r="E12" s="13">
        <v>47299</v>
      </c>
      <c r="F12" s="14">
        <v>1681175.46</v>
      </c>
      <c r="G12" s="12"/>
      <c r="H12" s="12"/>
      <c r="I12" s="21">
        <v>7.4999999999999997E-3</v>
      </c>
      <c r="J12" s="21">
        <v>7.4999999999999997E-3</v>
      </c>
      <c r="K12" s="21">
        <v>7.4999999999999997E-3</v>
      </c>
      <c r="L12" s="12"/>
      <c r="M12" s="12"/>
      <c r="N12" s="11" t="s">
        <v>116</v>
      </c>
      <c r="O12" s="22">
        <f t="shared" si="0"/>
        <v>12608.81595</v>
      </c>
    </row>
    <row r="13" spans="1:18" x14ac:dyDescent="0.3">
      <c r="A13" s="11" t="s">
        <v>32</v>
      </c>
      <c r="B13" s="11" t="s">
        <v>116</v>
      </c>
      <c r="C13" s="12" t="s">
        <v>74</v>
      </c>
      <c r="D13" s="13">
        <v>39903</v>
      </c>
      <c r="E13" s="13">
        <v>51866</v>
      </c>
      <c r="F13" s="14">
        <v>4144841.65</v>
      </c>
      <c r="G13" s="12"/>
      <c r="H13" s="12"/>
      <c r="I13" s="21">
        <v>3.4549999999999997E-2</v>
      </c>
      <c r="J13" s="21">
        <v>3.4549999999999997E-2</v>
      </c>
      <c r="K13" s="21">
        <v>3.4549999999999997E-2</v>
      </c>
      <c r="L13" s="12"/>
      <c r="M13" s="12"/>
      <c r="N13" s="11" t="s">
        <v>116</v>
      </c>
      <c r="O13" s="22">
        <f t="shared" si="0"/>
        <v>143204.27900749998</v>
      </c>
    </row>
    <row r="14" spans="1:18" x14ac:dyDescent="0.3">
      <c r="A14" s="11" t="s">
        <v>33</v>
      </c>
      <c r="B14" s="11" t="s">
        <v>116</v>
      </c>
      <c r="C14" s="12" t="s">
        <v>75</v>
      </c>
      <c r="D14" s="13">
        <v>39871</v>
      </c>
      <c r="E14" s="13">
        <v>51866</v>
      </c>
      <c r="F14" s="14">
        <v>2559056.83</v>
      </c>
      <c r="G14" s="12"/>
      <c r="H14" s="12"/>
      <c r="I14" s="21">
        <v>3.6490000000000002E-2</v>
      </c>
      <c r="J14" s="21">
        <v>3.6490000000000002E-2</v>
      </c>
      <c r="K14" s="21">
        <v>3.6490000000000002E-2</v>
      </c>
      <c r="L14" s="12"/>
      <c r="M14" s="12"/>
      <c r="N14" s="11" t="s">
        <v>116</v>
      </c>
      <c r="O14" s="22">
        <f t="shared" si="0"/>
        <v>93379.983726700011</v>
      </c>
    </row>
    <row r="15" spans="1:18" x14ac:dyDescent="0.3">
      <c r="A15" s="11" t="s">
        <v>34</v>
      </c>
      <c r="B15" s="11" t="s">
        <v>116</v>
      </c>
      <c r="C15" s="12" t="s">
        <v>76</v>
      </c>
      <c r="D15" s="13">
        <v>39889</v>
      </c>
      <c r="E15" s="13">
        <v>52231</v>
      </c>
      <c r="F15" s="14">
        <v>13580528.140000001</v>
      </c>
      <c r="G15" s="12"/>
      <c r="H15" s="12"/>
      <c r="I15" s="21">
        <v>3.6990000000000002E-2</v>
      </c>
      <c r="J15" s="21">
        <v>3.6990000000000002E-2</v>
      </c>
      <c r="K15" s="21">
        <v>3.6990000000000002E-2</v>
      </c>
      <c r="L15" s="12"/>
      <c r="M15" s="12"/>
      <c r="N15" s="11" t="s">
        <v>116</v>
      </c>
      <c r="O15" s="22">
        <f t="shared" si="0"/>
        <v>502343.73589860008</v>
      </c>
    </row>
    <row r="16" spans="1:18" x14ac:dyDescent="0.3">
      <c r="A16" s="11" t="s">
        <v>35</v>
      </c>
      <c r="B16" s="11" t="s">
        <v>116</v>
      </c>
      <c r="C16" s="12" t="s">
        <v>77</v>
      </c>
      <c r="D16" s="13">
        <v>40421</v>
      </c>
      <c r="E16" s="13">
        <v>52231</v>
      </c>
      <c r="F16" s="14">
        <v>10820046.74</v>
      </c>
      <c r="G16" s="12"/>
      <c r="H16" s="12"/>
      <c r="I16" s="21">
        <v>3.2489999999999998E-2</v>
      </c>
      <c r="J16" s="21">
        <v>3.2489999999999998E-2</v>
      </c>
      <c r="K16" s="21">
        <v>3.2489999999999998E-2</v>
      </c>
      <c r="L16" s="12"/>
      <c r="M16" s="12"/>
      <c r="N16" s="11" t="s">
        <v>116</v>
      </c>
      <c r="O16" s="22">
        <f t="shared" si="0"/>
        <v>351543.31858259998</v>
      </c>
    </row>
    <row r="17" spans="1:15" x14ac:dyDescent="0.3">
      <c r="A17" s="11" t="s">
        <v>36</v>
      </c>
      <c r="B17" s="11" t="s">
        <v>116</v>
      </c>
      <c r="C17" s="12" t="s">
        <v>79</v>
      </c>
      <c r="D17" s="13">
        <v>41292</v>
      </c>
      <c r="E17" s="13">
        <v>53329</v>
      </c>
      <c r="F17" s="14">
        <v>12448711.560000001</v>
      </c>
      <c r="G17" s="12"/>
      <c r="H17" s="12"/>
      <c r="I17" s="21">
        <v>2.657E-2</v>
      </c>
      <c r="J17" s="21">
        <v>2.657E-2</v>
      </c>
      <c r="K17" s="21">
        <v>2.657E-2</v>
      </c>
      <c r="L17" s="12"/>
      <c r="M17" s="12"/>
      <c r="N17" s="11" t="s">
        <v>116</v>
      </c>
      <c r="O17" s="22">
        <f t="shared" si="0"/>
        <v>330762.26614920003</v>
      </c>
    </row>
    <row r="18" spans="1:15" x14ac:dyDescent="0.3">
      <c r="A18" s="11" t="s">
        <v>37</v>
      </c>
      <c r="B18" s="11" t="s">
        <v>116</v>
      </c>
      <c r="C18" s="12" t="s">
        <v>80</v>
      </c>
      <c r="D18" s="13">
        <v>41613</v>
      </c>
      <c r="E18" s="13">
        <v>53329</v>
      </c>
      <c r="F18" s="14">
        <v>5384218.2300000004</v>
      </c>
      <c r="G18" s="12"/>
      <c r="H18" s="12"/>
      <c r="I18" s="21">
        <v>3.5499999999999997E-2</v>
      </c>
      <c r="J18" s="21">
        <v>3.5499999999999997E-2</v>
      </c>
      <c r="K18" s="21">
        <v>3.5499999999999997E-2</v>
      </c>
      <c r="L18" s="12"/>
      <c r="M18" s="12"/>
      <c r="N18" s="11" t="s">
        <v>116</v>
      </c>
      <c r="O18" s="22">
        <f t="shared" si="0"/>
        <v>191139.74716500001</v>
      </c>
    </row>
    <row r="19" spans="1:15" x14ac:dyDescent="0.3">
      <c r="A19" s="11" t="s">
        <v>38</v>
      </c>
      <c r="B19" s="11" t="s">
        <v>116</v>
      </c>
      <c r="C19" s="12" t="s">
        <v>81</v>
      </c>
      <c r="D19" s="13">
        <v>41697</v>
      </c>
      <c r="E19" s="13">
        <v>52687</v>
      </c>
      <c r="F19" s="14">
        <v>2444639.41</v>
      </c>
      <c r="G19" s="12"/>
      <c r="H19" s="12"/>
      <c r="I19" s="21">
        <v>2.2069999999999999E-2</v>
      </c>
      <c r="J19" s="21">
        <v>2.2069999999999999E-2</v>
      </c>
      <c r="K19" s="21">
        <v>2.2069999999999999E-2</v>
      </c>
      <c r="L19" s="12"/>
      <c r="M19" s="12"/>
      <c r="N19" s="11" t="s">
        <v>116</v>
      </c>
      <c r="O19" s="22">
        <f t="shared" si="0"/>
        <v>53953.191778699998</v>
      </c>
    </row>
    <row r="20" spans="1:15" x14ac:dyDescent="0.3">
      <c r="A20" s="11" t="s">
        <v>39</v>
      </c>
      <c r="B20" s="11" t="s">
        <v>116</v>
      </c>
      <c r="C20" s="12" t="s">
        <v>82</v>
      </c>
      <c r="D20" s="13">
        <v>41912</v>
      </c>
      <c r="E20" s="13">
        <v>52962</v>
      </c>
      <c r="F20" s="14">
        <v>2482449.4500000002</v>
      </c>
      <c r="G20" s="12"/>
      <c r="H20" s="12"/>
      <c r="I20" s="21">
        <v>2.2069999999999999E-2</v>
      </c>
      <c r="J20" s="21">
        <v>2.2069999999999999E-2</v>
      </c>
      <c r="K20" s="21">
        <v>2.2069999999999999E-2</v>
      </c>
      <c r="L20" s="12"/>
      <c r="M20" s="12"/>
      <c r="N20" s="11" t="s">
        <v>116</v>
      </c>
      <c r="O20" s="22">
        <f t="shared" si="0"/>
        <v>54787.659361500002</v>
      </c>
    </row>
    <row r="21" spans="1:15" x14ac:dyDescent="0.3">
      <c r="A21" s="11" t="s">
        <v>40</v>
      </c>
      <c r="B21" s="11" t="s">
        <v>116</v>
      </c>
      <c r="C21" s="12" t="s">
        <v>83</v>
      </c>
      <c r="D21" s="13">
        <v>41915</v>
      </c>
      <c r="E21" s="13">
        <v>53329</v>
      </c>
      <c r="F21" s="14">
        <v>8687965.9499999993</v>
      </c>
      <c r="G21" s="12"/>
      <c r="H21" s="12"/>
      <c r="I21" s="21">
        <v>2.87E-2</v>
      </c>
      <c r="J21" s="21">
        <v>2.87E-2</v>
      </c>
      <c r="K21" s="21">
        <v>2.87E-2</v>
      </c>
      <c r="L21" s="12"/>
      <c r="M21" s="12"/>
      <c r="N21" s="11" t="s">
        <v>116</v>
      </c>
      <c r="O21" s="22">
        <f t="shared" si="0"/>
        <v>249344.62276499998</v>
      </c>
    </row>
    <row r="22" spans="1:15" x14ac:dyDescent="0.3">
      <c r="A22" s="11" t="s">
        <v>41</v>
      </c>
      <c r="B22" s="11" t="s">
        <v>116</v>
      </c>
      <c r="C22" s="12" t="s">
        <v>84</v>
      </c>
      <c r="D22" s="13">
        <v>42369</v>
      </c>
      <c r="E22" s="13">
        <v>53329</v>
      </c>
      <c r="F22" s="14">
        <v>862178.6</v>
      </c>
      <c r="G22" s="12"/>
      <c r="H22" s="12"/>
      <c r="I22" s="21">
        <v>2.2259999999999999E-2</v>
      </c>
      <c r="J22" s="21">
        <v>2.2259999999999999E-2</v>
      </c>
      <c r="K22" s="21">
        <v>2.2259999999999999E-2</v>
      </c>
      <c r="L22" s="12"/>
      <c r="M22" s="12"/>
      <c r="N22" s="11" t="s">
        <v>116</v>
      </c>
      <c r="O22" s="22">
        <f t="shared" si="0"/>
        <v>19192.095635999998</v>
      </c>
    </row>
    <row r="23" spans="1:15" x14ac:dyDescent="0.3">
      <c r="A23" s="11" t="s">
        <v>42</v>
      </c>
      <c r="B23" s="11" t="s">
        <v>116</v>
      </c>
      <c r="C23" s="12" t="s">
        <v>85</v>
      </c>
      <c r="D23" s="13">
        <v>42369</v>
      </c>
      <c r="E23" s="13">
        <v>53329</v>
      </c>
      <c r="F23" s="14">
        <v>862189.03</v>
      </c>
      <c r="G23" s="12"/>
      <c r="H23" s="12"/>
      <c r="I23" s="21">
        <v>2.2259999999999999E-2</v>
      </c>
      <c r="J23" s="21">
        <v>2.2259999999999999E-2</v>
      </c>
      <c r="K23" s="21">
        <v>2.2259999999999999E-2</v>
      </c>
      <c r="L23" s="12"/>
      <c r="M23" s="12"/>
      <c r="N23" s="11" t="s">
        <v>116</v>
      </c>
      <c r="O23" s="22">
        <f t="shared" si="0"/>
        <v>19192.3278078</v>
      </c>
    </row>
    <row r="24" spans="1:15" x14ac:dyDescent="0.3">
      <c r="A24" s="11" t="s">
        <v>43</v>
      </c>
      <c r="B24" s="11" t="s">
        <v>116</v>
      </c>
      <c r="C24" s="12" t="s">
        <v>86</v>
      </c>
      <c r="D24" s="13">
        <v>42369</v>
      </c>
      <c r="E24" s="13">
        <v>53329</v>
      </c>
      <c r="F24" s="14">
        <v>855106.59</v>
      </c>
      <c r="G24" s="12"/>
      <c r="H24" s="12"/>
      <c r="I24" s="21">
        <v>8.0999999999999996E-4</v>
      </c>
      <c r="J24" s="21">
        <v>8.0999999999999996E-4</v>
      </c>
      <c r="K24" s="21">
        <v>8.0999999999999996E-4</v>
      </c>
      <c r="L24" s="12"/>
      <c r="M24" s="12"/>
      <c r="N24" s="11" t="s">
        <v>116</v>
      </c>
      <c r="O24" s="22">
        <f t="shared" si="0"/>
        <v>692.63633789999994</v>
      </c>
    </row>
    <row r="25" spans="1:15" x14ac:dyDescent="0.3">
      <c r="A25" s="11" t="s">
        <v>44</v>
      </c>
      <c r="B25" s="11" t="s">
        <v>116</v>
      </c>
      <c r="C25" s="12" t="s">
        <v>87</v>
      </c>
      <c r="D25" s="13">
        <v>42369</v>
      </c>
      <c r="E25" s="13">
        <v>53329</v>
      </c>
      <c r="F25" s="14">
        <v>3091145.63</v>
      </c>
      <c r="G25" s="12"/>
      <c r="H25" s="12"/>
      <c r="I25" s="21">
        <v>2.4029999999999999E-2</v>
      </c>
      <c r="J25" s="21">
        <v>2.4029999999999999E-2</v>
      </c>
      <c r="K25" s="21">
        <v>2.4029999999999999E-2</v>
      </c>
      <c r="L25" s="12"/>
      <c r="M25" s="12"/>
      <c r="N25" s="11" t="s">
        <v>116</v>
      </c>
      <c r="O25" s="22">
        <f t="shared" si="0"/>
        <v>74280.22948889999</v>
      </c>
    </row>
    <row r="26" spans="1:15" x14ac:dyDescent="0.3">
      <c r="A26" s="11" t="s">
        <v>45</v>
      </c>
      <c r="B26" s="11" t="s">
        <v>116</v>
      </c>
      <c r="C26" s="12" t="s">
        <v>88</v>
      </c>
      <c r="D26" s="13">
        <v>42369</v>
      </c>
      <c r="E26" s="13">
        <v>53329</v>
      </c>
      <c r="F26" s="14">
        <v>855053.22</v>
      </c>
      <c r="G26" s="12"/>
      <c r="H26" s="12"/>
      <c r="I26" s="21">
        <v>8.0999999999999996E-4</v>
      </c>
      <c r="J26" s="21">
        <v>8.0999999999999996E-4</v>
      </c>
      <c r="K26" s="21">
        <v>8.0999999999999996E-4</v>
      </c>
      <c r="L26" s="12"/>
      <c r="M26" s="12"/>
      <c r="N26" s="11" t="s">
        <v>116</v>
      </c>
      <c r="O26" s="22">
        <f t="shared" si="0"/>
        <v>692.59310819999996</v>
      </c>
    </row>
    <row r="27" spans="1:15" x14ac:dyDescent="0.3">
      <c r="A27" s="11" t="s">
        <v>46</v>
      </c>
      <c r="B27" s="11" t="s">
        <v>116</v>
      </c>
      <c r="C27" s="12" t="s">
        <v>89</v>
      </c>
      <c r="D27" s="13">
        <v>42369</v>
      </c>
      <c r="E27" s="13">
        <v>53329</v>
      </c>
      <c r="F27" s="14">
        <v>855053.22</v>
      </c>
      <c r="G27" s="12"/>
      <c r="H27" s="12"/>
      <c r="I27" s="21">
        <v>8.0999999999999996E-4</v>
      </c>
      <c r="J27" s="21">
        <v>8.0999999999999996E-4</v>
      </c>
      <c r="K27" s="21">
        <v>8.0999999999999996E-4</v>
      </c>
      <c r="L27" s="12"/>
      <c r="M27" s="12"/>
      <c r="N27" s="11" t="s">
        <v>116</v>
      </c>
      <c r="O27" s="22">
        <f t="shared" si="0"/>
        <v>692.59310819999996</v>
      </c>
    </row>
    <row r="28" spans="1:15" x14ac:dyDescent="0.3">
      <c r="A28" s="11" t="s">
        <v>47</v>
      </c>
      <c r="B28" s="11" t="s">
        <v>116</v>
      </c>
      <c r="C28" s="12" t="s">
        <v>90</v>
      </c>
      <c r="D28" s="13">
        <v>42405</v>
      </c>
      <c r="E28" s="13">
        <v>53329</v>
      </c>
      <c r="F28" s="14">
        <v>2647538.44</v>
      </c>
      <c r="G28" s="12"/>
      <c r="H28" s="12"/>
      <c r="I28" s="21">
        <v>2.307E-2</v>
      </c>
      <c r="J28" s="21">
        <v>2.307E-2</v>
      </c>
      <c r="K28" s="21">
        <v>2.307E-2</v>
      </c>
      <c r="L28" s="12"/>
      <c r="M28" s="12"/>
      <c r="N28" s="11" t="s">
        <v>116</v>
      </c>
      <c r="O28" s="22">
        <f t="shared" si="0"/>
        <v>61078.7118108</v>
      </c>
    </row>
    <row r="29" spans="1:15" x14ac:dyDescent="0.3">
      <c r="A29" s="11" t="s">
        <v>48</v>
      </c>
      <c r="B29" s="11" t="s">
        <v>116</v>
      </c>
      <c r="C29" s="12" t="s">
        <v>91</v>
      </c>
      <c r="D29" s="13">
        <v>42429</v>
      </c>
      <c r="E29" s="13">
        <v>53329</v>
      </c>
      <c r="F29" s="14">
        <v>881118.42</v>
      </c>
      <c r="G29" s="12"/>
      <c r="H29" s="12"/>
      <c r="I29" s="21">
        <v>2.223E-2</v>
      </c>
      <c r="J29" s="21">
        <v>2.223E-2</v>
      </c>
      <c r="K29" s="21">
        <v>2.223E-2</v>
      </c>
      <c r="L29" s="12"/>
      <c r="M29" s="12"/>
      <c r="N29" s="11" t="s">
        <v>116</v>
      </c>
      <c r="O29" s="22">
        <f t="shared" si="0"/>
        <v>19587.262476600001</v>
      </c>
    </row>
    <row r="30" spans="1:15" x14ac:dyDescent="0.3">
      <c r="A30" s="11" t="s">
        <v>49</v>
      </c>
      <c r="B30" s="11" t="s">
        <v>116</v>
      </c>
      <c r="C30" s="12" t="s">
        <v>92</v>
      </c>
      <c r="D30" s="13">
        <v>42429</v>
      </c>
      <c r="E30" s="13">
        <v>53329</v>
      </c>
      <c r="F30" s="14">
        <v>1145453.92</v>
      </c>
      <c r="G30" s="12"/>
      <c r="H30" s="12"/>
      <c r="I30" s="21">
        <v>2.223E-2</v>
      </c>
      <c r="J30" s="21">
        <v>2.223E-2</v>
      </c>
      <c r="K30" s="21">
        <v>2.223E-2</v>
      </c>
      <c r="L30" s="12"/>
      <c r="M30" s="12"/>
      <c r="N30" s="11" t="s">
        <v>116</v>
      </c>
      <c r="O30" s="22">
        <f t="shared" si="0"/>
        <v>25463.440641599998</v>
      </c>
    </row>
    <row r="31" spans="1:15" x14ac:dyDescent="0.3">
      <c r="A31" s="11" t="s">
        <v>50</v>
      </c>
      <c r="B31" s="11" t="s">
        <v>116</v>
      </c>
      <c r="C31" s="12" t="s">
        <v>93</v>
      </c>
      <c r="D31" s="13">
        <v>42972</v>
      </c>
      <c r="E31" s="13">
        <v>55156</v>
      </c>
      <c r="F31" s="14">
        <v>1907600.04</v>
      </c>
      <c r="G31" s="12"/>
      <c r="H31" s="12"/>
      <c r="I31" s="21">
        <v>2.571E-2</v>
      </c>
      <c r="J31" s="21">
        <v>2.571E-2</v>
      </c>
      <c r="K31" s="21">
        <v>2.571E-2</v>
      </c>
      <c r="L31" s="12"/>
      <c r="M31" s="12"/>
      <c r="N31" s="11" t="s">
        <v>116</v>
      </c>
      <c r="O31" s="22">
        <f t="shared" si="0"/>
        <v>49044.397028400002</v>
      </c>
    </row>
    <row r="32" spans="1:15" x14ac:dyDescent="0.3">
      <c r="A32" s="11" t="s">
        <v>51</v>
      </c>
      <c r="B32" s="11" t="s">
        <v>116</v>
      </c>
      <c r="C32" s="12" t="s">
        <v>94</v>
      </c>
      <c r="D32" s="13">
        <v>42979</v>
      </c>
      <c r="E32" s="13">
        <v>55156</v>
      </c>
      <c r="F32" s="14">
        <v>1906682.82</v>
      </c>
      <c r="G32" s="12"/>
      <c r="H32" s="12"/>
      <c r="I32" s="21">
        <v>2.513E-2</v>
      </c>
      <c r="J32" s="21">
        <v>2.513E-2</v>
      </c>
      <c r="K32" s="21">
        <v>2.513E-2</v>
      </c>
      <c r="L32" s="12"/>
      <c r="M32" s="12"/>
      <c r="N32" s="11" t="s">
        <v>116</v>
      </c>
      <c r="O32" s="22">
        <f t="shared" si="0"/>
        <v>47914.939266599999</v>
      </c>
    </row>
    <row r="33" spans="1:15" x14ac:dyDescent="0.3">
      <c r="A33" s="11" t="s">
        <v>52</v>
      </c>
      <c r="B33" s="11" t="s">
        <v>116</v>
      </c>
      <c r="C33" s="12" t="s">
        <v>95</v>
      </c>
      <c r="D33" s="13">
        <v>43132</v>
      </c>
      <c r="E33" s="13">
        <v>55156</v>
      </c>
      <c r="F33" s="14">
        <v>4779723.4400000004</v>
      </c>
      <c r="G33" s="12"/>
      <c r="H33" s="12"/>
      <c r="I33" s="21">
        <v>2.8479999999999998E-2</v>
      </c>
      <c r="J33" s="21">
        <v>2.8479999999999998E-2</v>
      </c>
      <c r="K33" s="21">
        <v>2.8479999999999998E-2</v>
      </c>
      <c r="L33" s="12"/>
      <c r="M33" s="12"/>
      <c r="N33" s="11" t="s">
        <v>116</v>
      </c>
      <c r="O33" s="22">
        <f t="shared" si="0"/>
        <v>136126.5235712</v>
      </c>
    </row>
    <row r="34" spans="1:15" x14ac:dyDescent="0.3">
      <c r="A34" s="11" t="s">
        <v>53</v>
      </c>
      <c r="B34" s="11" t="s">
        <v>116</v>
      </c>
      <c r="C34" s="12" t="s">
        <v>96</v>
      </c>
      <c r="D34" s="13">
        <v>43276</v>
      </c>
      <c r="E34" s="13">
        <v>55156</v>
      </c>
      <c r="F34" s="14">
        <v>4784589.34</v>
      </c>
      <c r="G34" s="12"/>
      <c r="H34" s="12"/>
      <c r="I34" s="21">
        <v>2.9770000000000001E-2</v>
      </c>
      <c r="J34" s="21">
        <v>2.9770000000000001E-2</v>
      </c>
      <c r="K34" s="21">
        <v>2.9770000000000001E-2</v>
      </c>
      <c r="L34" s="12"/>
      <c r="M34" s="12"/>
      <c r="N34" s="11" t="s">
        <v>116</v>
      </c>
      <c r="O34" s="22">
        <f t="shared" si="0"/>
        <v>142437.2246518</v>
      </c>
    </row>
    <row r="35" spans="1:15" x14ac:dyDescent="0.3">
      <c r="A35" s="11" t="s">
        <v>54</v>
      </c>
      <c r="B35" s="11" t="s">
        <v>116</v>
      </c>
      <c r="C35" s="12" t="s">
        <v>97</v>
      </c>
      <c r="D35" s="13">
        <v>43441</v>
      </c>
      <c r="E35" s="13">
        <v>55156</v>
      </c>
      <c r="F35" s="14">
        <v>8673176.9900000002</v>
      </c>
      <c r="G35" s="12"/>
      <c r="H35" s="12"/>
      <c r="I35" s="21">
        <v>3.0339999999999999E-2</v>
      </c>
      <c r="J35" s="21">
        <v>3.0339999999999999E-2</v>
      </c>
      <c r="K35" s="21">
        <v>3.0339999999999999E-2</v>
      </c>
      <c r="L35" s="12"/>
      <c r="M35" s="12"/>
      <c r="N35" s="11" t="s">
        <v>116</v>
      </c>
      <c r="O35" s="22">
        <f t="shared" si="0"/>
        <v>263144.18987659999</v>
      </c>
    </row>
    <row r="36" spans="1:15" x14ac:dyDescent="0.3">
      <c r="A36" s="11" t="s">
        <v>55</v>
      </c>
      <c r="B36" s="11" t="s">
        <v>116</v>
      </c>
      <c r="C36" s="12" t="s">
        <v>111</v>
      </c>
      <c r="D36" s="13">
        <v>43868</v>
      </c>
      <c r="E36" s="13">
        <v>55156</v>
      </c>
      <c r="F36" s="14">
        <v>4910204.13</v>
      </c>
      <c r="G36" s="12"/>
      <c r="H36" s="12"/>
      <c r="I36" s="21">
        <v>1.9380000000000001E-2</v>
      </c>
      <c r="J36" s="21">
        <v>1.9380000000000001E-2</v>
      </c>
      <c r="K36" s="21">
        <v>1.9380000000000001E-2</v>
      </c>
      <c r="L36" s="12"/>
      <c r="M36" s="12"/>
      <c r="N36" s="11" t="s">
        <v>116</v>
      </c>
      <c r="O36" s="22">
        <f t="shared" si="0"/>
        <v>95159.756039400003</v>
      </c>
    </row>
    <row r="37" spans="1:15" x14ac:dyDescent="0.3">
      <c r="A37" s="11" t="s">
        <v>56</v>
      </c>
      <c r="B37" s="11" t="s">
        <v>116</v>
      </c>
      <c r="C37" s="12" t="s">
        <v>112</v>
      </c>
      <c r="D37" s="13">
        <v>43914</v>
      </c>
      <c r="E37" s="13">
        <v>55156</v>
      </c>
      <c r="F37" s="14">
        <v>11756339.99</v>
      </c>
      <c r="G37" s="12"/>
      <c r="H37" s="12"/>
      <c r="I37" s="21">
        <v>1.1180000000000001E-2</v>
      </c>
      <c r="J37" s="21">
        <v>1.1180000000000001E-2</v>
      </c>
      <c r="K37" s="21">
        <v>1.1180000000000001E-2</v>
      </c>
      <c r="L37" s="12"/>
      <c r="M37" s="12"/>
      <c r="N37" s="11" t="s">
        <v>116</v>
      </c>
      <c r="O37" s="22">
        <f t="shared" si="0"/>
        <v>131435.88108820003</v>
      </c>
    </row>
    <row r="38" spans="1:15" x14ac:dyDescent="0.3">
      <c r="A38" s="11" t="s">
        <v>57</v>
      </c>
      <c r="B38" s="11" t="s">
        <v>118</v>
      </c>
      <c r="C38" s="12">
        <v>9019</v>
      </c>
      <c r="D38" s="13">
        <v>31499</v>
      </c>
      <c r="E38" s="13">
        <v>44347</v>
      </c>
      <c r="F38" s="14">
        <v>47901.33</v>
      </c>
      <c r="G38" s="12"/>
      <c r="H38" s="12"/>
      <c r="I38" s="21">
        <v>6.2E-2</v>
      </c>
      <c r="J38" s="21">
        <v>6.2E-2</v>
      </c>
      <c r="K38" s="21">
        <v>6.2E-2</v>
      </c>
      <c r="L38" s="12"/>
      <c r="M38" s="12"/>
      <c r="N38" s="11" t="s">
        <v>118</v>
      </c>
      <c r="O38" s="22">
        <f t="shared" si="0"/>
        <v>2969.8824600000003</v>
      </c>
    </row>
    <row r="39" spans="1:15" x14ac:dyDescent="0.3">
      <c r="A39" s="11" t="s">
        <v>58</v>
      </c>
      <c r="B39" s="11" t="s">
        <v>118</v>
      </c>
      <c r="C39" s="12">
        <v>9020</v>
      </c>
      <c r="D39" s="13">
        <v>32731</v>
      </c>
      <c r="E39" s="13">
        <v>45535</v>
      </c>
      <c r="F39" s="14">
        <v>461745.26</v>
      </c>
      <c r="G39" s="12"/>
      <c r="H39" s="12"/>
      <c r="I39" s="21">
        <v>6.25E-2</v>
      </c>
      <c r="J39" s="21">
        <v>6.25E-2</v>
      </c>
      <c r="K39" s="21">
        <v>6.25E-2</v>
      </c>
      <c r="L39" s="12"/>
      <c r="M39" s="12"/>
      <c r="N39" s="11" t="s">
        <v>118</v>
      </c>
      <c r="O39" s="22">
        <f t="shared" si="0"/>
        <v>28859.078750000001</v>
      </c>
    </row>
    <row r="40" spans="1:15" x14ac:dyDescent="0.3">
      <c r="A40" s="11" t="s">
        <v>59</v>
      </c>
      <c r="B40" s="11" t="s">
        <v>118</v>
      </c>
      <c r="C40" s="12">
        <v>9021</v>
      </c>
      <c r="D40" s="13">
        <v>33501</v>
      </c>
      <c r="E40" s="13">
        <v>46356</v>
      </c>
      <c r="F40" s="14">
        <v>530424.96</v>
      </c>
      <c r="G40" s="12"/>
      <c r="H40" s="12"/>
      <c r="I40" s="21">
        <v>6.25E-2</v>
      </c>
      <c r="J40" s="21">
        <v>6.25E-2</v>
      </c>
      <c r="K40" s="21">
        <v>6.25E-2</v>
      </c>
      <c r="L40" s="12"/>
      <c r="M40" s="12"/>
      <c r="N40" s="11" t="s">
        <v>118</v>
      </c>
      <c r="O40" s="22">
        <f t="shared" si="0"/>
        <v>33151.56</v>
      </c>
    </row>
    <row r="41" spans="1:15" x14ac:dyDescent="0.3">
      <c r="A41" s="11" t="s">
        <v>60</v>
      </c>
      <c r="B41" s="11" t="s">
        <v>118</v>
      </c>
      <c r="C41" s="12">
        <v>9022</v>
      </c>
      <c r="D41" s="13">
        <v>34165</v>
      </c>
      <c r="E41" s="13">
        <v>46904</v>
      </c>
      <c r="F41" s="14">
        <v>954129.07</v>
      </c>
      <c r="G41" s="12"/>
      <c r="H41" s="12"/>
      <c r="I41" s="21">
        <v>6.6500000000000004E-2</v>
      </c>
      <c r="J41" s="21">
        <v>6.6500000000000004E-2</v>
      </c>
      <c r="K41" s="21">
        <v>6.6500000000000004E-2</v>
      </c>
      <c r="L41" s="12"/>
      <c r="M41" s="12"/>
      <c r="N41" s="11" t="s">
        <v>118</v>
      </c>
      <c r="O41" s="22">
        <f t="shared" si="0"/>
        <v>63449.583155</v>
      </c>
    </row>
    <row r="42" spans="1:15" x14ac:dyDescent="0.3">
      <c r="A42" s="11" t="s">
        <v>61</v>
      </c>
      <c r="B42" s="11" t="s">
        <v>118</v>
      </c>
      <c r="C42" s="12">
        <v>9023</v>
      </c>
      <c r="D42" s="13">
        <v>36171</v>
      </c>
      <c r="E42" s="13">
        <v>48365</v>
      </c>
      <c r="F42" s="14">
        <v>2112502.31</v>
      </c>
      <c r="G42" s="12"/>
      <c r="H42" s="12"/>
      <c r="I42" s="21">
        <v>6.7000000000000004E-2</v>
      </c>
      <c r="J42" s="21">
        <v>6.7000000000000004E-2</v>
      </c>
      <c r="K42" s="21">
        <v>6.7000000000000004E-2</v>
      </c>
      <c r="L42" s="12"/>
      <c r="M42" s="12"/>
      <c r="N42" s="11" t="s">
        <v>118</v>
      </c>
      <c r="O42" s="22">
        <f t="shared" si="0"/>
        <v>141537.65477000002</v>
      </c>
    </row>
    <row r="43" spans="1:15" x14ac:dyDescent="0.3">
      <c r="A43" s="11" t="s">
        <v>62</v>
      </c>
      <c r="B43" s="11" t="s">
        <v>118</v>
      </c>
      <c r="C43" s="12">
        <v>9027010</v>
      </c>
      <c r="D43" s="13">
        <v>40451</v>
      </c>
      <c r="E43" s="13">
        <v>44074</v>
      </c>
      <c r="F43" s="14">
        <v>0</v>
      </c>
      <c r="G43" s="12"/>
      <c r="H43" s="12"/>
      <c r="I43" s="21">
        <v>4.2500000000000003E-2</v>
      </c>
      <c r="J43" s="21">
        <v>4.2500000000000003E-2</v>
      </c>
      <c r="K43" s="21">
        <v>4.2500000000000003E-2</v>
      </c>
      <c r="L43" s="12"/>
      <c r="M43" s="12"/>
      <c r="N43" s="11" t="s">
        <v>118</v>
      </c>
      <c r="O43" s="22">
        <f t="shared" si="0"/>
        <v>0</v>
      </c>
    </row>
    <row r="44" spans="1:15" x14ac:dyDescent="0.3">
      <c r="A44" s="11" t="s">
        <v>63</v>
      </c>
      <c r="B44" s="11" t="s">
        <v>118</v>
      </c>
      <c r="C44" s="12">
        <v>9027011</v>
      </c>
      <c r="D44" s="13">
        <v>40451</v>
      </c>
      <c r="E44" s="13">
        <v>44439</v>
      </c>
      <c r="F44" s="14">
        <v>443178.42</v>
      </c>
      <c r="G44" s="12"/>
      <c r="H44" s="12"/>
      <c r="I44" s="21">
        <v>4.3499999999999997E-2</v>
      </c>
      <c r="J44" s="21">
        <v>4.3499999999999997E-2</v>
      </c>
      <c r="K44" s="21">
        <v>4.3499999999999997E-2</v>
      </c>
      <c r="L44" s="12"/>
      <c r="M44" s="12"/>
      <c r="N44" s="11" t="s">
        <v>118</v>
      </c>
      <c r="O44" s="22">
        <f t="shared" si="0"/>
        <v>19278.261269999999</v>
      </c>
    </row>
    <row r="45" spans="1:15" x14ac:dyDescent="0.3">
      <c r="A45" s="11" t="s">
        <v>104</v>
      </c>
      <c r="B45" s="11" t="s">
        <v>118</v>
      </c>
      <c r="C45" s="12">
        <v>9027012</v>
      </c>
      <c r="D45" s="13">
        <v>40451</v>
      </c>
      <c r="E45" s="13">
        <v>44804</v>
      </c>
      <c r="F45" s="14">
        <v>424043.34</v>
      </c>
      <c r="G45" s="12"/>
      <c r="H45" s="12"/>
      <c r="I45" s="21">
        <v>4.3999999999999997E-2</v>
      </c>
      <c r="J45" s="21">
        <v>4.3999999999999997E-2</v>
      </c>
      <c r="K45" s="21">
        <v>4.3999999999999997E-2</v>
      </c>
      <c r="L45" s="12"/>
      <c r="M45" s="12"/>
      <c r="N45" s="11" t="s">
        <v>118</v>
      </c>
      <c r="O45" s="22">
        <f t="shared" si="0"/>
        <v>18657.90696</v>
      </c>
    </row>
    <row r="46" spans="1:15" x14ac:dyDescent="0.3">
      <c r="A46" s="11" t="s">
        <v>64</v>
      </c>
      <c r="B46" s="11" t="s">
        <v>118</v>
      </c>
      <c r="C46" s="12">
        <v>9027013</v>
      </c>
      <c r="D46" s="13">
        <v>40451</v>
      </c>
      <c r="E46" s="13">
        <v>45169</v>
      </c>
      <c r="F46" s="14">
        <v>425365.7</v>
      </c>
      <c r="G46" s="12"/>
      <c r="H46" s="12"/>
      <c r="I46" s="21">
        <v>4.4999999999999998E-2</v>
      </c>
      <c r="J46" s="21">
        <v>4.4999999999999998E-2</v>
      </c>
      <c r="K46" s="21">
        <v>4.4999999999999998E-2</v>
      </c>
      <c r="L46" s="12"/>
      <c r="M46" s="12"/>
      <c r="N46" s="11" t="s">
        <v>118</v>
      </c>
      <c r="O46" s="22">
        <f t="shared" si="0"/>
        <v>19141.4565</v>
      </c>
    </row>
    <row r="47" spans="1:15" x14ac:dyDescent="0.3">
      <c r="A47" s="11" t="s">
        <v>65</v>
      </c>
      <c r="B47" s="11" t="s">
        <v>118</v>
      </c>
      <c r="C47" s="12">
        <v>9027014</v>
      </c>
      <c r="D47" s="13">
        <v>40451</v>
      </c>
      <c r="E47" s="13">
        <v>45535</v>
      </c>
      <c r="F47" s="14">
        <v>274832.42</v>
      </c>
      <c r="G47" s="12"/>
      <c r="H47" s="12"/>
      <c r="I47" s="21">
        <v>4.5499999999999999E-2</v>
      </c>
      <c r="J47" s="21">
        <v>4.5499999999999999E-2</v>
      </c>
      <c r="K47" s="21">
        <v>4.5499999999999999E-2</v>
      </c>
      <c r="L47" s="12"/>
      <c r="M47" s="12"/>
      <c r="N47" s="11" t="s">
        <v>118</v>
      </c>
      <c r="O47" s="22">
        <f t="shared" si="0"/>
        <v>12504.875109999999</v>
      </c>
    </row>
    <row r="48" spans="1:15" x14ac:dyDescent="0.3">
      <c r="A48" s="11" t="s">
        <v>66</v>
      </c>
      <c r="B48" s="11" t="s">
        <v>117</v>
      </c>
      <c r="C48" s="12" t="s">
        <v>70</v>
      </c>
      <c r="D48" s="13">
        <v>39447</v>
      </c>
      <c r="E48" s="13">
        <v>50405</v>
      </c>
      <c r="F48" s="14">
        <v>2493333.42</v>
      </c>
      <c r="G48" s="12"/>
      <c r="H48" s="12"/>
      <c r="I48" s="21">
        <v>4.7500000000000001E-2</v>
      </c>
      <c r="J48" s="21">
        <v>4.7500000000000001E-2</v>
      </c>
      <c r="K48" s="21">
        <v>4.7500000000000001E-2</v>
      </c>
      <c r="L48" s="12"/>
      <c r="M48" s="12"/>
      <c r="N48" s="11" t="s">
        <v>117</v>
      </c>
      <c r="O48" s="22">
        <f t="shared" si="0"/>
        <v>118433.33744999999</v>
      </c>
    </row>
    <row r="49" spans="1:15" x14ac:dyDescent="0.3">
      <c r="A49" s="11" t="s">
        <v>105</v>
      </c>
      <c r="B49" s="11" t="s">
        <v>119</v>
      </c>
      <c r="C49" s="12" t="s">
        <v>98</v>
      </c>
      <c r="D49" s="13">
        <v>40556</v>
      </c>
      <c r="E49" s="13">
        <v>44197</v>
      </c>
      <c r="F49" s="14">
        <v>2418</v>
      </c>
      <c r="G49" s="12"/>
      <c r="H49" s="12"/>
      <c r="I49" s="21">
        <v>0</v>
      </c>
      <c r="J49" s="21">
        <v>0</v>
      </c>
      <c r="K49" s="21">
        <v>0</v>
      </c>
      <c r="L49" s="12"/>
      <c r="M49" s="12"/>
      <c r="N49" s="11" t="s">
        <v>119</v>
      </c>
      <c r="O49" s="22">
        <f t="shared" si="0"/>
        <v>0</v>
      </c>
    </row>
    <row r="50" spans="1:15" x14ac:dyDescent="0.3">
      <c r="A50" s="11" t="s">
        <v>68</v>
      </c>
      <c r="B50" s="11" t="s">
        <v>119</v>
      </c>
      <c r="C50" s="12" t="s">
        <v>99</v>
      </c>
      <c r="D50" s="13">
        <v>42628</v>
      </c>
      <c r="E50" s="13">
        <v>46266</v>
      </c>
      <c r="F50" s="14">
        <v>575000.17000000004</v>
      </c>
      <c r="G50" s="12"/>
      <c r="H50" s="12"/>
      <c r="I50" s="21">
        <v>0</v>
      </c>
      <c r="J50" s="21">
        <v>0</v>
      </c>
      <c r="K50" s="21">
        <v>0</v>
      </c>
      <c r="L50" s="12"/>
      <c r="M50" s="12"/>
      <c r="N50" s="11" t="s">
        <v>119</v>
      </c>
      <c r="O50" s="22">
        <f t="shared" si="0"/>
        <v>0</v>
      </c>
    </row>
    <row r="51" spans="1:15" x14ac:dyDescent="0.3">
      <c r="A51" s="11" t="s">
        <v>106</v>
      </c>
      <c r="B51" s="11" t="s">
        <v>119</v>
      </c>
      <c r="C51" s="12" t="s">
        <v>100</v>
      </c>
      <c r="D51" s="13">
        <v>43213</v>
      </c>
      <c r="E51" s="13">
        <v>46813</v>
      </c>
      <c r="F51" s="14">
        <v>906249.97</v>
      </c>
      <c r="G51" s="12"/>
      <c r="H51" s="12"/>
      <c r="I51" s="21">
        <v>0</v>
      </c>
      <c r="J51" s="21">
        <v>0</v>
      </c>
      <c r="K51" s="21">
        <v>0</v>
      </c>
      <c r="L51" s="12"/>
      <c r="M51" s="12"/>
      <c r="N51" s="11" t="s">
        <v>119</v>
      </c>
      <c r="O51" s="22">
        <f t="shared" si="0"/>
        <v>0</v>
      </c>
    </row>
    <row r="52" spans="1:15" x14ac:dyDescent="0.3">
      <c r="A52" s="11" t="s">
        <v>107</v>
      </c>
      <c r="B52" s="11" t="s">
        <v>119</v>
      </c>
      <c r="C52" s="12" t="s">
        <v>101</v>
      </c>
      <c r="D52" s="13">
        <v>43439</v>
      </c>
      <c r="E52" s="13">
        <v>47058</v>
      </c>
      <c r="F52" s="14">
        <v>659722.28</v>
      </c>
      <c r="G52" s="12"/>
      <c r="H52" s="12"/>
      <c r="I52" s="21">
        <v>0</v>
      </c>
      <c r="J52" s="21">
        <v>0</v>
      </c>
      <c r="K52" s="21">
        <v>0</v>
      </c>
      <c r="L52" s="12"/>
      <c r="M52" s="12"/>
      <c r="N52" s="11" t="s">
        <v>119</v>
      </c>
      <c r="O52" s="22">
        <f t="shared" si="0"/>
        <v>0</v>
      </c>
    </row>
    <row r="53" spans="1:15" ht="15" thickBot="1" x14ac:dyDescent="0.35">
      <c r="A53" s="9"/>
      <c r="B53" s="9"/>
      <c r="C53" s="16"/>
      <c r="D53" s="16"/>
      <c r="E53" s="17" t="s">
        <v>102</v>
      </c>
      <c r="F53" s="19">
        <f>SUM(F10:F52)</f>
        <v>173715916.64999995</v>
      </c>
      <c r="G53" s="16"/>
      <c r="H53" s="16"/>
      <c r="I53" s="16"/>
      <c r="J53" s="16"/>
      <c r="K53" s="16"/>
      <c r="L53" s="16"/>
      <c r="M53" s="16"/>
      <c r="N53" s="16"/>
      <c r="O53" s="20">
        <f>SUM(O10:O52)</f>
        <v>5187600.3088029996</v>
      </c>
    </row>
    <row r="54" spans="1:15" ht="15" thickTop="1" x14ac:dyDescent="0.3">
      <c r="A54" s="9"/>
      <c r="B54" s="9"/>
      <c r="F54" s="10"/>
    </row>
    <row r="55" spans="1:15" x14ac:dyDescent="0.3">
      <c r="A55" s="27" t="s">
        <v>123</v>
      </c>
      <c r="B55" s="9"/>
      <c r="F55" s="31" t="s">
        <v>103</v>
      </c>
      <c r="G55" s="31"/>
      <c r="H55" s="31"/>
      <c r="I55" s="31"/>
      <c r="J55" s="31"/>
      <c r="K55" s="31"/>
      <c r="O55" s="15">
        <f>O53/F53</f>
        <v>2.9862550357172474E-2</v>
      </c>
    </row>
    <row r="56" spans="1:15" x14ac:dyDescent="0.3">
      <c r="A56" s="9"/>
      <c r="B56" s="9"/>
      <c r="F56" s="10"/>
    </row>
    <row r="57" spans="1:15" x14ac:dyDescent="0.3">
      <c r="A57" s="9"/>
      <c r="B57" s="9"/>
      <c r="F57" s="10"/>
      <c r="K57" s="26" t="s">
        <v>110</v>
      </c>
    </row>
    <row r="58" spans="1:15" x14ac:dyDescent="0.3">
      <c r="A58" s="9"/>
      <c r="B58" s="9"/>
      <c r="F58" s="10"/>
    </row>
    <row r="59" spans="1:15" x14ac:dyDescent="0.3">
      <c r="A59" s="9"/>
      <c r="B59" s="9"/>
      <c r="F59" s="10"/>
    </row>
    <row r="60" spans="1:15" x14ac:dyDescent="0.3">
      <c r="A60" s="9"/>
      <c r="B60" s="9"/>
      <c r="F60" s="10"/>
    </row>
    <row r="61" spans="1:15" x14ac:dyDescent="0.3">
      <c r="A61" s="9"/>
      <c r="B61" s="9"/>
      <c r="F61" s="10"/>
    </row>
    <row r="62" spans="1:15" x14ac:dyDescent="0.3">
      <c r="A62" s="9"/>
      <c r="B62" s="9"/>
      <c r="F62" s="10"/>
    </row>
    <row r="63" spans="1:15" x14ac:dyDescent="0.3">
      <c r="A63" s="9"/>
      <c r="B63" s="9"/>
      <c r="F63" s="10"/>
    </row>
    <row r="64" spans="1:15" x14ac:dyDescent="0.3">
      <c r="A64" s="9"/>
      <c r="B64" s="9"/>
      <c r="F64" s="10"/>
    </row>
    <row r="65" spans="1:6" x14ac:dyDescent="0.3">
      <c r="A65" s="9"/>
      <c r="B65" s="9"/>
      <c r="F65" s="10"/>
    </row>
    <row r="66" spans="1:6" x14ac:dyDescent="0.3">
      <c r="A66" s="9"/>
      <c r="B66" s="9"/>
      <c r="F66" s="10"/>
    </row>
    <row r="67" spans="1:6" x14ac:dyDescent="0.3">
      <c r="A67" s="9"/>
      <c r="B67" s="9"/>
      <c r="F67" s="10"/>
    </row>
    <row r="68" spans="1:6" x14ac:dyDescent="0.3">
      <c r="A68" s="9"/>
      <c r="B68" s="9"/>
      <c r="F68" s="10"/>
    </row>
    <row r="69" spans="1:6" x14ac:dyDescent="0.3">
      <c r="A69" s="9"/>
      <c r="B69" s="9"/>
      <c r="F69" s="10"/>
    </row>
    <row r="70" spans="1:6" x14ac:dyDescent="0.3">
      <c r="A70" s="9"/>
      <c r="B70" s="9"/>
      <c r="F70" s="10"/>
    </row>
    <row r="71" spans="1:6" x14ac:dyDescent="0.3">
      <c r="A71" s="9"/>
      <c r="B71" s="9"/>
      <c r="F71" s="10"/>
    </row>
    <row r="72" spans="1:6" x14ac:dyDescent="0.3">
      <c r="A72" s="9"/>
      <c r="B72" s="9"/>
      <c r="F72" s="10"/>
    </row>
    <row r="73" spans="1:6" x14ac:dyDescent="0.3">
      <c r="A73" s="9"/>
      <c r="B73" s="9"/>
      <c r="F73" s="10"/>
    </row>
    <row r="74" spans="1:6" x14ac:dyDescent="0.3">
      <c r="A74" s="9"/>
      <c r="B74" s="9"/>
      <c r="F74" s="10"/>
    </row>
    <row r="75" spans="1:6" x14ac:dyDescent="0.3">
      <c r="A75" s="9"/>
      <c r="B75" s="9"/>
      <c r="F75" s="10"/>
    </row>
    <row r="76" spans="1:6" x14ac:dyDescent="0.3">
      <c r="A76" s="9"/>
      <c r="B76" s="9"/>
      <c r="F76" s="10"/>
    </row>
    <row r="77" spans="1:6" x14ac:dyDescent="0.3">
      <c r="A77" s="9"/>
      <c r="B77" s="9"/>
      <c r="F77" s="10"/>
    </row>
    <row r="78" spans="1:6" x14ac:dyDescent="0.3">
      <c r="A78" s="9"/>
      <c r="B78" s="9"/>
      <c r="F78" s="10"/>
    </row>
    <row r="79" spans="1:6" x14ac:dyDescent="0.3">
      <c r="A79" s="9"/>
      <c r="B79" s="9"/>
      <c r="F79" s="10"/>
    </row>
    <row r="80" spans="1:6" x14ac:dyDescent="0.3">
      <c r="A80" s="9"/>
      <c r="B80" s="9"/>
      <c r="F80" s="10"/>
    </row>
    <row r="81" spans="1:6" x14ac:dyDescent="0.3">
      <c r="A81" s="9"/>
      <c r="B81" s="9"/>
      <c r="F81" s="10"/>
    </row>
    <row r="82" spans="1:6" x14ac:dyDescent="0.3">
      <c r="A82" s="9"/>
      <c r="B82" s="9"/>
      <c r="F82" s="10"/>
    </row>
    <row r="83" spans="1:6" x14ac:dyDescent="0.3">
      <c r="A83" s="9"/>
      <c r="B83" s="9"/>
      <c r="F83" s="10"/>
    </row>
    <row r="84" spans="1:6" x14ac:dyDescent="0.3">
      <c r="A84" s="9"/>
      <c r="B84" s="9"/>
      <c r="F84" s="10"/>
    </row>
    <row r="85" spans="1:6" x14ac:dyDescent="0.3">
      <c r="A85" s="9"/>
      <c r="B85" s="9"/>
      <c r="F85" s="10"/>
    </row>
    <row r="86" spans="1:6" x14ac:dyDescent="0.3">
      <c r="A86" s="9"/>
      <c r="B86" s="9"/>
      <c r="F86" s="10"/>
    </row>
    <row r="87" spans="1:6" x14ac:dyDescent="0.3">
      <c r="A87" s="9"/>
      <c r="B87" s="9"/>
      <c r="F87" s="10"/>
    </row>
    <row r="88" spans="1:6" x14ac:dyDescent="0.3">
      <c r="A88" s="9"/>
      <c r="B88" s="9"/>
      <c r="F88" s="10"/>
    </row>
    <row r="89" spans="1:6" x14ac:dyDescent="0.3">
      <c r="A89" s="9"/>
      <c r="B89" s="9"/>
      <c r="F89" s="10"/>
    </row>
    <row r="90" spans="1:6" x14ac:dyDescent="0.3">
      <c r="A90" s="9"/>
      <c r="B90" s="9"/>
      <c r="F90" s="10"/>
    </row>
    <row r="91" spans="1:6" x14ac:dyDescent="0.3">
      <c r="A91" s="9"/>
      <c r="B91" s="9"/>
      <c r="F91" s="10"/>
    </row>
    <row r="92" spans="1:6" x14ac:dyDescent="0.3">
      <c r="A92" s="9"/>
      <c r="B92" s="9"/>
      <c r="F92" s="10"/>
    </row>
    <row r="93" spans="1:6" x14ac:dyDescent="0.3">
      <c r="A93" s="9"/>
      <c r="B93" s="9"/>
      <c r="F93" s="10"/>
    </row>
    <row r="94" spans="1:6" x14ac:dyDescent="0.3">
      <c r="A94" s="9"/>
      <c r="B94" s="9"/>
      <c r="F94" s="10"/>
    </row>
    <row r="95" spans="1:6" x14ac:dyDescent="0.3">
      <c r="A95" s="9"/>
      <c r="B95" s="9"/>
      <c r="F95" s="10"/>
    </row>
    <row r="96" spans="1:6" x14ac:dyDescent="0.3">
      <c r="A96" s="9"/>
      <c r="B96" s="9"/>
      <c r="F96" s="10"/>
    </row>
    <row r="97" spans="1:6" x14ac:dyDescent="0.3">
      <c r="A97" s="9"/>
      <c r="B97" s="9"/>
      <c r="F97" s="10"/>
    </row>
    <row r="98" spans="1:6" x14ac:dyDescent="0.3">
      <c r="A98" s="9"/>
      <c r="B98" s="9"/>
      <c r="F98" s="10"/>
    </row>
    <row r="99" spans="1:6" x14ac:dyDescent="0.3">
      <c r="A99" s="9"/>
      <c r="B99" s="9"/>
      <c r="F99" s="10"/>
    </row>
    <row r="100" spans="1:6" x14ac:dyDescent="0.3">
      <c r="A100" s="9"/>
      <c r="B100" s="9"/>
      <c r="F100" s="10"/>
    </row>
    <row r="101" spans="1:6" x14ac:dyDescent="0.3">
      <c r="A101" s="9"/>
      <c r="B101" s="9"/>
      <c r="F101" s="10"/>
    </row>
    <row r="102" spans="1:6" x14ac:dyDescent="0.3">
      <c r="A102" s="9"/>
      <c r="B102" s="9"/>
      <c r="F102" s="10"/>
    </row>
    <row r="103" spans="1:6" x14ac:dyDescent="0.3">
      <c r="A103" s="9"/>
      <c r="B103" s="9"/>
      <c r="F103" s="10"/>
    </row>
    <row r="104" spans="1:6" x14ac:dyDescent="0.3">
      <c r="A104" s="9"/>
      <c r="B104" s="9"/>
      <c r="F104" s="10"/>
    </row>
    <row r="105" spans="1:6" x14ac:dyDescent="0.3">
      <c r="A105" s="9"/>
      <c r="B105" s="9"/>
      <c r="F105" s="10"/>
    </row>
    <row r="106" spans="1:6" x14ac:dyDescent="0.3">
      <c r="A106" s="9"/>
      <c r="B106" s="9"/>
      <c r="F106" s="10"/>
    </row>
    <row r="107" spans="1:6" x14ac:dyDescent="0.3">
      <c r="A107" s="9"/>
      <c r="B107" s="9"/>
      <c r="F107" s="10"/>
    </row>
    <row r="108" spans="1:6" x14ac:dyDescent="0.3">
      <c r="A108" s="9"/>
      <c r="B108" s="9"/>
      <c r="F108" s="10"/>
    </row>
    <row r="109" spans="1:6" x14ac:dyDescent="0.3">
      <c r="A109" s="9"/>
      <c r="B109" s="9"/>
      <c r="F109" s="10"/>
    </row>
    <row r="110" spans="1:6" x14ac:dyDescent="0.3">
      <c r="A110" s="9"/>
      <c r="B110" s="9"/>
      <c r="F110" s="10"/>
    </row>
    <row r="111" spans="1:6" x14ac:dyDescent="0.3">
      <c r="A111" s="9"/>
      <c r="B111" s="9"/>
      <c r="F111" s="10"/>
    </row>
    <row r="112" spans="1:6" x14ac:dyDescent="0.3">
      <c r="A112" s="9"/>
      <c r="B112" s="9"/>
      <c r="F112" s="10"/>
    </row>
    <row r="113" spans="1:6" x14ac:dyDescent="0.3">
      <c r="A113" s="9"/>
      <c r="B113" s="9"/>
      <c r="F113" s="10"/>
    </row>
    <row r="114" spans="1:6" x14ac:dyDescent="0.3">
      <c r="A114" s="9"/>
      <c r="B114" s="9"/>
      <c r="F114" s="10"/>
    </row>
    <row r="115" spans="1:6" x14ac:dyDescent="0.3">
      <c r="A115" s="9"/>
      <c r="B115" s="9"/>
      <c r="F115" s="10"/>
    </row>
    <row r="116" spans="1:6" x14ac:dyDescent="0.3">
      <c r="A116" s="9"/>
      <c r="B116" s="9"/>
      <c r="F116" s="10"/>
    </row>
    <row r="117" spans="1:6" x14ac:dyDescent="0.3">
      <c r="A117" s="9"/>
      <c r="B117" s="9"/>
      <c r="F117" s="10"/>
    </row>
    <row r="118" spans="1:6" x14ac:dyDescent="0.3">
      <c r="A118" s="9"/>
      <c r="B118" s="9"/>
      <c r="F118" s="10"/>
    </row>
    <row r="119" spans="1:6" x14ac:dyDescent="0.3">
      <c r="A119" s="9"/>
      <c r="B119" s="9"/>
      <c r="F119" s="10"/>
    </row>
    <row r="120" spans="1:6" x14ac:dyDescent="0.3">
      <c r="A120" s="9"/>
      <c r="B120" s="9"/>
      <c r="F120" s="10"/>
    </row>
    <row r="121" spans="1:6" x14ac:dyDescent="0.3">
      <c r="A121" s="9"/>
      <c r="B121" s="9"/>
      <c r="F121" s="10"/>
    </row>
    <row r="122" spans="1:6" x14ac:dyDescent="0.3">
      <c r="A122" s="9"/>
      <c r="B122" s="9"/>
      <c r="F122" s="10"/>
    </row>
    <row r="123" spans="1:6" x14ac:dyDescent="0.3">
      <c r="A123" s="9"/>
      <c r="B123" s="9"/>
      <c r="F123" s="10"/>
    </row>
    <row r="124" spans="1:6" x14ac:dyDescent="0.3">
      <c r="A124" s="9"/>
      <c r="B124" s="9"/>
      <c r="F124" s="10"/>
    </row>
    <row r="125" spans="1:6" x14ac:dyDescent="0.3">
      <c r="A125" s="9"/>
      <c r="B125" s="9"/>
      <c r="F125" s="10"/>
    </row>
    <row r="126" spans="1:6" x14ac:dyDescent="0.3">
      <c r="A126" s="9"/>
      <c r="B126" s="9"/>
      <c r="F126" s="10"/>
    </row>
    <row r="127" spans="1:6" x14ac:dyDescent="0.3">
      <c r="A127" s="9"/>
      <c r="B127" s="9"/>
      <c r="F127" s="10"/>
    </row>
    <row r="128" spans="1:6" x14ac:dyDescent="0.3">
      <c r="A128" s="9"/>
      <c r="B128" s="9"/>
      <c r="F128" s="10"/>
    </row>
    <row r="129" spans="1:6" x14ac:dyDescent="0.3">
      <c r="A129" s="9"/>
      <c r="B129" s="9"/>
      <c r="F129" s="10"/>
    </row>
    <row r="130" spans="1:6" x14ac:dyDescent="0.3">
      <c r="A130" s="9"/>
      <c r="B130" s="9"/>
      <c r="F130" s="10"/>
    </row>
    <row r="131" spans="1:6" x14ac:dyDescent="0.3">
      <c r="A131" s="9"/>
      <c r="B131" s="9"/>
      <c r="F131" s="10"/>
    </row>
    <row r="132" spans="1:6" x14ac:dyDescent="0.3">
      <c r="A132" s="9"/>
      <c r="B132" s="9"/>
      <c r="F132" s="10"/>
    </row>
    <row r="133" spans="1:6" x14ac:dyDescent="0.3">
      <c r="A133" s="9"/>
      <c r="B133" s="9"/>
      <c r="F133" s="10"/>
    </row>
    <row r="134" spans="1:6" x14ac:dyDescent="0.3">
      <c r="A134" s="9"/>
      <c r="B134" s="9"/>
      <c r="F134" s="10"/>
    </row>
    <row r="135" spans="1:6" x14ac:dyDescent="0.3">
      <c r="A135" s="9"/>
      <c r="B135" s="9"/>
      <c r="F135" s="10"/>
    </row>
    <row r="136" spans="1:6" x14ac:dyDescent="0.3">
      <c r="A136" s="9"/>
      <c r="B136" s="9"/>
      <c r="F136" s="10"/>
    </row>
    <row r="137" spans="1:6" x14ac:dyDescent="0.3">
      <c r="A137" s="9"/>
      <c r="B137" s="9"/>
      <c r="F137" s="10"/>
    </row>
    <row r="138" spans="1:6" x14ac:dyDescent="0.3">
      <c r="A138" s="9"/>
      <c r="B138" s="9"/>
      <c r="F138" s="10"/>
    </row>
    <row r="139" spans="1:6" x14ac:dyDescent="0.3">
      <c r="A139" s="9"/>
      <c r="B139" s="9"/>
      <c r="F139" s="10"/>
    </row>
    <row r="140" spans="1:6" x14ac:dyDescent="0.3">
      <c r="A140" s="9"/>
      <c r="B140" s="9"/>
      <c r="F140" s="10"/>
    </row>
    <row r="141" spans="1:6" x14ac:dyDescent="0.3">
      <c r="A141" s="9"/>
      <c r="B141" s="9"/>
      <c r="F141" s="10"/>
    </row>
    <row r="142" spans="1:6" x14ac:dyDescent="0.3">
      <c r="A142" s="9"/>
      <c r="B142" s="9"/>
      <c r="F142" s="10"/>
    </row>
    <row r="143" spans="1:6" x14ac:dyDescent="0.3">
      <c r="A143" s="9"/>
      <c r="B143" s="9"/>
      <c r="F143" s="10"/>
    </row>
    <row r="144" spans="1:6" x14ac:dyDescent="0.3">
      <c r="A144" s="9"/>
      <c r="B144" s="9"/>
      <c r="F144" s="10"/>
    </row>
    <row r="145" spans="1:6" x14ac:dyDescent="0.3">
      <c r="A145" s="8"/>
      <c r="B145" s="8"/>
      <c r="F145" s="10"/>
    </row>
    <row r="146" spans="1:6" x14ac:dyDescent="0.3">
      <c r="A146" s="8"/>
      <c r="B146" s="8"/>
      <c r="F146" s="10"/>
    </row>
    <row r="147" spans="1:6" x14ac:dyDescent="0.3">
      <c r="A147" s="8"/>
      <c r="B147" s="8"/>
      <c r="F147" s="10"/>
    </row>
    <row r="148" spans="1:6" x14ac:dyDescent="0.3">
      <c r="A148" s="7"/>
      <c r="B148" s="7"/>
    </row>
  </sheetData>
  <mergeCells count="11">
    <mergeCell ref="F55:K55"/>
    <mergeCell ref="A6:O6"/>
    <mergeCell ref="A7:O7"/>
    <mergeCell ref="A8:A9"/>
    <mergeCell ref="A1:O1"/>
    <mergeCell ref="A2:O2"/>
    <mergeCell ref="A3:O3"/>
    <mergeCell ref="A4:O4"/>
    <mergeCell ref="A5:O5"/>
    <mergeCell ref="B8:C8"/>
    <mergeCell ref="B9:C9"/>
  </mergeCells>
  <pageMargins left="0.7" right="0.7" top="0.75" bottom="0.75" header="0.3" footer="0.3"/>
  <pageSetup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zoomScaleNormal="100" workbookViewId="0">
      <selection activeCell="P10" sqref="P10"/>
    </sheetView>
  </sheetViews>
  <sheetFormatPr defaultRowHeight="14.4" x14ac:dyDescent="0.3"/>
  <cols>
    <col min="1" max="1" width="8.33203125" bestFit="1" customWidth="1"/>
    <col min="2" max="2" width="29.109375" bestFit="1" customWidth="1"/>
    <col min="3" max="3" width="9.6640625" bestFit="1" customWidth="1"/>
    <col min="4" max="5" width="10.6640625" bestFit="1" customWidth="1"/>
    <col min="6" max="6" width="15.33203125" bestFit="1" customWidth="1"/>
    <col min="7" max="7" width="8" customWidth="1"/>
    <col min="8" max="8" width="7.109375" customWidth="1"/>
    <col min="9" max="9" width="8.5546875" bestFit="1" customWidth="1"/>
    <col min="10" max="10" width="8.6640625" hidden="1" customWidth="1"/>
    <col min="11" max="11" width="29.109375" bestFit="1" customWidth="1"/>
    <col min="12" max="13" width="13.33203125" bestFit="1" customWidth="1"/>
  </cols>
  <sheetData>
    <row r="1" spans="1:13" x14ac:dyDescent="0.3">
      <c r="A1" s="40" t="s">
        <v>21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x14ac:dyDescent="0.3">
      <c r="A2" s="32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</row>
    <row r="3" spans="1:13" x14ac:dyDescent="0.3">
      <c r="A3" s="32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</row>
    <row r="4" spans="1:13" x14ac:dyDescent="0.3">
      <c r="A4" s="43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5"/>
    </row>
    <row r="5" spans="1:13" x14ac:dyDescent="0.3">
      <c r="A5" s="32" t="s">
        <v>3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4"/>
    </row>
    <row r="6" spans="1:13" x14ac:dyDescent="0.3">
      <c r="A6" s="43" t="s">
        <v>78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5"/>
    </row>
    <row r="7" spans="1:13" x14ac:dyDescent="0.3">
      <c r="A7" s="53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5"/>
    </row>
    <row r="8" spans="1:13" ht="57.6" x14ac:dyDescent="0.3">
      <c r="A8" s="52" t="s">
        <v>4</v>
      </c>
      <c r="B8" s="49" t="s">
        <v>5</v>
      </c>
      <c r="C8" s="50"/>
      <c r="D8" s="4" t="s">
        <v>6</v>
      </c>
      <c r="E8" s="4" t="s">
        <v>7</v>
      </c>
      <c r="F8" s="4" t="s">
        <v>8</v>
      </c>
      <c r="G8" s="4" t="s">
        <v>24</v>
      </c>
      <c r="H8" s="4" t="s">
        <v>23</v>
      </c>
      <c r="I8" s="4" t="s">
        <v>25</v>
      </c>
      <c r="J8" s="4" t="s">
        <v>26</v>
      </c>
      <c r="K8" s="4" t="s">
        <v>9</v>
      </c>
      <c r="L8" s="4" t="s">
        <v>10</v>
      </c>
      <c r="M8" s="6" t="s">
        <v>27</v>
      </c>
    </row>
    <row r="9" spans="1:13" x14ac:dyDescent="0.3">
      <c r="A9" s="39"/>
      <c r="B9" s="53" t="s">
        <v>11</v>
      </c>
      <c r="C9" s="55"/>
      <c r="D9" s="3" t="s">
        <v>12</v>
      </c>
      <c r="E9" s="3" t="s">
        <v>13</v>
      </c>
      <c r="F9" s="3" t="s">
        <v>14</v>
      </c>
      <c r="G9" s="3" t="s">
        <v>15</v>
      </c>
      <c r="H9" s="3" t="s">
        <v>16</v>
      </c>
      <c r="I9" s="3" t="s">
        <v>17</v>
      </c>
      <c r="J9" s="3" t="s">
        <v>18</v>
      </c>
      <c r="K9" s="3" t="s">
        <v>19</v>
      </c>
      <c r="L9" s="3" t="s">
        <v>20</v>
      </c>
      <c r="M9" s="5" t="s">
        <v>28</v>
      </c>
    </row>
    <row r="10" spans="1:13" x14ac:dyDescent="0.3">
      <c r="A10" s="11" t="s">
        <v>29</v>
      </c>
      <c r="B10" s="11" t="s">
        <v>71</v>
      </c>
      <c r="C10" s="12" t="s">
        <v>71</v>
      </c>
      <c r="D10" s="13">
        <v>42486</v>
      </c>
      <c r="E10" s="13">
        <v>49084</v>
      </c>
      <c r="F10" s="14">
        <v>48765930.140000001</v>
      </c>
      <c r="G10" s="21">
        <v>3.5499999999999997E-2</v>
      </c>
      <c r="H10" s="21">
        <v>3.5499999999999997E-2</v>
      </c>
      <c r="I10" s="21">
        <v>3.5499999999999997E-2</v>
      </c>
      <c r="J10" s="16"/>
      <c r="K10" s="11" t="s">
        <v>71</v>
      </c>
      <c r="L10" s="22">
        <f>F10*I10</f>
        <v>1731190.5199699998</v>
      </c>
      <c r="M10" s="14">
        <v>1809332.01</v>
      </c>
    </row>
    <row r="11" spans="1:13" x14ac:dyDescent="0.3">
      <c r="A11" s="11" t="s">
        <v>30</v>
      </c>
      <c r="B11" s="11" t="s">
        <v>116</v>
      </c>
      <c r="C11" s="12" t="s">
        <v>72</v>
      </c>
      <c r="D11" s="13">
        <v>35735</v>
      </c>
      <c r="E11" s="13">
        <v>46721</v>
      </c>
      <c r="F11" s="14">
        <v>1788574.61</v>
      </c>
      <c r="G11" s="21">
        <v>0.01</v>
      </c>
      <c r="H11" s="21">
        <v>0.01</v>
      </c>
      <c r="I11" s="21">
        <v>0.01</v>
      </c>
      <c r="J11" s="16"/>
      <c r="K11" s="11" t="s">
        <v>116</v>
      </c>
      <c r="L11" s="22">
        <f t="shared" ref="L11:L54" si="0">F11*I11</f>
        <v>17885.7461</v>
      </c>
      <c r="M11" s="14">
        <f>2735.57+2635.42+2367.02+2689.5+2590.73+2575.87+2560.99+2381.83+1639.15+1543.75+1385.71+1573.64</f>
        <v>26679.18</v>
      </c>
    </row>
    <row r="12" spans="1:13" x14ac:dyDescent="0.3">
      <c r="A12" s="11" t="s">
        <v>31</v>
      </c>
      <c r="B12" s="11" t="s">
        <v>116</v>
      </c>
      <c r="C12" s="12" t="s">
        <v>73</v>
      </c>
      <c r="D12" s="13">
        <v>36312</v>
      </c>
      <c r="E12" s="13">
        <v>47299</v>
      </c>
      <c r="F12" s="14">
        <v>1783223.36</v>
      </c>
      <c r="G12" s="21">
        <v>1.6250000000000001E-2</v>
      </c>
      <c r="H12" s="21">
        <v>1.6250000000000001E-2</v>
      </c>
      <c r="I12" s="21">
        <v>1.6250000000000001E-2</v>
      </c>
      <c r="J12" s="16"/>
      <c r="K12" s="11" t="s">
        <v>116</v>
      </c>
      <c r="L12" s="22">
        <f t="shared" si="0"/>
        <v>28977.379600000004</v>
      </c>
      <c r="M12" s="14">
        <f>2306.21+2221.54+1995.08+2653.09+2580.43+2565.63+2550.81+2372.36+2602.2+2499.27+2243.97+2548.82</f>
        <v>29139.410000000003</v>
      </c>
    </row>
    <row r="13" spans="1:13" x14ac:dyDescent="0.3">
      <c r="A13" s="11" t="s">
        <v>32</v>
      </c>
      <c r="B13" s="11" t="s">
        <v>116</v>
      </c>
      <c r="C13" s="12" t="s">
        <v>74</v>
      </c>
      <c r="D13" s="13">
        <v>39903</v>
      </c>
      <c r="E13" s="13">
        <v>51866</v>
      </c>
      <c r="F13" s="14">
        <v>4244300.43</v>
      </c>
      <c r="G13" s="21">
        <v>3.4549999999999997E-2</v>
      </c>
      <c r="H13" s="21">
        <v>3.4549999999999997E-2</v>
      </c>
      <c r="I13" s="21">
        <v>3.4549999999999997E-2</v>
      </c>
      <c r="J13" s="16"/>
      <c r="K13" s="11" t="s">
        <v>116</v>
      </c>
      <c r="L13" s="22">
        <f t="shared" si="0"/>
        <v>146640.57985649997</v>
      </c>
      <c r="M13" s="14">
        <f>39034.1+38749.19+38884.48+38071.32</f>
        <v>154739.09000000003</v>
      </c>
    </row>
    <row r="14" spans="1:13" x14ac:dyDescent="0.3">
      <c r="A14" s="11" t="s">
        <v>33</v>
      </c>
      <c r="B14" s="11" t="s">
        <v>116</v>
      </c>
      <c r="C14" s="12" t="s">
        <v>75</v>
      </c>
      <c r="D14" s="13">
        <v>39871</v>
      </c>
      <c r="E14" s="13">
        <v>51866</v>
      </c>
      <c r="F14" s="14">
        <v>2619034.88</v>
      </c>
      <c r="G14" s="21">
        <v>3.6490000000000002E-2</v>
      </c>
      <c r="H14" s="21">
        <v>3.6490000000000002E-2</v>
      </c>
      <c r="I14" s="21">
        <v>3.6490000000000002E-2</v>
      </c>
      <c r="J14" s="16"/>
      <c r="K14" s="11" t="s">
        <v>116</v>
      </c>
      <c r="L14" s="22">
        <f t="shared" si="0"/>
        <v>95568.582771200003</v>
      </c>
      <c r="M14" s="14">
        <f>25373.98+25193.21+25285.64+24761.39</f>
        <v>100614.22</v>
      </c>
    </row>
    <row r="15" spans="1:13" x14ac:dyDescent="0.3">
      <c r="A15" s="11" t="s">
        <v>34</v>
      </c>
      <c r="B15" s="11" t="s">
        <v>116</v>
      </c>
      <c r="C15" s="12" t="s">
        <v>76</v>
      </c>
      <c r="D15" s="13">
        <v>39889</v>
      </c>
      <c r="E15" s="13">
        <v>52231</v>
      </c>
      <c r="F15" s="14">
        <v>13876245.48</v>
      </c>
      <c r="G15" s="21">
        <v>3.6990000000000002E-2</v>
      </c>
      <c r="H15" s="21">
        <v>3.6990000000000002E-2</v>
      </c>
      <c r="I15" s="21">
        <v>3.6990000000000002E-2</v>
      </c>
      <c r="J15" s="16"/>
      <c r="K15" s="11" t="s">
        <v>116</v>
      </c>
      <c r="L15" s="22">
        <f t="shared" si="0"/>
        <v>513282.32030520006</v>
      </c>
      <c r="M15" s="14">
        <f>135945.16+135042.22+135604.91+132860.85</f>
        <v>539453.14</v>
      </c>
    </row>
    <row r="16" spans="1:13" x14ac:dyDescent="0.3">
      <c r="A16" s="11" t="s">
        <v>35</v>
      </c>
      <c r="B16" s="11" t="s">
        <v>116</v>
      </c>
      <c r="C16" s="12" t="s">
        <v>77</v>
      </c>
      <c r="D16" s="13">
        <v>40421</v>
      </c>
      <c r="E16" s="13">
        <v>52231</v>
      </c>
      <c r="F16" s="14">
        <v>11069545.140000001</v>
      </c>
      <c r="G16" s="21">
        <v>3.2489999999999998E-2</v>
      </c>
      <c r="H16" s="21">
        <v>3.2489999999999998E-2</v>
      </c>
      <c r="I16" s="21">
        <v>3.2489999999999998E-2</v>
      </c>
      <c r="J16" s="16"/>
      <c r="K16" s="11" t="s">
        <v>116</v>
      </c>
      <c r="L16" s="22">
        <f t="shared" si="0"/>
        <v>359649.52159860003</v>
      </c>
      <c r="M16" s="14">
        <f>95843.34+95168.1+95525.72+93553.27</f>
        <v>380090.43000000005</v>
      </c>
    </row>
    <row r="17" spans="1:13" x14ac:dyDescent="0.3">
      <c r="A17" s="11" t="s">
        <v>36</v>
      </c>
      <c r="B17" s="11" t="s">
        <v>116</v>
      </c>
      <c r="C17" s="12" t="s">
        <v>79</v>
      </c>
      <c r="D17" s="13">
        <v>41292</v>
      </c>
      <c r="E17" s="13">
        <v>53329</v>
      </c>
      <c r="F17" s="14">
        <v>12709044.710000001</v>
      </c>
      <c r="G17" s="21">
        <v>2.657E-2</v>
      </c>
      <c r="H17" s="21">
        <v>2.657E-2</v>
      </c>
      <c r="I17" s="21">
        <v>2.657E-2</v>
      </c>
      <c r="J17" s="16"/>
      <c r="K17" s="11" t="s">
        <v>116</v>
      </c>
      <c r="L17" s="22">
        <f t="shared" si="0"/>
        <v>337679.31794470001</v>
      </c>
      <c r="M17" s="14">
        <f>90507.33+89922.41+90315.3+88504.94</f>
        <v>359249.98</v>
      </c>
    </row>
    <row r="18" spans="1:13" x14ac:dyDescent="0.3">
      <c r="A18" s="11" t="s">
        <v>37</v>
      </c>
      <c r="B18" s="11" t="s">
        <v>116</v>
      </c>
      <c r="C18" s="12" t="s">
        <v>80</v>
      </c>
      <c r="D18" s="13">
        <v>41613</v>
      </c>
      <c r="E18" s="13">
        <v>53329</v>
      </c>
      <c r="F18" s="14">
        <v>5483181.1399999997</v>
      </c>
      <c r="G18" s="21">
        <v>3.5499999999999997E-2</v>
      </c>
      <c r="H18" s="21">
        <v>3.5499999999999997E-2</v>
      </c>
      <c r="I18" s="21">
        <v>3.5499999999999997E-2</v>
      </c>
      <c r="J18" s="16"/>
      <c r="K18" s="11" t="s">
        <v>116</v>
      </c>
      <c r="L18" s="22">
        <f t="shared" si="0"/>
        <v>194652.93046999996</v>
      </c>
      <c r="M18" s="14">
        <f>51415.18+51124+51388.83+50400.77</f>
        <v>204328.78</v>
      </c>
    </row>
    <row r="19" spans="1:13" x14ac:dyDescent="0.3">
      <c r="A19" s="11" t="s">
        <v>38</v>
      </c>
      <c r="B19" s="11" t="s">
        <v>116</v>
      </c>
      <c r="C19" s="12" t="s">
        <v>81</v>
      </c>
      <c r="D19" s="13">
        <v>41697</v>
      </c>
      <c r="E19" s="13">
        <v>52687</v>
      </c>
      <c r="F19" s="14">
        <v>2499118.2000000002</v>
      </c>
      <c r="G19" s="21">
        <v>2.2069999999999999E-2</v>
      </c>
      <c r="H19" s="21">
        <v>2.2069999999999999E-2</v>
      </c>
      <c r="I19" s="21">
        <v>2.2069999999999999E-2</v>
      </c>
      <c r="J19" s="16"/>
      <c r="K19" s="11" t="s">
        <v>116</v>
      </c>
      <c r="L19" s="22">
        <f t="shared" si="0"/>
        <v>55155.538674000003</v>
      </c>
      <c r="M19" s="14">
        <f>14944.99+14841.92+14900.22+14594.96</f>
        <v>59282.09</v>
      </c>
    </row>
    <row r="20" spans="1:13" x14ac:dyDescent="0.3">
      <c r="A20" s="11" t="s">
        <v>39</v>
      </c>
      <c r="B20" s="11" t="s">
        <v>116</v>
      </c>
      <c r="C20" s="12" t="s">
        <v>82</v>
      </c>
      <c r="D20" s="13">
        <v>41912</v>
      </c>
      <c r="E20" s="13">
        <v>52962</v>
      </c>
      <c r="F20" s="14">
        <v>2537770.83</v>
      </c>
      <c r="G20" s="21">
        <v>2.2069999999999999E-2</v>
      </c>
      <c r="H20" s="21">
        <v>2.2069999999999999E-2</v>
      </c>
      <c r="I20" s="21">
        <v>2.2069999999999999E-2</v>
      </c>
      <c r="J20" s="16"/>
      <c r="K20" s="11" t="s">
        <v>116</v>
      </c>
      <c r="L20" s="22">
        <f t="shared" si="0"/>
        <v>56008.602218100001</v>
      </c>
      <c r="M20" s="14">
        <f>15176.13+15071.46+15130.69+14820.69</f>
        <v>60198.97</v>
      </c>
    </row>
    <row r="21" spans="1:13" x14ac:dyDescent="0.3">
      <c r="A21" s="11" t="s">
        <v>40</v>
      </c>
      <c r="B21" s="11" t="s">
        <v>116</v>
      </c>
      <c r="C21" s="12" t="s">
        <v>83</v>
      </c>
      <c r="D21" s="13">
        <v>41915</v>
      </c>
      <c r="E21" s="13">
        <v>53329</v>
      </c>
      <c r="F21" s="14">
        <v>8864206.4000000004</v>
      </c>
      <c r="G21" s="21">
        <v>2.87E-2</v>
      </c>
      <c r="H21" s="21">
        <v>2.87E-2</v>
      </c>
      <c r="I21" s="21">
        <v>2.87E-2</v>
      </c>
      <c r="J21" s="16"/>
      <c r="K21" s="11" t="s">
        <v>116</v>
      </c>
      <c r="L21" s="22">
        <f t="shared" si="0"/>
        <v>254402.72368</v>
      </c>
      <c r="M21" s="14">
        <f>67904.8+67479.42+67787.81+66442.72</f>
        <v>269614.75</v>
      </c>
    </row>
    <row r="22" spans="1:13" x14ac:dyDescent="0.3">
      <c r="A22" s="11" t="s">
        <v>41</v>
      </c>
      <c r="B22" s="11" t="s">
        <v>116</v>
      </c>
      <c r="C22" s="12" t="s">
        <v>84</v>
      </c>
      <c r="D22" s="13">
        <v>42369</v>
      </c>
      <c r="E22" s="13">
        <v>53329</v>
      </c>
      <c r="F22" s="14">
        <v>881341.14</v>
      </c>
      <c r="G22" s="21">
        <v>2.2259999999999999E-2</v>
      </c>
      <c r="H22" s="21">
        <v>2.2259999999999999E-2</v>
      </c>
      <c r="I22" s="21">
        <v>2.2259999999999999E-2</v>
      </c>
      <c r="J22" s="16"/>
      <c r="K22" s="11" t="s">
        <v>116</v>
      </c>
      <c r="L22" s="22">
        <f t="shared" si="0"/>
        <v>19618.653776399999</v>
      </c>
      <c r="M22" s="14">
        <f>5313.05+5276.51+5297.33+5188.91</f>
        <v>21075.800000000003</v>
      </c>
    </row>
    <row r="23" spans="1:13" x14ac:dyDescent="0.3">
      <c r="A23" s="11" t="s">
        <v>42</v>
      </c>
      <c r="B23" s="11" t="s">
        <v>116</v>
      </c>
      <c r="C23" s="12" t="s">
        <v>85</v>
      </c>
      <c r="D23" s="13">
        <v>42369</v>
      </c>
      <c r="E23" s="13">
        <v>53329</v>
      </c>
      <c r="F23" s="14">
        <v>881351.81</v>
      </c>
      <c r="G23" s="21">
        <v>2.2259999999999999E-2</v>
      </c>
      <c r="H23" s="21">
        <v>2.2259999999999999E-2</v>
      </c>
      <c r="I23" s="21">
        <v>2.2259999999999999E-2</v>
      </c>
      <c r="J23" s="16"/>
      <c r="K23" s="11" t="s">
        <v>116</v>
      </c>
      <c r="L23" s="22">
        <f t="shared" si="0"/>
        <v>19618.891290600001</v>
      </c>
      <c r="M23" s="14">
        <f>5313.11+5276.57+5297.4+5188.97</f>
        <v>21076.05</v>
      </c>
    </row>
    <row r="24" spans="1:13" x14ac:dyDescent="0.3">
      <c r="A24" s="11" t="s">
        <v>43</v>
      </c>
      <c r="B24" s="11" t="s">
        <v>116</v>
      </c>
      <c r="C24" s="12" t="s">
        <v>86</v>
      </c>
      <c r="D24" s="13">
        <v>42369</v>
      </c>
      <c r="E24" s="13">
        <v>53329</v>
      </c>
      <c r="F24" s="14">
        <v>880370.89</v>
      </c>
      <c r="G24" s="21">
        <v>1.2099999999999999E-3</v>
      </c>
      <c r="H24" s="21">
        <v>1.2099999999999999E-3</v>
      </c>
      <c r="I24" s="21">
        <v>1.2099999999999999E-3</v>
      </c>
      <c r="J24" s="16"/>
      <c r="K24" s="11" t="s">
        <v>116</v>
      </c>
      <c r="L24" s="22">
        <f t="shared" si="0"/>
        <v>1065.2487768999999</v>
      </c>
      <c r="M24" s="14">
        <f>5712.78+5043.72+4335.3+3739.45</f>
        <v>18831.25</v>
      </c>
    </row>
    <row r="25" spans="1:13" x14ac:dyDescent="0.3">
      <c r="A25" s="11" t="s">
        <v>44</v>
      </c>
      <c r="B25" s="11" t="s">
        <v>116</v>
      </c>
      <c r="C25" s="12" t="s">
        <v>87</v>
      </c>
      <c r="D25" s="13">
        <v>42369</v>
      </c>
      <c r="E25" s="13">
        <v>53329</v>
      </c>
      <c r="F25" s="14">
        <v>3156305.99</v>
      </c>
      <c r="G25" s="21">
        <v>2.4029999999999999E-2</v>
      </c>
      <c r="H25" s="21">
        <v>2.4029999999999999E-2</v>
      </c>
      <c r="I25" s="21">
        <v>2.4029999999999999E-2</v>
      </c>
      <c r="J25" s="16"/>
      <c r="K25" s="11" t="s">
        <v>116</v>
      </c>
      <c r="L25" s="22">
        <f t="shared" si="0"/>
        <v>75846.032939700002</v>
      </c>
      <c r="M25" s="14">
        <f>22029.87+21886.33+21980.79+21539.01</f>
        <v>87435.999999999985</v>
      </c>
    </row>
    <row r="26" spans="1:13" x14ac:dyDescent="0.3">
      <c r="A26" s="11" t="s">
        <v>45</v>
      </c>
      <c r="B26" s="11" t="s">
        <v>116</v>
      </c>
      <c r="C26" s="12" t="s">
        <v>88</v>
      </c>
      <c r="D26" s="13">
        <v>42369</v>
      </c>
      <c r="E26" s="13">
        <v>53329</v>
      </c>
      <c r="F26" s="14">
        <v>880315.94</v>
      </c>
      <c r="G26" s="21">
        <v>1.2099999999999999E-3</v>
      </c>
      <c r="H26" s="21">
        <v>1.2099999999999999E-3</v>
      </c>
      <c r="I26" s="21">
        <v>1.2099999999999999E-3</v>
      </c>
      <c r="J26" s="16"/>
      <c r="K26" s="11" t="s">
        <v>116</v>
      </c>
      <c r="L26" s="22">
        <f t="shared" si="0"/>
        <v>1065.1822874</v>
      </c>
      <c r="M26" s="14">
        <f>5712.42+5043.4+4335.03+3739.21</f>
        <v>18830.059999999998</v>
      </c>
    </row>
    <row r="27" spans="1:13" x14ac:dyDescent="0.3">
      <c r="A27" s="11" t="s">
        <v>46</v>
      </c>
      <c r="B27" s="11" t="s">
        <v>116</v>
      </c>
      <c r="C27" s="12" t="s">
        <v>89</v>
      </c>
      <c r="D27" s="13">
        <v>42369</v>
      </c>
      <c r="E27" s="13">
        <v>53329</v>
      </c>
      <c r="F27" s="14">
        <v>880315.94</v>
      </c>
      <c r="G27" s="21">
        <v>1.2099999999999999E-3</v>
      </c>
      <c r="H27" s="21">
        <v>1.2099999999999999E-3</v>
      </c>
      <c r="I27" s="21">
        <v>1.2099999999999999E-3</v>
      </c>
      <c r="J27" s="16"/>
      <c r="K27" s="11" t="s">
        <v>116</v>
      </c>
      <c r="L27" s="22">
        <f t="shared" si="0"/>
        <v>1065.1822874</v>
      </c>
      <c r="M27" s="14">
        <f>5712.42+5043.4+4335.03+3739.21</f>
        <v>18830.059999999998</v>
      </c>
    </row>
    <row r="28" spans="1:13" x14ac:dyDescent="0.3">
      <c r="A28" s="11" t="s">
        <v>47</v>
      </c>
      <c r="B28" s="11" t="s">
        <v>116</v>
      </c>
      <c r="C28" s="12" t="s">
        <v>90</v>
      </c>
      <c r="D28" s="13">
        <v>42405</v>
      </c>
      <c r="E28" s="13">
        <v>53329</v>
      </c>
      <c r="F28" s="14">
        <v>2705716.24</v>
      </c>
      <c r="G28" s="21">
        <v>2.307E-2</v>
      </c>
      <c r="H28" s="21">
        <v>2.307E-2</v>
      </c>
      <c r="I28" s="21">
        <v>2.307E-2</v>
      </c>
      <c r="J28" s="16"/>
      <c r="K28" s="11" t="s">
        <v>116</v>
      </c>
      <c r="L28" s="22">
        <f t="shared" si="0"/>
        <v>62420.873656800002</v>
      </c>
      <c r="M28" s="14">
        <f>16867.57+16752.9+16820.38+16477.46</f>
        <v>66918.31</v>
      </c>
    </row>
    <row r="29" spans="1:13" x14ac:dyDescent="0.3">
      <c r="A29" s="11" t="s">
        <v>48</v>
      </c>
      <c r="B29" s="11" t="s">
        <v>116</v>
      </c>
      <c r="C29" s="12" t="s">
        <v>91</v>
      </c>
      <c r="D29" s="13">
        <v>42429</v>
      </c>
      <c r="E29" s="13">
        <v>53329</v>
      </c>
      <c r="F29" s="14">
        <v>900710.14</v>
      </c>
      <c r="G29" s="21">
        <v>2.223E-2</v>
      </c>
      <c r="H29" s="21">
        <v>2.223E-2</v>
      </c>
      <c r="I29" s="21">
        <v>2.223E-2</v>
      </c>
      <c r="J29" s="16"/>
      <c r="K29" s="11" t="s">
        <v>116</v>
      </c>
      <c r="L29" s="22">
        <f t="shared" si="0"/>
        <v>20022.786412199999</v>
      </c>
      <c r="M29" s="14">
        <f>5422.95+5385.63+5406.87+5296.19</f>
        <v>21511.64</v>
      </c>
    </row>
    <row r="30" spans="1:13" x14ac:dyDescent="0.3">
      <c r="A30" s="11" t="s">
        <v>49</v>
      </c>
      <c r="B30" s="11" t="s">
        <v>116</v>
      </c>
      <c r="C30" s="12" t="s">
        <v>92</v>
      </c>
      <c r="D30" s="13">
        <v>42429</v>
      </c>
      <c r="E30" s="13">
        <v>53329</v>
      </c>
      <c r="F30" s="14">
        <v>1170923.1499999999</v>
      </c>
      <c r="G30" s="21">
        <v>2.223E-2</v>
      </c>
      <c r="H30" s="21">
        <v>2.223E-2</v>
      </c>
      <c r="I30" s="21">
        <v>2.223E-2</v>
      </c>
      <c r="J30" s="16"/>
      <c r="K30" s="11" t="s">
        <v>116</v>
      </c>
      <c r="L30" s="22">
        <f t="shared" si="0"/>
        <v>26029.621624499996</v>
      </c>
      <c r="M30" s="14">
        <f>7049.83+7001.32+7028.94+6885.05</f>
        <v>27965.14</v>
      </c>
    </row>
    <row r="31" spans="1:13" x14ac:dyDescent="0.3">
      <c r="A31" s="11" t="s">
        <v>50</v>
      </c>
      <c r="B31" s="11" t="s">
        <v>116</v>
      </c>
      <c r="C31" s="12" t="s">
        <v>93</v>
      </c>
      <c r="D31" s="13">
        <v>42972</v>
      </c>
      <c r="E31" s="13">
        <v>55156</v>
      </c>
      <c r="F31" s="14">
        <v>1938914.87</v>
      </c>
      <c r="G31" s="21">
        <v>2.571E-2</v>
      </c>
      <c r="H31" s="21">
        <v>2.571E-2</v>
      </c>
      <c r="I31" s="21">
        <v>2.571E-2</v>
      </c>
      <c r="J31" s="16"/>
      <c r="K31" s="11" t="s">
        <v>116</v>
      </c>
      <c r="L31" s="22">
        <f t="shared" si="0"/>
        <v>49849.501307700004</v>
      </c>
      <c r="M31" s="14">
        <f>13307.72+13239.39+13315.37+13066.55</f>
        <v>52929.03</v>
      </c>
    </row>
    <row r="32" spans="1:13" x14ac:dyDescent="0.3">
      <c r="A32" s="11" t="s">
        <v>51</v>
      </c>
      <c r="B32" s="11" t="s">
        <v>116</v>
      </c>
      <c r="C32" s="12" t="s">
        <v>94</v>
      </c>
      <c r="D32" s="13">
        <v>42979</v>
      </c>
      <c r="E32" s="13">
        <v>55156</v>
      </c>
      <c r="F32" s="14">
        <v>1938297.55</v>
      </c>
      <c r="G32" s="21">
        <v>2.513E-2</v>
      </c>
      <c r="H32" s="21">
        <v>2.513E-2</v>
      </c>
      <c r="I32" s="21">
        <v>2.513E-2</v>
      </c>
      <c r="J32" s="16"/>
      <c r="K32" s="11" t="s">
        <v>116</v>
      </c>
      <c r="L32" s="22">
        <f t="shared" si="0"/>
        <v>48709.417431499998</v>
      </c>
      <c r="M32" s="14">
        <f>13020.06+12952.53+13026.16+12782.05</f>
        <v>51780.800000000003</v>
      </c>
    </row>
    <row r="33" spans="1:14" x14ac:dyDescent="0.3">
      <c r="A33" s="11" t="s">
        <v>52</v>
      </c>
      <c r="B33" s="11" t="s">
        <v>116</v>
      </c>
      <c r="C33" s="12" t="s">
        <v>95</v>
      </c>
      <c r="D33" s="13">
        <v>43132</v>
      </c>
      <c r="E33" s="13">
        <v>55156</v>
      </c>
      <c r="F33" s="14">
        <v>4854498.24</v>
      </c>
      <c r="G33" s="21">
        <v>2.8479999999999998E-2</v>
      </c>
      <c r="H33" s="21">
        <v>2.8479999999999998E-2</v>
      </c>
      <c r="I33" s="21">
        <v>2.8479999999999998E-2</v>
      </c>
      <c r="J33" s="16"/>
      <c r="K33" s="11" t="s">
        <v>116</v>
      </c>
      <c r="L33" s="22">
        <f t="shared" si="0"/>
        <v>138256.1098752</v>
      </c>
      <c r="M33" s="14">
        <f>36705.56+36526.1+36744.77+36067.38</f>
        <v>146043.81</v>
      </c>
    </row>
    <row r="34" spans="1:14" x14ac:dyDescent="0.3">
      <c r="A34" s="11" t="s">
        <v>53</v>
      </c>
      <c r="B34" s="11" t="s">
        <v>116</v>
      </c>
      <c r="C34" s="12" t="s">
        <v>96</v>
      </c>
      <c r="D34" s="13">
        <v>43276</v>
      </c>
      <c r="E34" s="13">
        <v>55156</v>
      </c>
      <c r="F34" s="14">
        <v>4857767</v>
      </c>
      <c r="G34" s="21">
        <v>2.9770000000000001E-2</v>
      </c>
      <c r="H34" s="21">
        <v>2.9770000000000001E-2</v>
      </c>
      <c r="I34" s="21">
        <v>2.9770000000000001E-2</v>
      </c>
      <c r="J34" s="16"/>
      <c r="K34" s="11" t="s">
        <v>116</v>
      </c>
      <c r="L34" s="22">
        <f t="shared" si="0"/>
        <v>144615.72359000001</v>
      </c>
      <c r="M34" s="14">
        <f>38306.74+38123.71+38356.24+37653.5</f>
        <v>152440.19</v>
      </c>
    </row>
    <row r="35" spans="1:14" x14ac:dyDescent="0.3">
      <c r="A35" s="11" t="s">
        <v>54</v>
      </c>
      <c r="B35" s="11" t="s">
        <v>116</v>
      </c>
      <c r="C35" s="12" t="s">
        <v>97</v>
      </c>
      <c r="D35" s="13">
        <v>43441</v>
      </c>
      <c r="E35" s="13">
        <v>55156</v>
      </c>
      <c r="F35" s="14">
        <v>8804505.0600000005</v>
      </c>
      <c r="G35" s="21">
        <v>3.0339999999999999E-2</v>
      </c>
      <c r="H35" s="21">
        <v>3.0339999999999999E-2</v>
      </c>
      <c r="I35" s="21">
        <v>3.0339999999999999E-2</v>
      </c>
      <c r="J35" s="16"/>
      <c r="K35" s="11" t="s">
        <v>116</v>
      </c>
      <c r="L35" s="22">
        <f t="shared" si="0"/>
        <v>267128.68352040002</v>
      </c>
      <c r="M35" s="14">
        <f>70691.28+70356.94+70789.51+69496.06</f>
        <v>281333.78999999998</v>
      </c>
    </row>
    <row r="36" spans="1:14" x14ac:dyDescent="0.3">
      <c r="A36" s="11" t="s">
        <v>55</v>
      </c>
      <c r="B36" s="11" t="s">
        <v>116</v>
      </c>
      <c r="C36" s="12" t="s">
        <v>111</v>
      </c>
      <c r="D36" s="13">
        <v>43868</v>
      </c>
      <c r="E36" s="13">
        <v>55156</v>
      </c>
      <c r="F36" s="14">
        <v>5000000</v>
      </c>
      <c r="G36" s="21">
        <v>1.9380000000000001E-2</v>
      </c>
      <c r="H36" s="21">
        <v>1.9380000000000001E-2</v>
      </c>
      <c r="I36" s="21">
        <v>1.9380000000000001E-2</v>
      </c>
      <c r="J36" s="16"/>
      <c r="K36" s="11" t="s">
        <v>116</v>
      </c>
      <c r="L36" s="22">
        <f t="shared" si="0"/>
        <v>96900</v>
      </c>
      <c r="M36" s="14">
        <v>14937.02</v>
      </c>
    </row>
    <row r="37" spans="1:14" x14ac:dyDescent="0.3">
      <c r="A37" s="11" t="s">
        <v>56</v>
      </c>
      <c r="B37" s="11" t="s">
        <v>116</v>
      </c>
      <c r="C37" s="12" t="s">
        <v>112</v>
      </c>
      <c r="D37" s="13">
        <v>43914</v>
      </c>
      <c r="E37" s="13">
        <v>55156</v>
      </c>
      <c r="F37" s="14">
        <v>12000000</v>
      </c>
      <c r="G37" s="21">
        <v>1.1180000000000001E-2</v>
      </c>
      <c r="H37" s="21">
        <v>1.1180000000000001E-2</v>
      </c>
      <c r="I37" s="21">
        <v>1.1180000000000001E-2</v>
      </c>
      <c r="J37" s="16"/>
      <c r="K37" s="11" t="s">
        <v>116</v>
      </c>
      <c r="L37" s="22">
        <f t="shared" si="0"/>
        <v>134160</v>
      </c>
      <c r="M37" s="14">
        <v>0</v>
      </c>
    </row>
    <row r="38" spans="1:14" x14ac:dyDescent="0.3">
      <c r="A38" s="11" t="s">
        <v>57</v>
      </c>
      <c r="B38" s="11" t="s">
        <v>118</v>
      </c>
      <c r="C38" s="12">
        <v>9018</v>
      </c>
      <c r="D38" s="13">
        <v>30729</v>
      </c>
      <c r="E38" s="13">
        <v>43524</v>
      </c>
      <c r="F38" s="14">
        <v>0</v>
      </c>
      <c r="G38" s="21">
        <v>6.0999999999999999E-2</v>
      </c>
      <c r="H38" s="21">
        <v>6.0999999999999999E-2</v>
      </c>
      <c r="I38" s="21">
        <v>6.0999999999999999E-2</v>
      </c>
      <c r="J38" s="16"/>
      <c r="K38" s="11" t="s">
        <v>118</v>
      </c>
      <c r="L38" s="22">
        <f t="shared" si="0"/>
        <v>0</v>
      </c>
      <c r="M38" s="14">
        <v>-12.7</v>
      </c>
      <c r="N38" t="s">
        <v>113</v>
      </c>
    </row>
    <row r="39" spans="1:14" x14ac:dyDescent="0.3">
      <c r="A39" s="11" t="s">
        <v>58</v>
      </c>
      <c r="B39" s="11" t="s">
        <v>118</v>
      </c>
      <c r="C39" s="12">
        <v>9019</v>
      </c>
      <c r="D39" s="13">
        <v>31499</v>
      </c>
      <c r="E39" s="13">
        <v>44347</v>
      </c>
      <c r="F39" s="14">
        <v>117047.01</v>
      </c>
      <c r="G39" s="21">
        <v>6.2E-2</v>
      </c>
      <c r="H39" s="21">
        <v>6.2E-2</v>
      </c>
      <c r="I39" s="21">
        <v>6.2E-2</v>
      </c>
      <c r="J39" s="16"/>
      <c r="K39" s="11" t="s">
        <v>118</v>
      </c>
      <c r="L39" s="22">
        <f t="shared" si="0"/>
        <v>7256.9146199999996</v>
      </c>
      <c r="M39" s="14">
        <f>3104.56+2780.45+2451.31+2117.07</f>
        <v>10453.39</v>
      </c>
    </row>
    <row r="40" spans="1:14" x14ac:dyDescent="0.3">
      <c r="A40" s="11" t="s">
        <v>59</v>
      </c>
      <c r="B40" s="11" t="s">
        <v>118</v>
      </c>
      <c r="C40" s="12">
        <v>9020</v>
      </c>
      <c r="D40" s="13">
        <v>32731</v>
      </c>
      <c r="E40" s="13">
        <v>45535</v>
      </c>
      <c r="F40" s="14">
        <v>541893.43999999994</v>
      </c>
      <c r="G40" s="21">
        <v>6.25E-2</v>
      </c>
      <c r="H40" s="21">
        <v>6.25E-2</v>
      </c>
      <c r="I40" s="21">
        <v>6.25E-2</v>
      </c>
      <c r="J40" s="16"/>
      <c r="K40" s="11" t="s">
        <v>118</v>
      </c>
      <c r="L40" s="22">
        <f t="shared" si="0"/>
        <v>33868.339999999997</v>
      </c>
      <c r="M40" s="14">
        <f>9847.78+9469.24+9084.78+8694.32</f>
        <v>37096.120000000003</v>
      </c>
    </row>
    <row r="41" spans="1:14" x14ac:dyDescent="0.3">
      <c r="A41" s="11" t="s">
        <v>60</v>
      </c>
      <c r="B41" s="11" t="s">
        <v>118</v>
      </c>
      <c r="C41" s="12">
        <v>9021</v>
      </c>
      <c r="D41" s="13">
        <v>33501</v>
      </c>
      <c r="E41" s="13">
        <v>46356</v>
      </c>
      <c r="F41" s="14">
        <v>583902.31999999995</v>
      </c>
      <c r="G41" s="21">
        <v>6.25E-2</v>
      </c>
      <c r="H41" s="21">
        <v>6.25E-2</v>
      </c>
      <c r="I41" s="21">
        <v>6.25E-2</v>
      </c>
      <c r="J41" s="16"/>
      <c r="K41" s="11" t="s">
        <v>118</v>
      </c>
      <c r="L41" s="22">
        <f t="shared" si="0"/>
        <v>36493.894999999997</v>
      </c>
      <c r="M41" s="14">
        <f>9975.23+9722.66+9466.13+9205.61</f>
        <v>38369.629999999997</v>
      </c>
    </row>
    <row r="42" spans="1:14" x14ac:dyDescent="0.3">
      <c r="A42" s="11" t="s">
        <v>61</v>
      </c>
      <c r="B42" s="11" t="s">
        <v>118</v>
      </c>
      <c r="C42" s="12">
        <v>9022</v>
      </c>
      <c r="D42" s="13">
        <v>34165</v>
      </c>
      <c r="E42" s="13">
        <v>46904</v>
      </c>
      <c r="F42" s="14">
        <v>1026087.2</v>
      </c>
      <c r="G42" s="21">
        <v>6.6500000000000004E-2</v>
      </c>
      <c r="H42" s="21">
        <v>6.6500000000000004E-2</v>
      </c>
      <c r="I42" s="21">
        <v>6.6500000000000004E-2</v>
      </c>
      <c r="J42" s="16"/>
      <c r="K42" s="11" t="s">
        <v>118</v>
      </c>
      <c r="L42" s="22">
        <f t="shared" si="0"/>
        <v>68234.798800000004</v>
      </c>
      <c r="M42" s="14">
        <f>18215.49+17855.22+17488.95+17116.6</f>
        <v>70676.260000000009</v>
      </c>
    </row>
    <row r="43" spans="1:14" x14ac:dyDescent="0.3">
      <c r="A43" s="11" t="s">
        <v>62</v>
      </c>
      <c r="B43" s="11" t="s">
        <v>118</v>
      </c>
      <c r="C43" s="12">
        <v>9023</v>
      </c>
      <c r="D43" s="13">
        <v>36171</v>
      </c>
      <c r="E43" s="13">
        <v>48365</v>
      </c>
      <c r="F43" s="14">
        <v>2202027.2400000002</v>
      </c>
      <c r="G43" s="21">
        <v>6.7000000000000004E-2</v>
      </c>
      <c r="H43" s="21">
        <v>6.7000000000000004E-2</v>
      </c>
      <c r="I43" s="21">
        <v>6.7000000000000004E-2</v>
      </c>
      <c r="J43" s="16"/>
      <c r="K43" s="11" t="s">
        <v>118</v>
      </c>
      <c r="L43" s="22">
        <f t="shared" si="0"/>
        <v>147535.82508000001</v>
      </c>
      <c r="M43" s="14">
        <f>38047.24+37595.85+37136.91+36670.28</f>
        <v>149450.28</v>
      </c>
    </row>
    <row r="44" spans="1:14" x14ac:dyDescent="0.3">
      <c r="A44" s="11" t="s">
        <v>63</v>
      </c>
      <c r="B44" s="11" t="s">
        <v>118</v>
      </c>
      <c r="C44" s="12">
        <v>9027009</v>
      </c>
      <c r="D44" s="13">
        <v>40451</v>
      </c>
      <c r="E44" s="13">
        <v>43708</v>
      </c>
      <c r="F44" s="14">
        <v>0</v>
      </c>
      <c r="G44" s="21">
        <v>4.1500000000000002E-2</v>
      </c>
      <c r="H44" s="21">
        <v>4.1500000000000002E-2</v>
      </c>
      <c r="I44" s="21">
        <v>4.1500000000000002E-2</v>
      </c>
      <c r="J44" s="16"/>
      <c r="K44" s="11" t="s">
        <v>118</v>
      </c>
      <c r="L44" s="22">
        <f t="shared" si="0"/>
        <v>0</v>
      </c>
      <c r="M44" s="14">
        <f>3720.73+1869.96-20.78</f>
        <v>5569.9100000000008</v>
      </c>
    </row>
    <row r="45" spans="1:14" x14ac:dyDescent="0.3">
      <c r="A45" s="11" t="s">
        <v>104</v>
      </c>
      <c r="B45" s="11" t="s">
        <v>118</v>
      </c>
      <c r="C45" s="12">
        <v>9027010</v>
      </c>
      <c r="D45" s="13">
        <v>40451</v>
      </c>
      <c r="E45" s="13">
        <v>44073</v>
      </c>
      <c r="F45" s="14">
        <v>263576.52</v>
      </c>
      <c r="G45" s="21">
        <v>4.2500000000000003E-2</v>
      </c>
      <c r="H45" s="21">
        <v>4.2500000000000003E-2</v>
      </c>
      <c r="I45" s="21">
        <v>4.2500000000000003E-2</v>
      </c>
      <c r="J45" s="16"/>
      <c r="K45" s="11" t="s">
        <v>118</v>
      </c>
      <c r="L45" s="22">
        <f t="shared" si="0"/>
        <v>11202.002100000002</v>
      </c>
      <c r="M45" s="14">
        <f>5587.98+5587.98+5542.43+4178.71</f>
        <v>20897.099999999999</v>
      </c>
    </row>
    <row r="46" spans="1:14" x14ac:dyDescent="0.3">
      <c r="A46" s="11" t="s">
        <v>64</v>
      </c>
      <c r="B46" s="11" t="s">
        <v>118</v>
      </c>
      <c r="C46" s="12">
        <v>9027011</v>
      </c>
      <c r="D46" s="13">
        <v>40451</v>
      </c>
      <c r="E46" s="13">
        <v>44439</v>
      </c>
      <c r="F46" s="14">
        <v>587737.54</v>
      </c>
      <c r="G46" s="21">
        <v>4.3499999999999997E-2</v>
      </c>
      <c r="H46" s="21">
        <v>4.3499999999999997E-2</v>
      </c>
      <c r="I46" s="21">
        <v>4.3499999999999997E-2</v>
      </c>
      <c r="J46" s="16"/>
      <c r="K46" s="11" t="s">
        <v>118</v>
      </c>
      <c r="L46" s="22">
        <f t="shared" si="0"/>
        <v>25566.582989999999</v>
      </c>
      <c r="M46" s="14">
        <f>6444.18+6444.18+6374.13+6374.13</f>
        <v>25636.620000000003</v>
      </c>
    </row>
    <row r="47" spans="1:14" x14ac:dyDescent="0.3">
      <c r="A47" s="11" t="s">
        <v>65</v>
      </c>
      <c r="B47" s="11" t="s">
        <v>118</v>
      </c>
      <c r="C47" s="12">
        <v>9027012</v>
      </c>
      <c r="D47" s="13">
        <v>40451</v>
      </c>
      <c r="E47" s="13">
        <v>44804</v>
      </c>
      <c r="F47" s="14">
        <v>424043.34</v>
      </c>
      <c r="G47" s="21">
        <v>4.3999999999999997E-2</v>
      </c>
      <c r="H47" s="21">
        <v>4.3999999999999997E-2</v>
      </c>
      <c r="I47" s="21">
        <v>4.3999999999999997E-2</v>
      </c>
      <c r="J47" s="16"/>
      <c r="K47" s="11" t="s">
        <v>118</v>
      </c>
      <c r="L47" s="22">
        <f t="shared" si="0"/>
        <v>18657.90696</v>
      </c>
      <c r="M47" s="14">
        <f>4702.81+4702.81+4651.7+4651.7</f>
        <v>18709.02</v>
      </c>
    </row>
    <row r="48" spans="1:14" x14ac:dyDescent="0.3">
      <c r="A48" s="11" t="s">
        <v>66</v>
      </c>
      <c r="B48" s="11" t="s">
        <v>118</v>
      </c>
      <c r="C48" s="12">
        <v>9027013</v>
      </c>
      <c r="D48" s="13">
        <v>40451</v>
      </c>
      <c r="E48" s="13">
        <v>45169</v>
      </c>
      <c r="F48" s="14">
        <v>425365.7</v>
      </c>
      <c r="G48" s="21">
        <v>4.4999999999999998E-2</v>
      </c>
      <c r="H48" s="21">
        <v>4.4999999999999998E-2</v>
      </c>
      <c r="I48" s="21">
        <v>4.4999999999999998E-2</v>
      </c>
      <c r="J48" s="16"/>
      <c r="K48" s="11" t="s">
        <v>118</v>
      </c>
      <c r="L48" s="22">
        <f t="shared" si="0"/>
        <v>19141.4565</v>
      </c>
      <c r="M48" s="14">
        <f>4824.7+4824.7+4772.25+4772.25</f>
        <v>19193.900000000001</v>
      </c>
    </row>
    <row r="49" spans="1:13" x14ac:dyDescent="0.3">
      <c r="A49" s="11" t="s">
        <v>67</v>
      </c>
      <c r="B49" s="11" t="s">
        <v>118</v>
      </c>
      <c r="C49" s="12">
        <v>9027014</v>
      </c>
      <c r="D49" s="13">
        <v>40451</v>
      </c>
      <c r="E49" s="13">
        <v>45535</v>
      </c>
      <c r="F49" s="14">
        <v>274832.42</v>
      </c>
      <c r="G49" s="21">
        <v>4.5499999999999999E-2</v>
      </c>
      <c r="H49" s="21">
        <v>4.5499999999999999E-2</v>
      </c>
      <c r="I49" s="21">
        <v>4.5499999999999999E-2</v>
      </c>
      <c r="J49" s="16"/>
      <c r="K49" s="11" t="s">
        <v>118</v>
      </c>
      <c r="L49" s="22">
        <f t="shared" si="0"/>
        <v>12504.875109999999</v>
      </c>
      <c r="M49" s="14">
        <f>3151.91+3151.91+3117.65+3117.65</f>
        <v>12539.119999999999</v>
      </c>
    </row>
    <row r="50" spans="1:13" x14ac:dyDescent="0.3">
      <c r="A50" s="11" t="s">
        <v>68</v>
      </c>
      <c r="B50" s="11" t="s">
        <v>117</v>
      </c>
      <c r="C50" s="12" t="s">
        <v>70</v>
      </c>
      <c r="D50" s="13">
        <v>39447</v>
      </c>
      <c r="E50" s="13">
        <v>50405</v>
      </c>
      <c r="F50" s="14">
        <v>2640000.08</v>
      </c>
      <c r="G50" s="21">
        <v>4.7500000000000001E-2</v>
      </c>
      <c r="H50" s="21">
        <v>4.7500000000000001E-2</v>
      </c>
      <c r="I50" s="21">
        <v>4.7500000000000001E-2</v>
      </c>
      <c r="J50" s="16"/>
      <c r="K50" s="11" t="s">
        <v>117</v>
      </c>
      <c r="L50" s="22">
        <f t="shared" si="0"/>
        <v>125400.00380000001</v>
      </c>
      <c r="M50" s="14">
        <v>130625.04</v>
      </c>
    </row>
    <row r="51" spans="1:13" x14ac:dyDescent="0.3">
      <c r="A51" s="11" t="s">
        <v>69</v>
      </c>
      <c r="B51" s="11" t="s">
        <v>119</v>
      </c>
      <c r="C51" s="12" t="s">
        <v>98</v>
      </c>
      <c r="D51" s="13">
        <v>40556</v>
      </c>
      <c r="E51" s="13">
        <v>44197</v>
      </c>
      <c r="F51" s="14">
        <v>21826</v>
      </c>
      <c r="G51" s="21">
        <v>0</v>
      </c>
      <c r="H51" s="21">
        <v>0</v>
      </c>
      <c r="I51" s="21">
        <v>0</v>
      </c>
      <c r="J51" s="16"/>
      <c r="K51" s="11" t="s">
        <v>119</v>
      </c>
      <c r="L51" s="22">
        <f t="shared" si="0"/>
        <v>0</v>
      </c>
      <c r="M51" s="14">
        <v>0</v>
      </c>
    </row>
    <row r="52" spans="1:13" x14ac:dyDescent="0.3">
      <c r="A52" s="11" t="s">
        <v>107</v>
      </c>
      <c r="B52" s="11" t="s">
        <v>119</v>
      </c>
      <c r="C52" s="12" t="s">
        <v>99</v>
      </c>
      <c r="D52" s="13">
        <v>42628</v>
      </c>
      <c r="E52" s="13">
        <v>46266</v>
      </c>
      <c r="F52" s="14">
        <v>650000.14</v>
      </c>
      <c r="G52" s="21">
        <v>0</v>
      </c>
      <c r="H52" s="21">
        <v>0</v>
      </c>
      <c r="I52" s="21">
        <v>0</v>
      </c>
      <c r="J52" s="16"/>
      <c r="K52" s="11" t="s">
        <v>119</v>
      </c>
      <c r="L52" s="22">
        <f t="shared" si="0"/>
        <v>0</v>
      </c>
      <c r="M52" s="14">
        <v>0</v>
      </c>
    </row>
    <row r="53" spans="1:13" x14ac:dyDescent="0.3">
      <c r="A53" s="11" t="s">
        <v>108</v>
      </c>
      <c r="B53" s="11" t="s">
        <v>119</v>
      </c>
      <c r="C53" s="12" t="s">
        <v>100</v>
      </c>
      <c r="D53" s="13">
        <v>43213</v>
      </c>
      <c r="E53" s="13">
        <v>46813</v>
      </c>
      <c r="F53" s="14">
        <v>1000000</v>
      </c>
      <c r="G53" s="21">
        <v>0</v>
      </c>
      <c r="H53" s="21">
        <v>0</v>
      </c>
      <c r="I53" s="21">
        <v>0</v>
      </c>
      <c r="J53" s="16"/>
      <c r="K53" s="11" t="s">
        <v>119</v>
      </c>
      <c r="L53" s="22">
        <f t="shared" si="0"/>
        <v>0</v>
      </c>
      <c r="M53" s="14">
        <v>0</v>
      </c>
    </row>
    <row r="54" spans="1:13" x14ac:dyDescent="0.3">
      <c r="A54" s="11" t="s">
        <v>109</v>
      </c>
      <c r="B54" s="11" t="s">
        <v>119</v>
      </c>
      <c r="C54" s="12" t="s">
        <v>101</v>
      </c>
      <c r="D54" s="13">
        <v>43439</v>
      </c>
      <c r="E54" s="13">
        <v>47058</v>
      </c>
      <c r="F54" s="14">
        <v>722222.24</v>
      </c>
      <c r="G54" s="21">
        <v>0</v>
      </c>
      <c r="H54" s="21">
        <v>0</v>
      </c>
      <c r="I54" s="21">
        <v>0</v>
      </c>
      <c r="J54" s="16"/>
      <c r="K54" s="11" t="s">
        <v>119</v>
      </c>
      <c r="L54" s="22">
        <f t="shared" si="0"/>
        <v>0</v>
      </c>
      <c r="M54" s="14">
        <v>0</v>
      </c>
    </row>
    <row r="55" spans="1:13" ht="15" thickBot="1" x14ac:dyDescent="0.35">
      <c r="A55" s="16"/>
      <c r="B55" s="16"/>
      <c r="C55" s="16"/>
      <c r="D55" s="16"/>
      <c r="E55" s="18" t="s">
        <v>102</v>
      </c>
      <c r="F55" s="20">
        <f>SUM(F10:F54)</f>
        <v>179452070.46999997</v>
      </c>
      <c r="G55" s="23"/>
      <c r="H55" s="23"/>
      <c r="I55" s="23"/>
      <c r="J55" s="23"/>
      <c r="K55" s="23"/>
      <c r="L55" s="20">
        <f t="shared" ref="L55:M55" si="1">SUM(L10:L54)</f>
        <v>5403328.2729249997</v>
      </c>
      <c r="M55" s="20">
        <f t="shared" si="1"/>
        <v>5533864.6899999985</v>
      </c>
    </row>
    <row r="56" spans="1:13" ht="15" thickTop="1" x14ac:dyDescent="0.3"/>
    <row r="57" spans="1:13" x14ac:dyDescent="0.3">
      <c r="F57" s="51" t="s">
        <v>103</v>
      </c>
      <c r="G57" s="51"/>
      <c r="H57" s="51"/>
      <c r="I57" s="51"/>
      <c r="L57" s="15">
        <f>L55/F55</f>
        <v>3.011014728764751E-2</v>
      </c>
    </row>
    <row r="58" spans="1:13" x14ac:dyDescent="0.3">
      <c r="F58" s="51" t="s">
        <v>110</v>
      </c>
      <c r="G58" s="51"/>
      <c r="H58" s="51"/>
      <c r="I58" s="51"/>
      <c r="L58" s="15">
        <f>M55/F55</f>
        <v>3.0837563899409712E-2</v>
      </c>
    </row>
    <row r="59" spans="1:13" x14ac:dyDescent="0.3">
      <c r="F59" s="28"/>
      <c r="G59" s="28"/>
      <c r="H59" s="28"/>
      <c r="I59" s="28"/>
      <c r="L59" s="29"/>
    </row>
    <row r="60" spans="1:13" x14ac:dyDescent="0.3">
      <c r="A60" s="30" t="s">
        <v>123</v>
      </c>
    </row>
    <row r="61" spans="1:13" x14ac:dyDescent="0.3">
      <c r="A61" s="27"/>
    </row>
    <row r="62" spans="1:13" x14ac:dyDescent="0.3">
      <c r="A62" s="24" t="s">
        <v>114</v>
      </c>
      <c r="B62" s="24"/>
    </row>
  </sheetData>
  <mergeCells count="12">
    <mergeCell ref="F58:I58"/>
    <mergeCell ref="F57:I57"/>
    <mergeCell ref="A8:A9"/>
    <mergeCell ref="A1:M1"/>
    <mergeCell ref="A2:M2"/>
    <mergeCell ref="A3:M3"/>
    <mergeCell ref="A4:M4"/>
    <mergeCell ref="A5:M5"/>
    <mergeCell ref="A6:M6"/>
    <mergeCell ref="A7:M7"/>
    <mergeCell ref="B8:C8"/>
    <mergeCell ref="B9:C9"/>
  </mergeCells>
  <pageMargins left="0.7" right="0.7" top="0.75" bottom="0.75" header="0.3" footer="0.3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LTD 123120</vt:lpstr>
      <vt:lpstr>LTDTestYR</vt:lpstr>
      <vt:lpstr>LTDTestYR!Print_Area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Baldwin</dc:creator>
  <cp:lastModifiedBy>Michelle Herrman</cp:lastModifiedBy>
  <cp:lastPrinted>2021-12-13T21:58:03Z</cp:lastPrinted>
  <dcterms:created xsi:type="dcterms:W3CDTF">2021-12-07T14:25:42Z</dcterms:created>
  <dcterms:modified xsi:type="dcterms:W3CDTF">2021-12-14T16:09:21Z</dcterms:modified>
</cp:coreProperties>
</file>