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Staff Post Hearing\"/>
    </mc:Choice>
  </mc:AlternateContent>
  <bookViews>
    <workbookView xWindow="0" yWindow="0" windowWidth="23040" windowHeight="9192"/>
  </bookViews>
  <sheets>
    <sheet name="Revised Test year CoC at 2.86%" sheetId="2" r:id="rId1"/>
    <sheet name="Revised Pro Forma CoC at 2.86%" sheetId="1" r:id="rId2"/>
    <sheet name="CoC Interest at 2.86%" sheetId="3" r:id="rId3"/>
  </sheets>
  <externalReferences>
    <externalReference r:id="rId4"/>
    <externalReference r:id="rId5"/>
  </externalReferences>
  <definedNames>
    <definedName name="_MailOriginal" localSheetId="0">'Revised Test year CoC at 2.86%'!#REF!</definedName>
    <definedName name="_xlnm.Print_Area" localSheetId="2">'CoC Interest at 2.86%'!$A$1:$L$30</definedName>
    <definedName name="_xlnm.Print_Area" localSheetId="1">'Revised Pro Forma CoC at 2.86%'!$A$1:$N$57</definedName>
    <definedName name="_xlnm.Print_Area" localSheetId="0">'Revised Test year CoC at 2.86%'!$A$1:$H$47</definedName>
    <definedName name="Untitled" localSheetId="2">#REF!</definedName>
    <definedName name="Untitl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C18" i="3"/>
  <c r="J11" i="3"/>
  <c r="B19" i="3" l="1"/>
  <c r="C19" i="3" l="1"/>
  <c r="B20" i="3" l="1"/>
  <c r="C20" i="3" l="1"/>
  <c r="B21" i="3" s="1"/>
  <c r="C21" i="3" l="1"/>
  <c r="B22" i="3" s="1"/>
  <c r="C22" i="3" l="1"/>
  <c r="B23" i="3" s="1"/>
  <c r="C23" i="3" l="1"/>
  <c r="B24" i="3" s="1"/>
  <c r="C24" i="3" l="1"/>
  <c r="B25" i="3" s="1"/>
  <c r="C25" i="3" l="1"/>
  <c r="B26" i="3" s="1"/>
  <c r="C26" i="3" l="1"/>
  <c r="B27" i="3" s="1"/>
  <c r="C27" i="3" l="1"/>
  <c r="B28" i="3" s="1"/>
  <c r="C28" i="3" l="1"/>
  <c r="B29" i="3" s="1"/>
  <c r="C29" i="3" s="1"/>
  <c r="C30" i="3" s="1"/>
  <c r="E45" i="2"/>
  <c r="E44" i="2"/>
  <c r="C44" i="2"/>
  <c r="C43" i="2"/>
  <c r="E43" i="2" s="1"/>
  <c r="E42" i="2"/>
  <c r="C42" i="2"/>
  <c r="D41" i="2"/>
  <c r="C41" i="2"/>
  <c r="E41" i="2" s="1"/>
  <c r="E33" i="2"/>
  <c r="C33" i="2"/>
  <c r="E32" i="2"/>
  <c r="C32" i="2"/>
  <c r="E31" i="2"/>
  <c r="C31" i="2"/>
  <c r="E30" i="2"/>
  <c r="C30" i="2"/>
  <c r="E29" i="2"/>
  <c r="C29" i="2"/>
  <c r="E28" i="2"/>
  <c r="C28" i="2"/>
  <c r="D22" i="2"/>
  <c r="C22" i="2"/>
  <c r="E22" i="2" s="1"/>
  <c r="E21" i="2"/>
  <c r="C21" i="2"/>
  <c r="E20" i="2"/>
  <c r="C20" i="2"/>
  <c r="D19" i="2"/>
  <c r="C19" i="2"/>
  <c r="E19" i="2" s="1"/>
  <c r="D18" i="2"/>
  <c r="E18" i="2" s="1"/>
  <c r="C18" i="2"/>
  <c r="E17" i="2"/>
  <c r="D17" i="2"/>
  <c r="D25" i="2" s="1"/>
  <c r="D35" i="2" s="1"/>
  <c r="C17" i="2"/>
  <c r="C16" i="2"/>
  <c r="C25" i="2" s="1"/>
  <c r="C35" i="2" s="1"/>
  <c r="D14" i="2"/>
  <c r="E13" i="2"/>
  <c r="E12" i="2"/>
  <c r="E11" i="2"/>
  <c r="E14" i="2" s="1"/>
  <c r="C11" i="2"/>
  <c r="C14" i="2" s="1"/>
  <c r="C38" i="2" s="1"/>
  <c r="C47" i="2" s="1"/>
  <c r="D64" i="1"/>
  <c r="F55" i="1"/>
  <c r="L49" i="1"/>
  <c r="K49" i="1"/>
  <c r="E49" i="1"/>
  <c r="M47" i="1"/>
  <c r="L47" i="1"/>
  <c r="I47" i="1"/>
  <c r="D45" i="1"/>
  <c r="I45" i="1" s="1"/>
  <c r="M45" i="1" s="1"/>
  <c r="F43" i="1"/>
  <c r="I43" i="1" s="1"/>
  <c r="M43" i="1" s="1"/>
  <c r="F41" i="1"/>
  <c r="I41" i="1" s="1"/>
  <c r="M41" i="1" s="1"/>
  <c r="F39" i="1"/>
  <c r="I39" i="1" s="1"/>
  <c r="M39" i="1" s="1"/>
  <c r="G37" i="1"/>
  <c r="G49" i="1" s="1"/>
  <c r="I35" i="1"/>
  <c r="M35" i="1" s="1"/>
  <c r="F33" i="1"/>
  <c r="I33" i="1" s="1"/>
  <c r="M33" i="1" s="1"/>
  <c r="J31" i="1"/>
  <c r="J49" i="1" s="1"/>
  <c r="I31" i="1"/>
  <c r="M31" i="1" s="1"/>
  <c r="D29" i="1"/>
  <c r="I29" i="1" s="1"/>
  <c r="I27" i="1"/>
  <c r="M27" i="1" s="1"/>
  <c r="H27" i="1"/>
  <c r="H49" i="1" s="1"/>
  <c r="F25" i="1"/>
  <c r="I25" i="1" s="1"/>
  <c r="M25" i="1" s="1"/>
  <c r="F23" i="1"/>
  <c r="I23" i="1" s="1"/>
  <c r="M23" i="1" s="1"/>
  <c r="F21" i="1"/>
  <c r="I21" i="1" s="1"/>
  <c r="M21" i="1" s="1"/>
  <c r="F19" i="1"/>
  <c r="I19" i="1" s="1"/>
  <c r="M19" i="1" s="1"/>
  <c r="F17" i="1"/>
  <c r="L13" i="1"/>
  <c r="L51" i="1" s="1"/>
  <c r="L57" i="1" s="1"/>
  <c r="K13" i="1"/>
  <c r="K51" i="1" s="1"/>
  <c r="K57" i="1" s="1"/>
  <c r="J13" i="1"/>
  <c r="H13" i="1"/>
  <c r="G13" i="1"/>
  <c r="G51" i="1" s="1"/>
  <c r="G57" i="1" s="1"/>
  <c r="E13" i="1"/>
  <c r="E51" i="1" s="1"/>
  <c r="E57" i="1" s="1"/>
  <c r="D13" i="1"/>
  <c r="H51" i="1" l="1"/>
  <c r="H57" i="1" s="1"/>
  <c r="F49" i="1"/>
  <c r="F51" i="1" s="1"/>
  <c r="F57" i="1" s="1"/>
  <c r="J51" i="1"/>
  <c r="J57" i="1" s="1"/>
  <c r="D38" i="2"/>
  <c r="D47" i="2" s="1"/>
  <c r="E16" i="2"/>
  <c r="E25" i="2" s="1"/>
  <c r="E35" i="2" s="1"/>
  <c r="E38" i="2" s="1"/>
  <c r="E47" i="2" s="1"/>
  <c r="I17" i="1"/>
  <c r="M17" i="1" s="1"/>
  <c r="I37" i="1"/>
  <c r="M37" i="1" s="1"/>
  <c r="I13" i="1"/>
  <c r="M13" i="1" s="1"/>
  <c r="N13" i="1" s="1"/>
  <c r="D49" i="1"/>
  <c r="D59" i="1"/>
  <c r="I49" i="1" l="1"/>
  <c r="M49" i="1" s="1"/>
  <c r="D51" i="1"/>
  <c r="D57" i="1" l="1"/>
  <c r="I57" i="1" s="1"/>
  <c r="M57" i="1" s="1"/>
  <c r="N57" i="1" s="1"/>
  <c r="I51" i="1"/>
  <c r="M51" i="1" s="1"/>
  <c r="N51" i="1" s="1"/>
</calcChain>
</file>

<file path=xl/sharedStrings.xml><?xml version="1.0" encoding="utf-8"?>
<sst xmlns="http://schemas.openxmlformats.org/spreadsheetml/2006/main" count="123" uniqueCount="118">
  <si>
    <t>Exhibit WSS-2</t>
  </si>
  <si>
    <t>South Kentucky Rural Electric Cooperative Corporation</t>
  </si>
  <si>
    <t>Adjustments to Operating Revenues, Operating Expenses and Net Operating Margins</t>
  </si>
  <si>
    <t>For the test year April 1, 2019 to March 31,2020</t>
  </si>
  <si>
    <t>TIER</t>
  </si>
  <si>
    <t>Purchased</t>
  </si>
  <si>
    <t>Operation and</t>
  </si>
  <si>
    <t>Utility</t>
  </si>
  <si>
    <t>Interest on</t>
  </si>
  <si>
    <t>Net</t>
  </si>
  <si>
    <t>Without</t>
  </si>
  <si>
    <t>Reference</t>
  </si>
  <si>
    <t xml:space="preserve">Power </t>
  </si>
  <si>
    <t>Maintenance</t>
  </si>
  <si>
    <t>Depreciation</t>
  </si>
  <si>
    <t xml:space="preserve">Other </t>
  </si>
  <si>
    <t xml:space="preserve">Operating </t>
  </si>
  <si>
    <t>Long-Term</t>
  </si>
  <si>
    <t>Interest</t>
  </si>
  <si>
    <t>Other</t>
  </si>
  <si>
    <t>Operating</t>
  </si>
  <si>
    <t>Gen and Other</t>
  </si>
  <si>
    <t>Schedule</t>
  </si>
  <si>
    <t>Revenue</t>
  </si>
  <si>
    <t>Expenses</t>
  </si>
  <si>
    <t>Taxes</t>
  </si>
  <si>
    <t>Margin</t>
  </si>
  <si>
    <t>Debt</t>
  </si>
  <si>
    <t>Exp - Other</t>
  </si>
  <si>
    <t>Deductions</t>
  </si>
  <si>
    <t>Credits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</si>
  <si>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</si>
  <si>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</si>
  <si>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</si>
  <si>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</si>
  <si>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</si>
  <si>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</si>
  <si>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</si>
  <si>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</si>
  <si>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</si>
  <si>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</si>
  <si>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</si>
  <si>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</si>
  <si>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Test-Year Actual per Books</t>
  </si>
  <si>
    <t>Pro-Forma Adjustments:</t>
  </si>
  <si>
    <t>Salaries and Wages</t>
  </si>
  <si>
    <t>Annualization of Board of Director Elections</t>
  </si>
  <si>
    <t>Bad debt expense recapture</t>
  </si>
  <si>
    <t>Annual audit fees</t>
  </si>
  <si>
    <t>Reduction in annual energy assistance from EKPC</t>
  </si>
  <si>
    <t>Non-recurring back tax payment</t>
  </si>
  <si>
    <t>Interest on cushion of credit</t>
  </si>
  <si>
    <t>2020 RUS loans</t>
  </si>
  <si>
    <t>Amortization of rate case expenses</t>
  </si>
  <si>
    <t>Year-End Revenue Adjustment</t>
  </si>
  <si>
    <t xml:space="preserve">Normalized Depreciation Expenses </t>
  </si>
  <si>
    <t>Removal of 401k match</t>
  </si>
  <si>
    <t xml:space="preserve"> </t>
  </si>
  <si>
    <t>Life Insurance Premiums over $50,000</t>
  </si>
  <si>
    <t>Excluded Board of Director Expenses</t>
  </si>
  <si>
    <t>FAC/ES Revenues and Expenses</t>
  </si>
  <si>
    <t>Charitable and political contributions</t>
  </si>
  <si>
    <t>Total Adjustments</t>
  </si>
  <si>
    <t>Test-Year as Adjusted</t>
  </si>
  <si>
    <t>Revenue Increase</t>
  </si>
  <si>
    <t>PSC Assessment Fee</t>
  </si>
  <si>
    <t>Test-Year as Adjusted for Revenue Increase</t>
  </si>
  <si>
    <t>Percentage Revenue Increase</t>
  </si>
  <si>
    <t>Schedule 1.0</t>
  </si>
  <si>
    <t>Page 1 of 2</t>
  </si>
  <si>
    <t>SOUTH KENTUCKY RECC</t>
  </si>
  <si>
    <t>OPERATING REPORT - R.U.S. FORM 7</t>
  </si>
  <si>
    <t>April 1, 2019- March 31, 2020</t>
  </si>
  <si>
    <t>April 2019- March 2020</t>
  </si>
  <si>
    <t>April 2019-March 2020</t>
  </si>
  <si>
    <t>South Kentucky RECC</t>
  </si>
  <si>
    <t>Test Year</t>
  </si>
  <si>
    <t>Unadjusted</t>
  </si>
  <si>
    <t>Adjustment</t>
  </si>
  <si>
    <t>Adjusted</t>
  </si>
  <si>
    <t>Operating Revenue &amp; Patronage Capital</t>
  </si>
  <si>
    <t>Less: Environmental Surcharge Revenue</t>
  </si>
  <si>
    <t>Less: Environmental Surcharge Monthly Adjustment</t>
  </si>
  <si>
    <t>Test Year Revenue</t>
  </si>
  <si>
    <t>Cost of Purchased Power</t>
  </si>
  <si>
    <t>Distribution Exp. - Operations</t>
  </si>
  <si>
    <t>Distribution Exp. - Maintenance</t>
  </si>
  <si>
    <t>Consumer Accounts Expense</t>
  </si>
  <si>
    <t>Consumer Service &amp; Info. Expense</t>
  </si>
  <si>
    <t>Sales Expense</t>
  </si>
  <si>
    <t>Administrative &amp; General Expense</t>
  </si>
  <si>
    <t>TOTAL OPERATION &amp; MAINT. EXPENSE</t>
  </si>
  <si>
    <t>Depreciation/ Amortization Expense</t>
  </si>
  <si>
    <t>Tax Expense - Property</t>
  </si>
  <si>
    <t>Tax Expense - Other</t>
  </si>
  <si>
    <t>Interest on Long-Term Debt</t>
  </si>
  <si>
    <t>Interest Expense - Other</t>
  </si>
  <si>
    <t>Other Deductions</t>
  </si>
  <si>
    <t>TOTAL COST OF ELECTRIC SERVICE</t>
  </si>
  <si>
    <t>PATRONAGE CAP. &amp; OPERATING MARGINS</t>
  </si>
  <si>
    <t>Non-Operating Margins-Interest</t>
  </si>
  <si>
    <t>Non-Operating Margins-Other</t>
  </si>
  <si>
    <t xml:space="preserve">G. &amp; T. Capital Credits         </t>
  </si>
  <si>
    <t xml:space="preserve">Other Cap. Credits &amp; Dividends  </t>
  </si>
  <si>
    <t>Extraordinary Items</t>
  </si>
  <si>
    <t>PATRONAGE CAPITAL OR MARGINS</t>
  </si>
  <si>
    <t xml:space="preserve">Reduction in interest rate on Cushion of Credit </t>
  </si>
  <si>
    <t>Computation</t>
  </si>
  <si>
    <t>Balance At</t>
  </si>
  <si>
    <t>Interest @2.86%</t>
  </si>
  <si>
    <t>Cushion of Credit</t>
  </si>
  <si>
    <t>Interest Earned Test-Year</t>
  </si>
  <si>
    <t>COC Balance 3/31/2019</t>
  </si>
  <si>
    <t>Per Commission Request to recalculate Test Year interest earning using 2.86%</t>
  </si>
  <si>
    <t>REVISED</t>
  </si>
  <si>
    <t>CoC at 2.86%</t>
  </si>
  <si>
    <r>
      <rPr>
        <b/>
        <sz val="10"/>
        <color rgb="FFFF0000"/>
        <rFont val="Arial"/>
        <family val="2"/>
      </rPr>
      <t>REVISED</t>
    </r>
    <r>
      <rPr>
        <b/>
        <sz val="10"/>
        <rFont val="Arial"/>
        <family val="2"/>
      </rPr>
      <t xml:space="preserve"> Exhibit WSS-3</t>
    </r>
  </si>
  <si>
    <t>CoC Assumed to be at 2.86%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</si>
</sst>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_)"/>
    <numFmt numFmtId="168" formatCode="0.00_);\(0.00\)"/>
    <numFmt numFmtId="169" formatCode="_(* #,##0_);_(* \(#,##0\);_(* &quot;-&quot;??_);_(@_)"/>
    <numFmt numFmtId="170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8" fontId="9" fillId="0" borderId="0"/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5" fontId="4" fillId="0" borderId="0" xfId="0" applyNumberFormat="1" applyFont="1" applyBorder="1" applyProtection="1">
      <protection locked="0"/>
    </xf>
    <xf numFmtId="5" fontId="2" fillId="0" borderId="0" xfId="0" applyNumberFormat="1" applyFont="1"/>
    <xf numFmtId="0" fontId="5" fillId="0" borderId="0" xfId="0" applyFont="1"/>
    <xf numFmtId="5" fontId="4" fillId="0" borderId="0" xfId="0" applyNumberFormat="1" applyFont="1" applyFill="1" applyBorder="1" applyProtection="1">
      <protection locked="0"/>
    </xf>
    <xf numFmtId="5" fontId="2" fillId="0" borderId="0" xfId="2" applyNumberFormat="1" applyFont="1"/>
    <xf numFmtId="0" fontId="2" fillId="0" borderId="0" xfId="0" applyFont="1" applyFill="1"/>
    <xf numFmtId="5" fontId="2" fillId="2" borderId="0" xfId="0" applyNumberFormat="1" applyFont="1" applyFill="1"/>
    <xf numFmtId="5" fontId="2" fillId="0" borderId="0" xfId="1" applyNumberFormat="1" applyFont="1"/>
    <xf numFmtId="5" fontId="2" fillId="2" borderId="0" xfId="2" applyNumberFormat="1" applyFont="1" applyFill="1"/>
    <xf numFmtId="43" fontId="2" fillId="0" borderId="0" xfId="1" applyFont="1"/>
    <xf numFmtId="164" fontId="2" fillId="0" borderId="0" xfId="0" applyNumberFormat="1" applyFont="1"/>
    <xf numFmtId="164" fontId="2" fillId="0" borderId="0" xfId="2" applyNumberFormat="1" applyFont="1"/>
    <xf numFmtId="164" fontId="2" fillId="0" borderId="0" xfId="1" applyNumberFormat="1" applyFont="1"/>
    <xf numFmtId="165" fontId="2" fillId="0" borderId="1" xfId="2" applyNumberFormat="1" applyFont="1" applyBorder="1"/>
    <xf numFmtId="5" fontId="6" fillId="0" borderId="0" xfId="0" applyNumberFormat="1" applyFont="1" applyBorder="1" applyProtection="1">
      <protection locked="0"/>
    </xf>
    <xf numFmtId="44" fontId="2" fillId="0" borderId="0" xfId="0" applyNumberFormat="1" applyFont="1"/>
    <xf numFmtId="44" fontId="4" fillId="0" borderId="0" xfId="0" applyNumberFormat="1" applyFont="1" applyFill="1" applyBorder="1" applyProtection="1">
      <protection locked="0"/>
    </xf>
    <xf numFmtId="166" fontId="2" fillId="0" borderId="0" xfId="0" applyNumberFormat="1" applyFont="1" applyAlignment="1">
      <alignment horizontal="center"/>
    </xf>
    <xf numFmtId="10" fontId="2" fillId="0" borderId="0" xfId="3" applyNumberFormat="1" applyFont="1"/>
    <xf numFmtId="0" fontId="7" fillId="0" borderId="0" xfId="4"/>
    <xf numFmtId="0" fontId="8" fillId="0" borderId="0" xfId="4" applyFont="1" applyAlignment="1">
      <alignment horizontal="right"/>
    </xf>
    <xf numFmtId="0" fontId="7" fillId="0" borderId="0" xfId="4" applyFont="1" applyAlignment="1">
      <alignment horizontal="right"/>
    </xf>
    <xf numFmtId="167" fontId="7" fillId="0" borderId="0" xfId="4" applyNumberFormat="1" applyAlignment="1"/>
    <xf numFmtId="0" fontId="7" fillId="0" borderId="0" xfId="5"/>
    <xf numFmtId="0" fontId="8" fillId="0" borderId="0" xfId="5" applyFont="1"/>
    <xf numFmtId="0" fontId="7" fillId="0" borderId="0" xfId="4" applyFont="1"/>
    <xf numFmtId="167" fontId="7" fillId="0" borderId="0" xfId="5" applyNumberFormat="1" applyAlignment="1"/>
    <xf numFmtId="167" fontId="7" fillId="0" borderId="0" xfId="5" applyNumberFormat="1" applyFont="1" applyAlignment="1"/>
    <xf numFmtId="167" fontId="7" fillId="0" borderId="0" xfId="5" applyNumberFormat="1"/>
    <xf numFmtId="167" fontId="7" fillId="0" borderId="0" xfId="6" applyNumberFormat="1" applyFont="1" applyBorder="1" applyAlignment="1" applyProtection="1">
      <alignment horizontal="center"/>
    </xf>
    <xf numFmtId="0" fontId="7" fillId="0" borderId="0" xfId="5" applyFont="1" applyAlignment="1">
      <alignment horizontal="center"/>
    </xf>
    <xf numFmtId="0" fontId="7" fillId="0" borderId="2" xfId="5" applyFont="1" applyBorder="1" applyAlignment="1">
      <alignment horizontal="center"/>
    </xf>
    <xf numFmtId="167" fontId="10" fillId="0" borderId="0" xfId="6" quotePrefix="1" applyNumberFormat="1" applyFont="1" applyAlignment="1" applyProtection="1">
      <alignment horizontal="center"/>
    </xf>
    <xf numFmtId="167" fontId="7" fillId="0" borderId="0" xfId="5" applyNumberFormat="1" applyAlignment="1">
      <alignment horizontal="left"/>
    </xf>
    <xf numFmtId="167" fontId="7" fillId="0" borderId="0" xfId="5" applyNumberFormat="1" applyFont="1"/>
    <xf numFmtId="5" fontId="7" fillId="0" borderId="0" xfId="6" applyNumberFormat="1" applyFont="1" applyProtection="1"/>
    <xf numFmtId="5" fontId="7" fillId="0" borderId="0" xfId="5" applyNumberFormat="1"/>
    <xf numFmtId="5" fontId="7" fillId="0" borderId="0" xfId="1" applyNumberFormat="1" applyFont="1" applyProtection="1"/>
    <xf numFmtId="43" fontId="7" fillId="0" borderId="0" xfId="1" applyFont="1"/>
    <xf numFmtId="5" fontId="7" fillId="0" borderId="2" xfId="1" applyNumberFormat="1" applyFont="1" applyBorder="1" applyProtection="1"/>
    <xf numFmtId="43" fontId="7" fillId="0" borderId="2" xfId="1" applyFont="1" applyBorder="1"/>
    <xf numFmtId="5" fontId="7" fillId="0" borderId="2" xfId="5" applyNumberFormat="1" applyBorder="1"/>
    <xf numFmtId="5" fontId="7" fillId="0" borderId="0" xfId="1" applyNumberFormat="1" applyFont="1" applyBorder="1" applyProtection="1"/>
    <xf numFmtId="5" fontId="7" fillId="0" borderId="3" xfId="5" applyNumberFormat="1" applyBorder="1"/>
    <xf numFmtId="7" fontId="7" fillId="0" borderId="0" xfId="1" applyNumberFormat="1" applyFont="1" applyBorder="1" applyProtection="1"/>
    <xf numFmtId="3" fontId="7" fillId="0" borderId="0" xfId="1" applyNumberFormat="1" applyFont="1" applyBorder="1"/>
    <xf numFmtId="7" fontId="7" fillId="0" borderId="0" xfId="5" applyNumberFormat="1" applyBorder="1"/>
    <xf numFmtId="5" fontId="0" fillId="0" borderId="0" xfId="7" applyNumberFormat="1" applyFont="1"/>
    <xf numFmtId="5" fontId="7" fillId="0" borderId="3" xfId="6" applyNumberFormat="1" applyFont="1" applyBorder="1" applyAlignment="1" applyProtection="1">
      <alignment horizontal="right"/>
    </xf>
    <xf numFmtId="5" fontId="7" fillId="0" borderId="0" xfId="6" applyNumberFormat="1" applyFont="1" applyAlignment="1" applyProtection="1">
      <alignment horizontal="right"/>
    </xf>
    <xf numFmtId="5" fontId="7" fillId="0" borderId="2" xfId="6" applyNumberFormat="1" applyFont="1" applyBorder="1" applyProtection="1"/>
    <xf numFmtId="169" fontId="7" fillId="2" borderId="0" xfId="1" applyNumberFormat="1" applyFont="1" applyFill="1"/>
    <xf numFmtId="43" fontId="7" fillId="0" borderId="2" xfId="1" applyFont="1" applyBorder="1" applyProtection="1"/>
    <xf numFmtId="0" fontId="7" fillId="0" borderId="0" xfId="6" applyNumberFormat="1" applyFont="1" applyBorder="1" applyAlignment="1" applyProtection="1">
      <alignment horizontal="right"/>
    </xf>
    <xf numFmtId="3" fontId="7" fillId="0" borderId="0" xfId="5" applyNumberFormat="1"/>
    <xf numFmtId="5" fontId="7" fillId="0" borderId="4" xfId="6" applyNumberFormat="1" applyFont="1" applyBorder="1" applyProtection="1"/>
    <xf numFmtId="0" fontId="2" fillId="0" borderId="0" xfId="0" applyFont="1" applyAlignment="1"/>
    <xf numFmtId="0" fontId="11" fillId="0" borderId="0" xfId="0" applyFont="1" applyAlignment="1">
      <alignment horizontal="center"/>
    </xf>
    <xf numFmtId="43" fontId="0" fillId="0" borderId="2" xfId="1" applyFont="1" applyBorder="1"/>
    <xf numFmtId="43" fontId="0" fillId="0" borderId="0" xfId="1" applyFont="1" applyBorder="1"/>
    <xf numFmtId="0" fontId="0" fillId="0" borderId="0" xfId="0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70" fontId="0" fillId="0" borderId="0" xfId="0" applyNumberFormat="1" applyBorder="1"/>
    <xf numFmtId="170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44" fontId="0" fillId="0" borderId="0" xfId="2" applyNumberFormat="1" applyFont="1"/>
    <xf numFmtId="44" fontId="0" fillId="0" borderId="0" xfId="0" applyNumberFormat="1"/>
    <xf numFmtId="44" fontId="0" fillId="0" borderId="1" xfId="0" applyNumberFormat="1" applyBorder="1"/>
    <xf numFmtId="0" fontId="14" fillId="0" borderId="0" xfId="4" applyFont="1"/>
  </cellXfs>
  <cellStyles count="8">
    <cellStyle name="Comma" xfId="1" builtinId="3"/>
    <cellStyle name="Comma 2 2" xfId="7"/>
    <cellStyle name="Currency" xfId="2" builtinId="4"/>
    <cellStyle name="Normal" xfId="0" builtinId="0"/>
    <cellStyle name="Normal 2" xfId="4"/>
    <cellStyle name="Normal 2 2" xfId="5"/>
    <cellStyle name="Normal_F712MR99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Rate%20Increase%20Application/Exhibits/Seelye%20Exhibits/Exhibit_53_Copy_of_Proforma_Analysis_-_12_Mo_Test_Year_Revised_1222021_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%20PH%201%20Support%20Calc%20of%20Interest%20on%20C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0419 to 0320"/>
      <sheetName val="Income Statement"/>
      <sheetName val="Pro Forma Analysis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0"/>
      <sheetName val="2.11"/>
      <sheetName val="2.12"/>
      <sheetName val="2.13"/>
      <sheetName val="2.14"/>
      <sheetName val="2.15"/>
      <sheetName val="2.16"/>
      <sheetName val="2.17"/>
    </sheetNames>
    <sheetDataSet>
      <sheetData sheetId="0"/>
      <sheetData sheetId="1">
        <row r="18">
          <cell r="C18">
            <v>109771296.13</v>
          </cell>
        </row>
        <row r="19">
          <cell r="C19">
            <v>-74246944.129999995</v>
          </cell>
        </row>
        <row r="31">
          <cell r="C31">
            <v>9078214.3900000006</v>
          </cell>
        </row>
        <row r="32">
          <cell r="C32">
            <v>349207.44999999995</v>
          </cell>
        </row>
        <row r="33">
          <cell r="C33">
            <v>5529181.1900000004</v>
          </cell>
        </row>
        <row r="34">
          <cell r="C34">
            <v>45452.92</v>
          </cell>
        </row>
        <row r="35">
          <cell r="C35">
            <v>31996.45</v>
          </cell>
        </row>
      </sheetData>
      <sheetData sheetId="2"/>
      <sheetData sheetId="3">
        <row r="16">
          <cell r="J16">
            <v>243327.26666666666</v>
          </cell>
        </row>
      </sheetData>
      <sheetData sheetId="4">
        <row r="14">
          <cell r="J14">
            <v>45000</v>
          </cell>
        </row>
      </sheetData>
      <sheetData sheetId="5">
        <row r="12">
          <cell r="J12">
            <v>1427442.3599999999</v>
          </cell>
        </row>
      </sheetData>
      <sheetData sheetId="6">
        <row r="12">
          <cell r="J12">
            <v>13290</v>
          </cell>
        </row>
      </sheetData>
      <sheetData sheetId="7">
        <row r="16">
          <cell r="J16">
            <v>100906</v>
          </cell>
        </row>
      </sheetData>
      <sheetData sheetId="8">
        <row r="8">
          <cell r="J8">
            <v>-181483.87</v>
          </cell>
        </row>
      </sheetData>
      <sheetData sheetId="9"/>
      <sheetData sheetId="10">
        <row r="13">
          <cell r="J13">
            <v>285098.94</v>
          </cell>
        </row>
      </sheetData>
      <sheetData sheetId="11">
        <row r="20">
          <cell r="J20">
            <v>62000</v>
          </cell>
        </row>
      </sheetData>
      <sheetData sheetId="12"/>
      <sheetData sheetId="13">
        <row r="42">
          <cell r="K42">
            <v>521999.72339010017</v>
          </cell>
        </row>
      </sheetData>
      <sheetData sheetId="14">
        <row r="12">
          <cell r="J12">
            <v>186211</v>
          </cell>
        </row>
      </sheetData>
      <sheetData sheetId="15">
        <row r="12">
          <cell r="J12">
            <v>40500.49</v>
          </cell>
        </row>
      </sheetData>
      <sheetData sheetId="16">
        <row r="19">
          <cell r="J19">
            <v>24585.64</v>
          </cell>
        </row>
      </sheetData>
      <sheetData sheetId="17">
        <row r="22">
          <cell r="J22">
            <v>-1.0477378964424133E-9</v>
          </cell>
        </row>
      </sheetData>
      <sheetData sheetId="18">
        <row r="14">
          <cell r="J14">
            <v>-27307.29</v>
          </cell>
        </row>
      </sheetData>
      <sheetData sheetId="19">
        <row r="14">
          <cell r="J14">
            <v>17370.83947799704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G10" sqref="G10"/>
    </sheetView>
  </sheetViews>
  <sheetFormatPr defaultColWidth="9.109375" defaultRowHeight="13.2" x14ac:dyDescent="0.25"/>
  <cols>
    <col min="1" max="1" width="3.5546875" style="29" customWidth="1"/>
    <col min="2" max="2" width="40.5546875" style="29" customWidth="1"/>
    <col min="3" max="3" width="20.5546875" style="29" customWidth="1"/>
    <col min="4" max="4" width="15" style="29" bestFit="1" customWidth="1"/>
    <col min="5" max="5" width="18.33203125" style="29" customWidth="1"/>
    <col min="6" max="16384" width="9.109375" style="29"/>
  </cols>
  <sheetData>
    <row r="1" spans="1:8" x14ac:dyDescent="0.25">
      <c r="H1" s="30" t="s">
        <v>116</v>
      </c>
    </row>
    <row r="2" spans="1:8" x14ac:dyDescent="0.25">
      <c r="H2" s="31" t="s">
        <v>68</v>
      </c>
    </row>
    <row r="3" spans="1:8" x14ac:dyDescent="0.25">
      <c r="B3" s="32"/>
      <c r="H3" s="31" t="s">
        <v>69</v>
      </c>
    </row>
    <row r="4" spans="1:8" x14ac:dyDescent="0.25">
      <c r="A4" s="33"/>
      <c r="B4" s="34" t="s">
        <v>70</v>
      </c>
      <c r="C4" s="33"/>
      <c r="D4" s="33"/>
      <c r="E4" s="33"/>
      <c r="F4" s="82" t="s">
        <v>117</v>
      </c>
      <c r="G4" s="35"/>
    </row>
    <row r="5" spans="1:8" x14ac:dyDescent="0.25">
      <c r="A5" s="33"/>
      <c r="B5" s="36" t="s">
        <v>71</v>
      </c>
      <c r="C5" s="33"/>
      <c r="D5" s="33"/>
      <c r="E5" s="33"/>
      <c r="G5" s="35"/>
    </row>
    <row r="6" spans="1:8" x14ac:dyDescent="0.25">
      <c r="A6" s="33"/>
      <c r="B6" s="37" t="s">
        <v>72</v>
      </c>
      <c r="C6" s="33"/>
      <c r="D6" s="33"/>
      <c r="E6" s="33"/>
    </row>
    <row r="7" spans="1:8" x14ac:dyDescent="0.25">
      <c r="A7" s="38"/>
      <c r="B7" s="38"/>
      <c r="C7" s="39" t="s">
        <v>73</v>
      </c>
      <c r="D7" s="33"/>
      <c r="E7" s="40" t="s">
        <v>74</v>
      </c>
    </row>
    <row r="8" spans="1:8" x14ac:dyDescent="0.25">
      <c r="A8" s="38"/>
      <c r="B8" s="38" t="s">
        <v>75</v>
      </c>
      <c r="C8" s="40" t="s">
        <v>76</v>
      </c>
      <c r="D8" s="33"/>
      <c r="E8" s="40" t="s">
        <v>76</v>
      </c>
    </row>
    <row r="9" spans="1:8" x14ac:dyDescent="0.25">
      <c r="A9" s="38"/>
      <c r="B9" s="38"/>
      <c r="C9" s="41" t="s">
        <v>77</v>
      </c>
      <c r="D9" s="41" t="s">
        <v>78</v>
      </c>
      <c r="E9" s="41" t="s">
        <v>79</v>
      </c>
    </row>
    <row r="10" spans="1:8" x14ac:dyDescent="0.25">
      <c r="A10" s="38"/>
      <c r="B10" s="38"/>
      <c r="C10" s="42"/>
      <c r="D10" s="33"/>
      <c r="E10" s="33"/>
    </row>
    <row r="11" spans="1:8" x14ac:dyDescent="0.25">
      <c r="A11" s="43">
        <v>1</v>
      </c>
      <c r="B11" s="44" t="s">
        <v>80</v>
      </c>
      <c r="C11" s="45">
        <f>90567116.06+31775903.07</f>
        <v>122343019.13</v>
      </c>
      <c r="D11" s="46">
        <v>533835</v>
      </c>
      <c r="E11" s="46">
        <f>C11+D11</f>
        <v>122876854.13</v>
      </c>
    </row>
    <row r="12" spans="1:8" x14ac:dyDescent="0.25">
      <c r="A12" s="43">
        <v>2</v>
      </c>
      <c r="B12" s="44" t="s">
        <v>81</v>
      </c>
      <c r="C12" s="47">
        <v>-12128322</v>
      </c>
      <c r="D12" s="48">
        <v>0</v>
      </c>
      <c r="E12" s="46">
        <f t="shared" ref="E12:E13" si="0">C12+D12</f>
        <v>-12128322</v>
      </c>
    </row>
    <row r="13" spans="1:8" x14ac:dyDescent="0.25">
      <c r="A13" s="43">
        <v>3</v>
      </c>
      <c r="B13" s="44" t="s">
        <v>82</v>
      </c>
      <c r="C13" s="49">
        <v>-443401</v>
      </c>
      <c r="D13" s="50">
        <v>0</v>
      </c>
      <c r="E13" s="51">
        <f t="shared" si="0"/>
        <v>-443401</v>
      </c>
    </row>
    <row r="14" spans="1:8" x14ac:dyDescent="0.25">
      <c r="A14" s="43">
        <v>4</v>
      </c>
      <c r="B14" s="44" t="s">
        <v>83</v>
      </c>
      <c r="C14" s="52">
        <f>SUM(C11:C13)</f>
        <v>109771296.13</v>
      </c>
      <c r="D14" s="52">
        <f>SUM(D11:D13)</f>
        <v>533835</v>
      </c>
      <c r="E14" s="53">
        <f>SUM(E11:E13)</f>
        <v>110305131.13</v>
      </c>
    </row>
    <row r="15" spans="1:8" x14ac:dyDescent="0.25">
      <c r="A15" s="43"/>
      <c r="B15" s="44"/>
      <c r="C15" s="54"/>
      <c r="D15" s="55"/>
      <c r="E15" s="56"/>
    </row>
    <row r="16" spans="1:8" x14ac:dyDescent="0.25">
      <c r="A16" s="43">
        <v>5</v>
      </c>
      <c r="B16" s="44" t="s">
        <v>84</v>
      </c>
      <c r="C16" s="45">
        <f>64302004+22516663+C12+C13</f>
        <v>74246944</v>
      </c>
      <c r="D16" s="48">
        <v>0</v>
      </c>
      <c r="E16" s="46">
        <f t="shared" ref="E16:E22" si="1">C16+D16</f>
        <v>74246944</v>
      </c>
    </row>
    <row r="17" spans="1:5" x14ac:dyDescent="0.25">
      <c r="A17" s="43">
        <v>6</v>
      </c>
      <c r="B17" s="38" t="s">
        <v>85</v>
      </c>
      <c r="C17" s="45">
        <f>3070131.2+1189341.78</f>
        <v>4259472.9800000004</v>
      </c>
      <c r="D17" s="46">
        <f>41732-8100</f>
        <v>33632</v>
      </c>
      <c r="E17" s="46">
        <f t="shared" si="1"/>
        <v>4293104.9800000004</v>
      </c>
    </row>
    <row r="18" spans="1:5" x14ac:dyDescent="0.25">
      <c r="A18" s="43">
        <v>7</v>
      </c>
      <c r="B18" s="38" t="s">
        <v>86</v>
      </c>
      <c r="C18" s="45">
        <f>6465231.26+1945115.26</f>
        <v>8410346.5199999996</v>
      </c>
      <c r="D18" s="46">
        <f>125196-24300+451946</f>
        <v>552842</v>
      </c>
      <c r="E18" s="46">
        <f t="shared" si="1"/>
        <v>8963188.5199999996</v>
      </c>
    </row>
    <row r="19" spans="1:5" ht="14.4" x14ac:dyDescent="0.3">
      <c r="A19" s="43">
        <v>8</v>
      </c>
      <c r="B19" s="38" t="s">
        <v>87</v>
      </c>
      <c r="C19" s="45">
        <f>2888574.93-468827.46</f>
        <v>2419747.4700000002</v>
      </c>
      <c r="D19" s="57">
        <f>20866+1427442+100906-4050</f>
        <v>1545164</v>
      </c>
      <c r="E19" s="46">
        <f t="shared" si="1"/>
        <v>3964911.47</v>
      </c>
    </row>
    <row r="20" spans="1:5" x14ac:dyDescent="0.25">
      <c r="A20" s="43">
        <v>9</v>
      </c>
      <c r="B20" s="38" t="s">
        <v>88</v>
      </c>
      <c r="C20" s="45">
        <f>518561.4+171047.8</f>
        <v>689609.2</v>
      </c>
      <c r="D20" s="48">
        <v>0</v>
      </c>
      <c r="E20" s="46">
        <f t="shared" si="1"/>
        <v>689609.2</v>
      </c>
    </row>
    <row r="21" spans="1:5" x14ac:dyDescent="0.25">
      <c r="A21" s="43">
        <v>10</v>
      </c>
      <c r="B21" s="38" t="s">
        <v>89</v>
      </c>
      <c r="C21" s="45">
        <f>2190.12+10113.61</f>
        <v>12303.73</v>
      </c>
      <c r="D21" s="48">
        <v>0</v>
      </c>
      <c r="E21" s="46">
        <f t="shared" si="1"/>
        <v>12303.73</v>
      </c>
    </row>
    <row r="22" spans="1:5" x14ac:dyDescent="0.25">
      <c r="A22" s="43">
        <v>11</v>
      </c>
      <c r="B22" s="38" t="s">
        <v>90</v>
      </c>
      <c r="C22" s="45">
        <f>2983474.66+1099785.09</f>
        <v>4083259.75</v>
      </c>
      <c r="D22" s="51">
        <f>34667+20866+45000+13290+62000-186211-4050-24586</f>
        <v>-39024</v>
      </c>
      <c r="E22" s="51">
        <f t="shared" si="1"/>
        <v>4044235.75</v>
      </c>
    </row>
    <row r="23" spans="1:5" x14ac:dyDescent="0.25">
      <c r="A23" s="38"/>
      <c r="B23" s="38"/>
      <c r="C23" s="58"/>
      <c r="D23" s="46"/>
      <c r="E23" s="46"/>
    </row>
    <row r="24" spans="1:5" x14ac:dyDescent="0.25">
      <c r="A24" s="38"/>
      <c r="B24" s="38"/>
      <c r="C24" s="59"/>
      <c r="D24" s="46"/>
      <c r="E24" s="46"/>
    </row>
    <row r="25" spans="1:5" x14ac:dyDescent="0.25">
      <c r="A25" s="43">
        <v>12</v>
      </c>
      <c r="B25" s="38" t="s">
        <v>91</v>
      </c>
      <c r="C25" s="60">
        <f>SUM(C16:C22)</f>
        <v>94121683.650000006</v>
      </c>
      <c r="D25" s="60">
        <f>SUM(D16:D22)</f>
        <v>2092614</v>
      </c>
      <c r="E25" s="60">
        <f>SUM(E16:E22)</f>
        <v>96214297.650000006</v>
      </c>
    </row>
    <row r="26" spans="1:5" x14ac:dyDescent="0.25">
      <c r="A26" s="38"/>
      <c r="B26" s="38"/>
      <c r="C26" s="59"/>
      <c r="D26" s="46"/>
      <c r="E26" s="46"/>
    </row>
    <row r="27" spans="1:5" x14ac:dyDescent="0.25">
      <c r="A27" s="38"/>
      <c r="B27" s="38"/>
      <c r="C27" s="59"/>
      <c r="D27" s="46"/>
      <c r="E27" s="46"/>
    </row>
    <row r="28" spans="1:5" x14ac:dyDescent="0.25">
      <c r="A28" s="38">
        <v>13</v>
      </c>
      <c r="B28" s="44" t="s">
        <v>92</v>
      </c>
      <c r="C28" s="45">
        <f>6781468.14+2296746.25</f>
        <v>9078214.3900000006</v>
      </c>
      <c r="D28" s="46">
        <v>522000</v>
      </c>
      <c r="E28" s="46">
        <f>C28+D28</f>
        <v>9600214.3900000006</v>
      </c>
    </row>
    <row r="29" spans="1:5" x14ac:dyDescent="0.25">
      <c r="A29" s="38">
        <v>14</v>
      </c>
      <c r="B29" s="38" t="s">
        <v>93</v>
      </c>
      <c r="C29" s="45">
        <f>124223.58+43500</f>
        <v>167723.58000000002</v>
      </c>
      <c r="D29" s="46">
        <v>17370.84</v>
      </c>
      <c r="E29" s="46">
        <f t="shared" ref="E29:E33" si="2">C29+D29</f>
        <v>185094.42</v>
      </c>
    </row>
    <row r="30" spans="1:5" x14ac:dyDescent="0.25">
      <c r="A30" s="38">
        <v>15</v>
      </c>
      <c r="B30" s="38" t="s">
        <v>94</v>
      </c>
      <c r="C30" s="45">
        <f>181483.87+0</f>
        <v>181483.87</v>
      </c>
      <c r="D30" s="46">
        <v>-181483.87</v>
      </c>
      <c r="E30" s="48">
        <f t="shared" si="2"/>
        <v>0</v>
      </c>
    </row>
    <row r="31" spans="1:5" x14ac:dyDescent="0.25">
      <c r="A31" s="38">
        <v>16</v>
      </c>
      <c r="B31" s="38" t="s">
        <v>95</v>
      </c>
      <c r="C31" s="45">
        <f>4169007.37+1360173.82</f>
        <v>5529181.1900000004</v>
      </c>
      <c r="D31" s="46">
        <v>285099</v>
      </c>
      <c r="E31" s="46">
        <f t="shared" si="2"/>
        <v>5814280.1900000004</v>
      </c>
    </row>
    <row r="32" spans="1:5" x14ac:dyDescent="0.25">
      <c r="A32" s="38">
        <v>18</v>
      </c>
      <c r="B32" s="38" t="s">
        <v>96</v>
      </c>
      <c r="C32" s="45">
        <f>43236.31+2216.61</f>
        <v>45452.92</v>
      </c>
      <c r="D32" s="48">
        <v>0</v>
      </c>
      <c r="E32" s="46">
        <f t="shared" si="2"/>
        <v>45452.92</v>
      </c>
    </row>
    <row r="33" spans="1:5" x14ac:dyDescent="0.25">
      <c r="A33" s="38">
        <v>19</v>
      </c>
      <c r="B33" s="38" t="s">
        <v>97</v>
      </c>
      <c r="C33" s="60">
        <f>24006.5+7989.95</f>
        <v>31996.45</v>
      </c>
      <c r="D33" s="51">
        <v>-27307</v>
      </c>
      <c r="E33" s="51">
        <f t="shared" si="2"/>
        <v>4689.4500000000007</v>
      </c>
    </row>
    <row r="34" spans="1:5" x14ac:dyDescent="0.25">
      <c r="A34" s="38"/>
      <c r="B34" s="38"/>
      <c r="C34" s="59"/>
      <c r="D34" s="46"/>
      <c r="E34" s="46"/>
    </row>
    <row r="35" spans="1:5" x14ac:dyDescent="0.25">
      <c r="A35" s="38">
        <v>20</v>
      </c>
      <c r="B35" s="38" t="s">
        <v>98</v>
      </c>
      <c r="C35" s="60">
        <f>SUM(C25:C33)</f>
        <v>109155736.05000001</v>
      </c>
      <c r="D35" s="60">
        <f>SUM(D25:D33)</f>
        <v>2708292.9699999997</v>
      </c>
      <c r="E35" s="60">
        <f>SUM(E25:E33)</f>
        <v>111864029.02000001</v>
      </c>
    </row>
    <row r="36" spans="1:5" x14ac:dyDescent="0.25">
      <c r="A36" s="38"/>
      <c r="B36" s="38"/>
      <c r="C36" s="59"/>
      <c r="D36" s="46"/>
      <c r="E36" s="46"/>
    </row>
    <row r="37" spans="1:5" x14ac:dyDescent="0.25">
      <c r="A37" s="38"/>
      <c r="B37" s="38"/>
      <c r="C37" s="59"/>
      <c r="D37" s="46"/>
      <c r="E37" s="46"/>
    </row>
    <row r="38" spans="1:5" x14ac:dyDescent="0.25">
      <c r="A38" s="38">
        <v>21</v>
      </c>
      <c r="B38" s="38" t="s">
        <v>99</v>
      </c>
      <c r="C38" s="60">
        <f>+C14-C35</f>
        <v>615560.07999998331</v>
      </c>
      <c r="D38" s="60">
        <f>+D14-D35</f>
        <v>-2174457.9699999997</v>
      </c>
      <c r="E38" s="60">
        <f>+E14-E35</f>
        <v>-1558897.8900000155</v>
      </c>
    </row>
    <row r="39" spans="1:5" x14ac:dyDescent="0.25">
      <c r="A39" s="38"/>
      <c r="B39" s="38"/>
      <c r="C39" s="59"/>
      <c r="D39" s="46"/>
      <c r="E39" s="46"/>
    </row>
    <row r="40" spans="1:5" x14ac:dyDescent="0.25">
      <c r="A40" s="38"/>
      <c r="B40" s="38"/>
      <c r="C40" s="59"/>
      <c r="D40" s="46"/>
      <c r="E40" s="46"/>
    </row>
    <row r="41" spans="1:5" x14ac:dyDescent="0.25">
      <c r="A41" s="38">
        <v>22</v>
      </c>
      <c r="B41" s="38" t="s">
        <v>100</v>
      </c>
      <c r="C41" s="45">
        <f>1293406.19+390329.79</f>
        <v>1683735.98</v>
      </c>
      <c r="D41" s="61">
        <f>-1416560.84+805739.53</f>
        <v>-610821.31000000006</v>
      </c>
      <c r="E41" s="46">
        <f>C41+D41</f>
        <v>1072914.67</v>
      </c>
    </row>
    <row r="42" spans="1:5" x14ac:dyDescent="0.25">
      <c r="A42" s="38">
        <v>25</v>
      </c>
      <c r="B42" s="38" t="s">
        <v>101</v>
      </c>
      <c r="C42" s="45">
        <f>128770.87-13564.93</f>
        <v>115205.94</v>
      </c>
      <c r="D42" s="48">
        <v>0</v>
      </c>
      <c r="E42" s="46">
        <f t="shared" ref="E42:E45" si="3">C42+D42</f>
        <v>115205.94</v>
      </c>
    </row>
    <row r="43" spans="1:5" x14ac:dyDescent="0.25">
      <c r="A43" s="38">
        <v>26</v>
      </c>
      <c r="B43" s="38" t="s">
        <v>102</v>
      </c>
      <c r="C43" s="45">
        <f>-19754.35+5108607</f>
        <v>5088852.6500000004</v>
      </c>
      <c r="D43" s="48">
        <v>0</v>
      </c>
      <c r="E43" s="46">
        <f t="shared" si="3"/>
        <v>5088852.6500000004</v>
      </c>
    </row>
    <row r="44" spans="1:5" x14ac:dyDescent="0.25">
      <c r="A44" s="38">
        <v>27</v>
      </c>
      <c r="B44" s="38" t="s">
        <v>103</v>
      </c>
      <c r="C44" s="45">
        <f>59168.63+76383.62</f>
        <v>135552.25</v>
      </c>
      <c r="D44" s="48">
        <v>0</v>
      </c>
      <c r="E44" s="46">
        <f t="shared" si="3"/>
        <v>135552.25</v>
      </c>
    </row>
    <row r="45" spans="1:5" x14ac:dyDescent="0.25">
      <c r="A45" s="38">
        <v>28</v>
      </c>
      <c r="B45" s="38" t="s">
        <v>104</v>
      </c>
      <c r="C45" s="62">
        <v>0</v>
      </c>
      <c r="D45" s="50">
        <v>0</v>
      </c>
      <c r="E45" s="50">
        <f t="shared" si="3"/>
        <v>0</v>
      </c>
    </row>
    <row r="46" spans="1:5" x14ac:dyDescent="0.25">
      <c r="A46" s="38"/>
      <c r="B46" s="38"/>
      <c r="C46" s="63"/>
      <c r="D46" s="64"/>
      <c r="E46" s="33"/>
    </row>
    <row r="47" spans="1:5" ht="13.8" thickBot="1" x14ac:dyDescent="0.3">
      <c r="A47" s="38">
        <v>29</v>
      </c>
      <c r="B47" s="38" t="s">
        <v>105</v>
      </c>
      <c r="C47" s="65">
        <f>SUM(C38:C46)</f>
        <v>7638906.8999999836</v>
      </c>
      <c r="D47" s="65">
        <f>SUM(D38:D46)</f>
        <v>-2785279.28</v>
      </c>
      <c r="E47" s="65">
        <f>SUM(E38:E46)</f>
        <v>4853627.6199999852</v>
      </c>
    </row>
    <row r="48" spans="1:5" ht="13.8" thickTop="1" x14ac:dyDescent="0.25"/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="80" zoomScaleNormal="80" workbookViewId="0">
      <selection activeCell="M3" sqref="M3"/>
    </sheetView>
  </sheetViews>
  <sheetFormatPr defaultColWidth="9.109375" defaultRowHeight="15" x14ac:dyDescent="0.25"/>
  <cols>
    <col min="1" max="1" width="6.109375" style="1" customWidth="1"/>
    <col min="2" max="2" width="53.5546875" style="1" customWidth="1"/>
    <col min="3" max="3" width="15" style="1" customWidth="1"/>
    <col min="4" max="4" width="17" style="1" customWidth="1"/>
    <col min="5" max="5" width="15.109375" style="1" customWidth="1"/>
    <col min="6" max="6" width="16.88671875" style="1" customWidth="1"/>
    <col min="7" max="7" width="15.109375" style="1" customWidth="1"/>
    <col min="8" max="8" width="12.6640625" style="1" customWidth="1"/>
    <col min="9" max="10" width="15.109375" style="1" customWidth="1"/>
    <col min="11" max="11" width="13.33203125" style="1" customWidth="1"/>
    <col min="12" max="12" width="15" style="1" bestFit="1" customWidth="1"/>
    <col min="13" max="13" width="15.109375" style="1" customWidth="1"/>
    <col min="14" max="14" width="16.88671875" style="1" customWidth="1"/>
    <col min="15" max="15" width="16.109375" style="1" customWidth="1"/>
    <col min="16" max="16" width="9.109375" style="1"/>
    <col min="17" max="17" width="16.109375" style="1" bestFit="1" customWidth="1"/>
    <col min="18" max="16384" width="9.109375" style="1"/>
  </cols>
  <sheetData>
    <row r="1" spans="1:17" ht="15.6" x14ac:dyDescent="0.3">
      <c r="M1" s="12" t="s">
        <v>114</v>
      </c>
      <c r="N1" s="2" t="s">
        <v>0</v>
      </c>
    </row>
    <row r="2" spans="1:17" ht="15.6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x14ac:dyDescent="0.25">
      <c r="M3" s="12" t="s">
        <v>115</v>
      </c>
    </row>
    <row r="4" spans="1:17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7" ht="15.6" x14ac:dyDescent="0.3">
      <c r="N7" s="6" t="s">
        <v>4</v>
      </c>
    </row>
    <row r="8" spans="1:17" ht="15.6" x14ac:dyDescent="0.3">
      <c r="C8" s="6"/>
      <c r="D8" s="6"/>
      <c r="E8" s="6" t="s">
        <v>5</v>
      </c>
      <c r="F8" s="6" t="s">
        <v>6</v>
      </c>
      <c r="G8" s="6"/>
      <c r="H8" s="6"/>
      <c r="I8" s="6" t="s">
        <v>7</v>
      </c>
      <c r="J8" s="6" t="s">
        <v>8</v>
      </c>
      <c r="K8" s="6"/>
      <c r="L8" s="6"/>
      <c r="M8" s="6" t="s">
        <v>9</v>
      </c>
      <c r="N8" s="6" t="s">
        <v>10</v>
      </c>
    </row>
    <row r="9" spans="1:17" ht="15.6" x14ac:dyDescent="0.3">
      <c r="C9" s="6" t="s">
        <v>11</v>
      </c>
      <c r="D9" s="6"/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</row>
    <row r="10" spans="1:17" ht="15.6" x14ac:dyDescent="0.3">
      <c r="C10" s="6" t="s">
        <v>22</v>
      </c>
      <c r="D10" s="6" t="s">
        <v>23</v>
      </c>
      <c r="E10" s="6" t="s">
        <v>24</v>
      </c>
      <c r="F10" s="6" t="s">
        <v>24</v>
      </c>
      <c r="G10" s="6" t="s">
        <v>24</v>
      </c>
      <c r="H10" s="6" t="s">
        <v>25</v>
      </c>
      <c r="I10" s="6" t="s">
        <v>26</v>
      </c>
      <c r="J10" s="6" t="s">
        <v>27</v>
      </c>
      <c r="K10" s="6" t="s">
        <v>28</v>
      </c>
      <c r="L10" s="6" t="s">
        <v>29</v>
      </c>
      <c r="M10" s="6" t="s">
        <v>26</v>
      </c>
      <c r="N10" s="6" t="s">
        <v>30</v>
      </c>
    </row>
    <row r="11" spans="1:17" ht="15.6" x14ac:dyDescent="0.3">
      <c r="C11" s="7" t="s">
        <v>31</v>
      </c>
      <c r="D11" s="7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38</v>
      </c>
      <c r="K11" s="7" t="s">
        <v>39</v>
      </c>
      <c r="L11" s="7" t="s">
        <v>40</v>
      </c>
      <c r="M11" s="7" t="s">
        <v>41</v>
      </c>
      <c r="N11" s="7" t="s">
        <v>42</v>
      </c>
    </row>
    <row r="13" spans="1:17" ht="15.6" x14ac:dyDescent="0.3">
      <c r="A13" s="5">
        <v>1</v>
      </c>
      <c r="B13" s="8" t="s">
        <v>43</v>
      </c>
      <c r="C13" s="9">
        <v>1</v>
      </c>
      <c r="D13" s="10">
        <f>'[1]Income Statement'!C18</f>
        <v>109771296.13</v>
      </c>
      <c r="E13" s="10">
        <f>-'[1]Income Statement'!C19</f>
        <v>74246944.129999995</v>
      </c>
      <c r="F13" s="10">
        <v>19874740</v>
      </c>
      <c r="G13" s="10">
        <f>'[1]Income Statement'!C31</f>
        <v>9078214.3900000006</v>
      </c>
      <c r="H13" s="10">
        <f>'[1]Income Statement'!C32</f>
        <v>349207.44999999995</v>
      </c>
      <c r="I13" s="11">
        <f>D13-SUM(E13:H13)</f>
        <v>6222190.1599999964</v>
      </c>
      <c r="J13" s="11">
        <f>'[1]Income Statement'!C33</f>
        <v>5529181.1900000004</v>
      </c>
      <c r="K13" s="11">
        <f>'[1]Income Statement'!C34</f>
        <v>45452.92</v>
      </c>
      <c r="L13" s="11">
        <f>'[1]Income Statement'!C35</f>
        <v>31996.45</v>
      </c>
      <c r="M13" s="11">
        <f>I13-SUM(J13:L13)</f>
        <v>615559.5999999959</v>
      </c>
      <c r="N13" s="9">
        <f>(M13+J13)/J13</f>
        <v>1.1113292509048696</v>
      </c>
      <c r="Q13" s="11"/>
    </row>
    <row r="14" spans="1:17" x14ac:dyDescent="0.25">
      <c r="A14" s="5"/>
      <c r="N14" s="5"/>
    </row>
    <row r="15" spans="1:17" ht="15.6" x14ac:dyDescent="0.3">
      <c r="A15" s="5">
        <v>2</v>
      </c>
      <c r="B15" s="8" t="s">
        <v>44</v>
      </c>
      <c r="I15" s="11"/>
      <c r="M15" s="11"/>
      <c r="N15" s="5"/>
    </row>
    <row r="16" spans="1:17" x14ac:dyDescent="0.25">
      <c r="A16" s="5"/>
      <c r="N16" s="5"/>
    </row>
    <row r="17" spans="1:20" x14ac:dyDescent="0.25">
      <c r="A17" s="5">
        <v>3</v>
      </c>
      <c r="B17" s="1" t="s">
        <v>45</v>
      </c>
      <c r="C17" s="5">
        <v>2.0099999999999998</v>
      </c>
      <c r="F17" s="10">
        <f>'[1]2.01'!J16</f>
        <v>243327.26666666666</v>
      </c>
      <c r="I17" s="11">
        <f t="shared" ref="I17" si="0">D17-SUM(E17:H17)</f>
        <v>-243327.26666666666</v>
      </c>
      <c r="M17" s="11">
        <f t="shared" ref="M17" si="1">I17-SUM(J17:L17)</f>
        <v>-243327.26666666666</v>
      </c>
      <c r="N17" s="5"/>
      <c r="T17" s="12"/>
    </row>
    <row r="18" spans="1:20" x14ac:dyDescent="0.25">
      <c r="A18" s="5"/>
      <c r="N18" s="5"/>
    </row>
    <row r="19" spans="1:20" x14ac:dyDescent="0.25">
      <c r="A19" s="5">
        <v>4</v>
      </c>
      <c r="B19" s="1" t="s">
        <v>46</v>
      </c>
      <c r="C19" s="5">
        <v>2.02</v>
      </c>
      <c r="F19" s="10">
        <f>'[1]2.02'!J14</f>
        <v>45000</v>
      </c>
      <c r="I19" s="11">
        <f t="shared" ref="I19" si="2">D19-SUM(E19:H19)</f>
        <v>-45000</v>
      </c>
      <c r="M19" s="11">
        <f t="shared" ref="M19" si="3">I19-SUM(J19:L19)</f>
        <v>-45000</v>
      </c>
      <c r="N19" s="5"/>
    </row>
    <row r="20" spans="1:20" x14ac:dyDescent="0.25">
      <c r="A20" s="5"/>
      <c r="C20" s="5"/>
      <c r="N20" s="5"/>
    </row>
    <row r="21" spans="1:20" x14ac:dyDescent="0.25">
      <c r="A21" s="5">
        <v>5</v>
      </c>
      <c r="B21" s="1" t="s">
        <v>47</v>
      </c>
      <c r="C21" s="5">
        <v>2.0299999999999998</v>
      </c>
      <c r="D21" s="13"/>
      <c r="F21" s="14">
        <f>'[1]2.03'!J12</f>
        <v>1427442.3599999999</v>
      </c>
      <c r="I21" s="11">
        <f>D21-SUM(E21:H21)</f>
        <v>-1427442.3599999999</v>
      </c>
      <c r="M21" s="11">
        <f t="shared" ref="M21" si="4">I21-SUM(J21:L21)</f>
        <v>-1427442.3599999999</v>
      </c>
      <c r="N21" s="5"/>
      <c r="T21" s="12"/>
    </row>
    <row r="22" spans="1:20" x14ac:dyDescent="0.25">
      <c r="A22" s="5"/>
      <c r="N22" s="5"/>
    </row>
    <row r="23" spans="1:20" x14ac:dyDescent="0.25">
      <c r="A23" s="5">
        <v>6</v>
      </c>
      <c r="B23" s="1" t="s">
        <v>48</v>
      </c>
      <c r="C23" s="5">
        <v>2.04</v>
      </c>
      <c r="F23" s="10">
        <f>'[1]2.04'!J12</f>
        <v>13290</v>
      </c>
      <c r="I23" s="11">
        <f>D23-SUM(E23:H23)</f>
        <v>-13290</v>
      </c>
      <c r="M23" s="11">
        <f t="shared" ref="M23" si="5">I23-SUM(J23:L23)</f>
        <v>-13290</v>
      </c>
      <c r="N23" s="5"/>
      <c r="T23" s="12"/>
    </row>
    <row r="24" spans="1:20" x14ac:dyDescent="0.25">
      <c r="A24" s="5"/>
      <c r="I24" s="11"/>
      <c r="N24" s="5"/>
    </row>
    <row r="25" spans="1:20" x14ac:dyDescent="0.25">
      <c r="A25" s="5">
        <v>7</v>
      </c>
      <c r="B25" s="15" t="s">
        <v>49</v>
      </c>
      <c r="C25" s="5">
        <v>2.0499999999999998</v>
      </c>
      <c r="F25" s="11">
        <f>'[1]2.05'!J16</f>
        <v>100906</v>
      </c>
      <c r="I25" s="11">
        <f t="shared" ref="I25" si="6">D25-SUM(E25:H25)</f>
        <v>-100906</v>
      </c>
      <c r="M25" s="11">
        <f t="shared" ref="M25" si="7">I25-SUM(J25:L25)</f>
        <v>-100906</v>
      </c>
      <c r="N25" s="5"/>
      <c r="T25" s="12"/>
    </row>
    <row r="26" spans="1:20" x14ac:dyDescent="0.25">
      <c r="A26" s="5"/>
      <c r="C26" s="5"/>
      <c r="N26" s="5"/>
    </row>
    <row r="27" spans="1:20" x14ac:dyDescent="0.25">
      <c r="A27" s="5">
        <v>8</v>
      </c>
      <c r="B27" s="15" t="s">
        <v>50</v>
      </c>
      <c r="C27" s="5">
        <v>2.06</v>
      </c>
      <c r="H27" s="10">
        <f>'[1]2.06'!J8</f>
        <v>-181483.87</v>
      </c>
      <c r="I27" s="11">
        <f t="shared" ref="I27" si="8">D27-SUM(E27:H27)</f>
        <v>181483.87</v>
      </c>
      <c r="M27" s="11">
        <f t="shared" ref="M27" si="9">I27-SUM(J27:L27)</f>
        <v>181483.87</v>
      </c>
      <c r="N27" s="5"/>
    </row>
    <row r="28" spans="1:20" x14ac:dyDescent="0.25">
      <c r="A28" s="5"/>
      <c r="N28" s="5"/>
    </row>
    <row r="29" spans="1:20" x14ac:dyDescent="0.25">
      <c r="A29" s="5">
        <v>9</v>
      </c>
      <c r="B29" s="15" t="s">
        <v>51</v>
      </c>
      <c r="C29" s="5">
        <v>2.0699999999999998</v>
      </c>
      <c r="D29" s="16">
        <f>-1416560.84+805739.53</f>
        <v>-610821.31000000006</v>
      </c>
      <c r="I29" s="17">
        <f t="shared" ref="I29" si="10">D29-SUM(E29:H29)</f>
        <v>-610821.31000000006</v>
      </c>
      <c r="M29" s="18">
        <f>I29</f>
        <v>-610821.31000000006</v>
      </c>
    </row>
    <row r="30" spans="1:20" x14ac:dyDescent="0.25">
      <c r="A30" s="5"/>
      <c r="C30" s="5"/>
      <c r="N30" s="5"/>
    </row>
    <row r="31" spans="1:20" x14ac:dyDescent="0.25">
      <c r="A31" s="5">
        <v>10</v>
      </c>
      <c r="B31" s="1" t="s">
        <v>52</v>
      </c>
      <c r="C31" s="5">
        <v>2.08</v>
      </c>
      <c r="I31" s="19">
        <f t="shared" ref="I31" si="11">D31-SUM(E31:H31)</f>
        <v>0</v>
      </c>
      <c r="J31" s="20">
        <f>'[1]2.08'!J13</f>
        <v>285098.94</v>
      </c>
      <c r="M31" s="11">
        <f t="shared" ref="M31" si="12">I31-SUM(J31:L31)</f>
        <v>-285098.94</v>
      </c>
      <c r="N31" s="5"/>
      <c r="T31" s="12"/>
    </row>
    <row r="32" spans="1:20" x14ac:dyDescent="0.25">
      <c r="A32" s="5"/>
      <c r="N32" s="5"/>
    </row>
    <row r="33" spans="1:20" x14ac:dyDescent="0.25">
      <c r="A33" s="5">
        <v>11</v>
      </c>
      <c r="B33" s="1" t="s">
        <v>53</v>
      </c>
      <c r="C33" s="5">
        <v>2.09</v>
      </c>
      <c r="F33" s="14">
        <f>'[1]2.09'!J20</f>
        <v>62000</v>
      </c>
      <c r="I33" s="11">
        <f t="shared" ref="I33" si="13">D33-SUM(E33:H33)</f>
        <v>-62000</v>
      </c>
      <c r="M33" s="11">
        <f t="shared" ref="M33" si="14">I33-SUM(J33:L33)</f>
        <v>-62000</v>
      </c>
      <c r="N33" s="5"/>
      <c r="T33" s="12"/>
    </row>
    <row r="34" spans="1:20" x14ac:dyDescent="0.25">
      <c r="A34" s="5"/>
      <c r="C34" s="5"/>
      <c r="F34" s="11"/>
      <c r="N34" s="5"/>
    </row>
    <row r="35" spans="1:20" x14ac:dyDescent="0.25">
      <c r="A35" s="5">
        <v>12</v>
      </c>
      <c r="B35" s="1" t="s">
        <v>54</v>
      </c>
      <c r="C35" s="9">
        <v>2.1</v>
      </c>
      <c r="D35" s="21">
        <v>533834.87053623947</v>
      </c>
      <c r="F35" s="11">
        <v>451946</v>
      </c>
      <c r="I35" s="11">
        <f t="shared" ref="I35" si="15">D35-SUM(E35:H35)</f>
        <v>81888.870536239468</v>
      </c>
      <c r="M35" s="11">
        <f t="shared" ref="M35" si="16">I35-SUM(J35:L35)</f>
        <v>81888.870536239468</v>
      </c>
      <c r="N35" s="5"/>
    </row>
    <row r="36" spans="1:20" x14ac:dyDescent="0.25">
      <c r="A36" s="5"/>
      <c r="C36" s="9"/>
      <c r="F36" s="11"/>
      <c r="N36" s="5"/>
    </row>
    <row r="37" spans="1:20" x14ac:dyDescent="0.25">
      <c r="A37" s="5">
        <v>13</v>
      </c>
      <c r="B37" s="1" t="s">
        <v>55</v>
      </c>
      <c r="C37" s="9">
        <v>2.11</v>
      </c>
      <c r="F37" s="11"/>
      <c r="G37" s="11">
        <f>'[1]2.11'!K42</f>
        <v>521999.72339010017</v>
      </c>
      <c r="I37" s="11">
        <f t="shared" ref="I37" si="17">D37-SUM(E37:H37)</f>
        <v>-521999.72339010017</v>
      </c>
      <c r="M37" s="11">
        <f t="shared" ref="M37" si="18">I37-SUM(J37:L37)</f>
        <v>-521999.72339010017</v>
      </c>
      <c r="N37" s="5"/>
      <c r="T37" s="12"/>
    </row>
    <row r="38" spans="1:20" x14ac:dyDescent="0.25">
      <c r="A38" s="5"/>
      <c r="C38" s="9"/>
      <c r="F38" s="11"/>
      <c r="N38" s="5"/>
    </row>
    <row r="39" spans="1:20" x14ac:dyDescent="0.25">
      <c r="A39" s="5">
        <v>14</v>
      </c>
      <c r="B39" s="1" t="s">
        <v>56</v>
      </c>
      <c r="C39" s="9">
        <v>2.12</v>
      </c>
      <c r="F39" s="14">
        <f>-'[1]2.12'!J12</f>
        <v>-186211</v>
      </c>
      <c r="I39" s="11">
        <f t="shared" ref="I39" si="19">D39-SUM(E39:H39)</f>
        <v>186211</v>
      </c>
      <c r="M39" s="11">
        <f t="shared" ref="M39" si="20">I39-SUM(J39:L39)</f>
        <v>186211</v>
      </c>
      <c r="N39" s="5" t="s">
        <v>57</v>
      </c>
    </row>
    <row r="40" spans="1:20" x14ac:dyDescent="0.25">
      <c r="A40" s="5"/>
      <c r="C40" s="9"/>
      <c r="F40" s="11"/>
      <c r="N40" s="5"/>
    </row>
    <row r="41" spans="1:20" x14ac:dyDescent="0.25">
      <c r="A41" s="5">
        <v>15</v>
      </c>
      <c r="B41" s="1" t="s">
        <v>58</v>
      </c>
      <c r="C41" s="9">
        <v>2.13</v>
      </c>
      <c r="F41" s="11">
        <f>-'[1]2.13'!J12</f>
        <v>-40500.49</v>
      </c>
      <c r="I41" s="11">
        <f t="shared" ref="I41" si="21">D41-SUM(E41:H41)</f>
        <v>40500.49</v>
      </c>
      <c r="M41" s="11">
        <f t="shared" ref="M41" si="22">I41-SUM(J41:L41)</f>
        <v>40500.49</v>
      </c>
      <c r="N41" s="5"/>
    </row>
    <row r="42" spans="1:20" x14ac:dyDescent="0.25">
      <c r="A42" s="5"/>
      <c r="F42" s="11"/>
      <c r="N42" s="5"/>
    </row>
    <row r="43" spans="1:20" x14ac:dyDescent="0.25">
      <c r="A43" s="5">
        <v>16</v>
      </c>
      <c r="B43" s="1" t="s">
        <v>59</v>
      </c>
      <c r="C43" s="5">
        <v>2.14</v>
      </c>
      <c r="F43" s="11">
        <f>-'[1]2.14'!J19</f>
        <v>-24585.64</v>
      </c>
      <c r="I43" s="11">
        <f t="shared" ref="I43" si="23">D43-SUM(E43:H43)</f>
        <v>24585.64</v>
      </c>
      <c r="M43" s="11">
        <f t="shared" ref="M43" si="24">I43-SUM(J43:L43)</f>
        <v>24585.64</v>
      </c>
      <c r="N43" s="5"/>
    </row>
    <row r="44" spans="1:20" x14ac:dyDescent="0.25">
      <c r="N44" s="5"/>
    </row>
    <row r="45" spans="1:20" x14ac:dyDescent="0.25">
      <c r="A45" s="5">
        <v>17</v>
      </c>
      <c r="B45" s="1" t="s">
        <v>60</v>
      </c>
      <c r="C45" s="5">
        <v>2.15</v>
      </c>
      <c r="D45" s="22">
        <f>'[1]2.15'!J22</f>
        <v>-1.0477378964424133E-9</v>
      </c>
      <c r="I45" s="11">
        <f t="shared" ref="I45" si="25">D45-SUM(E45:H45)</f>
        <v>-1.0477378964424133E-9</v>
      </c>
      <c r="M45" s="11">
        <f t="shared" ref="M45" si="26">I45-SUM(J45:L45)</f>
        <v>-1.0477378964424133E-9</v>
      </c>
      <c r="N45" s="5"/>
    </row>
    <row r="46" spans="1:20" x14ac:dyDescent="0.25">
      <c r="A46" s="5"/>
      <c r="N46" s="5"/>
    </row>
    <row r="47" spans="1:20" x14ac:dyDescent="0.25">
      <c r="A47" s="5">
        <v>18</v>
      </c>
      <c r="B47" s="1" t="s">
        <v>61</v>
      </c>
      <c r="C47" s="5">
        <v>2.16</v>
      </c>
      <c r="I47" s="19">
        <f t="shared" ref="I47:I51" si="27">D47-SUM(E47:H47)</f>
        <v>0</v>
      </c>
      <c r="L47" s="11">
        <f>'[1]2.16'!J14</f>
        <v>-27307.29</v>
      </c>
      <c r="M47" s="11">
        <f t="shared" ref="M47:M51" si="28">I47-SUM(J47:L47)</f>
        <v>27307.29</v>
      </c>
      <c r="N47" s="5"/>
    </row>
    <row r="48" spans="1:20" x14ac:dyDescent="0.25">
      <c r="A48" s="5"/>
      <c r="N48" s="5"/>
    </row>
    <row r="49" spans="1:17" x14ac:dyDescent="0.25">
      <c r="A49" s="5">
        <v>19</v>
      </c>
      <c r="B49" s="1" t="s">
        <v>62</v>
      </c>
      <c r="D49" s="23">
        <f>SUM(D17:D47)</f>
        <v>-76986.439463761635</v>
      </c>
      <c r="E49" s="23">
        <f t="shared" ref="E49:L49" si="29">SUM(E17:E47)</f>
        <v>0</v>
      </c>
      <c r="F49" s="23">
        <f t="shared" si="29"/>
        <v>2092614.4966666664</v>
      </c>
      <c r="G49" s="23">
        <f t="shared" si="29"/>
        <v>521999.72339010017</v>
      </c>
      <c r="H49" s="23">
        <f t="shared" si="29"/>
        <v>-181483.87</v>
      </c>
      <c r="I49" s="23">
        <f t="shared" si="27"/>
        <v>-2510116.7895205282</v>
      </c>
      <c r="J49" s="23">
        <f t="shared" si="29"/>
        <v>285098.94</v>
      </c>
      <c r="K49" s="23">
        <f t="shared" si="29"/>
        <v>0</v>
      </c>
      <c r="L49" s="23">
        <f t="shared" si="29"/>
        <v>-27307.29</v>
      </c>
      <c r="M49" s="23">
        <f t="shared" si="28"/>
        <v>-2767908.4395205281</v>
      </c>
      <c r="N49" s="9"/>
    </row>
    <row r="50" spans="1:17" x14ac:dyDescent="0.25">
      <c r="A50" s="5"/>
      <c r="N50" s="5"/>
    </row>
    <row r="51" spans="1:17" ht="15.6" x14ac:dyDescent="0.3">
      <c r="A51" s="5">
        <v>20</v>
      </c>
      <c r="B51" s="8" t="s">
        <v>63</v>
      </c>
      <c r="D51" s="23">
        <f>D13+D49</f>
        <v>109694309.69053623</v>
      </c>
      <c r="E51" s="23">
        <f t="shared" ref="E51:L51" si="30">E13+E49</f>
        <v>74246944.129999995</v>
      </c>
      <c r="F51" s="23">
        <f t="shared" si="30"/>
        <v>21967354.496666666</v>
      </c>
      <c r="G51" s="23">
        <f t="shared" si="30"/>
        <v>9600214.1133901011</v>
      </c>
      <c r="H51" s="23">
        <f t="shared" si="30"/>
        <v>167723.57999999996</v>
      </c>
      <c r="I51" s="23">
        <f t="shared" si="27"/>
        <v>3712073.3704794645</v>
      </c>
      <c r="J51" s="23">
        <f t="shared" si="30"/>
        <v>5814280.1300000008</v>
      </c>
      <c r="K51" s="23">
        <f t="shared" si="30"/>
        <v>45452.92</v>
      </c>
      <c r="L51" s="23">
        <f t="shared" si="30"/>
        <v>4689.16</v>
      </c>
      <c r="M51" s="23">
        <f t="shared" si="28"/>
        <v>-2152348.8395205364</v>
      </c>
      <c r="N51" s="9">
        <f>(M51+J51)/J51</f>
        <v>0.629816797368424</v>
      </c>
      <c r="Q51" s="11"/>
    </row>
    <row r="52" spans="1:17" x14ac:dyDescent="0.25">
      <c r="A52" s="5"/>
      <c r="N52" s="5"/>
    </row>
    <row r="53" spans="1:17" ht="15.6" x14ac:dyDescent="0.3">
      <c r="A53" s="5">
        <v>21</v>
      </c>
      <c r="B53" s="8" t="s">
        <v>64</v>
      </c>
      <c r="C53" s="8"/>
      <c r="D53" s="24">
        <v>8685419.7389985211</v>
      </c>
      <c r="N53" s="5"/>
    </row>
    <row r="54" spans="1:17" x14ac:dyDescent="0.25">
      <c r="A54" s="5"/>
      <c r="N54" s="5"/>
    </row>
    <row r="55" spans="1:17" x14ac:dyDescent="0.25">
      <c r="A55" s="5">
        <v>22</v>
      </c>
      <c r="B55" s="1" t="s">
        <v>65</v>
      </c>
      <c r="C55" s="5">
        <v>2.17</v>
      </c>
      <c r="D55" s="25"/>
      <c r="F55" s="26">
        <f>'[1]2.17'!J14</f>
        <v>17370.83947799704</v>
      </c>
      <c r="N55" s="5"/>
    </row>
    <row r="56" spans="1:17" x14ac:dyDescent="0.25">
      <c r="A56" s="5"/>
      <c r="N56" s="5"/>
    </row>
    <row r="57" spans="1:17" ht="15.6" x14ac:dyDescent="0.3">
      <c r="A57" s="5">
        <v>23</v>
      </c>
      <c r="B57" s="8" t="s">
        <v>66</v>
      </c>
      <c r="D57" s="23">
        <f>D51+D53+D55</f>
        <v>118379729.42953475</v>
      </c>
      <c r="E57" s="23">
        <f>E51+E53+E55</f>
        <v>74246944.129999995</v>
      </c>
      <c r="F57" s="23">
        <f>F51+F53+F55</f>
        <v>21984725.336144663</v>
      </c>
      <c r="G57" s="23">
        <f>G51+G53+G55</f>
        <v>9600214.1133901011</v>
      </c>
      <c r="H57" s="23">
        <f>H51+H53+H55</f>
        <v>167723.57999999996</v>
      </c>
      <c r="I57" s="23">
        <f t="shared" ref="I57" si="31">D57-SUM(E57:H57)</f>
        <v>12380122.269999996</v>
      </c>
      <c r="J57" s="23">
        <f>J51+J53+J55</f>
        <v>5814280.1300000008</v>
      </c>
      <c r="K57" s="23">
        <f>K51+K53+K55</f>
        <v>45452.92</v>
      </c>
      <c r="L57" s="23">
        <f>L51+L53+L55</f>
        <v>4689.16</v>
      </c>
      <c r="M57" s="23">
        <f t="shared" ref="M57" si="32">I57-SUM(J57:L57)</f>
        <v>6515700.0599999949</v>
      </c>
      <c r="N57" s="27">
        <f>(M57+J57)/J57</f>
        <v>2.1206374502633389</v>
      </c>
      <c r="Q57" s="11"/>
    </row>
    <row r="59" spans="1:17" x14ac:dyDescent="0.25">
      <c r="A59" s="5">
        <v>24</v>
      </c>
      <c r="B59" s="1" t="s">
        <v>67</v>
      </c>
      <c r="D59" s="28">
        <f>D53/D13</f>
        <v>7.9122867682208553E-2</v>
      </c>
    </row>
    <row r="60" spans="1:17" x14ac:dyDescent="0.25">
      <c r="A60" s="5"/>
    </row>
    <row r="61" spans="1:17" x14ac:dyDescent="0.25">
      <c r="A61" s="5"/>
    </row>
    <row r="64" spans="1:17" x14ac:dyDescent="0.25">
      <c r="D64" s="11">
        <f>D53*0.5</f>
        <v>4342709.8694992606</v>
      </c>
    </row>
  </sheetData>
  <mergeCells count="3">
    <mergeCell ref="A2:M2"/>
    <mergeCell ref="A4:M4"/>
    <mergeCell ref="A5:M5"/>
  </mergeCells>
  <pageMargins left="0.25" right="0.25" top="0.75" bottom="0.75" header="0.3" footer="0.3"/>
  <pageSetup scale="55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4" workbookViewId="0">
      <selection activeCell="G25" sqref="G25"/>
    </sheetView>
  </sheetViews>
  <sheetFormatPr defaultRowHeight="14.4" x14ac:dyDescent="0.3"/>
  <cols>
    <col min="1" max="1" width="10.6640625" customWidth="1"/>
    <col min="2" max="2" width="14.33203125" bestFit="1" customWidth="1"/>
    <col min="3" max="3" width="11.88671875" customWidth="1"/>
    <col min="4" max="4" width="14.44140625" customWidth="1"/>
    <col min="7" max="7" width="12.109375" customWidth="1"/>
    <col min="8" max="8" width="14.6640625" customWidth="1"/>
    <col min="9" max="9" width="14.109375" customWidth="1"/>
    <col min="10" max="10" width="20.88671875" customWidth="1"/>
  </cols>
  <sheetData>
    <row r="1" spans="1:14" x14ac:dyDescent="0.3">
      <c r="L1" s="30"/>
    </row>
    <row r="2" spans="1:14" x14ac:dyDescent="0.3">
      <c r="L2" s="31"/>
    </row>
    <row r="3" spans="1:14" ht="15.6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66"/>
      <c r="L3" s="66"/>
      <c r="M3" s="66"/>
    </row>
    <row r="5" spans="1:14" x14ac:dyDescent="0.3">
      <c r="A5" s="67" t="s">
        <v>110</v>
      </c>
      <c r="B5" s="67"/>
      <c r="C5" s="67"/>
      <c r="D5" s="67"/>
      <c r="E5" s="67"/>
      <c r="F5" s="67"/>
      <c r="G5" s="67"/>
      <c r="H5" s="67"/>
      <c r="I5" s="67"/>
      <c r="J5" s="67"/>
    </row>
    <row r="7" spans="1:14" x14ac:dyDescent="0.3">
      <c r="I7" s="78" t="s">
        <v>111</v>
      </c>
      <c r="J7" s="68">
        <v>1416560.84</v>
      </c>
    </row>
    <row r="8" spans="1:14" x14ac:dyDescent="0.3">
      <c r="F8" t="s">
        <v>112</v>
      </c>
      <c r="H8" s="69">
        <v>27747462.030000001</v>
      </c>
    </row>
    <row r="9" spans="1:14" x14ac:dyDescent="0.3">
      <c r="A9" s="70">
        <v>1</v>
      </c>
      <c r="B9" t="s">
        <v>113</v>
      </c>
      <c r="J9" s="79">
        <v>-805739.53</v>
      </c>
      <c r="K9" s="71"/>
      <c r="L9" s="71"/>
      <c r="M9" s="71"/>
      <c r="N9" s="71"/>
    </row>
    <row r="10" spans="1:14" x14ac:dyDescent="0.3">
      <c r="A10" s="70"/>
      <c r="J10" s="80"/>
    </row>
    <row r="11" spans="1:14" x14ac:dyDescent="0.3">
      <c r="A11" s="70"/>
      <c r="B11" t="s">
        <v>106</v>
      </c>
      <c r="J11" s="81">
        <f>SUM(J7:J10)</f>
        <v>610821.31000000006</v>
      </c>
    </row>
    <row r="12" spans="1:14" x14ac:dyDescent="0.3">
      <c r="A12" s="70"/>
    </row>
    <row r="13" spans="1:14" x14ac:dyDescent="0.3">
      <c r="A13" s="70"/>
    </row>
    <row r="14" spans="1:14" x14ac:dyDescent="0.3">
      <c r="A14" s="70"/>
    </row>
    <row r="15" spans="1:14" x14ac:dyDescent="0.3">
      <c r="A15" s="72" t="s">
        <v>107</v>
      </c>
      <c r="B15" s="73"/>
    </row>
    <row r="17" spans="1:3" x14ac:dyDescent="0.3">
      <c r="A17" s="74" t="s">
        <v>108</v>
      </c>
      <c r="C17" s="73" t="s">
        <v>109</v>
      </c>
    </row>
    <row r="18" spans="1:3" x14ac:dyDescent="0.3">
      <c r="A18" s="75">
        <v>43556</v>
      </c>
      <c r="B18" s="69">
        <v>27747462.030000001</v>
      </c>
      <c r="C18" s="69">
        <f>(B18) *(0.0286/365)*30</f>
        <v>65225.540881479457</v>
      </c>
    </row>
    <row r="19" spans="1:3" x14ac:dyDescent="0.3">
      <c r="A19" s="76">
        <v>43586</v>
      </c>
      <c r="B19" s="77">
        <f>B18+C18</f>
        <v>27812687.570881482</v>
      </c>
      <c r="C19" s="69">
        <f>(B19) *(0.0286/365)*31</f>
        <v>67558.16109683158</v>
      </c>
    </row>
    <row r="20" spans="1:3" x14ac:dyDescent="0.3">
      <c r="A20" s="75">
        <v>43617</v>
      </c>
      <c r="B20" s="77">
        <f t="shared" ref="B20:B29" si="0">B19+C19</f>
        <v>27880245.731978312</v>
      </c>
      <c r="C20" s="69">
        <f>(B20) *(0.0286/365)*30</f>
        <v>65537.673528869564</v>
      </c>
    </row>
    <row r="21" spans="1:3" x14ac:dyDescent="0.3">
      <c r="A21" s="75">
        <v>43647</v>
      </c>
      <c r="B21" s="77">
        <f t="shared" si="0"/>
        <v>27945783.405507181</v>
      </c>
      <c r="C21" s="69">
        <f>(B21) *(0.0286/365)*31</f>
        <v>67881.456348829233</v>
      </c>
    </row>
    <row r="22" spans="1:3" x14ac:dyDescent="0.3">
      <c r="A22" s="75">
        <v>43678</v>
      </c>
      <c r="B22" s="77">
        <f t="shared" si="0"/>
        <v>28013664.86185601</v>
      </c>
      <c r="C22" s="69">
        <f>(B22) *(0.0286/365)*31</f>
        <v>68046.343195949419</v>
      </c>
    </row>
    <row r="23" spans="1:3" x14ac:dyDescent="0.3">
      <c r="A23" s="75">
        <v>43709</v>
      </c>
      <c r="B23" s="77">
        <f t="shared" si="0"/>
        <v>28081711.205051959</v>
      </c>
      <c r="C23" s="69">
        <f>(B23) *(0.0286/365)*30</f>
        <v>66011.255380642688</v>
      </c>
    </row>
    <row r="24" spans="1:3" x14ac:dyDescent="0.3">
      <c r="A24" s="75">
        <v>43739</v>
      </c>
      <c r="B24" s="77">
        <f t="shared" si="0"/>
        <v>28147722.4604326</v>
      </c>
      <c r="C24" s="69">
        <f>(B24) *(0.0286/365)*31</f>
        <v>68371.97461210833</v>
      </c>
    </row>
    <row r="25" spans="1:3" x14ac:dyDescent="0.3">
      <c r="A25" s="75">
        <v>43770</v>
      </c>
      <c r="B25" s="77">
        <f t="shared" si="0"/>
        <v>28216094.43504471</v>
      </c>
      <c r="C25" s="69">
        <f>(B25) *(0.0286/365)*30</f>
        <v>66327.148014433871</v>
      </c>
    </row>
    <row r="26" spans="1:3" x14ac:dyDescent="0.3">
      <c r="A26" s="75">
        <v>43800</v>
      </c>
      <c r="B26" s="77">
        <f t="shared" si="0"/>
        <v>28282421.583059143</v>
      </c>
      <c r="C26" s="69">
        <f>(B26) *(0.0286/365)*31</f>
        <v>68699.164316548602</v>
      </c>
    </row>
    <row r="27" spans="1:3" x14ac:dyDescent="0.3">
      <c r="A27" s="75">
        <v>43831</v>
      </c>
      <c r="B27" s="77">
        <f t="shared" si="0"/>
        <v>28351120.747375693</v>
      </c>
      <c r="C27" s="69">
        <f>(B27) *(0.0286/366)*31</f>
        <v>68677.878837768556</v>
      </c>
    </row>
    <row r="28" spans="1:3" x14ac:dyDescent="0.3">
      <c r="A28" s="75">
        <v>43862</v>
      </c>
      <c r="B28" s="77">
        <f t="shared" si="0"/>
        <v>28419798.626213461</v>
      </c>
      <c r="C28" s="69">
        <f>(B28) *(0.0286/366)*29</f>
        <v>64402.680274812701</v>
      </c>
    </row>
    <row r="29" spans="1:3" x14ac:dyDescent="0.3">
      <c r="A29" s="75">
        <v>43891</v>
      </c>
      <c r="B29" s="77">
        <f t="shared" si="0"/>
        <v>28484201.306488276</v>
      </c>
      <c r="C29" s="68">
        <f>(B29) *(0.0286/366)*31</f>
        <v>69000.253765935806</v>
      </c>
    </row>
    <row r="30" spans="1:3" x14ac:dyDescent="0.3">
      <c r="A30" s="75"/>
      <c r="C30" s="77">
        <f>SUM(C18:C29)</f>
        <v>805739.53025420988</v>
      </c>
    </row>
    <row r="31" spans="1:3" x14ac:dyDescent="0.3">
      <c r="A31" s="75"/>
    </row>
  </sheetData>
  <mergeCells count="2">
    <mergeCell ref="A3:J3"/>
    <mergeCell ref="A5:J5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Revised Test year CoC at 2.86%</vt:lpstr>
      <vt:lpstr>Revised Pro Forma CoC at 2.86%</vt:lpstr>
      <vt:lpstr>CoC Interest at 2.86%</vt:lpstr>
      <vt:lpstr>'CoC Interest at 2.86%'!Print_Area</vt:lpstr>
      <vt:lpstr>'Revised Pro Forma CoC at 2.86%'!Print_Area</vt:lpstr>
      <vt:lpstr>'Revised Test year CoC at 2.86%'!Print_Area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dcterms:created xsi:type="dcterms:W3CDTF">2022-05-16T19:26:08Z</dcterms:created>
  <dcterms:modified xsi:type="dcterms:W3CDTF">2022-05-16T19:41:26Z</dcterms:modified>
</cp:coreProperties>
</file>