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venue Requirements\0 - RATE &amp; REGULATORY FILINGS\KENTUCKY\2021-00401 - 2021 KY DSM Application\"/>
    </mc:Choice>
  </mc:AlternateContent>
  <xr:revisionPtr revIDLastSave="0" documentId="13_ncr:1_{5964787E-BEA3-440A-897A-3C510650DBF9}" xr6:coauthVersionLast="47" xr6:coauthVersionMax="47" xr10:uidLastSave="{00000000-0000-0000-0000-000000000000}"/>
  <bookViews>
    <workbookView xWindow="-120" yWindow="-120" windowWidth="29040" windowHeight="15840" xr2:uid="{D065BB84-2F99-4B4C-AE85-260778C4887B}"/>
  </bookViews>
  <sheets>
    <sheet name="DLSA" sheetId="1" r:id="rId1"/>
    <sheet name="2021" sheetId="2" r:id="rId2"/>
    <sheet name="DSMRC Costs" sheetId="3" r:id="rId3"/>
    <sheet name="DIA + DLSA Revenue" sheetId="4" r:id="rId4"/>
  </sheets>
  <externalReferences>
    <externalReference r:id="rId5"/>
  </externalReferences>
  <definedNames>
    <definedName name="____W.O.R.K.B.O.O.K..C.O.N.T.E.N.T.S____" localSheetId="1">#REF!</definedName>
    <definedName name="____W.O.R.K.B.O.O.K..C.O.N.T.E.N.T.S____">#REF!</definedName>
    <definedName name="_xlnm.Print_Area" localSheetId="0">DLSA!$A$1:$G$77</definedName>
    <definedName name="_xlnm.Print_Area" localSheetId="2">'DSMRC Costs'!$A$1:$U$32</definedName>
    <definedName name="_xlnm.Print_Titles" localSheetId="1">'2021'!$1:$5</definedName>
    <definedName name="SAPCrosstab1" localSheetId="1">#REF!</definedName>
    <definedName name="SAPCrosstab5">#REF!</definedName>
    <definedName name="tbl_InterestRates">'[1]Interest Rates'!#REF!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4" l="1"/>
  <c r="H20" i="4"/>
  <c r="H19" i="4"/>
  <c r="H18" i="4"/>
  <c r="H17" i="4"/>
  <c r="H16" i="4"/>
  <c r="H15" i="4"/>
  <c r="H14" i="4"/>
  <c r="C14" i="4"/>
  <c r="B14" i="4"/>
  <c r="H13" i="4"/>
  <c r="H21" i="4" s="1"/>
  <c r="F22" i="4" s="1"/>
  <c r="C6" i="4" s="1"/>
  <c r="C10" i="4"/>
  <c r="C8" i="4" s="1"/>
  <c r="C9" i="4" s="1"/>
  <c r="C12" i="4" s="1"/>
  <c r="F8" i="4"/>
  <c r="H7" i="4"/>
  <c r="H6" i="4"/>
  <c r="H5" i="4"/>
  <c r="B5" i="4"/>
  <c r="H4" i="4"/>
  <c r="H8" i="4" s="1"/>
  <c r="F9" i="4" s="1"/>
  <c r="B6" i="4" s="1"/>
  <c r="B4" i="4"/>
  <c r="C4" i="4" s="1"/>
  <c r="C7" i="4" s="1"/>
  <c r="H3" i="4"/>
  <c r="C3" i="4"/>
  <c r="B3" i="4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AA30" i="3"/>
  <c r="Y30" i="3"/>
  <c r="Z30" i="3" s="1"/>
  <c r="X30" i="3"/>
  <c r="W30" i="3"/>
  <c r="V30" i="3"/>
  <c r="AA29" i="3"/>
  <c r="Y29" i="3"/>
  <c r="X29" i="3"/>
  <c r="Z29" i="3" s="1"/>
  <c r="W29" i="3"/>
  <c r="V29" i="3"/>
  <c r="AA28" i="3"/>
  <c r="Y28" i="3"/>
  <c r="Z28" i="3" s="1"/>
  <c r="X28" i="3"/>
  <c r="W28" i="3"/>
  <c r="V28" i="3"/>
  <c r="AA26" i="3"/>
  <c r="Y26" i="3"/>
  <c r="Z26" i="3" s="1"/>
  <c r="X26" i="3"/>
  <c r="W26" i="3"/>
  <c r="V26" i="3"/>
  <c r="AA25" i="3"/>
  <c r="Y25" i="3"/>
  <c r="X25" i="3"/>
  <c r="Z25" i="3" s="1"/>
  <c r="W25" i="3"/>
  <c r="V25" i="3"/>
  <c r="AA24" i="3"/>
  <c r="Y24" i="3"/>
  <c r="Z24" i="3" s="1"/>
  <c r="X24" i="3"/>
  <c r="W24" i="3"/>
  <c r="V24" i="3"/>
  <c r="AA23" i="3"/>
  <c r="Y23" i="3"/>
  <c r="X23" i="3"/>
  <c r="Z23" i="3" s="1"/>
  <c r="W23" i="3"/>
  <c r="V23" i="3"/>
  <c r="AA22" i="3"/>
  <c r="Y22" i="3"/>
  <c r="D20" i="2" s="1"/>
  <c r="X22" i="3"/>
  <c r="W22" i="3"/>
  <c r="V22" i="3"/>
  <c r="AA21" i="3"/>
  <c r="Y21" i="3"/>
  <c r="X21" i="3"/>
  <c r="Z21" i="3" s="1"/>
  <c r="W21" i="3"/>
  <c r="V21" i="3"/>
  <c r="AA20" i="3"/>
  <c r="Y20" i="3"/>
  <c r="Z20" i="3" s="1"/>
  <c r="X20" i="3"/>
  <c r="W20" i="3"/>
  <c r="V20" i="3"/>
  <c r="AA19" i="3"/>
  <c r="D54" i="2" s="1"/>
  <c r="Y19" i="3"/>
  <c r="X19" i="3"/>
  <c r="Z19" i="3" s="1"/>
  <c r="W19" i="3"/>
  <c r="C46" i="1" s="1"/>
  <c r="E46" i="1" s="1"/>
  <c r="V19" i="3"/>
  <c r="U17" i="3"/>
  <c r="U18" i="3" s="1"/>
  <c r="T17" i="3"/>
  <c r="T18" i="3" s="1"/>
  <c r="S17" i="3"/>
  <c r="S18" i="3" s="1"/>
  <c r="S32" i="3" s="1"/>
  <c r="R17" i="3"/>
  <c r="R18" i="3" s="1"/>
  <c r="Q17" i="3"/>
  <c r="Q18" i="3" s="1"/>
  <c r="P17" i="3"/>
  <c r="P18" i="3" s="1"/>
  <c r="O17" i="3"/>
  <c r="O18" i="3" s="1"/>
  <c r="N17" i="3"/>
  <c r="N18" i="3" s="1"/>
  <c r="M17" i="3"/>
  <c r="M18" i="3" s="1"/>
  <c r="L17" i="3"/>
  <c r="L18" i="3" s="1"/>
  <c r="K17" i="3"/>
  <c r="K18" i="3" s="1"/>
  <c r="J17" i="3"/>
  <c r="J18" i="3" s="1"/>
  <c r="I17" i="3"/>
  <c r="I18" i="3" s="1"/>
  <c r="H17" i="3"/>
  <c r="H18" i="3" s="1"/>
  <c r="G17" i="3"/>
  <c r="G18" i="3" s="1"/>
  <c r="F17" i="3"/>
  <c r="F18" i="3" s="1"/>
  <c r="E17" i="3"/>
  <c r="E18" i="3" s="1"/>
  <c r="D17" i="3"/>
  <c r="D18" i="3" s="1"/>
  <c r="C17" i="3"/>
  <c r="C18" i="3" s="1"/>
  <c r="B17" i="3"/>
  <c r="B18" i="3" s="1"/>
  <c r="AA16" i="3"/>
  <c r="Y16" i="3"/>
  <c r="Z16" i="3" s="1"/>
  <c r="X16" i="3"/>
  <c r="W16" i="3"/>
  <c r="V16" i="3"/>
  <c r="AA15" i="3"/>
  <c r="D52" i="2" s="1"/>
  <c r="Y15" i="3"/>
  <c r="X15" i="3"/>
  <c r="Z15" i="3" s="1"/>
  <c r="W15" i="3"/>
  <c r="V15" i="3"/>
  <c r="AA14" i="3"/>
  <c r="Y14" i="3"/>
  <c r="D14" i="2" s="1"/>
  <c r="X14" i="3"/>
  <c r="W14" i="3"/>
  <c r="V14" i="3"/>
  <c r="AA13" i="3"/>
  <c r="Y13" i="3"/>
  <c r="X13" i="3"/>
  <c r="Z13" i="3" s="1"/>
  <c r="W13" i="3"/>
  <c r="C42" i="1" s="1"/>
  <c r="E42" i="1" s="1"/>
  <c r="V13" i="3"/>
  <c r="AA12" i="3"/>
  <c r="Y12" i="3"/>
  <c r="Z12" i="3" s="1"/>
  <c r="X12" i="3"/>
  <c r="W12" i="3"/>
  <c r="V12" i="3"/>
  <c r="AA11" i="3"/>
  <c r="Y11" i="3"/>
  <c r="X11" i="3"/>
  <c r="Z11" i="3" s="1"/>
  <c r="W11" i="3"/>
  <c r="V11" i="3"/>
  <c r="AA10" i="3"/>
  <c r="Y10" i="3"/>
  <c r="Z10" i="3" s="1"/>
  <c r="X10" i="3"/>
  <c r="W10" i="3"/>
  <c r="V10" i="3"/>
  <c r="AA9" i="3"/>
  <c r="Y9" i="3"/>
  <c r="X9" i="3"/>
  <c r="Z9" i="3" s="1"/>
  <c r="W9" i="3"/>
  <c r="V9" i="3"/>
  <c r="AA8" i="3"/>
  <c r="Y8" i="3"/>
  <c r="Z8" i="3" s="1"/>
  <c r="X8" i="3"/>
  <c r="W8" i="3"/>
  <c r="V8" i="3"/>
  <c r="AA7" i="3"/>
  <c r="Y7" i="3"/>
  <c r="X7" i="3"/>
  <c r="Z7" i="3" s="1"/>
  <c r="W7" i="3"/>
  <c r="V7" i="3"/>
  <c r="AA6" i="3"/>
  <c r="Y6" i="3"/>
  <c r="X6" i="3"/>
  <c r="Z6" i="3" s="1"/>
  <c r="W6" i="3"/>
  <c r="V6" i="3"/>
  <c r="AA5" i="3"/>
  <c r="Y5" i="3"/>
  <c r="X5" i="3"/>
  <c r="Z5" i="3" s="1"/>
  <c r="W5" i="3"/>
  <c r="V5" i="3"/>
  <c r="D57" i="2"/>
  <c r="H56" i="2"/>
  <c r="D56" i="2"/>
  <c r="I55" i="2"/>
  <c r="I56" i="2" s="1"/>
  <c r="I57" i="2" s="1"/>
  <c r="H55" i="2"/>
  <c r="J55" i="2" s="1"/>
  <c r="D55" i="2"/>
  <c r="J54" i="2"/>
  <c r="H54" i="2"/>
  <c r="J53" i="2"/>
  <c r="I53" i="2"/>
  <c r="H53" i="2"/>
  <c r="D53" i="2"/>
  <c r="I52" i="2"/>
  <c r="G62" i="2"/>
  <c r="I51" i="2"/>
  <c r="H51" i="2"/>
  <c r="J51" i="2" s="1"/>
  <c r="D51" i="2"/>
  <c r="H50" i="2"/>
  <c r="J50" i="2" s="1"/>
  <c r="D50" i="2"/>
  <c r="B50" i="2"/>
  <c r="E64" i="2"/>
  <c r="I20" i="2"/>
  <c r="H20" i="2"/>
  <c r="J20" i="2" s="1"/>
  <c r="I19" i="2"/>
  <c r="D19" i="2"/>
  <c r="H19" i="2"/>
  <c r="J19" i="2" s="1"/>
  <c r="I18" i="2"/>
  <c r="D17" i="2"/>
  <c r="H16" i="2"/>
  <c r="D16" i="2"/>
  <c r="I15" i="2"/>
  <c r="I16" i="2" s="1"/>
  <c r="H15" i="2"/>
  <c r="J15" i="2" s="1"/>
  <c r="D15" i="2"/>
  <c r="I14" i="2"/>
  <c r="H14" i="2"/>
  <c r="J14" i="2" s="1"/>
  <c r="B14" i="2"/>
  <c r="B51" i="2" s="1"/>
  <c r="G25" i="2"/>
  <c r="D13" i="2"/>
  <c r="C25" i="2"/>
  <c r="E49" i="1"/>
  <c r="C49" i="1"/>
  <c r="C48" i="1"/>
  <c r="E48" i="1" s="1"/>
  <c r="C47" i="1"/>
  <c r="E47" i="1" s="1"/>
  <c r="E45" i="1"/>
  <c r="C45" i="1"/>
  <c r="C44" i="1"/>
  <c r="E44" i="1" s="1"/>
  <c r="C43" i="1"/>
  <c r="E43" i="1" s="1"/>
  <c r="B43" i="1"/>
  <c r="B42" i="1"/>
  <c r="C26" i="1"/>
  <c r="E26" i="1" s="1"/>
  <c r="C25" i="1"/>
  <c r="E25" i="1" s="1"/>
  <c r="E24" i="1"/>
  <c r="C24" i="1"/>
  <c r="E23" i="1"/>
  <c r="C23" i="1"/>
  <c r="C22" i="1"/>
  <c r="E22" i="1" s="1"/>
  <c r="C21" i="1"/>
  <c r="E21" i="1" s="1"/>
  <c r="B21" i="1"/>
  <c r="B44" i="1" s="1"/>
  <c r="E20" i="1"/>
  <c r="C20" i="1"/>
  <c r="B20" i="1"/>
  <c r="E19" i="1"/>
  <c r="E31" i="1" s="1"/>
  <c r="C19" i="1"/>
  <c r="D32" i="3" l="1"/>
  <c r="H32" i="3"/>
  <c r="L32" i="3"/>
  <c r="P32" i="3"/>
  <c r="T32" i="3"/>
  <c r="E62" i="2"/>
  <c r="F75" i="2"/>
  <c r="F30" i="2"/>
  <c r="E33" i="1"/>
  <c r="D62" i="2"/>
  <c r="E32" i="3"/>
  <c r="I32" i="3"/>
  <c r="M32" i="3"/>
  <c r="Q32" i="3"/>
  <c r="U32" i="3"/>
  <c r="J16" i="2"/>
  <c r="E56" i="1"/>
  <c r="F67" i="2"/>
  <c r="F71" i="2" s="1"/>
  <c r="J56" i="2"/>
  <c r="B32" i="3"/>
  <c r="F32" i="3"/>
  <c r="J32" i="3"/>
  <c r="N32" i="3"/>
  <c r="R32" i="3"/>
  <c r="E35" i="1"/>
  <c r="F36" i="2" s="1"/>
  <c r="E54" i="1"/>
  <c r="E58" i="1" s="1"/>
  <c r="F73" i="2" s="1"/>
  <c r="C32" i="3"/>
  <c r="G32" i="3"/>
  <c r="K32" i="3"/>
  <c r="O32" i="3"/>
  <c r="B7" i="4"/>
  <c r="B8" i="4" s="1"/>
  <c r="B9" i="4" s="1"/>
  <c r="B12" i="4" s="1"/>
  <c r="B15" i="2"/>
  <c r="H17" i="2"/>
  <c r="J17" i="2" s="1"/>
  <c r="D18" i="2"/>
  <c r="D25" i="2" s="1"/>
  <c r="H18" i="2"/>
  <c r="J18" i="2" s="1"/>
  <c r="H52" i="2"/>
  <c r="J52" i="2" s="1"/>
  <c r="H57" i="2"/>
  <c r="J57" i="2" s="1"/>
  <c r="Z14" i="3"/>
  <c r="Z22" i="3"/>
  <c r="C62" i="2"/>
  <c r="H13" i="2"/>
  <c r="J13" i="2" s="1"/>
  <c r="B22" i="1"/>
  <c r="B52" i="2" l="1"/>
  <c r="B16" i="2"/>
  <c r="F38" i="2"/>
  <c r="E25" i="2"/>
  <c r="B45" i="1"/>
  <c r="B23" i="1"/>
  <c r="E53" i="2"/>
  <c r="F53" i="2" s="1"/>
  <c r="E57" i="2"/>
  <c r="F57" i="2" s="1"/>
  <c r="E52" i="2"/>
  <c r="F52" i="2" s="1"/>
  <c r="E55" i="2"/>
  <c r="F55" i="2" s="1"/>
  <c r="E54" i="2"/>
  <c r="F54" i="2" s="1"/>
  <c r="E56" i="2"/>
  <c r="F56" i="2" s="1"/>
  <c r="E51" i="2"/>
  <c r="F51" i="2" s="1"/>
  <c r="E50" i="2"/>
  <c r="F50" i="2" s="1"/>
  <c r="F62" i="2" l="1"/>
  <c r="B46" i="1"/>
  <c r="B24" i="1"/>
  <c r="F64" i="2"/>
  <c r="F65" i="2" s="1"/>
  <c r="F69" i="2" s="1"/>
  <c r="B17" i="2"/>
  <c r="B53" i="2"/>
  <c r="E19" i="2"/>
  <c r="F19" i="2" s="1"/>
  <c r="E14" i="2"/>
  <c r="F14" i="2" s="1"/>
  <c r="E13" i="2"/>
  <c r="F13" i="2" s="1"/>
  <c r="E18" i="2"/>
  <c r="F18" i="2" s="1"/>
  <c r="E17" i="2"/>
  <c r="F17" i="2" s="1"/>
  <c r="E20" i="2"/>
  <c r="F20" i="2" s="1"/>
  <c r="E15" i="2"/>
  <c r="F15" i="2" s="1"/>
  <c r="E16" i="2"/>
  <c r="F16" i="2" s="1"/>
  <c r="F25" i="2" l="1"/>
  <c r="B47" i="1"/>
  <c r="B25" i="1"/>
  <c r="B18" i="2"/>
  <c r="B54" i="2"/>
  <c r="B19" i="2" l="1"/>
  <c r="B55" i="2"/>
  <c r="B48" i="1"/>
  <c r="B26" i="1"/>
  <c r="B49" i="1" s="1"/>
  <c r="F27" i="2"/>
  <c r="F28" i="2" s="1"/>
  <c r="F32" i="2" s="1"/>
  <c r="B56" i="2" l="1"/>
  <c r="B20" i="2"/>
  <c r="B57" i="2" l="1"/>
  <c r="B21" i="2"/>
  <c r="B22" i="2" l="1"/>
  <c r="B58" i="2"/>
  <c r="B23" i="2" l="1"/>
  <c r="B59" i="2"/>
  <c r="B60" i="2" l="1"/>
  <c r="B24" i="2"/>
  <c r="B61" i="2" l="1"/>
  <c r="A27" i="2"/>
  <c r="A6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Matheny, Leonard R.</author>
    <author>Mark  Martin</author>
  </authors>
  <commentList>
    <comment ref="E1" authorId="0" shapeId="0" xr:uid="{A7BDB3B5-6636-4F5C-9F13-F55003233901}">
      <text>
        <r>
          <rPr>
            <b/>
            <sz val="9"/>
            <color indexed="81"/>
            <rFont val="Tahoma"/>
            <family val="2"/>
          </rPr>
          <t>Mark Martin:</t>
        </r>
        <r>
          <rPr>
            <sz val="9"/>
            <color indexed="81"/>
            <rFont val="Tahoma"/>
            <family val="2"/>
          </rPr>
          <t xml:space="preserve">
Data taken from 2014 DSM Application Schedule A tab.</t>
        </r>
      </text>
    </comment>
    <comment ref="A3" authorId="0" shapeId="0" xr:uid="{9CBBA6F6-9A5E-4047-B1E1-EE82F5D81463}">
      <text>
        <r>
          <rPr>
            <b/>
            <sz val="9"/>
            <color indexed="81"/>
            <rFont val="Tahoma"/>
            <family val="2"/>
          </rPr>
          <t>Matheny, Leonard R.:</t>
        </r>
        <r>
          <rPr>
            <sz val="9"/>
            <color indexed="81"/>
            <rFont val="Tahoma"/>
            <family val="2"/>
          </rPr>
          <t xml:space="preserve">
Atmos Cares Report "Total" Tab.</t>
        </r>
      </text>
    </comment>
    <comment ref="A4" authorId="0" shapeId="0" xr:uid="{5FC67585-747E-49C3-8C45-C46DB1886D0E}">
      <text>
        <r>
          <rPr>
            <b/>
            <sz val="9"/>
            <color indexed="81"/>
            <rFont val="Tahoma"/>
            <family val="2"/>
          </rPr>
          <t>Mark Martin:</t>
        </r>
        <r>
          <rPr>
            <sz val="9"/>
            <color indexed="81"/>
            <rFont val="Tahoma"/>
            <family val="2"/>
          </rPr>
          <t xml:space="preserve">
2017 DSM Application, Schedule C tab.</t>
        </r>
      </text>
    </comment>
    <comment ref="A5" authorId="0" shapeId="0" xr:uid="{F1C0E74D-0056-4F29-A776-031480B58D0D}">
      <text>
        <r>
          <rPr>
            <b/>
            <sz val="9"/>
            <color indexed="81"/>
            <rFont val="Tahoma"/>
            <family val="2"/>
          </rPr>
          <t>Matheny, Leonard R.:</t>
        </r>
        <r>
          <rPr>
            <sz val="9"/>
            <color indexed="81"/>
            <rFont val="Tahoma"/>
            <family val="2"/>
          </rPr>
          <t xml:space="preserve">
Atmos Cares Report "Total" Tab.</t>
        </r>
      </text>
    </comment>
    <comment ref="A10" authorId="0" shapeId="0" xr:uid="{916232C9-8997-43CF-A265-72826B18E2A2}">
      <text>
        <r>
          <rPr>
            <b/>
            <sz val="9"/>
            <color indexed="81"/>
            <rFont val="Tahoma"/>
            <family val="2"/>
          </rPr>
          <t>Mark Martin:</t>
        </r>
        <r>
          <rPr>
            <sz val="9"/>
            <color indexed="81"/>
            <rFont val="Tahoma"/>
            <family val="2"/>
          </rPr>
          <t xml:space="preserve">
2017 DSM Application Atmos Variable Data tab, Cell G53.</t>
        </r>
      </text>
    </comment>
    <comment ref="A11" authorId="0" shapeId="0" xr:uid="{D8426503-F616-4C93-90C3-61C55E873D4A}">
      <text>
        <r>
          <rPr>
            <b/>
            <sz val="9"/>
            <color indexed="81"/>
            <rFont val="Tahoma"/>
            <family val="2"/>
          </rPr>
          <t>Mark Martin:</t>
        </r>
        <r>
          <rPr>
            <sz val="9"/>
            <color indexed="81"/>
            <rFont val="Tahoma"/>
            <family val="2"/>
          </rPr>
          <t xml:space="preserve">
2014 DSM Application, Billing Factor 2015 tab.</t>
        </r>
      </text>
    </comment>
    <comment ref="E11" authorId="0" shapeId="0" xr:uid="{643ED04D-7E94-4045-A710-A573B5BD8716}">
      <text>
        <r>
          <rPr>
            <b/>
            <sz val="9"/>
            <color indexed="81"/>
            <rFont val="Tahoma"/>
            <family val="2"/>
          </rPr>
          <t>Mark Martin:</t>
        </r>
        <r>
          <rPr>
            <sz val="9"/>
            <color indexed="81"/>
            <rFont val="Tahoma"/>
            <family val="2"/>
          </rPr>
          <t xml:space="preserve">
Data taken from 2014 DSM Application Schedule A tab.</t>
        </r>
      </text>
    </comment>
    <comment ref="B14" authorId="1" shapeId="0" xr:uid="{DFA082B5-B6F8-44B1-92D5-FAD8DE24D529}">
      <text>
        <r>
          <rPr>
            <b/>
            <sz val="9"/>
            <color indexed="81"/>
            <rFont val="Tahoma"/>
            <family val="2"/>
          </rPr>
          <t>Mark  Martin:</t>
        </r>
        <r>
          <rPr>
            <sz val="9"/>
            <color indexed="81"/>
            <rFont val="Tahoma"/>
            <family val="2"/>
          </rPr>
          <t xml:space="preserve">
Add up CCF savings from Atmos Cares report and multiply by margin.  Either add Columns C &amp; G or subtract Columns O &amp; R. Since Column R was all zero for the period, just use Column O.</t>
        </r>
      </text>
    </comment>
    <comment ref="C14" authorId="1" shapeId="0" xr:uid="{A76986E0-8A14-40BF-8B72-2F2EFE469647}">
      <text>
        <r>
          <rPr>
            <b/>
            <sz val="9"/>
            <color indexed="81"/>
            <rFont val="Tahoma"/>
            <family val="2"/>
          </rPr>
          <t>Mark  Martin:</t>
        </r>
        <r>
          <rPr>
            <sz val="9"/>
            <color indexed="81"/>
            <rFont val="Tahoma"/>
            <family val="2"/>
          </rPr>
          <t xml:space="preserve">
Add up CCF savings from Atmos Cares report in column R and multiply by margin.  </t>
        </r>
      </text>
    </comment>
  </commentList>
</comments>
</file>

<file path=xl/sharedStrings.xml><?xml version="1.0" encoding="utf-8"?>
<sst xmlns="http://schemas.openxmlformats.org/spreadsheetml/2006/main" count="201" uniqueCount="120">
  <si>
    <t>Atmos Energy Corporation</t>
  </si>
  <si>
    <t>Kentucky/Mid-States Division</t>
  </si>
  <si>
    <t>Demand Side Management</t>
  </si>
  <si>
    <t>Lost Sales Adjustment (DLSA) Calculation</t>
  </si>
  <si>
    <t>To Be Effective January 1, 2022</t>
  </si>
  <si>
    <t>Overview</t>
  </si>
  <si>
    <t>To effectively promote and execute the program, the Company shall recover the annual lost sales attributable</t>
  </si>
  <si>
    <t xml:space="preserve">to customer conservation/efficiency created as a result of the Program. This aligns the Company’s interest </t>
  </si>
  <si>
    <t xml:space="preserve">with that of its customers by reducing the correlation between volume and revenue for those customers who </t>
  </si>
  <si>
    <t xml:space="preserve">elect to participate in the program. The lost sales are the estimated conservation, per participant, times the </t>
  </si>
  <si>
    <t>base rate for the applicable customer. The goal is to make the Company whole for promoting the program.</t>
  </si>
  <si>
    <t>Lost sales are based on the cumulative lost sales since the program inception and will reset when the Company</t>
  </si>
  <si>
    <t>completes a general rate case.</t>
  </si>
  <si>
    <t>G-1 Residential</t>
  </si>
  <si>
    <t>Line</t>
  </si>
  <si>
    <t>Month</t>
  </si>
  <si>
    <t>Ccf Savings</t>
  </si>
  <si>
    <t>Distribution Charge</t>
  </si>
  <si>
    <t>Lost Sales</t>
  </si>
  <si>
    <t>(a)</t>
  </si>
  <si>
    <t>(b)</t>
  </si>
  <si>
    <t>(c)</t>
  </si>
  <si>
    <t>(d)</t>
  </si>
  <si>
    <t xml:space="preserve">Total </t>
  </si>
  <si>
    <t xml:space="preserve">Annual Expected Residential Sales (Mcf) </t>
  </si>
  <si>
    <t>DLSA (per Mcf)</t>
  </si>
  <si>
    <t>G-1 Commercial</t>
  </si>
  <si>
    <t xml:space="preserve">Annual Expected Commercial Sales (Mcf) </t>
  </si>
  <si>
    <t>ATMOS ENERGY CORPORATION</t>
  </si>
  <si>
    <t>DSM Balancing Adjustment</t>
  </si>
  <si>
    <t>DSMRC = DCRC + DLSA + DIA + DBA</t>
  </si>
  <si>
    <t>G-1 Residental</t>
  </si>
  <si>
    <t>(e)</t>
  </si>
  <si>
    <t>(f)</t>
  </si>
  <si>
    <t>(g)</t>
  </si>
  <si>
    <t>(h)</t>
  </si>
  <si>
    <t>Under/(Over)</t>
  </si>
  <si>
    <t>DSMRC</t>
  </si>
  <si>
    <t>DIA + DLSA</t>
  </si>
  <si>
    <t>Residential</t>
  </si>
  <si>
    <t>Billed</t>
  </si>
  <si>
    <t>Filed</t>
  </si>
  <si>
    <t>Rate</t>
  </si>
  <si>
    <t>Recoveries</t>
  </si>
  <si>
    <t>Costs</t>
  </si>
  <si>
    <t>Revenue</t>
  </si>
  <si>
    <t>Balance</t>
  </si>
  <si>
    <t>Sales</t>
  </si>
  <si>
    <t>Difference</t>
  </si>
  <si>
    <t>Previous DBA Balancing Adjustment</t>
  </si>
  <si>
    <t>(Mcf)</t>
  </si>
  <si>
    <t>Total Residential DSMRC Balance</t>
  </si>
  <si>
    <t>DBA = DSM Balancing Adjustment</t>
  </si>
  <si>
    <t>DCRC = DSM Cost Recovery - Current</t>
  </si>
  <si>
    <t>DLSA = DSM Lost Sales Adjustment</t>
  </si>
  <si>
    <t>DIA = DSM Incentive Adjustment</t>
  </si>
  <si>
    <t>DSMRC Residential Rate G-1</t>
  </si>
  <si>
    <t>Commercial</t>
  </si>
  <si>
    <t>Total Commercial DSMRC Balance</t>
  </si>
  <si>
    <t>DSMRC Commercial Rate G-1</t>
  </si>
  <si>
    <t>ATMOS CARES ANNUAL TOTALS</t>
  </si>
  <si>
    <t>Weatherization</t>
  </si>
  <si>
    <t>Residential Rebates</t>
  </si>
  <si>
    <t>Education</t>
  </si>
  <si>
    <t>Monthly Totals</t>
  </si>
  <si>
    <t>Commercial Rebates</t>
  </si>
  <si>
    <t>Payment Month</t>
  </si>
  <si>
    <t>Expenses</t>
  </si>
  <si>
    <t>Houses</t>
  </si>
  <si>
    <t>Rebate Expenses</t>
  </si>
  <si>
    <t>Rebates Issued</t>
  </si>
  <si>
    <t>Promo &amp; Misc.</t>
  </si>
  <si>
    <t>Qtly. Fees</t>
  </si>
  <si>
    <t>Presentations</t>
  </si>
  <si>
    <t># of Students</t>
  </si>
  <si>
    <t>Expenditures</t>
  </si>
  <si>
    <t>Residential Ccf</t>
  </si>
  <si>
    <t>Commercial Ccf</t>
  </si>
  <si>
    <t>Residential Expenditures - Education Expense - Commerical Expenditures</t>
  </si>
  <si>
    <t>Residential Expenditures - Commerical Expenditures</t>
  </si>
  <si>
    <t>Commerical Expenditures</t>
  </si>
  <si>
    <t>Cum. Totals</t>
  </si>
  <si>
    <t>2020 Totals</t>
  </si>
  <si>
    <t>2021 Totals</t>
  </si>
  <si>
    <t>DSM Incentive Adjustment 9/1/2020 - 8/31/2021</t>
  </si>
  <si>
    <t>Residential Measure Life Weighted Average</t>
  </si>
  <si>
    <t>Factors</t>
  </si>
  <si>
    <t>Measure</t>
  </si>
  <si>
    <t># of Units</t>
  </si>
  <si>
    <t>Years</t>
  </si>
  <si>
    <t>Total</t>
  </si>
  <si>
    <t>Program Costs</t>
  </si>
  <si>
    <t>Furnaces</t>
  </si>
  <si>
    <t>Ccf Rate</t>
  </si>
  <si>
    <t>Thermostats</t>
  </si>
  <si>
    <t>Ccf Saved</t>
  </si>
  <si>
    <t>Tank Water Heaters</t>
  </si>
  <si>
    <t>Measure Life</t>
  </si>
  <si>
    <t>Tankless Water Heaters</t>
  </si>
  <si>
    <t>Commodity Savings</t>
  </si>
  <si>
    <t>Present Value CS</t>
  </si>
  <si>
    <t>Totals</t>
  </si>
  <si>
    <t>Program Benefit</t>
  </si>
  <si>
    <t>Weighted Average</t>
  </si>
  <si>
    <t>Discount Rate</t>
  </si>
  <si>
    <t>Incentive</t>
  </si>
  <si>
    <t>Commercial Measure Life Weighted Average</t>
  </si>
  <si>
    <t>Annual DSM Incentive Adjustment</t>
  </si>
  <si>
    <t>Cumulative DSM Incentive Adjustment</t>
  </si>
  <si>
    <t>DSM Lost Sales Adjustment</t>
  </si>
  <si>
    <t>Commercial Fryer</t>
  </si>
  <si>
    <t>Commercial Griddle</t>
  </si>
  <si>
    <t>Cell B3 = Atmos Cares Report tab "Total" Column N Sep20-Aug21</t>
  </si>
  <si>
    <t>Commercial Oven</t>
  </si>
  <si>
    <t>Cell C3 = Atmos Cares Report "Total" tab Column U Sep20-Aug21</t>
  </si>
  <si>
    <t>Commercial Steamer</t>
  </si>
  <si>
    <t>Cell B5 = Atmos Cares Report tab "Total" Column O Sep20-Aug21</t>
  </si>
  <si>
    <t>Cell C5 = Atmos Cares Report "Total" tab Column R Sep20-Aug21</t>
  </si>
  <si>
    <t>Rate set to zero - see CASE NO. 2021-00401</t>
  </si>
  <si>
    <t>Rate set to zero based on proposed tariff sheet file in CASE NO. 2021-00401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</si>
</sst>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[$-409]mmm\-yy;@"/>
    <numFmt numFmtId="166" formatCode="&quot;$&quot;#,##0.0000_);\(&quot;$&quot;#,##0.0000\)"/>
    <numFmt numFmtId="167" formatCode="_(&quot;$&quot;* #,##0.0000_);_(&quot;$&quot;* \(#,##0.0000\);_(&quot;$&quot;* &quot;-&quot;??_);_(@_)"/>
    <numFmt numFmtId="168" formatCode="_(* #,##0_);_(* \(#,##0\);_(* &quot;-&quot;??_);_(@_)"/>
    <numFmt numFmtId="169" formatCode="#,##0.0000_);[Red]\(#,##0.0000\)"/>
    <numFmt numFmtId="170" formatCode="_(* #,##0.0000_);_(* \(#,##0.0000\);_(* &quot;-&quot;??_);_(@_)"/>
    <numFmt numFmtId="171" formatCode="###,000"/>
    <numFmt numFmtId="172" formatCode="#,##0.00;\-#,##0.00;#,##0.00"/>
    <numFmt numFmtId="173" formatCode="&quot;$&quot;#,##0.00"/>
    <numFmt numFmtId="174" formatCode="_(&quot;$&quot;* #,##0.000_);_(&quot;$&quot;* \(#,##0.000\);_(&quot;$&quot;* &quot;-&quot;???_);_(@_)"/>
    <numFmt numFmtId="175" formatCode="0.0"/>
  </numFmts>
  <fonts count="21" x14ac:knownFonts="1">
    <font>
      <sz val="10"/>
      <name val="Arial"/>
      <family val="2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8"/>
      <color rgb="FF000000"/>
      <name val="Verdan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8"/>
      <color theme="1"/>
      <name val="Arial"/>
      <family val="2"/>
    </font>
    <font>
      <sz val="8"/>
      <name val="Verdana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2" borderId="0" applyNumberFormat="0" applyBorder="0" applyAlignment="0" applyProtection="0"/>
    <xf numFmtId="171" fontId="10" fillId="0" borderId="5" applyNumberFormat="0" applyAlignment="0" applyProtection="0">
      <alignment horizontal="right" vertical="center" indent="1"/>
    </xf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5" fillId="0" borderId="0"/>
    <xf numFmtId="0" fontId="20" fillId="0" borderId="0"/>
  </cellStyleXfs>
  <cellXfs count="174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3" fillId="0" borderId="0" xfId="0" applyFont="1" applyAlignment="1">
      <alignment horizontal="center" wrapText="1"/>
    </xf>
    <xf numFmtId="4" fontId="5" fillId="0" borderId="0" xfId="4" applyNumberFormat="1" applyFont="1" applyFill="1" applyBorder="1"/>
    <xf numFmtId="39" fontId="0" fillId="0" borderId="0" xfId="0" applyNumberFormat="1"/>
    <xf numFmtId="165" fontId="0" fillId="0" borderId="0" xfId="0" applyNumberFormat="1"/>
    <xf numFmtId="167" fontId="0" fillId="0" borderId="0" xfId="2" applyNumberFormat="1" applyFont="1" applyFill="1"/>
    <xf numFmtId="0" fontId="6" fillId="0" borderId="0" xfId="0" applyFont="1" applyAlignment="1">
      <alignment horizontal="left"/>
    </xf>
    <xf numFmtId="0" fontId="7" fillId="0" borderId="0" xfId="0" applyFont="1"/>
    <xf numFmtId="167" fontId="0" fillId="0" borderId="0" xfId="2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38" fontId="8" fillId="0" borderId="0" xfId="0" applyNumberFormat="1" applyFont="1" applyAlignment="1">
      <alignment horizontal="center"/>
    </xf>
    <xf numFmtId="167" fontId="8" fillId="0" borderId="0" xfId="2" applyNumberFormat="1" applyFont="1" applyFill="1" applyAlignment="1">
      <alignment horizontal="center"/>
    </xf>
    <xf numFmtId="44" fontId="5" fillId="0" borderId="0" xfId="4" applyNumberFormat="1" applyFont="1" applyFill="1"/>
    <xf numFmtId="37" fontId="2" fillId="0" borderId="0" xfId="0" applyNumberFormat="1" applyFont="1"/>
    <xf numFmtId="167" fontId="5" fillId="0" borderId="0" xfId="4" applyNumberFormat="1" applyFont="1" applyFill="1"/>
    <xf numFmtId="44" fontId="0" fillId="0" borderId="0" xfId="0" applyNumberFormat="1"/>
    <xf numFmtId="44" fontId="5" fillId="0" borderId="2" xfId="4" applyNumberFormat="1" applyFont="1" applyFill="1" applyBorder="1"/>
    <xf numFmtId="168" fontId="0" fillId="0" borderId="0" xfId="1" applyNumberFormat="1" applyFont="1" applyFill="1"/>
    <xf numFmtId="9" fontId="0" fillId="0" borderId="0" xfId="3" applyFont="1" applyFill="1"/>
    <xf numFmtId="170" fontId="0" fillId="0" borderId="0" xfId="1" applyNumberFormat="1" applyFont="1" applyFill="1"/>
    <xf numFmtId="0" fontId="9" fillId="0" borderId="0" xfId="0" applyFont="1"/>
    <xf numFmtId="7" fontId="5" fillId="0" borderId="2" xfId="4" applyNumberFormat="1" applyFont="1" applyFill="1" applyBorder="1"/>
    <xf numFmtId="0" fontId="6" fillId="0" borderId="0" xfId="0" applyFont="1"/>
    <xf numFmtId="17" fontId="3" fillId="0" borderId="11" xfId="0" applyNumberFormat="1" applyFont="1" applyBorder="1" applyAlignment="1">
      <alignment horizontal="center"/>
    </xf>
    <xf numFmtId="44" fontId="3" fillId="0" borderId="12" xfId="0" applyNumberFormat="1" applyFont="1" applyBorder="1" applyAlignment="1">
      <alignment horizontal="center"/>
    </xf>
    <xf numFmtId="44" fontId="3" fillId="0" borderId="12" xfId="0" applyNumberFormat="1" applyFont="1" applyBorder="1" applyAlignment="1">
      <alignment horizontal="center" wrapText="1"/>
    </xf>
    <xf numFmtId="173" fontId="3" fillId="0" borderId="13" xfId="0" applyNumberFormat="1" applyFont="1" applyBorder="1" applyAlignment="1">
      <alignment horizontal="center"/>
    </xf>
    <xf numFmtId="44" fontId="3" fillId="0" borderId="14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44" fontId="3" fillId="0" borderId="13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6" applyFont="1" applyAlignment="1">
      <alignment horizontal="center" wrapText="1"/>
    </xf>
    <xf numFmtId="44" fontId="3" fillId="0" borderId="0" xfId="7" applyFont="1" applyFill="1" applyBorder="1" applyAlignment="1">
      <alignment horizontal="center" wrapText="1"/>
    </xf>
    <xf numFmtId="165" fontId="3" fillId="0" borderId="18" xfId="0" applyNumberFormat="1" applyFont="1" applyBorder="1"/>
    <xf numFmtId="44" fontId="3" fillId="0" borderId="19" xfId="0" applyNumberFormat="1" applyFont="1" applyBorder="1"/>
    <xf numFmtId="37" fontId="3" fillId="0" borderId="19" xfId="0" applyNumberFormat="1" applyFont="1" applyBorder="1"/>
    <xf numFmtId="37" fontId="3" fillId="0" borderId="20" xfId="0" applyNumberFormat="1" applyFont="1" applyBorder="1"/>
    <xf numFmtId="44" fontId="3" fillId="0" borderId="21" xfId="0" applyNumberFormat="1" applyFont="1" applyBorder="1"/>
    <xf numFmtId="3" fontId="3" fillId="0" borderId="19" xfId="0" applyNumberFormat="1" applyFont="1" applyBorder="1"/>
    <xf numFmtId="44" fontId="3" fillId="0" borderId="20" xfId="0" applyNumberFormat="1" applyFont="1" applyBorder="1"/>
    <xf numFmtId="3" fontId="3" fillId="0" borderId="21" xfId="0" applyNumberFormat="1" applyFont="1" applyBorder="1"/>
    <xf numFmtId="37" fontId="3" fillId="0" borderId="21" xfId="0" applyNumberFormat="1" applyFont="1" applyBorder="1"/>
    <xf numFmtId="4" fontId="0" fillId="0" borderId="0" xfId="0" applyNumberFormat="1"/>
    <xf numFmtId="165" fontId="2" fillId="0" borderId="0" xfId="0" applyNumberFormat="1" applyFont="1"/>
    <xf numFmtId="44" fontId="2" fillId="0" borderId="22" xfId="0" applyNumberFormat="1" applyFont="1" applyBorder="1"/>
    <xf numFmtId="37" fontId="2" fillId="0" borderId="22" xfId="0" applyNumberFormat="1" applyFont="1" applyBorder="1"/>
    <xf numFmtId="37" fontId="2" fillId="0" borderId="23" xfId="0" applyNumberFormat="1" applyFont="1" applyBorder="1"/>
    <xf numFmtId="3" fontId="2" fillId="0" borderId="24" xfId="0" applyNumberFormat="1" applyFont="1" applyBorder="1"/>
    <xf numFmtId="44" fontId="2" fillId="0" borderId="24" xfId="0" applyNumberFormat="1" applyFont="1" applyBorder="1"/>
    <xf numFmtId="44" fontId="2" fillId="0" borderId="25" xfId="0" applyNumberFormat="1" applyFont="1" applyBorder="1"/>
    <xf numFmtId="44" fontId="2" fillId="0" borderId="23" xfId="0" applyNumberFormat="1" applyFont="1" applyBorder="1"/>
    <xf numFmtId="3" fontId="2" fillId="0" borderId="22" xfId="0" applyNumberFormat="1" applyFont="1" applyBorder="1"/>
    <xf numFmtId="165" fontId="2" fillId="0" borderId="26" xfId="0" applyNumberFormat="1" applyFont="1" applyBorder="1"/>
    <xf numFmtId="44" fontId="2" fillId="0" borderId="27" xfId="0" applyNumberFormat="1" applyFont="1" applyBorder="1"/>
    <xf numFmtId="37" fontId="2" fillId="0" borderId="28" xfId="0" applyNumberFormat="1" applyFont="1" applyBorder="1"/>
    <xf numFmtId="37" fontId="2" fillId="0" borderId="29" xfId="0" applyNumberFormat="1" applyFont="1" applyBorder="1"/>
    <xf numFmtId="44" fontId="2" fillId="0" borderId="28" xfId="0" applyNumberFormat="1" applyFont="1" applyBorder="1"/>
    <xf numFmtId="3" fontId="2" fillId="0" borderId="27" xfId="0" applyNumberFormat="1" applyFont="1" applyBorder="1"/>
    <xf numFmtId="44" fontId="2" fillId="0" borderId="30" xfId="0" applyNumberFormat="1" applyFont="1" applyBorder="1"/>
    <xf numFmtId="44" fontId="2" fillId="0" borderId="29" xfId="0" applyNumberFormat="1" applyFont="1" applyBorder="1"/>
    <xf numFmtId="3" fontId="2" fillId="0" borderId="28" xfId="0" applyNumberFormat="1" applyFont="1" applyBorder="1"/>
    <xf numFmtId="44" fontId="2" fillId="0" borderId="29" xfId="8" applyFont="1" applyBorder="1"/>
    <xf numFmtId="165" fontId="2" fillId="0" borderId="31" xfId="0" applyNumberFormat="1" applyFont="1" applyBorder="1"/>
    <xf numFmtId="44" fontId="0" fillId="0" borderId="29" xfId="0" applyNumberFormat="1" applyBorder="1"/>
    <xf numFmtId="165" fontId="2" fillId="0" borderId="32" xfId="0" applyNumberFormat="1" applyFont="1" applyBorder="1"/>
    <xf numFmtId="44" fontId="2" fillId="0" borderId="33" xfId="0" applyNumberFormat="1" applyFont="1" applyBorder="1"/>
    <xf numFmtId="37" fontId="2" fillId="0" borderId="33" xfId="0" applyNumberFormat="1" applyFont="1" applyBorder="1"/>
    <xf numFmtId="37" fontId="2" fillId="0" borderId="34" xfId="0" applyNumberFormat="1" applyFont="1" applyBorder="1"/>
    <xf numFmtId="44" fontId="2" fillId="0" borderId="35" xfId="0" applyNumberFormat="1" applyFont="1" applyBorder="1"/>
    <xf numFmtId="3" fontId="2" fillId="0" borderId="33" xfId="0" applyNumberFormat="1" applyFont="1" applyBorder="1"/>
    <xf numFmtId="44" fontId="2" fillId="0" borderId="34" xfId="0" applyNumberFormat="1" applyFont="1" applyBorder="1"/>
    <xf numFmtId="3" fontId="2" fillId="0" borderId="35" xfId="0" applyNumberFormat="1" applyFont="1" applyBorder="1"/>
    <xf numFmtId="44" fontId="2" fillId="0" borderId="36" xfId="0" applyNumberFormat="1" applyFont="1" applyBorder="1"/>
    <xf numFmtId="165" fontId="3" fillId="0" borderId="26" xfId="0" applyNumberFormat="1" applyFont="1" applyBorder="1"/>
    <xf numFmtId="44" fontId="3" fillId="0" borderId="27" xfId="0" applyNumberFormat="1" applyFont="1" applyBorder="1"/>
    <xf numFmtId="37" fontId="3" fillId="0" borderId="27" xfId="0" applyNumberFormat="1" applyFont="1" applyBorder="1"/>
    <xf numFmtId="37" fontId="3" fillId="0" borderId="29" xfId="0" applyNumberFormat="1" applyFont="1" applyBorder="1"/>
    <xf numFmtId="44" fontId="3" fillId="0" borderId="28" xfId="0" applyNumberFormat="1" applyFont="1" applyBorder="1"/>
    <xf numFmtId="3" fontId="3" fillId="0" borderId="27" xfId="0" applyNumberFormat="1" applyFont="1" applyBorder="1"/>
    <xf numFmtId="44" fontId="3" fillId="0" borderId="29" xfId="0" applyNumberFormat="1" applyFont="1" applyBorder="1"/>
    <xf numFmtId="3" fontId="3" fillId="0" borderId="28" xfId="0" applyNumberFormat="1" applyFont="1" applyBorder="1"/>
    <xf numFmtId="44" fontId="3" fillId="0" borderId="37" xfId="0" applyNumberFormat="1" applyFont="1" applyBorder="1"/>
    <xf numFmtId="165" fontId="3" fillId="0" borderId="0" xfId="0" applyNumberFormat="1" applyFont="1"/>
    <xf numFmtId="44" fontId="3" fillId="0" borderId="0" xfId="0" applyNumberFormat="1" applyFont="1"/>
    <xf numFmtId="37" fontId="3" fillId="0" borderId="0" xfId="0" applyNumberFormat="1" applyFont="1"/>
    <xf numFmtId="3" fontId="3" fillId="0" borderId="0" xfId="0" applyNumberFormat="1" applyFont="1"/>
    <xf numFmtId="0" fontId="15" fillId="0" borderId="0" xfId="9"/>
    <xf numFmtId="0" fontId="14" fillId="0" borderId="38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6" fillId="0" borderId="27" xfId="0" applyFont="1" applyBorder="1"/>
    <xf numFmtId="44" fontId="0" fillId="0" borderId="27" xfId="0" applyNumberFormat="1" applyBorder="1"/>
    <xf numFmtId="0" fontId="0" fillId="0" borderId="40" xfId="0" applyBorder="1"/>
    <xf numFmtId="3" fontId="0" fillId="0" borderId="40" xfId="0" applyNumberFormat="1" applyBorder="1"/>
    <xf numFmtId="3" fontId="0" fillId="0" borderId="27" xfId="0" applyNumberFormat="1" applyBorder="1"/>
    <xf numFmtId="174" fontId="0" fillId="0" borderId="27" xfId="0" applyNumberFormat="1" applyBorder="1"/>
    <xf numFmtId="0" fontId="0" fillId="0" borderId="27" xfId="0" applyBorder="1"/>
    <xf numFmtId="175" fontId="0" fillId="0" borderId="27" xfId="0" applyNumberFormat="1" applyBorder="1"/>
    <xf numFmtId="3" fontId="0" fillId="0" borderId="33" xfId="0" applyNumberFormat="1" applyBorder="1"/>
    <xf numFmtId="8" fontId="0" fillId="0" borderId="27" xfId="0" applyNumberFormat="1" applyBorder="1"/>
    <xf numFmtId="0" fontId="14" fillId="0" borderId="41" xfId="0" applyFont="1" applyBorder="1" applyAlignment="1">
      <alignment horizontal="right"/>
    </xf>
    <xf numFmtId="175" fontId="14" fillId="0" borderId="41" xfId="0" applyNumberFormat="1" applyFont="1" applyBorder="1"/>
    <xf numFmtId="0" fontId="0" fillId="0" borderId="41" xfId="0" applyBorder="1"/>
    <xf numFmtId="10" fontId="0" fillId="0" borderId="27" xfId="0" applyNumberFormat="1" applyBorder="1"/>
    <xf numFmtId="9" fontId="0" fillId="0" borderId="27" xfId="0" applyNumberFormat="1" applyBorder="1"/>
    <xf numFmtId="0" fontId="17" fillId="0" borderId="42" xfId="0" applyFont="1" applyBorder="1" applyAlignment="1">
      <alignment horizontal="right"/>
    </xf>
    <xf numFmtId="44" fontId="17" fillId="0" borderId="42" xfId="0" applyNumberFormat="1" applyFont="1" applyBorder="1"/>
    <xf numFmtId="0" fontId="17" fillId="0" borderId="38" xfId="0" applyFont="1" applyBorder="1"/>
    <xf numFmtId="44" fontId="17" fillId="0" borderId="38" xfId="0" applyNumberFormat="1" applyFont="1" applyBorder="1"/>
    <xf numFmtId="0" fontId="17" fillId="0" borderId="43" xfId="0" applyFont="1" applyBorder="1" applyAlignment="1">
      <alignment horizontal="right"/>
    </xf>
    <xf numFmtId="44" fontId="17" fillId="0" borderId="44" xfId="0" applyNumberFormat="1" applyFont="1" applyBorder="1"/>
    <xf numFmtId="0" fontId="18" fillId="0" borderId="0" xfId="0" applyFont="1"/>
    <xf numFmtId="0" fontId="0" fillId="0" borderId="0" xfId="0" applyFont="1"/>
    <xf numFmtId="17" fontId="3" fillId="0" borderId="0" xfId="0" applyNumberFormat="1" applyFont="1"/>
    <xf numFmtId="0" fontId="0" fillId="0" borderId="0" xfId="0" applyFont="1" applyAlignment="1">
      <alignment horizontal="center"/>
    </xf>
    <xf numFmtId="17" fontId="0" fillId="0" borderId="0" xfId="0" applyNumberFormat="1" applyFont="1"/>
    <xf numFmtId="164" fontId="5" fillId="0" borderId="0" xfId="4" applyNumberFormat="1" applyFont="1" applyFill="1"/>
    <xf numFmtId="39" fontId="0" fillId="0" borderId="0" xfId="0" applyNumberFormat="1" applyFont="1"/>
    <xf numFmtId="37" fontId="0" fillId="0" borderId="0" xfId="0" applyNumberFormat="1" applyFont="1"/>
    <xf numFmtId="165" fontId="0" fillId="0" borderId="0" xfId="0" applyNumberFormat="1" applyFont="1"/>
    <xf numFmtId="0" fontId="0" fillId="0" borderId="0" xfId="0" applyFont="1" applyAlignment="1">
      <alignment horizontal="right"/>
    </xf>
    <xf numFmtId="7" fontId="0" fillId="0" borderId="1" xfId="0" applyNumberFormat="1" applyFont="1" applyBorder="1"/>
    <xf numFmtId="166" fontId="0" fillId="0" borderId="0" xfId="0" applyNumberFormat="1" applyFont="1"/>
    <xf numFmtId="38" fontId="0" fillId="0" borderId="0" xfId="0" applyNumberFormat="1" applyFont="1"/>
    <xf numFmtId="38" fontId="0" fillId="0" borderId="0" xfId="0" applyNumberFormat="1" applyFont="1" applyAlignment="1">
      <alignment horizontal="center"/>
    </xf>
    <xf numFmtId="7" fontId="0" fillId="0" borderId="0" xfId="0" applyNumberFormat="1" applyFont="1" applyAlignment="1">
      <alignment horizontal="center"/>
    </xf>
    <xf numFmtId="44" fontId="0" fillId="0" borderId="0" xfId="0" applyNumberFormat="1" applyFont="1" applyAlignment="1">
      <alignment horizontal="center"/>
    </xf>
    <xf numFmtId="7" fontId="0" fillId="0" borderId="0" xfId="2" applyNumberFormat="1" applyFont="1" applyFill="1"/>
    <xf numFmtId="43" fontId="0" fillId="0" borderId="0" xfId="1" applyFont="1" applyFill="1"/>
    <xf numFmtId="44" fontId="0" fillId="0" borderId="0" xfId="0" applyNumberFormat="1" applyFont="1"/>
    <xf numFmtId="7" fontId="0" fillId="0" borderId="0" xfId="1" applyNumberFormat="1" applyFont="1" applyFill="1"/>
    <xf numFmtId="7" fontId="0" fillId="0" borderId="2" xfId="2" applyNumberFormat="1" applyFont="1" applyFill="1" applyBorder="1"/>
    <xf numFmtId="44" fontId="0" fillId="0" borderId="2" xfId="2" applyFont="1" applyFill="1" applyBorder="1"/>
    <xf numFmtId="37" fontId="0" fillId="0" borderId="2" xfId="0" applyNumberFormat="1" applyFont="1" applyBorder="1"/>
    <xf numFmtId="0" fontId="0" fillId="0" borderId="0" xfId="0" quotePrefix="1" applyFont="1"/>
    <xf numFmtId="10" fontId="0" fillId="0" borderId="0" xfId="0" applyNumberFormat="1" applyFont="1"/>
    <xf numFmtId="44" fontId="0" fillId="0" borderId="3" xfId="2" applyFont="1" applyFill="1" applyBorder="1"/>
    <xf numFmtId="7" fontId="0" fillId="0" borderId="0" xfId="2" applyNumberFormat="1" applyFont="1" applyFill="1" applyBorder="1"/>
    <xf numFmtId="40" fontId="0" fillId="0" borderId="0" xfId="0" applyNumberFormat="1" applyFont="1"/>
    <xf numFmtId="164" fontId="0" fillId="0" borderId="0" xfId="0" applyNumberFormat="1" applyFont="1"/>
    <xf numFmtId="169" fontId="0" fillId="0" borderId="0" xfId="0" applyNumberFormat="1" applyFont="1"/>
    <xf numFmtId="7" fontId="0" fillId="0" borderId="0" xfId="0" applyNumberFormat="1" applyFont="1"/>
    <xf numFmtId="0" fontId="0" fillId="0" borderId="0" xfId="0" applyFont="1" applyAlignment="1">
      <alignment horizontal="left" indent="1"/>
    </xf>
    <xf numFmtId="164" fontId="0" fillId="0" borderId="4" xfId="0" applyNumberFormat="1" applyFont="1" applyBorder="1"/>
    <xf numFmtId="0" fontId="0" fillId="0" borderId="0" xfId="1" applyNumberFormat="1" applyFont="1" applyFill="1"/>
    <xf numFmtId="172" fontId="19" fillId="0" borderId="0" xfId="5" applyNumberFormat="1" applyFont="1" applyBorder="1" applyAlignment="1"/>
    <xf numFmtId="165" fontId="2" fillId="0" borderId="31" xfId="10" applyNumberFormat="1" applyFont="1" applyBorder="1"/>
    <xf numFmtId="44" fontId="2" fillId="0" borderId="27" xfId="10" applyNumberFormat="1" applyFont="1" applyBorder="1"/>
    <xf numFmtId="37" fontId="2" fillId="0" borderId="28" xfId="10" applyNumberFormat="1" applyFont="1" applyBorder="1"/>
    <xf numFmtId="37" fontId="2" fillId="0" borderId="29" xfId="10" applyNumberFormat="1" applyFont="1" applyBorder="1"/>
    <xf numFmtId="44" fontId="2" fillId="0" borderId="28" xfId="10" applyNumberFormat="1" applyFont="1" applyBorder="1"/>
    <xf numFmtId="3" fontId="2" fillId="0" borderId="27" xfId="10" applyNumberFormat="1" applyFont="1" applyBorder="1"/>
    <xf numFmtId="44" fontId="2" fillId="0" borderId="30" xfId="10" applyNumberFormat="1" applyFont="1" applyBorder="1"/>
    <xf numFmtId="44" fontId="2" fillId="0" borderId="29" xfId="10" applyNumberFormat="1" applyFont="1" applyBorder="1"/>
    <xf numFmtId="3" fontId="2" fillId="0" borderId="28" xfId="10" applyNumberFormat="1" applyFont="1" applyBorder="1"/>
    <xf numFmtId="0" fontId="20" fillId="0" borderId="0" xfId="10"/>
    <xf numFmtId="0" fontId="6" fillId="0" borderId="0" xfId="0" applyFont="1" applyAlignment="1">
      <alignment horizontal="left"/>
    </xf>
    <xf numFmtId="44" fontId="7" fillId="0" borderId="9" xfId="0" applyNumberFormat="1" applyFont="1" applyBorder="1" applyAlignment="1">
      <alignment horizontal="center"/>
    </xf>
    <xf numFmtId="44" fontId="7" fillId="0" borderId="7" xfId="0" applyNumberFormat="1" applyFont="1" applyBorder="1" applyAlignment="1">
      <alignment horizontal="center"/>
    </xf>
    <xf numFmtId="44" fontId="7" fillId="0" borderId="8" xfId="0" applyNumberFormat="1" applyFont="1" applyBorder="1" applyAlignment="1">
      <alignment horizontal="center"/>
    </xf>
    <xf numFmtId="0" fontId="13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11">
    <cellStyle name="Comma" xfId="1" builtinId="3"/>
    <cellStyle name="Currency" xfId="2" builtinId="4"/>
    <cellStyle name="Currency 5 3" xfId="8" xr:uid="{D7B528A9-09AD-4336-9E88-2FF1F388FE91}"/>
    <cellStyle name="Currency 7 3" xfId="7" xr:uid="{A6B69A34-D048-4113-A8DB-7692A167F305}"/>
    <cellStyle name="Good" xfId="4" builtinId="26"/>
    <cellStyle name="Normal" xfId="0" builtinId="0"/>
    <cellStyle name="Normal 2" xfId="10" xr:uid="{479123C9-0FDD-46C6-ACA0-75FAE45CC117}"/>
    <cellStyle name="Normal 4" xfId="9" xr:uid="{9628FA81-C188-46B1-95F3-9BCE617C40B6}"/>
    <cellStyle name="Normal 4 2" xfId="6" xr:uid="{F4839D30-92CB-4FF6-B12A-2E9375E9EFE7}"/>
    <cellStyle name="Percent" xfId="3" builtinId="5"/>
    <cellStyle name="SAPDataCell" xfId="5" xr:uid="{BE785DBC-8980-41B0-A21A-F27D46699B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Administration/5-Jurisdictional%20Files/Kentucky/DSM/2021/Finalized%20Filing_04-30-2021/2021%20DSM%20Balancing%20Adjustment%20With%20Interest_04-30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Instructions"/>
      <sheetName val="DLSA"/>
      <sheetName val="2021"/>
      <sheetName val="DSMRC Costs"/>
      <sheetName val="DSMRC Recoveries &amp; Sales"/>
      <sheetName val="FICA Recoveries"/>
      <sheetName val="DIA + DLSA Revenue"/>
      <sheetName val="Interest Rates"/>
      <sheetName val="Prior"/>
      <sheetName val="Sheet1"/>
      <sheetName val="Commercial Analysis"/>
      <sheetName val="Residential Analy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93F4D-4AB3-4F14-A2CC-BBADA474508E}">
  <dimension ref="A1:H60"/>
  <sheetViews>
    <sheetView tabSelected="1" view="pageBreakPreview" zoomScale="76" zoomScaleNormal="100" zoomScaleSheetLayoutView="76" workbookViewId="0"/>
  </sheetViews>
  <sheetFormatPr defaultColWidth="9.140625" defaultRowHeight="12.75" x14ac:dyDescent="0.2"/>
  <cols>
    <col min="1" max="1" width="18.140625" style="118" customWidth="1"/>
    <col min="2" max="2" width="16.28515625" style="118" customWidth="1"/>
    <col min="3" max="5" width="16.42578125" style="118" customWidth="1"/>
    <col min="6" max="6" width="9.140625" style="118"/>
    <col min="7" max="7" width="2.5703125" style="118" customWidth="1"/>
    <col min="8" max="16384" width="9.140625" style="118"/>
  </cols>
  <sheetData>
    <row r="1" spans="1:1" x14ac:dyDescent="0.2">
      <c r="A1" s="1" t="s">
        <v>0</v>
      </c>
    </row>
    <row r="2" spans="1:1" x14ac:dyDescent="0.2">
      <c r="A2" s="1" t="s">
        <v>1</v>
      </c>
    </row>
    <row r="3" spans="1:1" x14ac:dyDescent="0.2">
      <c r="A3" s="1" t="s">
        <v>2</v>
      </c>
    </row>
    <row r="4" spans="1:1" x14ac:dyDescent="0.2">
      <c r="A4" s="1" t="s">
        <v>3</v>
      </c>
    </row>
    <row r="5" spans="1:1" x14ac:dyDescent="0.2">
      <c r="A5" s="119" t="s">
        <v>4</v>
      </c>
    </row>
    <row r="6" spans="1:1" ht="6" customHeight="1" x14ac:dyDescent="0.2"/>
    <row r="7" spans="1:1" x14ac:dyDescent="0.2">
      <c r="A7" s="2" t="s">
        <v>5</v>
      </c>
    </row>
    <row r="8" spans="1:1" x14ac:dyDescent="0.2">
      <c r="A8" s="118" t="s">
        <v>6</v>
      </c>
    </row>
    <row r="9" spans="1:1" x14ac:dyDescent="0.2">
      <c r="A9" s="118" t="s">
        <v>7</v>
      </c>
    </row>
    <row r="10" spans="1:1" x14ac:dyDescent="0.2">
      <c r="A10" s="118" t="s">
        <v>8</v>
      </c>
    </row>
    <row r="11" spans="1:1" x14ac:dyDescent="0.2">
      <c r="A11" s="118" t="s">
        <v>9</v>
      </c>
    </row>
    <row r="12" spans="1:1" x14ac:dyDescent="0.2">
      <c r="A12" s="118" t="s">
        <v>10</v>
      </c>
    </row>
    <row r="13" spans="1:1" x14ac:dyDescent="0.2">
      <c r="A13" s="118" t="s">
        <v>11</v>
      </c>
    </row>
    <row r="14" spans="1:1" x14ac:dyDescent="0.2">
      <c r="A14" s="118" t="s">
        <v>12</v>
      </c>
    </row>
    <row r="15" spans="1:1" ht="7.5" customHeight="1" x14ac:dyDescent="0.2"/>
    <row r="16" spans="1:1" x14ac:dyDescent="0.2">
      <c r="A16" s="1" t="s">
        <v>13</v>
      </c>
    </row>
    <row r="17" spans="1:8" ht="25.5" x14ac:dyDescent="0.2">
      <c r="A17" s="4" t="s">
        <v>14</v>
      </c>
      <c r="B17" s="4" t="s">
        <v>15</v>
      </c>
      <c r="C17" s="4" t="s">
        <v>16</v>
      </c>
      <c r="D17" s="4" t="s">
        <v>17</v>
      </c>
      <c r="E17" s="4" t="s">
        <v>18</v>
      </c>
    </row>
    <row r="18" spans="1:8" x14ac:dyDescent="0.2">
      <c r="B18" s="120" t="s">
        <v>19</v>
      </c>
      <c r="C18" s="120" t="s">
        <v>20</v>
      </c>
      <c r="D18" s="120" t="s">
        <v>21</v>
      </c>
      <c r="E18" s="120" t="s">
        <v>22</v>
      </c>
    </row>
    <row r="19" spans="1:8" ht="15" x14ac:dyDescent="0.25">
      <c r="A19" s="120">
        <v>1</v>
      </c>
      <c r="B19" s="121">
        <v>44075</v>
      </c>
      <c r="C19" s="5">
        <f>'DSMRC Costs'!V13</f>
        <v>1264.5</v>
      </c>
      <c r="D19" s="122">
        <v>0.13855000000000001</v>
      </c>
      <c r="E19" s="123">
        <f t="shared" ref="E19:E26" si="0">ROUND(C19*D19,2)</f>
        <v>175.2</v>
      </c>
      <c r="H19" s="124"/>
    </row>
    <row r="20" spans="1:8" ht="15" x14ac:dyDescent="0.25">
      <c r="A20" s="120">
        <v>2</v>
      </c>
      <c r="B20" s="125">
        <f>EDATE(B19,1)</f>
        <v>44105</v>
      </c>
      <c r="C20" s="5">
        <f>'DSMRC Costs'!V14</f>
        <v>505.79999999999995</v>
      </c>
      <c r="D20" s="122">
        <v>0.13855000000000001</v>
      </c>
      <c r="E20" s="123">
        <f t="shared" si="0"/>
        <v>70.08</v>
      </c>
      <c r="H20" s="124"/>
    </row>
    <row r="21" spans="1:8" ht="15" x14ac:dyDescent="0.25">
      <c r="A21" s="120">
        <v>3</v>
      </c>
      <c r="B21" s="125">
        <f t="shared" ref="B21:B26" si="1">EDATE(B20,1)</f>
        <v>44136</v>
      </c>
      <c r="C21" s="5">
        <f>'DSMRC Costs'!V15</f>
        <v>505.79999999999995</v>
      </c>
      <c r="D21" s="122">
        <v>0.13855000000000001</v>
      </c>
      <c r="E21" s="123">
        <f t="shared" si="0"/>
        <v>70.08</v>
      </c>
      <c r="H21" s="124"/>
    </row>
    <row r="22" spans="1:8" ht="15" x14ac:dyDescent="0.25">
      <c r="A22" s="120">
        <v>4</v>
      </c>
      <c r="B22" s="125">
        <f t="shared" si="1"/>
        <v>44166</v>
      </c>
      <c r="C22" s="5">
        <f>'DSMRC Costs'!V16</f>
        <v>0</v>
      </c>
      <c r="D22" s="122">
        <v>0.13855000000000001</v>
      </c>
      <c r="E22" s="123">
        <f t="shared" si="0"/>
        <v>0</v>
      </c>
      <c r="H22" s="124"/>
    </row>
    <row r="23" spans="1:8" ht="15" x14ac:dyDescent="0.25">
      <c r="A23" s="120">
        <v>5</v>
      </c>
      <c r="B23" s="125">
        <f t="shared" si="1"/>
        <v>44197</v>
      </c>
      <c r="C23" s="5">
        <f>'DSMRC Costs'!V19</f>
        <v>252.89999999999998</v>
      </c>
      <c r="D23" s="122">
        <v>0.13855000000000001</v>
      </c>
      <c r="E23" s="123">
        <f t="shared" si="0"/>
        <v>35.04</v>
      </c>
      <c r="H23" s="124"/>
    </row>
    <row r="24" spans="1:8" ht="15" x14ac:dyDescent="0.25">
      <c r="A24" s="120">
        <v>6</v>
      </c>
      <c r="B24" s="125">
        <f t="shared" si="1"/>
        <v>44228</v>
      </c>
      <c r="C24" s="5">
        <f>'DSMRC Costs'!V20</f>
        <v>252.89999999999998</v>
      </c>
      <c r="D24" s="122">
        <v>0.13855000000000001</v>
      </c>
      <c r="E24" s="123">
        <f t="shared" si="0"/>
        <v>35.04</v>
      </c>
      <c r="H24" s="124"/>
    </row>
    <row r="25" spans="1:8" ht="15" x14ac:dyDescent="0.25">
      <c r="A25" s="120">
        <v>7</v>
      </c>
      <c r="B25" s="125">
        <f t="shared" si="1"/>
        <v>44256</v>
      </c>
      <c r="C25" s="5">
        <f>'DSMRC Costs'!V21</f>
        <v>505.79999999999995</v>
      </c>
      <c r="D25" s="122">
        <v>0.13855000000000001</v>
      </c>
      <c r="E25" s="123">
        <f t="shared" si="0"/>
        <v>70.08</v>
      </c>
      <c r="H25" s="124"/>
    </row>
    <row r="26" spans="1:8" ht="15" x14ac:dyDescent="0.25">
      <c r="A26" s="120">
        <v>8</v>
      </c>
      <c r="B26" s="125">
        <f t="shared" si="1"/>
        <v>44287</v>
      </c>
      <c r="C26" s="5">
        <f>'DSMRC Costs'!V22</f>
        <v>252.89999999999998</v>
      </c>
      <c r="D26" s="122">
        <v>0.13855000000000001</v>
      </c>
      <c r="E26" s="123">
        <f t="shared" si="0"/>
        <v>35.04</v>
      </c>
      <c r="H26" s="124"/>
    </row>
    <row r="27" spans="1:8" ht="15" x14ac:dyDescent="0.25">
      <c r="A27" s="120">
        <v>9</v>
      </c>
      <c r="B27" s="125"/>
      <c r="C27" s="5"/>
      <c r="D27" s="122"/>
      <c r="E27" s="123"/>
      <c r="H27" s="124"/>
    </row>
    <row r="28" spans="1:8" ht="15" x14ac:dyDescent="0.25">
      <c r="A28" s="120">
        <v>10</v>
      </c>
      <c r="B28" s="125"/>
      <c r="C28" s="5"/>
      <c r="D28" s="122"/>
      <c r="E28" s="123"/>
      <c r="H28" s="124"/>
    </row>
    <row r="29" spans="1:8" ht="15" x14ac:dyDescent="0.25">
      <c r="A29" s="120">
        <v>11</v>
      </c>
      <c r="B29" s="125"/>
      <c r="C29" s="5"/>
      <c r="D29" s="122"/>
      <c r="E29" s="123"/>
      <c r="H29" s="124"/>
    </row>
    <row r="30" spans="1:8" ht="15" x14ac:dyDescent="0.25">
      <c r="A30" s="120">
        <v>12</v>
      </c>
      <c r="B30" s="125"/>
      <c r="C30" s="5"/>
      <c r="D30" s="122"/>
      <c r="E30" s="123"/>
      <c r="H30" s="124"/>
    </row>
    <row r="31" spans="1:8" x14ac:dyDescent="0.2">
      <c r="A31" s="120">
        <v>13</v>
      </c>
      <c r="B31" s="126" t="s">
        <v>23</v>
      </c>
      <c r="E31" s="127">
        <f>SUM(E19:E30)</f>
        <v>490.56</v>
      </c>
      <c r="H31" s="124"/>
    </row>
    <row r="32" spans="1:8" x14ac:dyDescent="0.2">
      <c r="A32" s="120"/>
    </row>
    <row r="33" spans="1:5" x14ac:dyDescent="0.2">
      <c r="A33" s="120">
        <v>14</v>
      </c>
      <c r="B33" s="118" t="s">
        <v>24</v>
      </c>
      <c r="E33" s="124">
        <f>'2021'!G25</f>
        <v>7754286.2000000002</v>
      </c>
    </row>
    <row r="34" spans="1:5" x14ac:dyDescent="0.2">
      <c r="A34" s="120"/>
    </row>
    <row r="35" spans="1:5" x14ac:dyDescent="0.2">
      <c r="A35" s="120">
        <v>15</v>
      </c>
      <c r="B35" s="118" t="s">
        <v>25</v>
      </c>
      <c r="E35" s="128">
        <f>ROUND(E31/E33,4)</f>
        <v>1E-4</v>
      </c>
    </row>
    <row r="36" spans="1:5" x14ac:dyDescent="0.2">
      <c r="A36" s="120"/>
    </row>
    <row r="37" spans="1:5" x14ac:dyDescent="0.2">
      <c r="A37" s="120"/>
    </row>
    <row r="38" spans="1:5" x14ac:dyDescent="0.2">
      <c r="A38" s="120"/>
    </row>
    <row r="39" spans="1:5" x14ac:dyDescent="0.2">
      <c r="A39" s="120"/>
    </row>
    <row r="40" spans="1:5" ht="25.5" x14ac:dyDescent="0.2">
      <c r="A40" s="1" t="s">
        <v>26</v>
      </c>
      <c r="B40" s="4" t="s">
        <v>15</v>
      </c>
      <c r="C40" s="4" t="s">
        <v>16</v>
      </c>
      <c r="D40" s="4" t="s">
        <v>17</v>
      </c>
      <c r="E40" s="4" t="s">
        <v>18</v>
      </c>
    </row>
    <row r="41" spans="1:5" x14ac:dyDescent="0.2">
      <c r="A41" s="4" t="s">
        <v>14</v>
      </c>
      <c r="B41" s="120" t="s">
        <v>19</v>
      </c>
      <c r="C41" s="120" t="s">
        <v>20</v>
      </c>
      <c r="D41" s="120" t="s">
        <v>21</v>
      </c>
      <c r="E41" s="120" t="s">
        <v>22</v>
      </c>
    </row>
    <row r="42" spans="1:5" ht="15" x14ac:dyDescent="0.25">
      <c r="A42" s="120">
        <v>1</v>
      </c>
      <c r="B42" s="125">
        <f>+B19</f>
        <v>44075</v>
      </c>
      <c r="C42" s="5">
        <f>'DSMRC Costs'!W13</f>
        <v>0</v>
      </c>
      <c r="D42" s="122">
        <v>0.13855000000000001</v>
      </c>
      <c r="E42" s="123">
        <f t="shared" ref="E42:E49" si="2">ROUND(C42*D42,2)</f>
        <v>0</v>
      </c>
    </row>
    <row r="43" spans="1:5" ht="15" x14ac:dyDescent="0.25">
      <c r="A43" s="120">
        <v>2</v>
      </c>
      <c r="B43" s="125">
        <f t="shared" ref="B43:B49" si="3">B20</f>
        <v>44105</v>
      </c>
      <c r="C43" s="5">
        <f>'DSMRC Costs'!W14</f>
        <v>0</v>
      </c>
      <c r="D43" s="122">
        <v>0.13855000000000001</v>
      </c>
      <c r="E43" s="123">
        <f t="shared" si="2"/>
        <v>0</v>
      </c>
    </row>
    <row r="44" spans="1:5" ht="15" x14ac:dyDescent="0.25">
      <c r="A44" s="120">
        <v>3</v>
      </c>
      <c r="B44" s="125">
        <f t="shared" si="3"/>
        <v>44136</v>
      </c>
      <c r="C44" s="5">
        <f>'DSMRC Costs'!W15</f>
        <v>0</v>
      </c>
      <c r="D44" s="122">
        <v>0.13855000000000001</v>
      </c>
      <c r="E44" s="123">
        <f t="shared" si="2"/>
        <v>0</v>
      </c>
    </row>
    <row r="45" spans="1:5" ht="15" x14ac:dyDescent="0.25">
      <c r="A45" s="120">
        <v>4</v>
      </c>
      <c r="B45" s="125">
        <f t="shared" si="3"/>
        <v>44166</v>
      </c>
      <c r="C45" s="5">
        <f>'DSMRC Costs'!W16</f>
        <v>0</v>
      </c>
      <c r="D45" s="122">
        <v>0.13855000000000001</v>
      </c>
      <c r="E45" s="123">
        <f t="shared" si="2"/>
        <v>0</v>
      </c>
    </row>
    <row r="46" spans="1:5" ht="15" x14ac:dyDescent="0.25">
      <c r="A46" s="120">
        <v>5</v>
      </c>
      <c r="B46" s="125">
        <f t="shared" si="3"/>
        <v>44197</v>
      </c>
      <c r="C46" s="5">
        <f>'DSMRC Costs'!W19</f>
        <v>0</v>
      </c>
      <c r="D46" s="122">
        <v>0.13855000000000001</v>
      </c>
      <c r="E46" s="123">
        <f t="shared" si="2"/>
        <v>0</v>
      </c>
    </row>
    <row r="47" spans="1:5" ht="15" x14ac:dyDescent="0.25">
      <c r="A47" s="120">
        <v>6</v>
      </c>
      <c r="B47" s="125">
        <f t="shared" si="3"/>
        <v>44228</v>
      </c>
      <c r="C47" s="5">
        <f>'DSMRC Costs'!W20</f>
        <v>0</v>
      </c>
      <c r="D47" s="122">
        <v>0.13855000000000001</v>
      </c>
      <c r="E47" s="123">
        <f t="shared" si="2"/>
        <v>0</v>
      </c>
    </row>
    <row r="48" spans="1:5" ht="15" x14ac:dyDescent="0.25">
      <c r="A48" s="120">
        <v>7</v>
      </c>
      <c r="B48" s="125">
        <f t="shared" si="3"/>
        <v>44256</v>
      </c>
      <c r="C48" s="5">
        <f>'DSMRC Costs'!W21</f>
        <v>0</v>
      </c>
      <c r="D48" s="122">
        <v>0.13855000000000001</v>
      </c>
      <c r="E48" s="123">
        <f t="shared" si="2"/>
        <v>0</v>
      </c>
    </row>
    <row r="49" spans="1:5" ht="15" x14ac:dyDescent="0.25">
      <c r="A49" s="120">
        <v>8</v>
      </c>
      <c r="B49" s="125">
        <f t="shared" si="3"/>
        <v>44287</v>
      </c>
      <c r="C49" s="5">
        <f>'DSMRC Costs'!W22</f>
        <v>0</v>
      </c>
      <c r="D49" s="122">
        <v>0.13855000000000001</v>
      </c>
      <c r="E49" s="123">
        <f t="shared" si="2"/>
        <v>0</v>
      </c>
    </row>
    <row r="50" spans="1:5" ht="15" x14ac:dyDescent="0.25">
      <c r="A50" s="120">
        <v>9</v>
      </c>
      <c r="B50" s="125"/>
      <c r="C50" s="5"/>
      <c r="D50" s="122"/>
      <c r="E50" s="123"/>
    </row>
    <row r="51" spans="1:5" ht="15" x14ac:dyDescent="0.25">
      <c r="A51" s="120">
        <v>10</v>
      </c>
      <c r="B51" s="125"/>
      <c r="C51" s="5"/>
      <c r="D51" s="122"/>
      <c r="E51" s="123"/>
    </row>
    <row r="52" spans="1:5" ht="15" x14ac:dyDescent="0.25">
      <c r="A52" s="120">
        <v>11</v>
      </c>
      <c r="B52" s="125"/>
      <c r="C52" s="5"/>
      <c r="D52" s="122"/>
      <c r="E52" s="123"/>
    </row>
    <row r="53" spans="1:5" ht="15" x14ac:dyDescent="0.25">
      <c r="A53" s="120">
        <v>12</v>
      </c>
      <c r="B53" s="125"/>
      <c r="C53" s="5"/>
      <c r="D53" s="122"/>
      <c r="E53" s="123"/>
    </row>
    <row r="54" spans="1:5" x14ac:dyDescent="0.2">
      <c r="A54" s="120">
        <v>13</v>
      </c>
      <c r="B54" s="126" t="s">
        <v>23</v>
      </c>
      <c r="E54" s="127">
        <f>SUM(E42:E53)</f>
        <v>0</v>
      </c>
    </row>
    <row r="55" spans="1:5" x14ac:dyDescent="0.2">
      <c r="A55" s="120"/>
    </row>
    <row r="56" spans="1:5" x14ac:dyDescent="0.2">
      <c r="A56" s="120">
        <v>14</v>
      </c>
      <c r="B56" s="118" t="s">
        <v>27</v>
      </c>
      <c r="E56" s="124">
        <f>'2021'!G62</f>
        <v>4180859.2</v>
      </c>
    </row>
    <row r="57" spans="1:5" x14ac:dyDescent="0.2">
      <c r="A57" s="120"/>
    </row>
    <row r="58" spans="1:5" x14ac:dyDescent="0.2">
      <c r="A58" s="120">
        <v>15</v>
      </c>
      <c r="B58" s="118" t="s">
        <v>25</v>
      </c>
      <c r="E58" s="128">
        <f>ROUND(E54/E56,4)</f>
        <v>0</v>
      </c>
    </row>
    <row r="59" spans="1:5" x14ac:dyDescent="0.2">
      <c r="A59" s="120"/>
    </row>
    <row r="60" spans="1:5" x14ac:dyDescent="0.2">
      <c r="A60" s="120"/>
    </row>
  </sheetData>
  <pageMargins left="0.5" right="0.5" top="0.5" bottom="0.5" header="0.3" footer="0.3"/>
  <pageSetup scale="96" orientation="portrait" r:id="rId1"/>
  <headerFooter alignWithMargins="0"/>
  <rowBreaks count="1" manualBreakCount="1">
    <brk id="38" max="6" man="1"/>
  </rowBreaks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BBADA-A797-4422-BEE4-F3827A805F95}">
  <sheetPr>
    <pageSetUpPr fitToPage="1"/>
  </sheetPr>
  <dimension ref="A1:P78"/>
  <sheetViews>
    <sheetView showGridLines="0" view="pageBreakPreview" zoomScale="70" zoomScaleNormal="100" zoomScaleSheetLayoutView="70" zoomScalePageLayoutView="70" workbookViewId="0">
      <selection sqref="A1:F1"/>
    </sheetView>
  </sheetViews>
  <sheetFormatPr defaultColWidth="9.140625" defaultRowHeight="12.75" x14ac:dyDescent="0.2"/>
  <cols>
    <col min="1" max="1" width="33" style="118" customWidth="1"/>
    <col min="2" max="2" width="7.7109375" style="118" bestFit="1" customWidth="1"/>
    <col min="3" max="3" width="17.42578125" style="118" bestFit="1" customWidth="1"/>
    <col min="4" max="5" width="13.5703125" style="118" bestFit="1" customWidth="1"/>
    <col min="6" max="6" width="16.140625" style="118" bestFit="1" customWidth="1"/>
    <col min="7" max="7" width="12.140625" style="118" bestFit="1" customWidth="1"/>
    <col min="8" max="9" width="12.140625" style="8" bestFit="1" customWidth="1"/>
    <col min="10" max="10" width="11.5703125" style="8" bestFit="1" customWidth="1"/>
    <col min="11" max="11" width="9.140625" style="118"/>
    <col min="12" max="12" width="12.28515625" style="118" customWidth="1"/>
    <col min="13" max="13" width="11.7109375" style="118" bestFit="1" customWidth="1"/>
    <col min="14" max="14" width="5.7109375" style="118" customWidth="1"/>
    <col min="15" max="16" width="12.28515625" style="118" bestFit="1" customWidth="1"/>
    <col min="17" max="16384" width="9.140625" style="118"/>
  </cols>
  <sheetData>
    <row r="1" spans="1:14" ht="15" x14ac:dyDescent="0.2">
      <c r="A1" s="162" t="s">
        <v>28</v>
      </c>
      <c r="B1" s="162"/>
      <c r="C1" s="162"/>
      <c r="D1" s="162"/>
      <c r="E1" s="162"/>
      <c r="F1" s="162"/>
      <c r="G1" s="129"/>
    </row>
    <row r="2" spans="1:14" ht="15" x14ac:dyDescent="0.2">
      <c r="A2" s="9" t="s">
        <v>1</v>
      </c>
      <c r="B2" s="9"/>
      <c r="C2" s="9"/>
      <c r="D2" s="9"/>
      <c r="E2" s="9"/>
      <c r="F2" s="9"/>
      <c r="G2" s="129"/>
    </row>
    <row r="3" spans="1:14" ht="15" x14ac:dyDescent="0.2">
      <c r="A3" s="162" t="s">
        <v>29</v>
      </c>
      <c r="B3" s="162"/>
      <c r="C3" s="162"/>
      <c r="D3" s="162"/>
      <c r="E3" s="162"/>
      <c r="F3" s="162"/>
      <c r="G3" s="129"/>
    </row>
    <row r="4" spans="1:14" x14ac:dyDescent="0.2">
      <c r="G4" s="129"/>
    </row>
    <row r="5" spans="1:14" ht="15.75" x14ac:dyDescent="0.25">
      <c r="A5" s="10" t="s">
        <v>30</v>
      </c>
      <c r="G5" s="129"/>
    </row>
    <row r="6" spans="1:14" x14ac:dyDescent="0.2">
      <c r="G6" s="129"/>
    </row>
    <row r="7" spans="1:14" ht="15.75" x14ac:dyDescent="0.25">
      <c r="A7" s="10" t="s">
        <v>31</v>
      </c>
      <c r="C7" s="120" t="s">
        <v>19</v>
      </c>
      <c r="D7" s="120" t="s">
        <v>20</v>
      </c>
      <c r="E7" s="120" t="s">
        <v>21</v>
      </c>
      <c r="F7" s="130" t="s">
        <v>22</v>
      </c>
      <c r="G7" s="120" t="s">
        <v>32</v>
      </c>
      <c r="H7" s="11" t="s">
        <v>33</v>
      </c>
      <c r="I7" s="11" t="s">
        <v>34</v>
      </c>
      <c r="J7" s="11" t="s">
        <v>35</v>
      </c>
    </row>
    <row r="8" spans="1:14" x14ac:dyDescent="0.2">
      <c r="F8" s="120" t="s">
        <v>36</v>
      </c>
      <c r="G8" s="129"/>
    </row>
    <row r="9" spans="1:14" x14ac:dyDescent="0.2">
      <c r="C9" s="120" t="s">
        <v>37</v>
      </c>
      <c r="D9" s="120" t="s">
        <v>37</v>
      </c>
      <c r="E9" s="120" t="s">
        <v>38</v>
      </c>
      <c r="F9" s="120" t="s">
        <v>37</v>
      </c>
      <c r="G9" s="130" t="s">
        <v>39</v>
      </c>
      <c r="H9" s="11" t="s">
        <v>40</v>
      </c>
      <c r="I9" s="11" t="s">
        <v>41</v>
      </c>
      <c r="J9" s="11" t="s">
        <v>42</v>
      </c>
    </row>
    <row r="10" spans="1:14" x14ac:dyDescent="0.2">
      <c r="C10" s="12" t="s">
        <v>43</v>
      </c>
      <c r="D10" s="12" t="s">
        <v>44</v>
      </c>
      <c r="E10" s="12" t="s">
        <v>45</v>
      </c>
      <c r="F10" s="12" t="s">
        <v>46</v>
      </c>
      <c r="G10" s="13" t="s">
        <v>47</v>
      </c>
      <c r="H10" s="14" t="s">
        <v>42</v>
      </c>
      <c r="I10" s="14" t="s">
        <v>42</v>
      </c>
      <c r="J10" s="14" t="s">
        <v>48</v>
      </c>
    </row>
    <row r="11" spans="1:14" x14ac:dyDescent="0.2">
      <c r="A11" s="118" t="s">
        <v>49</v>
      </c>
      <c r="C11" s="12"/>
      <c r="D11" s="12"/>
      <c r="E11" s="12"/>
      <c r="F11" s="131">
        <v>-140650.46999999997</v>
      </c>
      <c r="G11" s="130" t="s">
        <v>50</v>
      </c>
    </row>
    <row r="12" spans="1:14" ht="6" customHeight="1" x14ac:dyDescent="0.2">
      <c r="C12" s="12"/>
      <c r="D12" s="12"/>
      <c r="E12" s="12"/>
      <c r="F12" s="132"/>
      <c r="G12" s="130"/>
    </row>
    <row r="13" spans="1:14" ht="15" x14ac:dyDescent="0.25">
      <c r="B13" s="121">
        <v>44075</v>
      </c>
      <c r="C13" s="133">
        <v>573.9</v>
      </c>
      <c r="D13" s="15">
        <f>'DSMRC Costs'!Y13</f>
        <v>14445.71</v>
      </c>
      <c r="E13" s="133">
        <f>E$25*(G13/G$25)</f>
        <v>-12.151557863078351</v>
      </c>
      <c r="F13" s="133">
        <f>SUM(C13:E13)</f>
        <v>15007.45844213692</v>
      </c>
      <c r="G13" s="124">
        <v>58302.9</v>
      </c>
      <c r="H13" s="17">
        <f>-C13/G13</f>
        <v>-9.8434211677292209E-3</v>
      </c>
      <c r="I13" s="17">
        <v>-4.4000000000000003E-3</v>
      </c>
      <c r="J13" s="8">
        <f>H13-I13</f>
        <v>-5.4434211677292206E-3</v>
      </c>
      <c r="L13" s="134"/>
      <c r="M13" s="134"/>
      <c r="N13" s="135"/>
    </row>
    <row r="14" spans="1:14" ht="15" x14ac:dyDescent="0.25">
      <c r="B14" s="121">
        <f>EDATE(B13,1)</f>
        <v>44105</v>
      </c>
      <c r="C14" s="133">
        <v>1067.18</v>
      </c>
      <c r="D14" s="15">
        <f>'DSMRC Costs'!Y14</f>
        <v>5802.34</v>
      </c>
      <c r="E14" s="133">
        <f t="shared" ref="E14:E20" si="0">E$25*(G14/G$25)</f>
        <v>-37.626834175105614</v>
      </c>
      <c r="F14" s="133">
        <f>SUM(C14:E14)</f>
        <v>6831.8931658248948</v>
      </c>
      <c r="G14" s="124">
        <v>180532.7</v>
      </c>
      <c r="H14" s="17">
        <f>-C14/G14</f>
        <v>-5.9112836621841918E-3</v>
      </c>
      <c r="I14" s="17">
        <f>I13</f>
        <v>-4.4000000000000003E-3</v>
      </c>
      <c r="J14" s="8">
        <f t="shared" ref="J14:J20" si="1">H14-I14</f>
        <v>-1.5112836621841916E-3</v>
      </c>
      <c r="L14" s="134"/>
      <c r="M14" s="134"/>
      <c r="N14" s="135"/>
    </row>
    <row r="15" spans="1:14" ht="15" x14ac:dyDescent="0.25">
      <c r="B15" s="121">
        <f t="shared" ref="B15:B24" si="2">EDATE(B14,1)</f>
        <v>44136</v>
      </c>
      <c r="C15" s="133">
        <v>2619.9500000000003</v>
      </c>
      <c r="D15" s="15">
        <f>'DSMRC Costs'!Y15</f>
        <v>5596.61</v>
      </c>
      <c r="E15" s="133">
        <f t="shared" si="0"/>
        <v>-121.28589851598453</v>
      </c>
      <c r="F15" s="133">
        <f t="shared" ref="F15:F20" si="3">SUM(C15:E15)</f>
        <v>8095.2741014840149</v>
      </c>
      <c r="G15" s="124">
        <v>581927</v>
      </c>
      <c r="H15" s="17">
        <f t="shared" ref="H15:H19" si="4">-C15/G15</f>
        <v>-4.5021970109652932E-3</v>
      </c>
      <c r="I15" s="17">
        <f t="shared" ref="I15:I16" si="5">I14</f>
        <v>-4.4000000000000003E-3</v>
      </c>
      <c r="J15" s="8">
        <f t="shared" si="1"/>
        <v>-1.0219701096529296E-4</v>
      </c>
      <c r="L15" s="134"/>
      <c r="M15" s="134"/>
      <c r="N15" s="135"/>
    </row>
    <row r="16" spans="1:14" ht="15" x14ac:dyDescent="0.25">
      <c r="B16" s="121">
        <f t="shared" si="2"/>
        <v>44166</v>
      </c>
      <c r="C16" s="133">
        <v>5888.28</v>
      </c>
      <c r="D16" s="15">
        <f>'DSMRC Costs'!Y16</f>
        <v>0</v>
      </c>
      <c r="E16" s="133">
        <f t="shared" si="0"/>
        <v>-278.51498426028928</v>
      </c>
      <c r="F16" s="133">
        <f t="shared" si="3"/>
        <v>5609.7650157397102</v>
      </c>
      <c r="G16" s="124">
        <v>1336308.6000000001</v>
      </c>
      <c r="H16" s="17">
        <f t="shared" si="4"/>
        <v>-4.4063773891749253E-3</v>
      </c>
      <c r="I16" s="17">
        <f t="shared" si="5"/>
        <v>-4.4000000000000003E-3</v>
      </c>
      <c r="J16" s="8">
        <f t="shared" si="1"/>
        <v>-6.3773891749250439E-6</v>
      </c>
      <c r="L16" s="134"/>
      <c r="M16" s="134"/>
      <c r="N16" s="135"/>
    </row>
    <row r="17" spans="1:16" ht="15" x14ac:dyDescent="0.25">
      <c r="B17" s="121">
        <f t="shared" si="2"/>
        <v>44197</v>
      </c>
      <c r="C17" s="133">
        <v>-762.51</v>
      </c>
      <c r="D17" s="15">
        <f>'DSMRC Costs'!Y19</f>
        <v>2956.94</v>
      </c>
      <c r="E17" s="133">
        <f t="shared" si="0"/>
        <v>-3.6829477355517239</v>
      </c>
      <c r="F17" s="133">
        <f t="shared" si="3"/>
        <v>2190.7470522644485</v>
      </c>
      <c r="G17" s="124">
        <v>17670.7</v>
      </c>
      <c r="H17" s="17">
        <f t="shared" si="4"/>
        <v>4.3151091920523806E-2</v>
      </c>
      <c r="I17" s="17">
        <v>5.3E-3</v>
      </c>
      <c r="J17" s="8">
        <f t="shared" si="1"/>
        <v>3.7851091920523806E-2</v>
      </c>
      <c r="L17" s="134"/>
      <c r="M17" s="134"/>
      <c r="N17" s="135"/>
    </row>
    <row r="18" spans="1:16" ht="15" x14ac:dyDescent="0.25">
      <c r="B18" s="121">
        <f t="shared" si="2"/>
        <v>44228</v>
      </c>
      <c r="C18" s="133">
        <v>-10999.6</v>
      </c>
      <c r="D18" s="15">
        <f>'DSMRC Costs'!Y20</f>
        <v>2558.6799999999998</v>
      </c>
      <c r="E18" s="133">
        <f t="shared" si="0"/>
        <v>-431.88044196820823</v>
      </c>
      <c r="F18" s="133">
        <f t="shared" si="3"/>
        <v>-8872.8004419682075</v>
      </c>
      <c r="G18" s="124">
        <v>2072152.6</v>
      </c>
      <c r="H18" s="17">
        <f t="shared" si="4"/>
        <v>5.3082963098374123E-3</v>
      </c>
      <c r="I18" s="17">
        <f>I17</f>
        <v>5.3E-3</v>
      </c>
      <c r="J18" s="8">
        <f t="shared" si="1"/>
        <v>8.2963098374123218E-6</v>
      </c>
      <c r="L18" s="134"/>
      <c r="M18" s="134"/>
      <c r="N18" s="135"/>
    </row>
    <row r="19" spans="1:16" ht="15" x14ac:dyDescent="0.25">
      <c r="B19" s="121">
        <f t="shared" si="2"/>
        <v>44256</v>
      </c>
      <c r="C19" s="133">
        <v>-9046.94</v>
      </c>
      <c r="D19" s="15">
        <f>'DSMRC Costs'!Y21</f>
        <v>4252.3500000000004</v>
      </c>
      <c r="E19" s="133">
        <f t="shared" si="0"/>
        <v>-355.23758408154549</v>
      </c>
      <c r="F19" s="133">
        <f t="shared" si="3"/>
        <v>-5149.8275840815459</v>
      </c>
      <c r="G19" s="124">
        <v>1704421.9</v>
      </c>
      <c r="H19" s="17">
        <f t="shared" si="4"/>
        <v>5.3079228798925907E-3</v>
      </c>
      <c r="I19" s="17">
        <f t="shared" ref="I19:I20" si="6">I18</f>
        <v>5.3E-3</v>
      </c>
      <c r="J19" s="8">
        <f t="shared" si="1"/>
        <v>7.9228798925906965E-6</v>
      </c>
      <c r="L19" s="134"/>
      <c r="M19" s="134"/>
      <c r="N19" s="135"/>
    </row>
    <row r="20" spans="1:16" ht="15" x14ac:dyDescent="0.25">
      <c r="B20" s="121">
        <f t="shared" si="2"/>
        <v>44287</v>
      </c>
      <c r="C20" s="133">
        <v>-4354.4800000000005</v>
      </c>
      <c r="D20" s="15">
        <f>'DSMRC Costs'!Y22</f>
        <v>3000</v>
      </c>
      <c r="E20" s="133">
        <f t="shared" si="0"/>
        <v>-171.48884445057999</v>
      </c>
      <c r="F20" s="133">
        <f t="shared" si="3"/>
        <v>-1525.9688444505805</v>
      </c>
      <c r="G20" s="124">
        <v>822799.6</v>
      </c>
      <c r="H20" s="17">
        <f>-C20/G20</f>
        <v>5.2922728693596847E-3</v>
      </c>
      <c r="I20" s="17">
        <f t="shared" si="6"/>
        <v>5.3E-3</v>
      </c>
      <c r="J20" s="8">
        <f t="shared" si="1"/>
        <v>-7.7271306403153134E-6</v>
      </c>
      <c r="L20" s="134"/>
      <c r="M20" s="134"/>
      <c r="N20" s="135"/>
      <c r="P20" s="135"/>
    </row>
    <row r="21" spans="1:16" ht="15" x14ac:dyDescent="0.25">
      <c r="B21" s="121">
        <f t="shared" si="2"/>
        <v>44317</v>
      </c>
      <c r="C21" s="133"/>
      <c r="D21" s="15"/>
      <c r="E21" s="133"/>
      <c r="F21" s="133"/>
      <c r="G21" s="16">
        <v>431257</v>
      </c>
      <c r="H21" s="17"/>
      <c r="I21" s="17"/>
      <c r="L21" s="134"/>
      <c r="M21" s="134"/>
      <c r="N21" s="135"/>
      <c r="P21" s="135"/>
    </row>
    <row r="22" spans="1:16" ht="15" x14ac:dyDescent="0.25">
      <c r="B22" s="121">
        <f t="shared" si="2"/>
        <v>44348</v>
      </c>
      <c r="C22" s="133"/>
      <c r="D22" s="15"/>
      <c r="E22" s="133"/>
      <c r="F22" s="133"/>
      <c r="G22" s="16">
        <v>236558.1</v>
      </c>
      <c r="H22" s="17"/>
      <c r="I22" s="17"/>
      <c r="L22" s="134"/>
      <c r="M22" s="134"/>
      <c r="N22" s="135"/>
      <c r="P22" s="135"/>
    </row>
    <row r="23" spans="1:16" ht="15" x14ac:dyDescent="0.25">
      <c r="B23" s="121">
        <f t="shared" si="2"/>
        <v>44378</v>
      </c>
      <c r="C23" s="133"/>
      <c r="D23" s="15"/>
      <c r="E23" s="133"/>
      <c r="F23" s="133"/>
      <c r="G23" s="16">
        <v>166372.70000000001</v>
      </c>
      <c r="H23" s="17"/>
      <c r="I23" s="17"/>
      <c r="L23" s="134"/>
      <c r="M23" s="134"/>
      <c r="N23" s="135"/>
      <c r="P23" s="135"/>
    </row>
    <row r="24" spans="1:16" ht="15" x14ac:dyDescent="0.25">
      <c r="B24" s="121">
        <f t="shared" si="2"/>
        <v>44409</v>
      </c>
      <c r="C24" s="133"/>
      <c r="D24" s="15"/>
      <c r="E24" s="133"/>
      <c r="F24" s="133"/>
      <c r="G24" s="16">
        <v>145982.39999999999</v>
      </c>
      <c r="H24" s="17"/>
      <c r="I24" s="17"/>
      <c r="L24" s="134"/>
      <c r="M24" s="136"/>
      <c r="N24" s="135"/>
      <c r="P24" s="135"/>
    </row>
    <row r="25" spans="1:16" ht="15" x14ac:dyDescent="0.25">
      <c r="C25" s="137">
        <f>SUM(C13:C24)</f>
        <v>-15014.220000000001</v>
      </c>
      <c r="D25" s="19">
        <f>SUM(D13:D24)</f>
        <v>38612.629999999997</v>
      </c>
      <c r="E25" s="138">
        <f>+'DIA + DLSA Revenue'!B12+'DIA + DLSA Revenue'!B14</f>
        <v>-1616.1572999999989</v>
      </c>
      <c r="F25" s="137">
        <f>SUM(F11:F24)</f>
        <v>-118463.92909305032</v>
      </c>
      <c r="G25" s="139">
        <f>SUM(G13:G24)</f>
        <v>7754286.2000000002</v>
      </c>
      <c r="M25" s="20"/>
    </row>
    <row r="26" spans="1:16" ht="5.25" customHeight="1" x14ac:dyDescent="0.2">
      <c r="C26" s="134"/>
      <c r="D26" s="134"/>
      <c r="E26" s="134"/>
      <c r="F26" s="134"/>
      <c r="G26" s="129"/>
    </row>
    <row r="27" spans="1:16" x14ac:dyDescent="0.2">
      <c r="A27" s="140" t="str">
        <f>CONCATENATE("Annual Average Commercial Paper Rate at ",TEXT(EDATE(B24,1), "MMMM YYYY"))</f>
        <v>Annual Average Commercial Paper Rate at September 2021</v>
      </c>
      <c r="E27" s="141">
        <v>1E-3</v>
      </c>
      <c r="F27" s="142">
        <f>ROUND((F25/12*8)*E27,2)</f>
        <v>-78.98</v>
      </c>
      <c r="G27" s="129"/>
    </row>
    <row r="28" spans="1:16" x14ac:dyDescent="0.2">
      <c r="A28" s="118" t="s">
        <v>51</v>
      </c>
      <c r="F28" s="143">
        <f>SUM(F25:F27)</f>
        <v>-118542.90909305032</v>
      </c>
      <c r="G28" s="144"/>
    </row>
    <row r="29" spans="1:16" ht="5.25" customHeight="1" x14ac:dyDescent="0.2">
      <c r="G29" s="129"/>
    </row>
    <row r="30" spans="1:16" x14ac:dyDescent="0.2">
      <c r="A30" s="118" t="s">
        <v>24</v>
      </c>
      <c r="D30" s="135"/>
      <c r="E30" s="135"/>
      <c r="F30" s="20">
        <f>G25</f>
        <v>7754286.2000000002</v>
      </c>
    </row>
    <row r="31" spans="1:16" ht="5.25" customHeight="1" x14ac:dyDescent="0.2">
      <c r="G31" s="129"/>
    </row>
    <row r="32" spans="1:16" x14ac:dyDescent="0.2">
      <c r="A32" s="118" t="s">
        <v>52</v>
      </c>
      <c r="F32" s="145">
        <f>ROUND(F28/F30,4)</f>
        <v>-1.5299999999999999E-2</v>
      </c>
      <c r="G32" s="146"/>
      <c r="J32" s="21"/>
    </row>
    <row r="33" spans="1:14" ht="5.25" customHeight="1" x14ac:dyDescent="0.2">
      <c r="F33" s="145"/>
      <c r="G33" s="129"/>
    </row>
    <row r="34" spans="1:14" x14ac:dyDescent="0.2">
      <c r="A34" s="118" t="s">
        <v>53</v>
      </c>
      <c r="C34" s="147"/>
      <c r="F34" s="145">
        <v>0</v>
      </c>
      <c r="G34" s="145" t="s">
        <v>118</v>
      </c>
      <c r="J34" s="21"/>
    </row>
    <row r="35" spans="1:14" ht="5.25" customHeight="1" x14ac:dyDescent="0.2">
      <c r="F35" s="145"/>
      <c r="G35" s="129"/>
    </row>
    <row r="36" spans="1:14" x14ac:dyDescent="0.2">
      <c r="A36" s="118" t="s">
        <v>54</v>
      </c>
      <c r="F36" s="145">
        <f>ROUND(DLSA!E35,4)</f>
        <v>1E-4</v>
      </c>
      <c r="G36" s="129"/>
      <c r="J36" s="21"/>
    </row>
    <row r="37" spans="1:14" ht="5.25" customHeight="1" x14ac:dyDescent="0.2">
      <c r="A37" s="148"/>
      <c r="B37" s="148"/>
      <c r="F37" s="145"/>
      <c r="G37" s="129"/>
    </row>
    <row r="38" spans="1:14" x14ac:dyDescent="0.2">
      <c r="A38" s="118" t="s">
        <v>55</v>
      </c>
      <c r="F38" s="145">
        <f>IF('DIA + DLSA Revenue'!B12&gt;0,ROUND(('DIA + DLSA Revenue'!B12/F30),4),0)</f>
        <v>0</v>
      </c>
      <c r="G38" s="145"/>
      <c r="J38" s="21"/>
    </row>
    <row r="39" spans="1:14" ht="5.25" customHeight="1" x14ac:dyDescent="0.2">
      <c r="F39" s="145"/>
      <c r="G39" s="129"/>
    </row>
    <row r="40" spans="1:14" ht="13.5" thickBot="1" x14ac:dyDescent="0.25">
      <c r="A40" s="118" t="s">
        <v>56</v>
      </c>
      <c r="F40" s="149">
        <v>0</v>
      </c>
      <c r="G40" s="145" t="s">
        <v>119</v>
      </c>
      <c r="J40" s="21"/>
      <c r="N40" s="22"/>
    </row>
    <row r="41" spans="1:14" ht="13.5" thickTop="1" x14ac:dyDescent="0.2"/>
    <row r="42" spans="1:14" x14ac:dyDescent="0.2">
      <c r="A42" s="23"/>
    </row>
    <row r="44" spans="1:14" ht="15.75" x14ac:dyDescent="0.25">
      <c r="A44" s="10" t="s">
        <v>26</v>
      </c>
      <c r="C44" s="120" t="s">
        <v>19</v>
      </c>
      <c r="D44" s="120" t="s">
        <v>20</v>
      </c>
      <c r="E44" s="120" t="s">
        <v>21</v>
      </c>
      <c r="F44" s="130" t="s">
        <v>22</v>
      </c>
      <c r="G44" s="120" t="s">
        <v>32</v>
      </c>
      <c r="H44" s="11" t="s">
        <v>33</v>
      </c>
      <c r="I44" s="11" t="s">
        <v>34</v>
      </c>
      <c r="J44" s="11" t="s">
        <v>35</v>
      </c>
    </row>
    <row r="45" spans="1:14" x14ac:dyDescent="0.2">
      <c r="F45" s="120" t="s">
        <v>36</v>
      </c>
      <c r="G45" s="129"/>
    </row>
    <row r="46" spans="1:14" x14ac:dyDescent="0.2">
      <c r="C46" s="120" t="s">
        <v>37</v>
      </c>
      <c r="D46" s="120" t="s">
        <v>37</v>
      </c>
      <c r="E46" s="120" t="s">
        <v>38</v>
      </c>
      <c r="F46" s="120" t="s">
        <v>37</v>
      </c>
      <c r="G46" s="130" t="s">
        <v>57</v>
      </c>
      <c r="H46" s="11" t="s">
        <v>40</v>
      </c>
      <c r="I46" s="11" t="s">
        <v>41</v>
      </c>
      <c r="J46" s="11" t="s">
        <v>42</v>
      </c>
    </row>
    <row r="47" spans="1:14" x14ac:dyDescent="0.2">
      <c r="C47" s="12" t="s">
        <v>43</v>
      </c>
      <c r="D47" s="12" t="s">
        <v>44</v>
      </c>
      <c r="E47" s="12" t="s">
        <v>45</v>
      </c>
      <c r="F47" s="12" t="s">
        <v>46</v>
      </c>
      <c r="G47" s="13" t="s">
        <v>47</v>
      </c>
      <c r="H47" s="14" t="s">
        <v>42</v>
      </c>
      <c r="I47" s="14" t="s">
        <v>42</v>
      </c>
      <c r="J47" s="14" t="s">
        <v>48</v>
      </c>
    </row>
    <row r="48" spans="1:14" x14ac:dyDescent="0.2">
      <c r="A48" s="118" t="s">
        <v>49</v>
      </c>
      <c r="C48" s="12"/>
      <c r="D48" s="12"/>
      <c r="E48" s="12"/>
      <c r="F48" s="131">
        <v>-21290.400000000001</v>
      </c>
      <c r="G48" s="130" t="s">
        <v>50</v>
      </c>
    </row>
    <row r="49" spans="1:14" ht="6" customHeight="1" x14ac:dyDescent="0.2">
      <c r="C49" s="12"/>
      <c r="D49" s="12"/>
      <c r="E49" s="12"/>
      <c r="F49" s="132"/>
      <c r="G49" s="130"/>
    </row>
    <row r="50" spans="1:14" ht="15" x14ac:dyDescent="0.25">
      <c r="B50" s="121">
        <f>B13</f>
        <v>44075</v>
      </c>
      <c r="C50" s="133">
        <v>-1999.89</v>
      </c>
      <c r="D50" s="15">
        <f>'DSMRC Costs'!AA13</f>
        <v>0</v>
      </c>
      <c r="E50" s="133">
        <f>E$62*(G50/G$62)</f>
        <v>0</v>
      </c>
      <c r="F50" s="133">
        <f>SUM(C50:E50)</f>
        <v>-1999.89</v>
      </c>
      <c r="G50" s="124">
        <v>192319.3</v>
      </c>
      <c r="H50" s="17">
        <f>-(C50/G50)</f>
        <v>1.0398800328412177E-2</v>
      </c>
      <c r="I50" s="17">
        <v>1.04E-2</v>
      </c>
      <c r="J50" s="8">
        <f t="shared" ref="J50:J56" si="7">H50-I50</f>
        <v>-1.1996715878221514E-6</v>
      </c>
      <c r="L50" s="136"/>
      <c r="M50" s="150"/>
      <c r="N50" s="135"/>
    </row>
    <row r="51" spans="1:14" ht="15" x14ac:dyDescent="0.25">
      <c r="B51" s="121">
        <f t="shared" ref="B51:B61" si="8">B14</f>
        <v>44105</v>
      </c>
      <c r="C51" s="133">
        <v>-2632.53</v>
      </c>
      <c r="D51" s="15">
        <f>'DSMRC Costs'!AA14</f>
        <v>0</v>
      </c>
      <c r="E51" s="133">
        <f t="shared" ref="E51:E57" si="9">E$62*(G51/G$62)</f>
        <v>0</v>
      </c>
      <c r="F51" s="133">
        <f t="shared" ref="F51:F56" si="10">SUM(C51:E51)</f>
        <v>-2632.53</v>
      </c>
      <c r="G51" s="124">
        <v>253292.5</v>
      </c>
      <c r="H51" s="17">
        <f t="shared" ref="H51:H57" si="11">-(C51/G51)</f>
        <v>1.039324101582163E-2</v>
      </c>
      <c r="I51" s="17">
        <f>I50</f>
        <v>1.04E-2</v>
      </c>
      <c r="J51" s="8">
        <f t="shared" si="7"/>
        <v>-6.7589841783698146E-6</v>
      </c>
      <c r="L51" s="136"/>
      <c r="M51" s="134"/>
      <c r="N51" s="135"/>
    </row>
    <row r="52" spans="1:14" ht="15" x14ac:dyDescent="0.25">
      <c r="B52" s="121">
        <f t="shared" si="8"/>
        <v>44136</v>
      </c>
      <c r="C52" s="133">
        <v>-3209.89</v>
      </c>
      <c r="D52" s="15">
        <f>'DSMRC Costs'!AA15</f>
        <v>0</v>
      </c>
      <c r="E52" s="133">
        <f t="shared" si="9"/>
        <v>0</v>
      </c>
      <c r="F52" s="133">
        <f t="shared" si="10"/>
        <v>-3209.89</v>
      </c>
      <c r="G52" s="124">
        <v>308740.5</v>
      </c>
      <c r="H52" s="17">
        <f t="shared" si="11"/>
        <v>1.0396724757522903E-2</v>
      </c>
      <c r="I52" s="17">
        <f t="shared" ref="I52:I53" si="12">I51</f>
        <v>1.04E-2</v>
      </c>
      <c r="J52" s="8">
        <f t="shared" si="7"/>
        <v>-3.2752424770961935E-6</v>
      </c>
      <c r="L52" s="136"/>
      <c r="M52" s="134"/>
      <c r="N52" s="135"/>
    </row>
    <row r="53" spans="1:14" ht="15" x14ac:dyDescent="0.25">
      <c r="B53" s="121">
        <f t="shared" si="8"/>
        <v>44166</v>
      </c>
      <c r="C53" s="133">
        <v>-6261.64</v>
      </c>
      <c r="D53" s="15">
        <f>'DSMRC Costs'!AA16</f>
        <v>0</v>
      </c>
      <c r="E53" s="133">
        <f t="shared" si="9"/>
        <v>0</v>
      </c>
      <c r="F53" s="133">
        <f t="shared" si="10"/>
        <v>-6261.64</v>
      </c>
      <c r="G53" s="124">
        <v>602305.19999999995</v>
      </c>
      <c r="H53" s="17">
        <f t="shared" si="11"/>
        <v>1.0396124755356588E-2</v>
      </c>
      <c r="I53" s="17">
        <f t="shared" si="12"/>
        <v>1.04E-2</v>
      </c>
      <c r="J53" s="8">
        <f t="shared" si="7"/>
        <v>-3.8752446434118376E-6</v>
      </c>
      <c r="L53" s="136"/>
      <c r="M53" s="134"/>
      <c r="N53" s="135"/>
    </row>
    <row r="54" spans="1:14" ht="15" x14ac:dyDescent="0.25">
      <c r="B54" s="121">
        <f t="shared" si="8"/>
        <v>44197</v>
      </c>
      <c r="C54" s="133">
        <v>-2849.3</v>
      </c>
      <c r="D54" s="15">
        <f>'DSMRC Costs'!AA19</f>
        <v>0</v>
      </c>
      <c r="E54" s="133">
        <f t="shared" si="9"/>
        <v>0</v>
      </c>
      <c r="F54" s="133">
        <f>SUM(C54:E54)</f>
        <v>-2849.3</v>
      </c>
      <c r="G54" s="124">
        <v>6185.7</v>
      </c>
      <c r="H54" s="17">
        <f t="shared" si="11"/>
        <v>0.4606269298543415</v>
      </c>
      <c r="I54" s="17">
        <v>-4.4000000000000003E-3</v>
      </c>
      <c r="J54" s="8">
        <f t="shared" si="7"/>
        <v>0.46502692985434152</v>
      </c>
      <c r="L54" s="136"/>
      <c r="M54" s="134"/>
      <c r="N54" s="135"/>
    </row>
    <row r="55" spans="1:14" ht="15" x14ac:dyDescent="0.25">
      <c r="B55" s="121">
        <f t="shared" si="8"/>
        <v>44228</v>
      </c>
      <c r="C55" s="133">
        <v>4163.92</v>
      </c>
      <c r="D55" s="15">
        <f>'DSMRC Costs'!AA20</f>
        <v>0</v>
      </c>
      <c r="E55" s="133">
        <f t="shared" si="9"/>
        <v>0</v>
      </c>
      <c r="F55" s="133">
        <f t="shared" si="10"/>
        <v>4163.92</v>
      </c>
      <c r="G55" s="124">
        <v>956732.5</v>
      </c>
      <c r="H55" s="17">
        <f t="shared" si="11"/>
        <v>-4.3522301165686336E-3</v>
      </c>
      <c r="I55" s="17">
        <f>I54</f>
        <v>-4.4000000000000003E-3</v>
      </c>
      <c r="J55" s="8">
        <f t="shared" si="7"/>
        <v>4.7769883431366712E-5</v>
      </c>
      <c r="L55" s="136"/>
      <c r="M55" s="134"/>
      <c r="N55" s="135"/>
    </row>
    <row r="56" spans="1:14" ht="15" x14ac:dyDescent="0.25">
      <c r="B56" s="121">
        <f t="shared" si="8"/>
        <v>44256</v>
      </c>
      <c r="C56" s="133">
        <v>3494.33</v>
      </c>
      <c r="D56" s="15">
        <f>'DSMRC Costs'!AA21</f>
        <v>0</v>
      </c>
      <c r="E56" s="133">
        <f t="shared" si="9"/>
        <v>0</v>
      </c>
      <c r="F56" s="133">
        <f t="shared" si="10"/>
        <v>3494.33</v>
      </c>
      <c r="G56" s="124">
        <v>793528</v>
      </c>
      <c r="H56" s="17">
        <f t="shared" si="11"/>
        <v>-4.4035371152624731E-3</v>
      </c>
      <c r="I56" s="17">
        <f t="shared" ref="I56:I57" si="13">I55</f>
        <v>-4.4000000000000003E-3</v>
      </c>
      <c r="J56" s="8">
        <f t="shared" si="7"/>
        <v>-3.5371152624728147E-6</v>
      </c>
      <c r="L56" s="136"/>
      <c r="M56" s="134"/>
      <c r="N56" s="135"/>
    </row>
    <row r="57" spans="1:14" ht="15" x14ac:dyDescent="0.25">
      <c r="B57" s="121">
        <f t="shared" si="8"/>
        <v>44287</v>
      </c>
      <c r="C57" s="133">
        <v>1725.83</v>
      </c>
      <c r="D57" s="15">
        <f>'DSMRC Costs'!AA22</f>
        <v>0</v>
      </c>
      <c r="E57" s="133">
        <f t="shared" si="9"/>
        <v>0</v>
      </c>
      <c r="F57" s="133">
        <f>SUM(C57:E57)</f>
        <v>1725.83</v>
      </c>
      <c r="G57" s="124">
        <v>400211</v>
      </c>
      <c r="H57" s="17">
        <f t="shared" si="11"/>
        <v>-4.3123002616119992E-3</v>
      </c>
      <c r="I57" s="17">
        <f t="shared" si="13"/>
        <v>-4.4000000000000003E-3</v>
      </c>
      <c r="J57" s="8">
        <f>H57-I57</f>
        <v>8.7699738388001026E-5</v>
      </c>
      <c r="L57" s="136"/>
      <c r="M57" s="134"/>
    </row>
    <row r="58" spans="1:14" ht="15" x14ac:dyDescent="0.25">
      <c r="A58" s="151"/>
      <c r="B58" s="121">
        <f t="shared" si="8"/>
        <v>44317</v>
      </c>
      <c r="C58" s="133"/>
      <c r="D58" s="15"/>
      <c r="E58" s="133"/>
      <c r="F58" s="133"/>
      <c r="G58" s="124">
        <v>222734.9</v>
      </c>
      <c r="H58" s="17"/>
      <c r="I58" s="17"/>
      <c r="L58" s="136"/>
      <c r="M58" s="134"/>
    </row>
    <row r="59" spans="1:14" ht="15" x14ac:dyDescent="0.25">
      <c r="A59" s="151"/>
      <c r="B59" s="121">
        <f t="shared" si="8"/>
        <v>44348</v>
      </c>
      <c r="C59" s="133"/>
      <c r="D59" s="15"/>
      <c r="E59" s="133"/>
      <c r="F59" s="133"/>
      <c r="G59" s="124">
        <v>162393.1</v>
      </c>
      <c r="H59" s="17"/>
      <c r="I59" s="17"/>
      <c r="L59" s="136"/>
      <c r="M59" s="134"/>
    </row>
    <row r="60" spans="1:14" ht="15" x14ac:dyDescent="0.25">
      <c r="A60" s="151"/>
      <c r="B60" s="121">
        <f t="shared" si="8"/>
        <v>44378</v>
      </c>
      <c r="C60" s="133"/>
      <c r="D60" s="15"/>
      <c r="E60" s="133"/>
      <c r="F60" s="133"/>
      <c r="G60" s="124">
        <v>149264.20000000001</v>
      </c>
      <c r="H60" s="17"/>
      <c r="I60" s="17"/>
      <c r="L60" s="136"/>
      <c r="M60" s="134"/>
    </row>
    <row r="61" spans="1:14" ht="15" x14ac:dyDescent="0.25">
      <c r="A61" s="151"/>
      <c r="B61" s="121">
        <f t="shared" si="8"/>
        <v>44409</v>
      </c>
      <c r="C61" s="133"/>
      <c r="D61" s="15"/>
      <c r="E61" s="133"/>
      <c r="F61" s="133"/>
      <c r="G61" s="124">
        <v>133152.29999999999</v>
      </c>
      <c r="H61" s="17"/>
      <c r="I61" s="17"/>
      <c r="L61" s="136"/>
      <c r="M61" s="134"/>
    </row>
    <row r="62" spans="1:14" ht="15" x14ac:dyDescent="0.25">
      <c r="C62" s="137">
        <f>SUM(C50:C61)</f>
        <v>-7569.17</v>
      </c>
      <c r="D62" s="24">
        <f>SUM(D50:D61)</f>
        <v>0</v>
      </c>
      <c r="E62" s="138">
        <f>+'DIA + DLSA Revenue'!C12+'DIA + DLSA Revenue'!C14</f>
        <v>0</v>
      </c>
      <c r="F62" s="137">
        <f>SUM(F48:F61)</f>
        <v>-28859.57</v>
      </c>
      <c r="G62" s="139">
        <f>SUM(G50:G61)</f>
        <v>4180859.2</v>
      </c>
      <c r="L62" s="147"/>
    </row>
    <row r="63" spans="1:14" ht="5.25" customHeight="1" x14ac:dyDescent="0.2">
      <c r="C63" s="134"/>
      <c r="D63" s="134"/>
      <c r="E63" s="134"/>
      <c r="F63" s="134"/>
      <c r="G63" s="129"/>
    </row>
    <row r="64" spans="1:14" x14ac:dyDescent="0.2">
      <c r="A64" s="140" t="str">
        <f>A27</f>
        <v>Annual Average Commercial Paper Rate at September 2021</v>
      </c>
      <c r="E64" s="141">
        <f>E27</f>
        <v>1E-3</v>
      </c>
      <c r="F64" s="142">
        <f>ROUND((F62/12*8)*E64,2)</f>
        <v>-19.239999999999998</v>
      </c>
      <c r="G64" s="129"/>
    </row>
    <row r="65" spans="1:10" x14ac:dyDescent="0.2">
      <c r="A65" s="118" t="s">
        <v>58</v>
      </c>
      <c r="F65" s="143">
        <f>SUM(F62:F64)</f>
        <v>-28878.81</v>
      </c>
      <c r="G65" s="144"/>
    </row>
    <row r="66" spans="1:10" ht="5.25" customHeight="1" x14ac:dyDescent="0.2">
      <c r="G66" s="129"/>
    </row>
    <row r="67" spans="1:10" x14ac:dyDescent="0.2">
      <c r="A67" s="118" t="s">
        <v>27</v>
      </c>
      <c r="D67" s="135"/>
      <c r="E67" s="135"/>
      <c r="F67" s="20">
        <f>G62</f>
        <v>4180859.2</v>
      </c>
    </row>
    <row r="68" spans="1:10" ht="5.25" customHeight="1" x14ac:dyDescent="0.2">
      <c r="G68" s="129"/>
    </row>
    <row r="69" spans="1:10" x14ac:dyDescent="0.2">
      <c r="A69" s="118" t="s">
        <v>52</v>
      </c>
      <c r="F69" s="145">
        <f>ROUND(F65/F67,4)</f>
        <v>-6.8999999999999999E-3</v>
      </c>
      <c r="G69" s="146"/>
      <c r="J69" s="21"/>
    </row>
    <row r="70" spans="1:10" ht="5.25" customHeight="1" x14ac:dyDescent="0.2">
      <c r="F70" s="145"/>
      <c r="G70" s="129"/>
    </row>
    <row r="71" spans="1:10" x14ac:dyDescent="0.2">
      <c r="A71" s="118" t="s">
        <v>53</v>
      </c>
      <c r="F71" s="145">
        <f>ROUND((0/F67),4)</f>
        <v>0</v>
      </c>
      <c r="G71" s="145"/>
      <c r="J71" s="21"/>
    </row>
    <row r="72" spans="1:10" ht="5.25" customHeight="1" x14ac:dyDescent="0.2">
      <c r="F72" s="145"/>
      <c r="G72" s="145"/>
    </row>
    <row r="73" spans="1:10" x14ac:dyDescent="0.2">
      <c r="A73" s="118" t="s">
        <v>54</v>
      </c>
      <c r="F73" s="145">
        <f>ROUND(DLSA!E58,4)</f>
        <v>0</v>
      </c>
      <c r="G73" s="145"/>
      <c r="J73" s="21"/>
    </row>
    <row r="74" spans="1:10" ht="5.25" customHeight="1" x14ac:dyDescent="0.2">
      <c r="A74" s="148"/>
      <c r="B74" s="148"/>
      <c r="F74" s="145"/>
      <c r="G74" s="145"/>
    </row>
    <row r="75" spans="1:10" x14ac:dyDescent="0.2">
      <c r="A75" s="118" t="s">
        <v>55</v>
      </c>
      <c r="F75" s="145">
        <f>IF('DIA + DLSA Revenue'!C12&gt;0,ROUND(('DIA + DLSA Revenue'!C12/F67),4),0)</f>
        <v>0</v>
      </c>
      <c r="G75" s="145"/>
      <c r="J75" s="21"/>
    </row>
    <row r="76" spans="1:10" ht="5.25" customHeight="1" x14ac:dyDescent="0.2">
      <c r="F76" s="145"/>
      <c r="G76" s="129"/>
    </row>
    <row r="77" spans="1:10" ht="13.5" thickBot="1" x14ac:dyDescent="0.25">
      <c r="A77" s="118" t="s">
        <v>59</v>
      </c>
      <c r="F77" s="149">
        <v>0</v>
      </c>
      <c r="G77" s="145" t="s">
        <v>119</v>
      </c>
      <c r="J77" s="21"/>
    </row>
    <row r="78" spans="1:10" ht="13.5" thickTop="1" x14ac:dyDescent="0.2"/>
  </sheetData>
  <mergeCells count="2">
    <mergeCell ref="A1:F1"/>
    <mergeCell ref="A3:F3"/>
  </mergeCells>
  <printOptions horizontalCentered="1"/>
  <pageMargins left="0.25" right="0.25" top="0.5" bottom="0.5" header="0.3" footer="0.3"/>
  <pageSetup scale="80" fitToHeight="0" orientation="landscape" r:id="rId1"/>
  <headerFooter alignWithMargins="0"/>
  <rowBreaks count="1" manualBreakCount="1">
    <brk id="43" max="16383" man="1"/>
  </rowBreaks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1C8CF-253B-4E7B-AE6C-2A537A1F97BD}">
  <sheetPr>
    <pageSetUpPr fitToPage="1"/>
  </sheetPr>
  <dimension ref="A1:AC89"/>
  <sheetViews>
    <sheetView view="pageBreakPreview" zoomScale="69" zoomScaleNormal="85" zoomScaleSheetLayoutView="69" workbookViewId="0">
      <selection sqref="A1:N1"/>
    </sheetView>
  </sheetViews>
  <sheetFormatPr defaultRowHeight="12.75" x14ac:dyDescent="0.2"/>
  <cols>
    <col min="1" max="1" width="20.28515625" customWidth="1"/>
    <col min="2" max="2" width="20.42578125" bestFit="1" customWidth="1"/>
    <col min="3" max="3" width="20.140625" customWidth="1"/>
    <col min="4" max="4" width="12.5703125" bestFit="1" customWidth="1"/>
    <col min="5" max="5" width="20.85546875" bestFit="1" customWidth="1"/>
    <col min="6" max="6" width="14.85546875" customWidth="1"/>
    <col min="7" max="7" width="14.85546875" bestFit="1" customWidth="1"/>
    <col min="8" max="8" width="18.28515625" bestFit="1" customWidth="1"/>
    <col min="9" max="9" width="16.28515625" bestFit="1" customWidth="1"/>
    <col min="10" max="10" width="19.85546875" bestFit="1" customWidth="1"/>
    <col min="11" max="11" width="17.7109375" bestFit="1" customWidth="1"/>
    <col min="12" max="12" width="11.5703125" bestFit="1" customWidth="1"/>
    <col min="13" max="13" width="16.28515625" bestFit="1" customWidth="1"/>
    <col min="14" max="14" width="19.85546875" bestFit="1" customWidth="1"/>
    <col min="15" max="15" width="14.85546875" bestFit="1" customWidth="1"/>
    <col min="16" max="16" width="17.5703125" bestFit="1" customWidth="1"/>
    <col min="17" max="17" width="10.28515625" customWidth="1"/>
    <col min="18" max="18" width="14.85546875" bestFit="1" customWidth="1"/>
    <col min="19" max="19" width="15.5703125" bestFit="1" customWidth="1"/>
    <col min="20" max="20" width="15.140625" bestFit="1" customWidth="1"/>
    <col min="21" max="21" width="17.7109375" bestFit="1" customWidth="1"/>
    <col min="22" max="22" width="14.140625" hidden="1" customWidth="1"/>
    <col min="23" max="23" width="14.42578125" hidden="1" customWidth="1"/>
    <col min="24" max="25" width="14.85546875" hidden="1" customWidth="1"/>
    <col min="26" max="26" width="14" hidden="1" customWidth="1"/>
    <col min="27" max="27" width="15.140625" hidden="1" customWidth="1"/>
    <col min="28" max="28" width="0" hidden="1" customWidth="1"/>
    <col min="29" max="29" width="10.85546875" bestFit="1" customWidth="1"/>
  </cols>
  <sheetData>
    <row r="1" spans="1:29" ht="21" thickBot="1" x14ac:dyDescent="0.25">
      <c r="A1" s="166" t="s">
        <v>60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29" ht="15.75" x14ac:dyDescent="0.25">
      <c r="A2" s="167" t="s">
        <v>61</v>
      </c>
      <c r="B2" s="168"/>
      <c r="C2" s="168"/>
      <c r="D2" s="169"/>
      <c r="E2" s="163" t="s">
        <v>62</v>
      </c>
      <c r="F2" s="164"/>
      <c r="G2" s="164"/>
      <c r="H2" s="164"/>
      <c r="I2" s="164"/>
      <c r="J2" s="165"/>
      <c r="K2" s="168" t="s">
        <v>63</v>
      </c>
      <c r="L2" s="168"/>
      <c r="M2" s="168"/>
      <c r="N2" s="170" t="s">
        <v>64</v>
      </c>
      <c r="O2" s="171"/>
      <c r="P2" s="163" t="s">
        <v>65</v>
      </c>
      <c r="Q2" s="164"/>
      <c r="R2" s="164"/>
      <c r="S2" s="164"/>
      <c r="T2" s="164"/>
      <c r="U2" s="165"/>
      <c r="V2" s="25"/>
      <c r="W2" s="25"/>
      <c r="X2" s="25"/>
      <c r="Y2" s="25"/>
      <c r="Z2" s="25"/>
      <c r="AA2" s="25"/>
      <c r="AB2" s="25"/>
      <c r="AC2" s="25"/>
    </row>
    <row r="3" spans="1:29" ht="77.25" thickBot="1" x14ac:dyDescent="0.25">
      <c r="A3" s="26" t="s">
        <v>66</v>
      </c>
      <c r="B3" s="27" t="s">
        <v>67</v>
      </c>
      <c r="C3" s="28" t="s">
        <v>16</v>
      </c>
      <c r="D3" s="29" t="s">
        <v>68</v>
      </c>
      <c r="E3" s="30" t="s">
        <v>69</v>
      </c>
      <c r="F3" s="31" t="s">
        <v>70</v>
      </c>
      <c r="G3" s="32" t="s">
        <v>16</v>
      </c>
      <c r="H3" s="32" t="s">
        <v>71</v>
      </c>
      <c r="I3" s="31" t="s">
        <v>72</v>
      </c>
      <c r="J3" s="33" t="s">
        <v>64</v>
      </c>
      <c r="K3" s="34" t="s">
        <v>73</v>
      </c>
      <c r="L3" s="31" t="s">
        <v>74</v>
      </c>
      <c r="M3" s="35" t="s">
        <v>67</v>
      </c>
      <c r="N3" s="36" t="s">
        <v>75</v>
      </c>
      <c r="O3" s="37" t="s">
        <v>16</v>
      </c>
      <c r="P3" s="30" t="s">
        <v>69</v>
      </c>
      <c r="Q3" s="31" t="s">
        <v>70</v>
      </c>
      <c r="R3" s="32" t="s">
        <v>16</v>
      </c>
      <c r="S3" s="32" t="s">
        <v>71</v>
      </c>
      <c r="T3" s="31" t="s">
        <v>72</v>
      </c>
      <c r="U3" s="33" t="s">
        <v>64</v>
      </c>
      <c r="V3" s="38" t="s">
        <v>76</v>
      </c>
      <c r="W3" s="38" t="s">
        <v>77</v>
      </c>
      <c r="X3" s="39" t="s">
        <v>78</v>
      </c>
      <c r="Y3" s="39" t="s">
        <v>79</v>
      </c>
      <c r="Z3" s="39" t="s">
        <v>48</v>
      </c>
      <c r="AA3" s="39" t="s">
        <v>80</v>
      </c>
      <c r="AB3" s="3"/>
      <c r="AC3" s="3"/>
    </row>
    <row r="4" spans="1:29" ht="13.5" thickBot="1" x14ac:dyDescent="0.25">
      <c r="A4" s="40" t="s">
        <v>81</v>
      </c>
      <c r="B4" s="41">
        <v>3476265.73</v>
      </c>
      <c r="C4" s="42">
        <v>344492.58</v>
      </c>
      <c r="D4" s="43">
        <v>1955</v>
      </c>
      <c r="E4" s="44">
        <v>3565964.6115000001</v>
      </c>
      <c r="F4" s="45">
        <v>13552</v>
      </c>
      <c r="G4" s="45">
        <v>1055443.4657468749</v>
      </c>
      <c r="H4" s="41">
        <v>460561.42846000014</v>
      </c>
      <c r="I4" s="41">
        <v>129556.41669</v>
      </c>
      <c r="J4" s="46">
        <v>4156082.4566500001</v>
      </c>
      <c r="K4" s="47">
        <v>142</v>
      </c>
      <c r="L4" s="45">
        <v>11308</v>
      </c>
      <c r="M4" s="46">
        <v>35760.53</v>
      </c>
      <c r="N4" s="44">
        <v>7841644.4801000003</v>
      </c>
      <c r="O4" s="43">
        <v>1445344.9409089349</v>
      </c>
      <c r="P4" s="44">
        <v>136773.40760000001</v>
      </c>
      <c r="Q4" s="48">
        <v>453</v>
      </c>
      <c r="R4" s="48">
        <v>48031.669007979035</v>
      </c>
      <c r="S4" s="44">
        <v>38923.881540000009</v>
      </c>
      <c r="T4" s="44">
        <v>11143.924309999999</v>
      </c>
      <c r="U4" s="46">
        <v>186841.21345000001</v>
      </c>
      <c r="V4" s="49"/>
      <c r="W4" s="49"/>
      <c r="X4" s="49"/>
      <c r="Y4" s="49"/>
      <c r="Z4" s="49"/>
      <c r="AA4" s="49"/>
      <c r="AC4" s="6"/>
    </row>
    <row r="5" spans="1:29" x14ac:dyDescent="0.2">
      <c r="A5" s="50">
        <v>43831</v>
      </c>
      <c r="B5" s="51">
        <v>17559.309999999998</v>
      </c>
      <c r="C5" s="52">
        <v>1517.3999999999999</v>
      </c>
      <c r="D5" s="53">
        <v>6</v>
      </c>
      <c r="E5" s="51">
        <v>0</v>
      </c>
      <c r="F5" s="54">
        <v>0</v>
      </c>
      <c r="G5" s="54">
        <v>0</v>
      </c>
      <c r="H5" s="55">
        <v>0</v>
      </c>
      <c r="I5" s="56">
        <v>0</v>
      </c>
      <c r="J5" s="57">
        <v>0</v>
      </c>
      <c r="K5" s="58">
        <v>0</v>
      </c>
      <c r="L5" s="54">
        <v>0</v>
      </c>
      <c r="M5" s="57">
        <v>0</v>
      </c>
      <c r="N5" s="51">
        <v>17559.309999999998</v>
      </c>
      <c r="O5" s="53">
        <v>1517.3999999999999</v>
      </c>
      <c r="P5" s="51">
        <v>0</v>
      </c>
      <c r="Q5" s="54">
        <v>0</v>
      </c>
      <c r="R5" s="54">
        <v>0</v>
      </c>
      <c r="S5" s="55">
        <v>0</v>
      </c>
      <c r="T5" s="55">
        <v>0</v>
      </c>
      <c r="U5" s="57">
        <v>0</v>
      </c>
      <c r="V5" s="49">
        <f>C5+G5</f>
        <v>1517.3999999999999</v>
      </c>
      <c r="W5" s="49">
        <f t="shared" ref="W5:W16" si="0">R5</f>
        <v>0</v>
      </c>
      <c r="X5" s="49">
        <f t="shared" ref="X5:X16" si="1">N5-U5-M5</f>
        <v>17559.309999999998</v>
      </c>
      <c r="Y5" s="49">
        <f t="shared" ref="Y5:Y16" si="2">N5-U5</f>
        <v>17559.309999999998</v>
      </c>
      <c r="Z5" s="49">
        <f t="shared" ref="Z5:Z16" si="3">X5-Y5</f>
        <v>0</v>
      </c>
      <c r="AA5" s="49">
        <f t="shared" ref="AA5:AA16" si="4">U5</f>
        <v>0</v>
      </c>
      <c r="AC5" s="6"/>
    </row>
    <row r="6" spans="1:29" x14ac:dyDescent="0.2">
      <c r="A6" s="59">
        <v>43862</v>
      </c>
      <c r="B6" s="60">
        <v>9812.06</v>
      </c>
      <c r="C6" s="61">
        <v>1011.5999999999999</v>
      </c>
      <c r="D6" s="62">
        <v>4</v>
      </c>
      <c r="E6" s="63">
        <v>0</v>
      </c>
      <c r="F6" s="64">
        <v>0</v>
      </c>
      <c r="G6" s="64">
        <v>0</v>
      </c>
      <c r="H6" s="60">
        <v>0</v>
      </c>
      <c r="I6" s="65">
        <v>0</v>
      </c>
      <c r="J6" s="66">
        <v>0</v>
      </c>
      <c r="K6" s="67">
        <v>0</v>
      </c>
      <c r="L6" s="64">
        <v>0</v>
      </c>
      <c r="M6" s="68">
        <v>0</v>
      </c>
      <c r="N6" s="63">
        <v>9812.06</v>
      </c>
      <c r="O6" s="62">
        <v>1011.5999999999999</v>
      </c>
      <c r="P6" s="63">
        <v>0</v>
      </c>
      <c r="Q6" s="64">
        <v>0</v>
      </c>
      <c r="R6" s="64">
        <v>0</v>
      </c>
      <c r="S6" s="60">
        <v>0</v>
      </c>
      <c r="T6" s="60">
        <v>0</v>
      </c>
      <c r="U6" s="66">
        <v>0</v>
      </c>
      <c r="V6" s="49">
        <f t="shared" ref="V6:V16" si="5">C6+G6</f>
        <v>1011.5999999999999</v>
      </c>
      <c r="W6" s="49">
        <f t="shared" si="0"/>
        <v>0</v>
      </c>
      <c r="X6" s="49">
        <f t="shared" si="1"/>
        <v>9812.06</v>
      </c>
      <c r="Y6" s="49">
        <f t="shared" si="2"/>
        <v>9812.06</v>
      </c>
      <c r="Z6" s="49">
        <f t="shared" si="3"/>
        <v>0</v>
      </c>
      <c r="AA6" s="49">
        <f t="shared" si="4"/>
        <v>0</v>
      </c>
      <c r="AC6" s="6"/>
    </row>
    <row r="7" spans="1:29" x14ac:dyDescent="0.2">
      <c r="A7" s="69">
        <v>43891</v>
      </c>
      <c r="B7" s="60">
        <v>7364.22</v>
      </c>
      <c r="C7" s="61">
        <v>758.69999999999993</v>
      </c>
      <c r="D7" s="62">
        <v>3</v>
      </c>
      <c r="E7" s="63">
        <v>0</v>
      </c>
      <c r="F7" s="64">
        <v>0</v>
      </c>
      <c r="G7" s="64">
        <v>0</v>
      </c>
      <c r="H7" s="60">
        <v>0</v>
      </c>
      <c r="I7" s="65">
        <v>0</v>
      </c>
      <c r="J7" s="66">
        <v>0</v>
      </c>
      <c r="K7" s="67">
        <v>0</v>
      </c>
      <c r="L7" s="64">
        <v>0</v>
      </c>
      <c r="M7" s="68">
        <v>0</v>
      </c>
      <c r="N7" s="63">
        <v>7364.22</v>
      </c>
      <c r="O7" s="62">
        <v>758.69999999999993</v>
      </c>
      <c r="P7" s="63">
        <v>0</v>
      </c>
      <c r="Q7" s="64">
        <v>0</v>
      </c>
      <c r="R7" s="64">
        <v>0</v>
      </c>
      <c r="S7" s="60">
        <v>0</v>
      </c>
      <c r="T7" s="60">
        <v>0</v>
      </c>
      <c r="U7" s="66">
        <v>0</v>
      </c>
      <c r="V7" s="49">
        <f t="shared" si="5"/>
        <v>758.69999999999993</v>
      </c>
      <c r="W7" s="49">
        <f t="shared" si="0"/>
        <v>0</v>
      </c>
      <c r="X7" s="49">
        <f t="shared" si="1"/>
        <v>7364.22</v>
      </c>
      <c r="Y7" s="49">
        <f t="shared" si="2"/>
        <v>7364.22</v>
      </c>
      <c r="Z7" s="49">
        <f t="shared" si="3"/>
        <v>0</v>
      </c>
      <c r="AA7" s="49">
        <f t="shared" si="4"/>
        <v>0</v>
      </c>
      <c r="AC7" s="6"/>
    </row>
    <row r="8" spans="1:29" x14ac:dyDescent="0.2">
      <c r="A8" s="69">
        <v>43922</v>
      </c>
      <c r="B8" s="60">
        <v>0</v>
      </c>
      <c r="C8" s="61">
        <v>0</v>
      </c>
      <c r="D8" s="62">
        <v>0</v>
      </c>
      <c r="E8" s="63">
        <v>0</v>
      </c>
      <c r="F8" s="64">
        <v>0</v>
      </c>
      <c r="G8" s="64">
        <v>0</v>
      </c>
      <c r="H8" s="60">
        <v>0</v>
      </c>
      <c r="I8" s="65">
        <v>0</v>
      </c>
      <c r="J8" s="66">
        <v>0</v>
      </c>
      <c r="K8" s="67">
        <v>0</v>
      </c>
      <c r="L8" s="67">
        <v>0</v>
      </c>
      <c r="M8" s="66">
        <v>0</v>
      </c>
      <c r="N8" s="63">
        <v>0</v>
      </c>
      <c r="O8" s="62">
        <v>0</v>
      </c>
      <c r="P8" s="63">
        <v>0</v>
      </c>
      <c r="Q8" s="64">
        <v>0</v>
      </c>
      <c r="R8" s="64">
        <v>0</v>
      </c>
      <c r="S8" s="60">
        <v>0</v>
      </c>
      <c r="T8" s="60">
        <v>0</v>
      </c>
      <c r="U8" s="66">
        <v>0</v>
      </c>
      <c r="V8" s="49">
        <f t="shared" si="5"/>
        <v>0</v>
      </c>
      <c r="W8" s="49">
        <f t="shared" si="0"/>
        <v>0</v>
      </c>
      <c r="X8" s="49">
        <f t="shared" si="1"/>
        <v>0</v>
      </c>
      <c r="Y8" s="49">
        <f t="shared" si="2"/>
        <v>0</v>
      </c>
      <c r="Z8" s="49">
        <f t="shared" si="3"/>
        <v>0</v>
      </c>
      <c r="AA8" s="49">
        <f t="shared" si="4"/>
        <v>0</v>
      </c>
      <c r="AC8" s="6"/>
    </row>
    <row r="9" spans="1:29" x14ac:dyDescent="0.2">
      <c r="A9" s="69">
        <v>43952</v>
      </c>
      <c r="B9" s="60">
        <v>0</v>
      </c>
      <c r="C9" s="61">
        <v>0</v>
      </c>
      <c r="D9" s="62">
        <v>0</v>
      </c>
      <c r="E9" s="63">
        <v>0</v>
      </c>
      <c r="F9" s="64">
        <v>0</v>
      </c>
      <c r="G9" s="64">
        <v>0</v>
      </c>
      <c r="H9" s="60">
        <v>0</v>
      </c>
      <c r="I9" s="65">
        <v>0</v>
      </c>
      <c r="J9" s="66">
        <v>0</v>
      </c>
      <c r="K9" s="67">
        <v>0</v>
      </c>
      <c r="L9" s="64">
        <v>0</v>
      </c>
      <c r="M9" s="66">
        <v>0</v>
      </c>
      <c r="N9" s="63">
        <v>0</v>
      </c>
      <c r="O9" s="62">
        <v>0</v>
      </c>
      <c r="P9" s="63">
        <v>0</v>
      </c>
      <c r="Q9" s="64">
        <v>0</v>
      </c>
      <c r="R9" s="64">
        <v>0</v>
      </c>
      <c r="S9" s="60">
        <v>0</v>
      </c>
      <c r="T9" s="60">
        <v>0</v>
      </c>
      <c r="U9" s="66">
        <v>0</v>
      </c>
      <c r="V9" s="49">
        <f t="shared" si="5"/>
        <v>0</v>
      </c>
      <c r="W9" s="49">
        <f t="shared" si="0"/>
        <v>0</v>
      </c>
      <c r="X9" s="49">
        <f t="shared" si="1"/>
        <v>0</v>
      </c>
      <c r="Y9" s="49">
        <f t="shared" si="2"/>
        <v>0</v>
      </c>
      <c r="Z9" s="49">
        <f t="shared" si="3"/>
        <v>0</v>
      </c>
      <c r="AA9" s="49">
        <f t="shared" si="4"/>
        <v>0</v>
      </c>
      <c r="AC9" s="6"/>
    </row>
    <row r="10" spans="1:29" x14ac:dyDescent="0.2">
      <c r="A10" s="69">
        <v>43983</v>
      </c>
      <c r="B10" s="60">
        <v>0</v>
      </c>
      <c r="C10" s="61">
        <v>0</v>
      </c>
      <c r="D10" s="62">
        <v>0</v>
      </c>
      <c r="E10" s="63">
        <v>0</v>
      </c>
      <c r="F10" s="64">
        <v>0</v>
      </c>
      <c r="G10" s="64">
        <v>0</v>
      </c>
      <c r="H10" s="60">
        <v>0</v>
      </c>
      <c r="I10" s="65">
        <v>0</v>
      </c>
      <c r="J10" s="66">
        <v>0</v>
      </c>
      <c r="K10" s="67">
        <v>0</v>
      </c>
      <c r="L10" s="64">
        <v>0</v>
      </c>
      <c r="M10" s="66">
        <v>0</v>
      </c>
      <c r="N10" s="63">
        <v>0</v>
      </c>
      <c r="O10" s="62">
        <v>0</v>
      </c>
      <c r="P10" s="63">
        <v>0</v>
      </c>
      <c r="Q10" s="64">
        <v>0</v>
      </c>
      <c r="R10" s="64">
        <v>0</v>
      </c>
      <c r="S10" s="60">
        <v>0</v>
      </c>
      <c r="T10" s="60">
        <v>0</v>
      </c>
      <c r="U10" s="66">
        <v>0</v>
      </c>
      <c r="V10" s="49">
        <f t="shared" si="5"/>
        <v>0</v>
      </c>
      <c r="W10" s="49">
        <f t="shared" si="0"/>
        <v>0</v>
      </c>
      <c r="X10" s="49">
        <f t="shared" si="1"/>
        <v>0</v>
      </c>
      <c r="Y10" s="49">
        <f t="shared" si="2"/>
        <v>0</v>
      </c>
      <c r="Z10" s="49">
        <f t="shared" si="3"/>
        <v>0</v>
      </c>
      <c r="AA10" s="49">
        <f t="shared" si="4"/>
        <v>0</v>
      </c>
      <c r="AC10" s="6"/>
    </row>
    <row r="11" spans="1:29" x14ac:dyDescent="0.2">
      <c r="A11" s="69">
        <v>44013</v>
      </c>
      <c r="B11" s="60">
        <v>0</v>
      </c>
      <c r="C11" s="61">
        <v>0</v>
      </c>
      <c r="D11" s="62">
        <v>0</v>
      </c>
      <c r="E11" s="63">
        <v>0</v>
      </c>
      <c r="F11" s="64">
        <v>0</v>
      </c>
      <c r="G11" s="64">
        <v>0</v>
      </c>
      <c r="H11" s="60">
        <v>0</v>
      </c>
      <c r="I11" s="65">
        <v>0</v>
      </c>
      <c r="J11" s="66">
        <v>0</v>
      </c>
      <c r="K11" s="67">
        <v>0</v>
      </c>
      <c r="L11" s="64">
        <v>0</v>
      </c>
      <c r="M11" s="66">
        <v>0</v>
      </c>
      <c r="N11" s="63">
        <v>0</v>
      </c>
      <c r="O11" s="62">
        <v>0</v>
      </c>
      <c r="P11" s="63">
        <v>0</v>
      </c>
      <c r="Q11" s="64">
        <v>0</v>
      </c>
      <c r="R11" s="64">
        <v>0</v>
      </c>
      <c r="S11" s="60">
        <v>0</v>
      </c>
      <c r="T11" s="60">
        <v>0</v>
      </c>
      <c r="U11" s="66">
        <v>0</v>
      </c>
      <c r="V11" s="49">
        <f t="shared" si="5"/>
        <v>0</v>
      </c>
      <c r="W11" s="49">
        <f t="shared" si="0"/>
        <v>0</v>
      </c>
      <c r="X11" s="49">
        <f t="shared" si="1"/>
        <v>0</v>
      </c>
      <c r="Y11" s="49">
        <f t="shared" si="2"/>
        <v>0</v>
      </c>
      <c r="Z11" s="49">
        <f t="shared" si="3"/>
        <v>0</v>
      </c>
      <c r="AA11" s="49">
        <f t="shared" si="4"/>
        <v>0</v>
      </c>
      <c r="AC11" s="6"/>
    </row>
    <row r="12" spans="1:29" x14ac:dyDescent="0.2">
      <c r="A12" s="69">
        <v>44044</v>
      </c>
      <c r="B12" s="60">
        <v>2946.83</v>
      </c>
      <c r="C12" s="61">
        <v>252.89999999999998</v>
      </c>
      <c r="D12" s="62">
        <v>1</v>
      </c>
      <c r="E12" s="63">
        <v>0</v>
      </c>
      <c r="F12" s="64">
        <v>0</v>
      </c>
      <c r="G12" s="64">
        <v>0</v>
      </c>
      <c r="H12" s="60">
        <v>0</v>
      </c>
      <c r="I12" s="65">
        <v>0</v>
      </c>
      <c r="J12" s="66">
        <v>0</v>
      </c>
      <c r="K12" s="67">
        <v>0</v>
      </c>
      <c r="L12" s="64">
        <v>0</v>
      </c>
      <c r="M12" s="66">
        <v>0</v>
      </c>
      <c r="N12" s="63">
        <v>2946.83</v>
      </c>
      <c r="O12" s="62">
        <v>252.89999999999998</v>
      </c>
      <c r="P12" s="63">
        <v>0</v>
      </c>
      <c r="Q12" s="64">
        <v>0</v>
      </c>
      <c r="R12" s="64">
        <v>0</v>
      </c>
      <c r="S12" s="60">
        <v>0</v>
      </c>
      <c r="T12" s="60">
        <v>0</v>
      </c>
      <c r="U12" s="66">
        <v>0</v>
      </c>
      <c r="V12" s="49">
        <f t="shared" si="5"/>
        <v>252.89999999999998</v>
      </c>
      <c r="W12" s="49">
        <f t="shared" si="0"/>
        <v>0</v>
      </c>
      <c r="X12" s="49">
        <f t="shared" si="1"/>
        <v>2946.83</v>
      </c>
      <c r="Y12" s="49">
        <f t="shared" si="2"/>
        <v>2946.83</v>
      </c>
      <c r="Z12" s="49">
        <f t="shared" si="3"/>
        <v>0</v>
      </c>
      <c r="AA12" s="49">
        <f t="shared" si="4"/>
        <v>0</v>
      </c>
      <c r="AC12" s="6"/>
    </row>
    <row r="13" spans="1:29" x14ac:dyDescent="0.2">
      <c r="A13" s="69">
        <v>44075</v>
      </c>
      <c r="B13" s="60">
        <v>14445.71</v>
      </c>
      <c r="C13" s="61">
        <v>1264.5</v>
      </c>
      <c r="D13" s="62">
        <v>5</v>
      </c>
      <c r="E13" s="63">
        <v>0</v>
      </c>
      <c r="F13" s="64">
        <v>0</v>
      </c>
      <c r="G13" s="64">
        <v>0</v>
      </c>
      <c r="H13" s="60">
        <v>0</v>
      </c>
      <c r="I13" s="65">
        <v>0</v>
      </c>
      <c r="J13" s="66">
        <v>0</v>
      </c>
      <c r="K13" s="67">
        <v>0</v>
      </c>
      <c r="L13" s="64">
        <v>0</v>
      </c>
      <c r="M13" s="66">
        <v>0</v>
      </c>
      <c r="N13" s="63">
        <v>14445.71</v>
      </c>
      <c r="O13" s="62">
        <v>1264.5</v>
      </c>
      <c r="P13" s="63">
        <v>0</v>
      </c>
      <c r="Q13" s="64">
        <v>0</v>
      </c>
      <c r="R13" s="64">
        <v>0</v>
      </c>
      <c r="S13" s="60">
        <v>0</v>
      </c>
      <c r="T13" s="60">
        <v>0</v>
      </c>
      <c r="U13" s="66">
        <v>0</v>
      </c>
      <c r="V13" s="49">
        <f t="shared" si="5"/>
        <v>1264.5</v>
      </c>
      <c r="W13" s="49">
        <f t="shared" si="0"/>
        <v>0</v>
      </c>
      <c r="X13" s="49">
        <f t="shared" si="1"/>
        <v>14445.71</v>
      </c>
      <c r="Y13" s="49">
        <f t="shared" si="2"/>
        <v>14445.71</v>
      </c>
      <c r="Z13" s="49">
        <f t="shared" si="3"/>
        <v>0</v>
      </c>
      <c r="AA13" s="49">
        <f t="shared" si="4"/>
        <v>0</v>
      </c>
      <c r="AC13" s="6"/>
    </row>
    <row r="14" spans="1:29" x14ac:dyDescent="0.2">
      <c r="A14" s="69">
        <v>44105</v>
      </c>
      <c r="B14" s="60">
        <v>5802.34</v>
      </c>
      <c r="C14" s="61">
        <v>505.79999999999995</v>
      </c>
      <c r="D14" s="62">
        <v>2</v>
      </c>
      <c r="E14" s="63">
        <v>0</v>
      </c>
      <c r="F14" s="64">
        <v>0</v>
      </c>
      <c r="G14" s="64">
        <v>0</v>
      </c>
      <c r="H14" s="60">
        <v>0</v>
      </c>
      <c r="I14" s="65">
        <v>0</v>
      </c>
      <c r="J14" s="66">
        <v>0</v>
      </c>
      <c r="K14" s="67">
        <v>0</v>
      </c>
      <c r="L14" s="64">
        <v>0</v>
      </c>
      <c r="M14" s="70">
        <v>0</v>
      </c>
      <c r="N14" s="63">
        <v>5802.34</v>
      </c>
      <c r="O14" s="62">
        <v>505.79999999999995</v>
      </c>
      <c r="P14" s="63">
        <v>0</v>
      </c>
      <c r="Q14" s="64">
        <v>0</v>
      </c>
      <c r="R14" s="64">
        <v>0</v>
      </c>
      <c r="S14" s="60">
        <v>0</v>
      </c>
      <c r="T14" s="60">
        <v>0</v>
      </c>
      <c r="U14" s="66">
        <v>0</v>
      </c>
      <c r="V14" s="49">
        <f t="shared" si="5"/>
        <v>505.79999999999995</v>
      </c>
      <c r="W14" s="49">
        <f t="shared" si="0"/>
        <v>0</v>
      </c>
      <c r="X14" s="49">
        <f t="shared" si="1"/>
        <v>5802.34</v>
      </c>
      <c r="Y14" s="49">
        <f t="shared" si="2"/>
        <v>5802.34</v>
      </c>
      <c r="Z14" s="49">
        <f t="shared" si="3"/>
        <v>0</v>
      </c>
      <c r="AA14" s="49">
        <f t="shared" si="4"/>
        <v>0</v>
      </c>
      <c r="AC14" s="6"/>
    </row>
    <row r="15" spans="1:29" x14ac:dyDescent="0.2">
      <c r="A15" s="69">
        <v>44136</v>
      </c>
      <c r="B15" s="60">
        <v>5596.61</v>
      </c>
      <c r="C15" s="61">
        <v>505.79999999999995</v>
      </c>
      <c r="D15" s="62">
        <v>2</v>
      </c>
      <c r="E15" s="63">
        <v>0</v>
      </c>
      <c r="F15" s="64">
        <v>0</v>
      </c>
      <c r="G15" s="64">
        <v>0</v>
      </c>
      <c r="H15" s="60">
        <v>0</v>
      </c>
      <c r="I15" s="65">
        <v>0</v>
      </c>
      <c r="J15" s="66">
        <v>0</v>
      </c>
      <c r="K15" s="67">
        <v>0</v>
      </c>
      <c r="L15" s="64">
        <v>0</v>
      </c>
      <c r="M15" s="66">
        <v>0</v>
      </c>
      <c r="N15" s="63">
        <v>5596.61</v>
      </c>
      <c r="O15" s="62">
        <v>505.79999999999995</v>
      </c>
      <c r="P15" s="63">
        <v>0</v>
      </c>
      <c r="Q15" s="64">
        <v>0</v>
      </c>
      <c r="R15" s="64">
        <v>0</v>
      </c>
      <c r="S15" s="60">
        <v>0</v>
      </c>
      <c r="T15" s="60">
        <v>0</v>
      </c>
      <c r="U15" s="66">
        <v>0</v>
      </c>
      <c r="V15" s="49">
        <f t="shared" si="5"/>
        <v>505.79999999999995</v>
      </c>
      <c r="W15" s="49">
        <f t="shared" si="0"/>
        <v>0</v>
      </c>
      <c r="X15" s="49">
        <f t="shared" si="1"/>
        <v>5596.61</v>
      </c>
      <c r="Y15" s="49">
        <f t="shared" si="2"/>
        <v>5596.61</v>
      </c>
      <c r="Z15" s="49">
        <f t="shared" si="3"/>
        <v>0</v>
      </c>
      <c r="AA15" s="49">
        <f t="shared" si="4"/>
        <v>0</v>
      </c>
      <c r="AC15" s="6"/>
    </row>
    <row r="16" spans="1:29" ht="13.5" thickBot="1" x14ac:dyDescent="0.25">
      <c r="A16" s="71">
        <v>44166</v>
      </c>
      <c r="B16" s="72">
        <v>0</v>
      </c>
      <c r="C16" s="73">
        <v>0</v>
      </c>
      <c r="D16" s="74">
        <v>0</v>
      </c>
      <c r="E16" s="75">
        <v>0</v>
      </c>
      <c r="F16" s="76">
        <v>0</v>
      </c>
      <c r="G16" s="76">
        <v>0</v>
      </c>
      <c r="H16" s="72">
        <v>0</v>
      </c>
      <c r="I16" s="72">
        <v>0</v>
      </c>
      <c r="J16" s="77">
        <v>0</v>
      </c>
      <c r="K16" s="78">
        <v>0</v>
      </c>
      <c r="L16" s="76">
        <v>0</v>
      </c>
      <c r="M16" s="77">
        <v>0</v>
      </c>
      <c r="N16" s="79">
        <v>0</v>
      </c>
      <c r="O16" s="74">
        <v>0</v>
      </c>
      <c r="P16" s="75">
        <v>0</v>
      </c>
      <c r="Q16" s="76">
        <v>0</v>
      </c>
      <c r="R16" s="76">
        <v>0</v>
      </c>
      <c r="S16" s="72">
        <v>0</v>
      </c>
      <c r="T16" s="72">
        <v>0</v>
      </c>
      <c r="U16" s="77">
        <v>0</v>
      </c>
      <c r="V16" s="49">
        <f t="shared" si="5"/>
        <v>0</v>
      </c>
      <c r="W16" s="49">
        <f t="shared" si="0"/>
        <v>0</v>
      </c>
      <c r="X16" s="49">
        <f t="shared" si="1"/>
        <v>0</v>
      </c>
      <c r="Y16" s="49">
        <f t="shared" si="2"/>
        <v>0</v>
      </c>
      <c r="Z16" s="49">
        <f t="shared" si="3"/>
        <v>0</v>
      </c>
      <c r="AA16" s="49">
        <f t="shared" si="4"/>
        <v>0</v>
      </c>
      <c r="AC16" s="6"/>
    </row>
    <row r="17" spans="1:27" ht="13.5" thickTop="1" x14ac:dyDescent="0.2">
      <c r="A17" s="80" t="s">
        <v>82</v>
      </c>
      <c r="B17" s="81">
        <f t="shared" ref="B17:U17" si="6">SUM(B5:B16)</f>
        <v>63527.08</v>
      </c>
      <c r="C17" s="82">
        <f t="shared" si="6"/>
        <v>5816.7000000000007</v>
      </c>
      <c r="D17" s="83">
        <f t="shared" si="6"/>
        <v>23</v>
      </c>
      <c r="E17" s="84">
        <f t="shared" si="6"/>
        <v>0</v>
      </c>
      <c r="F17" s="85">
        <f t="shared" si="6"/>
        <v>0</v>
      </c>
      <c r="G17" s="85">
        <f t="shared" si="6"/>
        <v>0</v>
      </c>
      <c r="H17" s="81">
        <f t="shared" si="6"/>
        <v>0</v>
      </c>
      <c r="I17" s="81">
        <f t="shared" si="6"/>
        <v>0</v>
      </c>
      <c r="J17" s="86">
        <f t="shared" si="6"/>
        <v>0</v>
      </c>
      <c r="K17" s="87">
        <f t="shared" si="6"/>
        <v>0</v>
      </c>
      <c r="L17" s="85">
        <f t="shared" si="6"/>
        <v>0</v>
      </c>
      <c r="M17" s="86">
        <f t="shared" si="6"/>
        <v>0</v>
      </c>
      <c r="N17" s="84">
        <f t="shared" si="6"/>
        <v>63527.08</v>
      </c>
      <c r="O17" s="83">
        <f t="shared" si="6"/>
        <v>5816.7000000000007</v>
      </c>
      <c r="P17" s="84">
        <f t="shared" si="6"/>
        <v>0</v>
      </c>
      <c r="Q17" s="85">
        <f t="shared" si="6"/>
        <v>0</v>
      </c>
      <c r="R17" s="85">
        <f t="shared" si="6"/>
        <v>0</v>
      </c>
      <c r="S17" s="81">
        <f t="shared" si="6"/>
        <v>0</v>
      </c>
      <c r="T17" s="81">
        <f t="shared" si="6"/>
        <v>0</v>
      </c>
      <c r="U17" s="88">
        <f t="shared" si="6"/>
        <v>0</v>
      </c>
      <c r="V17" s="49"/>
      <c r="W17" s="49"/>
      <c r="X17" s="49"/>
      <c r="Y17" s="49"/>
      <c r="Z17" s="49"/>
      <c r="AA17" s="49"/>
    </row>
    <row r="18" spans="1:27" ht="13.5" thickBot="1" x14ac:dyDescent="0.25">
      <c r="A18" s="40" t="s">
        <v>81</v>
      </c>
      <c r="B18" s="41">
        <f>B17+B4</f>
        <v>3539792.81</v>
      </c>
      <c r="C18" s="42">
        <f t="shared" ref="C18:U18" si="7">C17+C4</f>
        <v>350309.28</v>
      </c>
      <c r="D18" s="43">
        <f t="shared" si="7"/>
        <v>1978</v>
      </c>
      <c r="E18" s="44">
        <f t="shared" si="7"/>
        <v>3565964.6115000001</v>
      </c>
      <c r="F18" s="45">
        <f t="shared" si="7"/>
        <v>13552</v>
      </c>
      <c r="G18" s="45">
        <f t="shared" si="7"/>
        <v>1055443.4657468749</v>
      </c>
      <c r="H18" s="41">
        <f t="shared" si="7"/>
        <v>460561.42846000014</v>
      </c>
      <c r="I18" s="41">
        <f t="shared" si="7"/>
        <v>129556.41669</v>
      </c>
      <c r="J18" s="46">
        <f t="shared" si="7"/>
        <v>4156082.4566500001</v>
      </c>
      <c r="K18" s="47">
        <f t="shared" si="7"/>
        <v>142</v>
      </c>
      <c r="L18" s="45">
        <f t="shared" si="7"/>
        <v>11308</v>
      </c>
      <c r="M18" s="46">
        <f t="shared" si="7"/>
        <v>35760.53</v>
      </c>
      <c r="N18" s="44">
        <f t="shared" si="7"/>
        <v>7905171.5601000004</v>
      </c>
      <c r="O18" s="43">
        <f t="shared" si="7"/>
        <v>1451161.6409089349</v>
      </c>
      <c r="P18" s="44">
        <f t="shared" si="7"/>
        <v>136773.40760000001</v>
      </c>
      <c r="Q18" s="48">
        <f t="shared" si="7"/>
        <v>453</v>
      </c>
      <c r="R18" s="48">
        <f t="shared" si="7"/>
        <v>48031.669007979035</v>
      </c>
      <c r="S18" s="44">
        <f t="shared" si="7"/>
        <v>38923.881540000009</v>
      </c>
      <c r="T18" s="44">
        <f t="shared" si="7"/>
        <v>11143.924309999999</v>
      </c>
      <c r="U18" s="46">
        <f t="shared" si="7"/>
        <v>186841.21345000001</v>
      </c>
      <c r="V18" s="49"/>
      <c r="W18" s="49"/>
      <c r="X18" s="49"/>
      <c r="Y18" s="49"/>
      <c r="Z18" s="49"/>
      <c r="AA18" s="49"/>
    </row>
    <row r="19" spans="1:27" x14ac:dyDescent="0.2">
      <c r="A19" s="50">
        <v>44197</v>
      </c>
      <c r="B19" s="51">
        <v>2956.94</v>
      </c>
      <c r="C19" s="52">
        <v>252.89999999999998</v>
      </c>
      <c r="D19" s="53">
        <v>1</v>
      </c>
      <c r="E19" s="51">
        <v>0</v>
      </c>
      <c r="F19" s="54">
        <v>0</v>
      </c>
      <c r="G19" s="54">
        <v>0</v>
      </c>
      <c r="H19" s="55">
        <v>0</v>
      </c>
      <c r="I19" s="56">
        <v>0</v>
      </c>
      <c r="J19" s="57">
        <v>0</v>
      </c>
      <c r="K19" s="58">
        <v>0</v>
      </c>
      <c r="L19" s="54">
        <v>0</v>
      </c>
      <c r="M19" s="57">
        <v>0</v>
      </c>
      <c r="N19" s="51">
        <v>2956.94</v>
      </c>
      <c r="O19" s="53">
        <v>252.89999999999998</v>
      </c>
      <c r="P19" s="51">
        <v>0</v>
      </c>
      <c r="Q19" s="54">
        <v>0</v>
      </c>
      <c r="R19" s="54">
        <v>0</v>
      </c>
      <c r="S19" s="55">
        <v>0</v>
      </c>
      <c r="T19" s="55">
        <v>0</v>
      </c>
      <c r="U19" s="57">
        <v>0</v>
      </c>
      <c r="V19" s="49">
        <f>C19+G19</f>
        <v>252.89999999999998</v>
      </c>
      <c r="W19" s="49">
        <f t="shared" ref="W19:W30" si="8">R19</f>
        <v>0</v>
      </c>
      <c r="X19" s="49">
        <f t="shared" ref="X19:X30" si="9">N19-U19-M19</f>
        <v>2956.94</v>
      </c>
      <c r="Y19" s="49">
        <f>N19-U19</f>
        <v>2956.94</v>
      </c>
      <c r="Z19" s="49">
        <f t="shared" ref="Z19:Z30" si="10">X19-Y19</f>
        <v>0</v>
      </c>
      <c r="AA19" s="49">
        <f t="shared" ref="AA19:AA30" si="11">U19</f>
        <v>0</v>
      </c>
    </row>
    <row r="20" spans="1:27" x14ac:dyDescent="0.2">
      <c r="A20" s="59">
        <v>44228</v>
      </c>
      <c r="B20" s="60">
        <v>2558.6799999999998</v>
      </c>
      <c r="C20" s="61">
        <v>252.89999999999998</v>
      </c>
      <c r="D20" s="62">
        <v>1</v>
      </c>
      <c r="E20" s="63">
        <v>0</v>
      </c>
      <c r="F20" s="64">
        <v>0</v>
      </c>
      <c r="G20" s="64">
        <v>0</v>
      </c>
      <c r="H20" s="60">
        <v>0</v>
      </c>
      <c r="I20" s="65">
        <v>0</v>
      </c>
      <c r="J20" s="66">
        <v>0</v>
      </c>
      <c r="K20" s="67">
        <v>0</v>
      </c>
      <c r="L20" s="64">
        <v>0</v>
      </c>
      <c r="M20" s="68">
        <v>0</v>
      </c>
      <c r="N20" s="63">
        <v>2558.6799999999998</v>
      </c>
      <c r="O20" s="62">
        <v>252.89999999999998</v>
      </c>
      <c r="P20" s="63">
        <v>0</v>
      </c>
      <c r="Q20" s="64">
        <v>0</v>
      </c>
      <c r="R20" s="64">
        <v>0</v>
      </c>
      <c r="S20" s="60">
        <v>0</v>
      </c>
      <c r="T20" s="60">
        <v>0</v>
      </c>
      <c r="U20" s="66">
        <v>0</v>
      </c>
      <c r="V20" s="49">
        <f>C20+G20</f>
        <v>252.89999999999998</v>
      </c>
      <c r="W20" s="49">
        <f>R20</f>
        <v>0</v>
      </c>
      <c r="X20" s="49">
        <f>N20-U20-M20</f>
        <v>2558.6799999999998</v>
      </c>
      <c r="Y20" s="49">
        <f>N20-U20</f>
        <v>2558.6799999999998</v>
      </c>
      <c r="Z20" s="49">
        <f t="shared" si="10"/>
        <v>0</v>
      </c>
      <c r="AA20" s="49">
        <f t="shared" si="11"/>
        <v>0</v>
      </c>
    </row>
    <row r="21" spans="1:27" x14ac:dyDescent="0.2">
      <c r="A21" s="69">
        <v>44256</v>
      </c>
      <c r="B21" s="60">
        <v>4252.3500000000004</v>
      </c>
      <c r="C21" s="61">
        <v>505.79999999999995</v>
      </c>
      <c r="D21" s="62">
        <v>2</v>
      </c>
      <c r="E21" s="63">
        <v>0</v>
      </c>
      <c r="F21" s="64">
        <v>0</v>
      </c>
      <c r="G21" s="64">
        <v>0</v>
      </c>
      <c r="H21" s="60">
        <v>0</v>
      </c>
      <c r="I21" s="65">
        <v>0</v>
      </c>
      <c r="J21" s="66">
        <v>0</v>
      </c>
      <c r="K21" s="67">
        <v>0</v>
      </c>
      <c r="L21" s="64">
        <v>0</v>
      </c>
      <c r="M21" s="68">
        <v>0</v>
      </c>
      <c r="N21" s="63">
        <v>4252.3500000000004</v>
      </c>
      <c r="O21" s="62">
        <v>505.79999999999995</v>
      </c>
      <c r="P21" s="63">
        <v>0</v>
      </c>
      <c r="Q21" s="64">
        <v>0</v>
      </c>
      <c r="R21" s="64">
        <v>0</v>
      </c>
      <c r="S21" s="60">
        <v>0</v>
      </c>
      <c r="T21" s="60">
        <v>0</v>
      </c>
      <c r="U21" s="66">
        <v>0</v>
      </c>
      <c r="V21" s="49">
        <f t="shared" ref="V21:V30" si="12">C21+G21</f>
        <v>505.79999999999995</v>
      </c>
      <c r="W21" s="49">
        <f t="shared" si="8"/>
        <v>0</v>
      </c>
      <c r="X21" s="49">
        <f t="shared" si="9"/>
        <v>4252.3500000000004</v>
      </c>
      <c r="Y21" s="49">
        <f t="shared" ref="Y21:Y30" si="13">N21-U21</f>
        <v>4252.3500000000004</v>
      </c>
      <c r="Z21" s="49">
        <f t="shared" si="10"/>
        <v>0</v>
      </c>
      <c r="AA21" s="49">
        <f t="shared" si="11"/>
        <v>0</v>
      </c>
    </row>
    <row r="22" spans="1:27" x14ac:dyDescent="0.2">
      <c r="A22" s="69">
        <v>44287</v>
      </c>
      <c r="B22" s="60">
        <v>3000</v>
      </c>
      <c r="C22" s="61">
        <v>252.89999999999998</v>
      </c>
      <c r="D22" s="62">
        <v>1</v>
      </c>
      <c r="E22" s="63">
        <v>0</v>
      </c>
      <c r="F22" s="64">
        <v>0</v>
      </c>
      <c r="G22" s="64">
        <v>0</v>
      </c>
      <c r="H22" s="60">
        <v>0</v>
      </c>
      <c r="I22" s="65">
        <v>0</v>
      </c>
      <c r="J22" s="66">
        <v>0</v>
      </c>
      <c r="K22" s="67">
        <v>0</v>
      </c>
      <c r="L22" s="67">
        <v>0</v>
      </c>
      <c r="M22" s="66">
        <v>0</v>
      </c>
      <c r="N22" s="63">
        <v>3000</v>
      </c>
      <c r="O22" s="62">
        <v>252.89999999999998</v>
      </c>
      <c r="P22" s="63">
        <v>0</v>
      </c>
      <c r="Q22" s="64">
        <v>0</v>
      </c>
      <c r="R22" s="64">
        <v>0</v>
      </c>
      <c r="S22" s="60">
        <v>0</v>
      </c>
      <c r="T22" s="60">
        <v>0</v>
      </c>
      <c r="U22" s="66">
        <v>0</v>
      </c>
      <c r="V22" s="49">
        <f t="shared" si="12"/>
        <v>252.89999999999998</v>
      </c>
      <c r="W22" s="49">
        <f t="shared" si="8"/>
        <v>0</v>
      </c>
      <c r="X22" s="49">
        <f t="shared" si="9"/>
        <v>3000</v>
      </c>
      <c r="Y22" s="49">
        <f t="shared" si="13"/>
        <v>3000</v>
      </c>
      <c r="Z22" s="49">
        <f t="shared" si="10"/>
        <v>0</v>
      </c>
      <c r="AA22" s="49">
        <f t="shared" si="11"/>
        <v>0</v>
      </c>
    </row>
    <row r="23" spans="1:27" x14ac:dyDescent="0.2">
      <c r="A23" s="69">
        <v>44317</v>
      </c>
      <c r="B23" s="60">
        <v>1569.23</v>
      </c>
      <c r="C23" s="61">
        <v>505.79999999999995</v>
      </c>
      <c r="D23" s="62">
        <v>2</v>
      </c>
      <c r="E23" s="63">
        <v>0</v>
      </c>
      <c r="F23" s="64">
        <v>0</v>
      </c>
      <c r="G23" s="64">
        <v>0</v>
      </c>
      <c r="H23" s="60">
        <v>0</v>
      </c>
      <c r="I23" s="65">
        <v>0</v>
      </c>
      <c r="J23" s="66">
        <v>0</v>
      </c>
      <c r="K23" s="67">
        <v>0</v>
      </c>
      <c r="L23" s="64">
        <v>0</v>
      </c>
      <c r="M23" s="66">
        <v>0</v>
      </c>
      <c r="N23" s="63">
        <v>1569.23</v>
      </c>
      <c r="O23" s="62">
        <v>505.79999999999995</v>
      </c>
      <c r="P23" s="63">
        <v>0</v>
      </c>
      <c r="Q23" s="64">
        <v>0</v>
      </c>
      <c r="R23" s="64">
        <v>0</v>
      </c>
      <c r="S23" s="60">
        <v>0</v>
      </c>
      <c r="T23" s="60">
        <v>0</v>
      </c>
      <c r="U23" s="66">
        <v>0</v>
      </c>
      <c r="V23" s="49">
        <f t="shared" si="12"/>
        <v>505.79999999999995</v>
      </c>
      <c r="W23" s="49">
        <f t="shared" si="8"/>
        <v>0</v>
      </c>
      <c r="X23" s="49">
        <f t="shared" si="9"/>
        <v>1569.23</v>
      </c>
      <c r="Y23" s="49">
        <f t="shared" si="13"/>
        <v>1569.23</v>
      </c>
      <c r="Z23" s="49">
        <f t="shared" si="10"/>
        <v>0</v>
      </c>
      <c r="AA23" s="49">
        <f t="shared" si="11"/>
        <v>0</v>
      </c>
    </row>
    <row r="24" spans="1:27" x14ac:dyDescent="0.2">
      <c r="A24" s="69">
        <v>44348</v>
      </c>
      <c r="B24" s="60">
        <v>5738.38</v>
      </c>
      <c r="C24" s="61">
        <v>505.79999999999995</v>
      </c>
      <c r="D24" s="62">
        <v>2</v>
      </c>
      <c r="E24" s="63">
        <v>0</v>
      </c>
      <c r="F24" s="64">
        <v>0</v>
      </c>
      <c r="G24" s="64">
        <v>0</v>
      </c>
      <c r="H24" s="60">
        <v>0</v>
      </c>
      <c r="I24" s="65">
        <v>0</v>
      </c>
      <c r="J24" s="66">
        <v>0</v>
      </c>
      <c r="K24" s="67">
        <v>0</v>
      </c>
      <c r="L24" s="64">
        <v>0</v>
      </c>
      <c r="M24" s="66">
        <v>0</v>
      </c>
      <c r="N24" s="63">
        <v>5738.38</v>
      </c>
      <c r="O24" s="62">
        <v>505.79999999999995</v>
      </c>
      <c r="P24" s="63">
        <v>0</v>
      </c>
      <c r="Q24" s="64">
        <v>0</v>
      </c>
      <c r="R24" s="64">
        <v>0</v>
      </c>
      <c r="S24" s="60">
        <v>0</v>
      </c>
      <c r="T24" s="60">
        <v>0</v>
      </c>
      <c r="U24" s="66">
        <v>0</v>
      </c>
      <c r="V24" s="49">
        <f t="shared" si="12"/>
        <v>505.79999999999995</v>
      </c>
      <c r="W24" s="49">
        <f t="shared" si="8"/>
        <v>0</v>
      </c>
      <c r="X24" s="49">
        <f t="shared" si="9"/>
        <v>5738.38</v>
      </c>
      <c r="Y24" s="49">
        <f t="shared" si="13"/>
        <v>5738.38</v>
      </c>
      <c r="Z24" s="49">
        <f t="shared" si="10"/>
        <v>0</v>
      </c>
      <c r="AA24" s="49">
        <f t="shared" si="11"/>
        <v>0</v>
      </c>
    </row>
    <row r="25" spans="1:27" x14ac:dyDescent="0.2">
      <c r="A25" s="69">
        <v>44378</v>
      </c>
      <c r="B25" s="60">
        <v>12000</v>
      </c>
      <c r="C25" s="61">
        <v>1011.5999999999999</v>
      </c>
      <c r="D25" s="62">
        <v>4</v>
      </c>
      <c r="E25" s="63">
        <v>0</v>
      </c>
      <c r="F25" s="64">
        <v>0</v>
      </c>
      <c r="G25" s="64">
        <v>0</v>
      </c>
      <c r="H25" s="60">
        <v>0</v>
      </c>
      <c r="I25" s="65">
        <v>0</v>
      </c>
      <c r="J25" s="66">
        <v>0</v>
      </c>
      <c r="K25" s="67">
        <v>0</v>
      </c>
      <c r="L25" s="64">
        <v>0</v>
      </c>
      <c r="M25" s="66">
        <v>0</v>
      </c>
      <c r="N25" s="63">
        <v>12000</v>
      </c>
      <c r="O25" s="62">
        <v>1011.5999999999999</v>
      </c>
      <c r="P25" s="63">
        <v>0</v>
      </c>
      <c r="Q25" s="64">
        <v>0</v>
      </c>
      <c r="R25" s="64">
        <v>0</v>
      </c>
      <c r="S25" s="60">
        <v>0</v>
      </c>
      <c r="T25" s="60">
        <v>0</v>
      </c>
      <c r="U25" s="66">
        <v>0</v>
      </c>
      <c r="V25" s="49">
        <f t="shared" si="12"/>
        <v>1011.5999999999999</v>
      </c>
      <c r="W25" s="49">
        <f t="shared" si="8"/>
        <v>0</v>
      </c>
      <c r="X25" s="49">
        <f t="shared" si="9"/>
        <v>12000</v>
      </c>
      <c r="Y25" s="49">
        <f t="shared" si="13"/>
        <v>12000</v>
      </c>
      <c r="Z25" s="49">
        <f t="shared" si="10"/>
        <v>0</v>
      </c>
      <c r="AA25" s="49">
        <f t="shared" si="11"/>
        <v>0</v>
      </c>
    </row>
    <row r="26" spans="1:27" x14ac:dyDescent="0.2">
      <c r="A26" s="69">
        <v>44409</v>
      </c>
      <c r="B26" s="60">
        <v>7347.41</v>
      </c>
      <c r="C26" s="61">
        <v>1011.5999999999999</v>
      </c>
      <c r="D26" s="62">
        <v>4</v>
      </c>
      <c r="E26" s="63">
        <v>0</v>
      </c>
      <c r="F26" s="64">
        <v>0</v>
      </c>
      <c r="G26" s="64">
        <v>0</v>
      </c>
      <c r="H26" s="60">
        <v>0</v>
      </c>
      <c r="I26" s="65">
        <v>0</v>
      </c>
      <c r="J26" s="66">
        <v>0</v>
      </c>
      <c r="K26" s="67">
        <v>0</v>
      </c>
      <c r="L26" s="64">
        <v>0</v>
      </c>
      <c r="M26" s="66">
        <v>0</v>
      </c>
      <c r="N26" s="63">
        <v>7347.41</v>
      </c>
      <c r="O26" s="62">
        <v>1011.5999999999999</v>
      </c>
      <c r="P26" s="63">
        <v>0</v>
      </c>
      <c r="Q26" s="64">
        <v>0</v>
      </c>
      <c r="R26" s="64">
        <v>0</v>
      </c>
      <c r="S26" s="60">
        <v>0</v>
      </c>
      <c r="T26" s="60">
        <v>0</v>
      </c>
      <c r="U26" s="66">
        <v>0</v>
      </c>
      <c r="V26" s="49">
        <f t="shared" si="12"/>
        <v>1011.5999999999999</v>
      </c>
      <c r="W26" s="49">
        <f t="shared" si="8"/>
        <v>0</v>
      </c>
      <c r="X26" s="49">
        <f t="shared" si="9"/>
        <v>7347.41</v>
      </c>
      <c r="Y26" s="49">
        <f t="shared" si="13"/>
        <v>7347.41</v>
      </c>
      <c r="Z26" s="49">
        <f t="shared" si="10"/>
        <v>0</v>
      </c>
      <c r="AA26" s="49">
        <f t="shared" si="11"/>
        <v>0</v>
      </c>
    </row>
    <row r="27" spans="1:27" x14ac:dyDescent="0.2">
      <c r="A27" s="152">
        <v>44440</v>
      </c>
      <c r="B27" s="153">
        <v>10660.75</v>
      </c>
      <c r="C27" s="154">
        <v>1011.5999999999999</v>
      </c>
      <c r="D27" s="155">
        <v>4</v>
      </c>
      <c r="E27" s="156">
        <v>0</v>
      </c>
      <c r="F27" s="157">
        <v>0</v>
      </c>
      <c r="G27" s="157">
        <v>0</v>
      </c>
      <c r="H27" s="153">
        <v>0</v>
      </c>
      <c r="I27" s="158">
        <v>0</v>
      </c>
      <c r="J27" s="159">
        <v>0</v>
      </c>
      <c r="K27" s="160">
        <v>0</v>
      </c>
      <c r="L27" s="157">
        <v>0</v>
      </c>
      <c r="M27" s="159">
        <v>0</v>
      </c>
      <c r="N27" s="156">
        <v>10660.75</v>
      </c>
      <c r="O27" s="155">
        <v>1011.5999999999999</v>
      </c>
      <c r="P27" s="156">
        <v>0</v>
      </c>
      <c r="Q27" s="157">
        <v>0</v>
      </c>
      <c r="R27" s="157">
        <v>0</v>
      </c>
      <c r="S27" s="153">
        <v>0</v>
      </c>
      <c r="T27" s="153">
        <v>0</v>
      </c>
      <c r="U27" s="159">
        <v>0</v>
      </c>
      <c r="V27" s="161"/>
      <c r="W27" s="153">
        <v>0</v>
      </c>
      <c r="X27" s="49"/>
      <c r="Y27" s="49"/>
      <c r="Z27" s="49"/>
      <c r="AA27" s="49"/>
    </row>
    <row r="28" spans="1:27" x14ac:dyDescent="0.2">
      <c r="A28" s="69">
        <v>44470</v>
      </c>
      <c r="B28" s="60">
        <v>0</v>
      </c>
      <c r="C28" s="61">
        <v>0</v>
      </c>
      <c r="D28" s="62">
        <v>0</v>
      </c>
      <c r="E28" s="63">
        <v>0</v>
      </c>
      <c r="F28" s="64">
        <v>0</v>
      </c>
      <c r="G28" s="64">
        <v>0</v>
      </c>
      <c r="H28" s="60">
        <v>0</v>
      </c>
      <c r="I28" s="65">
        <v>0</v>
      </c>
      <c r="J28" s="66">
        <v>0</v>
      </c>
      <c r="K28" s="67">
        <v>0</v>
      </c>
      <c r="L28" s="64">
        <v>0</v>
      </c>
      <c r="M28" s="70">
        <v>0</v>
      </c>
      <c r="N28" s="63">
        <v>0</v>
      </c>
      <c r="O28" s="62">
        <v>0</v>
      </c>
      <c r="P28" s="63">
        <v>0</v>
      </c>
      <c r="Q28" s="64">
        <v>0</v>
      </c>
      <c r="R28" s="64">
        <v>0</v>
      </c>
      <c r="S28" s="60">
        <v>0</v>
      </c>
      <c r="T28" s="60">
        <v>0</v>
      </c>
      <c r="U28" s="66">
        <v>0</v>
      </c>
      <c r="V28" s="49">
        <f t="shared" si="12"/>
        <v>0</v>
      </c>
      <c r="W28" s="49">
        <f t="shared" si="8"/>
        <v>0</v>
      </c>
      <c r="X28" s="49">
        <f t="shared" si="9"/>
        <v>0</v>
      </c>
      <c r="Y28" s="49">
        <f t="shared" si="13"/>
        <v>0</v>
      </c>
      <c r="Z28" s="49">
        <f t="shared" si="10"/>
        <v>0</v>
      </c>
      <c r="AA28" s="49">
        <f t="shared" si="11"/>
        <v>0</v>
      </c>
    </row>
    <row r="29" spans="1:27" x14ac:dyDescent="0.2">
      <c r="A29" s="69">
        <v>44501</v>
      </c>
      <c r="B29" s="60">
        <v>0</v>
      </c>
      <c r="C29" s="61">
        <v>0</v>
      </c>
      <c r="D29" s="62">
        <v>0</v>
      </c>
      <c r="E29" s="63">
        <v>0</v>
      </c>
      <c r="F29" s="64">
        <v>0</v>
      </c>
      <c r="G29" s="64">
        <v>0</v>
      </c>
      <c r="H29" s="60">
        <v>0</v>
      </c>
      <c r="I29" s="65">
        <v>0</v>
      </c>
      <c r="J29" s="66">
        <v>0</v>
      </c>
      <c r="K29" s="67">
        <v>0</v>
      </c>
      <c r="L29" s="64">
        <v>0</v>
      </c>
      <c r="M29" s="66">
        <v>0</v>
      </c>
      <c r="N29" s="63">
        <v>0</v>
      </c>
      <c r="O29" s="62">
        <v>0</v>
      </c>
      <c r="P29" s="63">
        <v>0</v>
      </c>
      <c r="Q29" s="64">
        <v>0</v>
      </c>
      <c r="R29" s="64">
        <v>0</v>
      </c>
      <c r="S29" s="60">
        <v>0</v>
      </c>
      <c r="T29" s="60">
        <v>0</v>
      </c>
      <c r="U29" s="66">
        <v>0</v>
      </c>
      <c r="V29" s="49">
        <f t="shared" si="12"/>
        <v>0</v>
      </c>
      <c r="W29" s="49">
        <f t="shared" si="8"/>
        <v>0</v>
      </c>
      <c r="X29" s="49">
        <f t="shared" si="9"/>
        <v>0</v>
      </c>
      <c r="Y29" s="49">
        <f t="shared" si="13"/>
        <v>0</v>
      </c>
      <c r="Z29" s="49">
        <f t="shared" si="10"/>
        <v>0</v>
      </c>
      <c r="AA29" s="49">
        <f t="shared" si="11"/>
        <v>0</v>
      </c>
    </row>
    <row r="30" spans="1:27" ht="13.5" thickBot="1" x14ac:dyDescent="0.25">
      <c r="A30" s="71">
        <v>44531</v>
      </c>
      <c r="B30" s="72">
        <v>0</v>
      </c>
      <c r="C30" s="73">
        <v>0</v>
      </c>
      <c r="D30" s="74">
        <v>0</v>
      </c>
      <c r="E30" s="75">
        <v>0</v>
      </c>
      <c r="F30" s="76">
        <v>0</v>
      </c>
      <c r="G30" s="76">
        <v>0</v>
      </c>
      <c r="H30" s="72">
        <v>0</v>
      </c>
      <c r="I30" s="72">
        <v>0</v>
      </c>
      <c r="J30" s="77">
        <v>0</v>
      </c>
      <c r="K30" s="78">
        <v>0</v>
      </c>
      <c r="L30" s="76">
        <v>0</v>
      </c>
      <c r="M30" s="77">
        <v>0</v>
      </c>
      <c r="N30" s="79">
        <v>0</v>
      </c>
      <c r="O30" s="74">
        <v>0</v>
      </c>
      <c r="P30" s="75">
        <v>0</v>
      </c>
      <c r="Q30" s="76">
        <v>0</v>
      </c>
      <c r="R30" s="76">
        <v>0</v>
      </c>
      <c r="S30" s="72">
        <v>0</v>
      </c>
      <c r="T30" s="72">
        <v>0</v>
      </c>
      <c r="U30" s="77">
        <v>0</v>
      </c>
      <c r="V30" s="49">
        <f t="shared" si="12"/>
        <v>0</v>
      </c>
      <c r="W30" s="49">
        <f t="shared" si="8"/>
        <v>0</v>
      </c>
      <c r="X30" s="49">
        <f t="shared" si="9"/>
        <v>0</v>
      </c>
      <c r="Y30" s="49">
        <f t="shared" si="13"/>
        <v>0</v>
      </c>
      <c r="Z30" s="49">
        <f t="shared" si="10"/>
        <v>0</v>
      </c>
      <c r="AA30" s="49">
        <f t="shared" si="11"/>
        <v>0</v>
      </c>
    </row>
    <row r="31" spans="1:27" ht="13.5" thickTop="1" x14ac:dyDescent="0.2">
      <c r="A31" s="80" t="s">
        <v>83</v>
      </c>
      <c r="B31" s="81">
        <f t="shared" ref="B31:U31" si="14">SUM(B19:B30)</f>
        <v>50083.740000000005</v>
      </c>
      <c r="C31" s="82">
        <f t="shared" si="14"/>
        <v>5310.9</v>
      </c>
      <c r="D31" s="83">
        <f t="shared" si="14"/>
        <v>21</v>
      </c>
      <c r="E31" s="84">
        <f t="shared" si="14"/>
        <v>0</v>
      </c>
      <c r="F31" s="85">
        <f t="shared" si="14"/>
        <v>0</v>
      </c>
      <c r="G31" s="85">
        <f t="shared" si="14"/>
        <v>0</v>
      </c>
      <c r="H31" s="81">
        <f t="shared" si="14"/>
        <v>0</v>
      </c>
      <c r="I31" s="81">
        <f t="shared" si="14"/>
        <v>0</v>
      </c>
      <c r="J31" s="86">
        <f t="shared" si="14"/>
        <v>0</v>
      </c>
      <c r="K31" s="87">
        <f t="shared" si="14"/>
        <v>0</v>
      </c>
      <c r="L31" s="85">
        <f t="shared" si="14"/>
        <v>0</v>
      </c>
      <c r="M31" s="86">
        <f t="shared" si="14"/>
        <v>0</v>
      </c>
      <c r="N31" s="84">
        <f t="shared" si="14"/>
        <v>50083.740000000005</v>
      </c>
      <c r="O31" s="83">
        <f t="shared" si="14"/>
        <v>5310.9</v>
      </c>
      <c r="P31" s="84">
        <f t="shared" si="14"/>
        <v>0</v>
      </c>
      <c r="Q31" s="85">
        <f t="shared" si="14"/>
        <v>0</v>
      </c>
      <c r="R31" s="85">
        <f t="shared" si="14"/>
        <v>0</v>
      </c>
      <c r="S31" s="81">
        <f t="shared" si="14"/>
        <v>0</v>
      </c>
      <c r="T31" s="81">
        <f t="shared" si="14"/>
        <v>0</v>
      </c>
      <c r="U31" s="88">
        <f t="shared" si="14"/>
        <v>0</v>
      </c>
      <c r="V31" s="49"/>
      <c r="W31" s="49"/>
      <c r="X31" s="49"/>
      <c r="Y31" s="49"/>
      <c r="Z31" s="49"/>
      <c r="AA31" s="49"/>
    </row>
    <row r="32" spans="1:27" ht="13.5" thickBot="1" x14ac:dyDescent="0.25">
      <c r="A32" s="40" t="s">
        <v>81</v>
      </c>
      <c r="B32" s="41">
        <f>B31+B18</f>
        <v>3589876.5500000003</v>
      </c>
      <c r="C32" s="42">
        <f t="shared" ref="C32:U32" si="15">C31+C18</f>
        <v>355620.18000000005</v>
      </c>
      <c r="D32" s="43">
        <f t="shared" si="15"/>
        <v>1999</v>
      </c>
      <c r="E32" s="44">
        <f t="shared" si="15"/>
        <v>3565964.6115000001</v>
      </c>
      <c r="F32" s="45">
        <f t="shared" si="15"/>
        <v>13552</v>
      </c>
      <c r="G32" s="45">
        <f t="shared" si="15"/>
        <v>1055443.4657468749</v>
      </c>
      <c r="H32" s="41">
        <f t="shared" si="15"/>
        <v>460561.42846000014</v>
      </c>
      <c r="I32" s="41">
        <f t="shared" si="15"/>
        <v>129556.41669</v>
      </c>
      <c r="J32" s="46">
        <f t="shared" si="15"/>
        <v>4156082.4566500001</v>
      </c>
      <c r="K32" s="47">
        <f t="shared" si="15"/>
        <v>142</v>
      </c>
      <c r="L32" s="45">
        <f t="shared" si="15"/>
        <v>11308</v>
      </c>
      <c r="M32" s="46">
        <f t="shared" si="15"/>
        <v>35760.53</v>
      </c>
      <c r="N32" s="44">
        <f t="shared" si="15"/>
        <v>7955255.3001000006</v>
      </c>
      <c r="O32" s="43">
        <f t="shared" si="15"/>
        <v>1456472.5409089348</v>
      </c>
      <c r="P32" s="44">
        <f t="shared" si="15"/>
        <v>136773.40760000001</v>
      </c>
      <c r="Q32" s="48">
        <f t="shared" si="15"/>
        <v>453</v>
      </c>
      <c r="R32" s="48">
        <f t="shared" si="15"/>
        <v>48031.669007979035</v>
      </c>
      <c r="S32" s="44">
        <f t="shared" si="15"/>
        <v>38923.881540000009</v>
      </c>
      <c r="T32" s="44">
        <f t="shared" si="15"/>
        <v>11143.924309999999</v>
      </c>
      <c r="U32" s="46">
        <f t="shared" si="15"/>
        <v>186841.21345000001</v>
      </c>
      <c r="V32" s="49"/>
      <c r="W32" s="49"/>
      <c r="X32" s="49"/>
      <c r="Y32" s="49"/>
      <c r="Z32" s="49"/>
      <c r="AA32" s="49"/>
    </row>
    <row r="33" spans="1:27" x14ac:dyDescent="0.2">
      <c r="A33" s="89"/>
      <c r="B33" s="90"/>
      <c r="C33" s="91"/>
      <c r="D33" s="91"/>
      <c r="E33" s="90"/>
      <c r="F33" s="92"/>
      <c r="G33" s="92"/>
      <c r="H33" s="90"/>
      <c r="I33" s="90"/>
      <c r="J33" s="90"/>
      <c r="K33" s="92"/>
      <c r="L33" s="92"/>
      <c r="M33" s="90"/>
      <c r="N33" s="90"/>
      <c r="O33" s="91"/>
      <c r="P33" s="90"/>
      <c r="Q33" s="91"/>
      <c r="R33" s="91"/>
      <c r="S33" s="90"/>
      <c r="T33" s="90"/>
      <c r="U33" s="90"/>
      <c r="V33" s="49"/>
      <c r="W33" s="49"/>
      <c r="X33" s="49"/>
      <c r="Y33" s="49"/>
      <c r="Z33" s="49"/>
      <c r="AA33" s="49"/>
    </row>
    <row r="34" spans="1:27" x14ac:dyDescent="0.2">
      <c r="A34" s="89"/>
      <c r="B34" s="90"/>
      <c r="C34" s="91"/>
      <c r="D34" s="91"/>
      <c r="E34" s="90"/>
      <c r="F34" s="92"/>
      <c r="G34" s="92"/>
      <c r="H34" s="90"/>
      <c r="I34" s="90"/>
      <c r="J34" s="90"/>
      <c r="K34" s="92"/>
      <c r="L34" s="92"/>
      <c r="M34" s="90"/>
      <c r="N34" s="90"/>
      <c r="O34" s="91"/>
    </row>
    <row r="35" spans="1:27" x14ac:dyDescent="0.2">
      <c r="A35" s="7"/>
      <c r="K35" s="18"/>
    </row>
    <row r="36" spans="1:27" x14ac:dyDescent="0.2">
      <c r="A36" s="7"/>
      <c r="K36" s="18"/>
    </row>
    <row r="37" spans="1:27" x14ac:dyDescent="0.2">
      <c r="A37" s="7"/>
      <c r="K37" s="18"/>
    </row>
    <row r="38" spans="1:27" x14ac:dyDescent="0.2">
      <c r="A38" s="7"/>
      <c r="K38" s="18"/>
    </row>
    <row r="39" spans="1:27" x14ac:dyDescent="0.2">
      <c r="A39" s="7"/>
      <c r="K39" s="18"/>
    </row>
    <row r="40" spans="1:27" x14ac:dyDescent="0.2">
      <c r="A40" s="7"/>
      <c r="K40" s="18"/>
    </row>
    <row r="41" spans="1:27" x14ac:dyDescent="0.2">
      <c r="A41" s="7"/>
      <c r="K41" s="18"/>
    </row>
    <row r="42" spans="1:27" x14ac:dyDescent="0.2">
      <c r="A42" s="7"/>
      <c r="K42" s="18"/>
    </row>
    <row r="43" spans="1:27" x14ac:dyDescent="0.2">
      <c r="A43" s="7"/>
      <c r="K43" s="18"/>
    </row>
    <row r="44" spans="1:27" x14ac:dyDescent="0.2">
      <c r="A44" s="7"/>
      <c r="K44" s="18"/>
    </row>
    <row r="45" spans="1:27" x14ac:dyDescent="0.2">
      <c r="A45" s="7"/>
      <c r="K45" s="18"/>
    </row>
    <row r="46" spans="1:27" x14ac:dyDescent="0.2">
      <c r="A46" s="7"/>
      <c r="K46" s="18"/>
    </row>
    <row r="47" spans="1:27" x14ac:dyDescent="0.2">
      <c r="A47" s="7"/>
      <c r="K47" s="18"/>
    </row>
    <row r="48" spans="1:27" x14ac:dyDescent="0.2">
      <c r="A48" s="7"/>
      <c r="K48" s="18"/>
    </row>
    <row r="49" spans="1:11" x14ac:dyDescent="0.2">
      <c r="A49" s="7"/>
      <c r="K49" s="18"/>
    </row>
    <row r="50" spans="1:11" x14ac:dyDescent="0.2">
      <c r="A50" s="7"/>
      <c r="K50" s="18"/>
    </row>
    <row r="51" spans="1:11" x14ac:dyDescent="0.2">
      <c r="A51" s="7"/>
      <c r="K51" s="18"/>
    </row>
    <row r="52" spans="1:11" x14ac:dyDescent="0.2">
      <c r="A52" s="7"/>
      <c r="K52" s="18"/>
    </row>
    <row r="53" spans="1:11" x14ac:dyDescent="0.2">
      <c r="A53" s="7"/>
      <c r="K53" s="18"/>
    </row>
    <row r="54" spans="1:11" x14ac:dyDescent="0.2">
      <c r="A54" s="7"/>
      <c r="K54" s="18"/>
    </row>
    <row r="55" spans="1:11" x14ac:dyDescent="0.2">
      <c r="A55" s="7"/>
      <c r="K55" s="18"/>
    </row>
    <row r="56" spans="1:11" x14ac:dyDescent="0.2">
      <c r="A56" s="7"/>
      <c r="K56" s="18"/>
    </row>
    <row r="57" spans="1:11" x14ac:dyDescent="0.2">
      <c r="A57" s="7"/>
      <c r="K57" s="18"/>
    </row>
    <row r="58" spans="1:11" x14ac:dyDescent="0.2">
      <c r="A58" s="7"/>
      <c r="K58" s="18"/>
    </row>
    <row r="59" spans="1:11" x14ac:dyDescent="0.2">
      <c r="A59" s="7"/>
      <c r="K59" s="18"/>
    </row>
    <row r="60" spans="1:11" x14ac:dyDescent="0.2">
      <c r="A60" s="7"/>
      <c r="K60" s="18"/>
    </row>
    <row r="61" spans="1:11" x14ac:dyDescent="0.2">
      <c r="A61" s="7"/>
      <c r="K61" s="18"/>
    </row>
    <row r="62" spans="1:11" x14ac:dyDescent="0.2">
      <c r="A62" s="7"/>
      <c r="K62" s="18"/>
    </row>
    <row r="63" spans="1:11" x14ac:dyDescent="0.2">
      <c r="A63" s="7"/>
      <c r="K63" s="18"/>
    </row>
    <row r="64" spans="1:11" x14ac:dyDescent="0.2">
      <c r="A64" s="7"/>
      <c r="K64" s="18"/>
    </row>
    <row r="65" spans="1:11" x14ac:dyDescent="0.2">
      <c r="A65" s="7"/>
      <c r="K65" s="18"/>
    </row>
    <row r="66" spans="1:11" x14ac:dyDescent="0.2">
      <c r="A66" s="7"/>
      <c r="K66" s="18"/>
    </row>
    <row r="67" spans="1:11" x14ac:dyDescent="0.2">
      <c r="A67" s="7"/>
      <c r="K67" s="18"/>
    </row>
    <row r="68" spans="1:11" x14ac:dyDescent="0.2">
      <c r="A68" s="7"/>
      <c r="K68" s="18"/>
    </row>
    <row r="69" spans="1:11" x14ac:dyDescent="0.2">
      <c r="A69" s="7"/>
      <c r="K69" s="18"/>
    </row>
    <row r="70" spans="1:11" x14ac:dyDescent="0.2">
      <c r="A70" s="7"/>
      <c r="K70" s="18"/>
    </row>
    <row r="71" spans="1:11" x14ac:dyDescent="0.2">
      <c r="A71" s="7"/>
      <c r="K71" s="18"/>
    </row>
    <row r="72" spans="1:11" x14ac:dyDescent="0.2">
      <c r="A72" s="7"/>
      <c r="K72" s="18"/>
    </row>
    <row r="73" spans="1:11" x14ac:dyDescent="0.2">
      <c r="A73" s="7"/>
      <c r="K73" s="18"/>
    </row>
    <row r="74" spans="1:11" x14ac:dyDescent="0.2">
      <c r="A74" s="7"/>
      <c r="K74" s="18"/>
    </row>
    <row r="75" spans="1:11" x14ac:dyDescent="0.2">
      <c r="A75" s="7"/>
      <c r="K75" s="18"/>
    </row>
    <row r="76" spans="1:11" x14ac:dyDescent="0.2">
      <c r="A76" s="7"/>
      <c r="K76" s="18"/>
    </row>
    <row r="77" spans="1:11" x14ac:dyDescent="0.2">
      <c r="A77" s="7"/>
      <c r="K77" s="18"/>
    </row>
    <row r="78" spans="1:11" x14ac:dyDescent="0.2">
      <c r="A78" s="7"/>
      <c r="K78" s="18"/>
    </row>
    <row r="79" spans="1:11" x14ac:dyDescent="0.2">
      <c r="A79" s="7"/>
    </row>
    <row r="80" spans="1:11" x14ac:dyDescent="0.2">
      <c r="A80" s="7"/>
    </row>
    <row r="81" spans="1:1" x14ac:dyDescent="0.2">
      <c r="A81" s="7"/>
    </row>
    <row r="82" spans="1:1" x14ac:dyDescent="0.2">
      <c r="A82" s="7"/>
    </row>
    <row r="83" spans="1:1" x14ac:dyDescent="0.2">
      <c r="A83" s="7"/>
    </row>
    <row r="84" spans="1:1" x14ac:dyDescent="0.2">
      <c r="A84" s="7"/>
    </row>
    <row r="85" spans="1:1" x14ac:dyDescent="0.2">
      <c r="A85" s="7"/>
    </row>
    <row r="86" spans="1:1" x14ac:dyDescent="0.2">
      <c r="A86" s="7"/>
    </row>
    <row r="87" spans="1:1" x14ac:dyDescent="0.2">
      <c r="A87" s="7"/>
    </row>
    <row r="88" spans="1:1" x14ac:dyDescent="0.2">
      <c r="A88" s="7"/>
    </row>
    <row r="89" spans="1:1" x14ac:dyDescent="0.2">
      <c r="A89" s="7"/>
    </row>
  </sheetData>
  <mergeCells count="6">
    <mergeCell ref="P2:U2"/>
    <mergeCell ref="A1:N1"/>
    <mergeCell ref="A2:D2"/>
    <mergeCell ref="E2:J2"/>
    <mergeCell ref="K2:M2"/>
    <mergeCell ref="N2:O2"/>
  </mergeCells>
  <pageMargins left="0.7" right="0.7" top="0.75" bottom="0.75" header="0.3" footer="0.3"/>
  <pageSetup scale="35" fitToHeight="0" orientation="landscape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2D182-B67E-41E3-8B94-3AE8993E136D}">
  <dimension ref="A1:I24"/>
  <sheetViews>
    <sheetView view="pageBreakPreview" zoomScale="90" zoomScaleNormal="75" zoomScaleSheetLayoutView="90" workbookViewId="0">
      <selection sqref="A1:C1"/>
    </sheetView>
  </sheetViews>
  <sheetFormatPr defaultColWidth="9.140625" defaultRowHeight="12.75" x14ac:dyDescent="0.2"/>
  <cols>
    <col min="1" max="1" width="36.5703125" style="93" bestFit="1" customWidth="1"/>
    <col min="2" max="2" width="19.7109375" style="93" bestFit="1" customWidth="1"/>
    <col min="3" max="3" width="17.5703125" style="93" bestFit="1" customWidth="1"/>
    <col min="4" max="4" width="4.85546875" style="93" customWidth="1"/>
    <col min="5" max="5" width="20.28515625" style="93" bestFit="1" customWidth="1"/>
    <col min="6" max="6" width="10.28515625" style="93" customWidth="1"/>
    <col min="7" max="7" width="9.140625" style="93" customWidth="1"/>
    <col min="8" max="8" width="9.28515625" style="93" bestFit="1" customWidth="1"/>
    <col min="9" max="16384" width="9.140625" style="93"/>
  </cols>
  <sheetData>
    <row r="1" spans="1:9" x14ac:dyDescent="0.2">
      <c r="A1" s="173" t="s">
        <v>84</v>
      </c>
      <c r="B1" s="173"/>
      <c r="C1" s="173"/>
      <c r="D1"/>
      <c r="E1" s="173" t="s">
        <v>85</v>
      </c>
      <c r="F1" s="173"/>
      <c r="G1" s="173"/>
      <c r="H1" s="173"/>
      <c r="I1"/>
    </row>
    <row r="2" spans="1:9" ht="13.5" thickBot="1" x14ac:dyDescent="0.25">
      <c r="A2" s="94" t="s">
        <v>86</v>
      </c>
      <c r="B2" s="94" t="s">
        <v>39</v>
      </c>
      <c r="C2" s="94" t="s">
        <v>57</v>
      </c>
      <c r="D2"/>
      <c r="E2" s="95" t="s">
        <v>87</v>
      </c>
      <c r="F2" s="95" t="s">
        <v>88</v>
      </c>
      <c r="G2" s="95" t="s">
        <v>89</v>
      </c>
      <c r="H2" s="94" t="s">
        <v>90</v>
      </c>
      <c r="I2"/>
    </row>
    <row r="3" spans="1:9" ht="13.5" thickTop="1" x14ac:dyDescent="0.2">
      <c r="A3" s="96" t="s">
        <v>91</v>
      </c>
      <c r="B3" s="97">
        <f>25844.66+39422.99</f>
        <v>65267.649999999994</v>
      </c>
      <c r="C3" s="97">
        <f>0+0</f>
        <v>0</v>
      </c>
      <c r="D3"/>
      <c r="E3" s="98" t="s">
        <v>92</v>
      </c>
      <c r="F3" s="99">
        <v>950</v>
      </c>
      <c r="G3" s="99">
        <v>18</v>
      </c>
      <c r="H3" s="100">
        <f>F3*G3</f>
        <v>17100</v>
      </c>
      <c r="I3"/>
    </row>
    <row r="4" spans="1:9" x14ac:dyDescent="0.2">
      <c r="A4" s="96" t="s">
        <v>93</v>
      </c>
      <c r="B4" s="101">
        <f>(0.458*0.33+0.462*0.67)</f>
        <v>0.46068000000000009</v>
      </c>
      <c r="C4" s="101">
        <f>B4</f>
        <v>0.46068000000000009</v>
      </c>
      <c r="D4"/>
      <c r="E4" s="102" t="s">
        <v>94</v>
      </c>
      <c r="F4" s="100">
        <v>400</v>
      </c>
      <c r="G4" s="100">
        <v>15</v>
      </c>
      <c r="H4" s="100">
        <f t="shared" ref="H4:H7" si="0">F4*G4</f>
        <v>6000</v>
      </c>
      <c r="I4"/>
    </row>
    <row r="5" spans="1:9" x14ac:dyDescent="0.2">
      <c r="A5" s="96" t="s">
        <v>95</v>
      </c>
      <c r="B5" s="100">
        <f>2276+4299</f>
        <v>6575</v>
      </c>
      <c r="C5" s="100">
        <v>0</v>
      </c>
      <c r="D5"/>
      <c r="E5" s="102" t="s">
        <v>96</v>
      </c>
      <c r="F5" s="100">
        <v>300</v>
      </c>
      <c r="G5" s="100">
        <v>13</v>
      </c>
      <c r="H5" s="100">
        <f t="shared" si="0"/>
        <v>3900</v>
      </c>
      <c r="I5"/>
    </row>
    <row r="6" spans="1:9" x14ac:dyDescent="0.2">
      <c r="A6" s="96" t="s">
        <v>97</v>
      </c>
      <c r="B6" s="103">
        <f>F9</f>
        <v>17.303872889771601</v>
      </c>
      <c r="C6" s="103">
        <f>F22</f>
        <v>16.413793103448278</v>
      </c>
      <c r="D6"/>
      <c r="E6" s="102" t="s">
        <v>98</v>
      </c>
      <c r="F6" s="100">
        <v>250</v>
      </c>
      <c r="G6" s="100">
        <v>20</v>
      </c>
      <c r="H6" s="100">
        <f t="shared" si="0"/>
        <v>5000</v>
      </c>
      <c r="I6"/>
    </row>
    <row r="7" spans="1:9" ht="13.5" thickBot="1" x14ac:dyDescent="0.25">
      <c r="A7" s="96" t="s">
        <v>99</v>
      </c>
      <c r="B7" s="97">
        <f>(B5*B4)*B6</f>
        <v>52412.929170804382</v>
      </c>
      <c r="C7" s="97">
        <f>(C5*C4)*C6</f>
        <v>0</v>
      </c>
      <c r="D7"/>
      <c r="E7" s="102" t="s">
        <v>61</v>
      </c>
      <c r="F7" s="104">
        <v>114</v>
      </c>
      <c r="G7" s="104">
        <v>25</v>
      </c>
      <c r="H7" s="104">
        <f t="shared" si="0"/>
        <v>2850</v>
      </c>
      <c r="I7"/>
    </row>
    <row r="8" spans="1:9" ht="13.5" thickTop="1" x14ac:dyDescent="0.2">
      <c r="A8" s="96" t="s">
        <v>100</v>
      </c>
      <c r="B8" s="97">
        <f>ROUND(NPV(B10,B7),0)</f>
        <v>48652</v>
      </c>
      <c r="C8" s="105">
        <f>ROUND(NPV(C10,C7),0)</f>
        <v>0</v>
      </c>
      <c r="D8"/>
      <c r="E8" s="102" t="s">
        <v>101</v>
      </c>
      <c r="F8" s="100">
        <f>SUM(F3:F7)</f>
        <v>2014</v>
      </c>
      <c r="G8" s="100"/>
      <c r="H8" s="100">
        <f>SUM(H3:H7)</f>
        <v>34850</v>
      </c>
      <c r="I8"/>
    </row>
    <row r="9" spans="1:9" x14ac:dyDescent="0.2">
      <c r="A9" s="96" t="s">
        <v>102</v>
      </c>
      <c r="B9" s="105">
        <f>B8-B3</f>
        <v>-16615.649999999994</v>
      </c>
      <c r="C9" s="105">
        <f>C8-C3</f>
        <v>0</v>
      </c>
      <c r="D9"/>
      <c r="E9" s="106" t="s">
        <v>103</v>
      </c>
      <c r="F9" s="107">
        <f>H8/F8</f>
        <v>17.303872889771601</v>
      </c>
      <c r="G9" s="108"/>
      <c r="H9" s="108"/>
      <c r="I9"/>
    </row>
    <row r="10" spans="1:9" x14ac:dyDescent="0.2">
      <c r="A10" s="96" t="s">
        <v>104</v>
      </c>
      <c r="B10" s="109">
        <v>7.7299999999999994E-2</v>
      </c>
      <c r="C10" s="109">
        <f>B10</f>
        <v>7.7299999999999994E-2</v>
      </c>
      <c r="D10"/>
      <c r="E10"/>
      <c r="F10"/>
      <c r="G10"/>
      <c r="H10"/>
      <c r="I10"/>
    </row>
    <row r="11" spans="1:9" x14ac:dyDescent="0.2">
      <c r="A11" s="96" t="s">
        <v>105</v>
      </c>
      <c r="B11" s="110">
        <v>0.15</v>
      </c>
      <c r="C11" s="110">
        <v>0.15</v>
      </c>
      <c r="D11"/>
      <c r="E11" s="173" t="s">
        <v>106</v>
      </c>
      <c r="F11" s="173"/>
      <c r="G11" s="173"/>
      <c r="H11" s="173"/>
      <c r="I11"/>
    </row>
    <row r="12" spans="1:9" ht="13.5" thickBot="1" x14ac:dyDescent="0.25">
      <c r="A12" s="111" t="s">
        <v>107</v>
      </c>
      <c r="B12" s="112">
        <f>B9*B11</f>
        <v>-2492.3474999999989</v>
      </c>
      <c r="C12" s="112">
        <f>C9*C11</f>
        <v>0</v>
      </c>
      <c r="D12"/>
      <c r="E12" s="95" t="s">
        <v>87</v>
      </c>
      <c r="F12" s="95" t="s">
        <v>88</v>
      </c>
      <c r="G12" s="95" t="s">
        <v>89</v>
      </c>
      <c r="H12" s="94" t="s">
        <v>90</v>
      </c>
      <c r="I12"/>
    </row>
    <row r="13" spans="1:9" ht="14.25" thickTop="1" thickBot="1" x14ac:dyDescent="0.25">
      <c r="A13" s="113" t="s">
        <v>108</v>
      </c>
      <c r="B13" s="114">
        <v>1186050.825</v>
      </c>
      <c r="C13" s="114">
        <v>73218.268499999991</v>
      </c>
      <c r="D13"/>
      <c r="E13" s="98" t="s">
        <v>92</v>
      </c>
      <c r="F13" s="99">
        <v>100</v>
      </c>
      <c r="G13" s="99">
        <v>18</v>
      </c>
      <c r="H13" s="100">
        <f>F13*G13</f>
        <v>1800</v>
      </c>
      <c r="I13"/>
    </row>
    <row r="14" spans="1:9" ht="13.15" customHeight="1" thickTop="1" x14ac:dyDescent="0.2">
      <c r="A14" s="115" t="s">
        <v>109</v>
      </c>
      <c r="B14" s="116">
        <f>((253+1265+506+759+1517+1012+759+0+0+0+0+253)*0.13855)</f>
        <v>876.1902</v>
      </c>
      <c r="C14" s="116">
        <f>((0+0+0+0+0+0+0+0+0+0+0+0)*0.13855)</f>
        <v>0</v>
      </c>
      <c r="D14"/>
      <c r="E14" s="102" t="s">
        <v>94</v>
      </c>
      <c r="F14" s="100">
        <v>10</v>
      </c>
      <c r="G14" s="100">
        <v>15</v>
      </c>
      <c r="H14" s="100">
        <f t="shared" ref="H14:H20" si="1">F14*G14</f>
        <v>150</v>
      </c>
      <c r="I14"/>
    </row>
    <row r="15" spans="1:9" ht="12.4" customHeight="1" x14ac:dyDescent="0.2">
      <c r="A15"/>
      <c r="B15"/>
      <c r="C15"/>
      <c r="D15"/>
      <c r="E15" s="102" t="s">
        <v>96</v>
      </c>
      <c r="F15" s="100">
        <v>10</v>
      </c>
      <c r="G15" s="100">
        <v>13</v>
      </c>
      <c r="H15" s="100">
        <f t="shared" si="1"/>
        <v>130</v>
      </c>
      <c r="I15"/>
    </row>
    <row r="16" spans="1:9" ht="12.4" customHeight="1" x14ac:dyDescent="0.2">
      <c r="A16"/>
      <c r="B16"/>
      <c r="C16"/>
      <c r="D16"/>
      <c r="E16" s="102" t="s">
        <v>98</v>
      </c>
      <c r="F16" s="100">
        <v>5</v>
      </c>
      <c r="G16" s="100">
        <v>20</v>
      </c>
      <c r="H16" s="100">
        <f t="shared" si="1"/>
        <v>100</v>
      </c>
      <c r="I16"/>
    </row>
    <row r="17" spans="1:9" ht="12.4" customHeight="1" x14ac:dyDescent="0.2">
      <c r="A17"/>
      <c r="B17"/>
      <c r="C17"/>
      <c r="D17"/>
      <c r="E17" s="102" t="s">
        <v>110</v>
      </c>
      <c r="F17" s="100">
        <v>5</v>
      </c>
      <c r="G17" s="100">
        <v>8</v>
      </c>
      <c r="H17" s="100">
        <f t="shared" si="1"/>
        <v>40</v>
      </c>
      <c r="I17"/>
    </row>
    <row r="18" spans="1:9" x14ac:dyDescent="0.2">
      <c r="A18" s="117"/>
      <c r="B18"/>
      <c r="C18"/>
      <c r="D18"/>
      <c r="E18" s="102" t="s">
        <v>111</v>
      </c>
      <c r="F18" s="100">
        <v>5</v>
      </c>
      <c r="G18" s="100">
        <v>12</v>
      </c>
      <c r="H18" s="100">
        <f t="shared" si="1"/>
        <v>60</v>
      </c>
      <c r="I18"/>
    </row>
    <row r="19" spans="1:9" x14ac:dyDescent="0.2">
      <c r="A19" s="172" t="s">
        <v>112</v>
      </c>
      <c r="B19" s="172"/>
      <c r="C19" s="172"/>
      <c r="D19"/>
      <c r="E19" s="102" t="s">
        <v>113</v>
      </c>
      <c r="F19" s="100">
        <v>5</v>
      </c>
      <c r="G19" s="100">
        <v>10</v>
      </c>
      <c r="H19" s="100">
        <f t="shared" si="1"/>
        <v>50</v>
      </c>
      <c r="I19"/>
    </row>
    <row r="20" spans="1:9" ht="13.5" thickBot="1" x14ac:dyDescent="0.25">
      <c r="A20" s="172" t="s">
        <v>114</v>
      </c>
      <c r="B20" s="172"/>
      <c r="C20" s="172"/>
      <c r="D20"/>
      <c r="E20" s="102" t="s">
        <v>115</v>
      </c>
      <c r="F20" s="104">
        <v>5</v>
      </c>
      <c r="G20" s="104">
        <v>10</v>
      </c>
      <c r="H20" s="104">
        <f t="shared" si="1"/>
        <v>50</v>
      </c>
      <c r="I20"/>
    </row>
    <row r="21" spans="1:9" ht="13.5" thickTop="1" x14ac:dyDescent="0.2">
      <c r="A21" s="172" t="s">
        <v>116</v>
      </c>
      <c r="B21" s="172"/>
      <c r="C21" s="172"/>
      <c r="D21"/>
      <c r="E21" s="102" t="s">
        <v>101</v>
      </c>
      <c r="F21" s="100">
        <f>SUM(F13:F20)</f>
        <v>145</v>
      </c>
      <c r="G21" s="100"/>
      <c r="H21" s="100">
        <f>SUM(H13:H20)</f>
        <v>2380</v>
      </c>
      <c r="I21"/>
    </row>
    <row r="22" spans="1:9" x14ac:dyDescent="0.2">
      <c r="A22" s="172" t="s">
        <v>117</v>
      </c>
      <c r="B22" s="172"/>
      <c r="C22" s="172"/>
      <c r="D22"/>
      <c r="E22" s="106" t="s">
        <v>103</v>
      </c>
      <c r="F22" s="107">
        <f>H21/F21</f>
        <v>16.413793103448278</v>
      </c>
      <c r="G22" s="108"/>
      <c r="H22" s="108"/>
      <c r="I22"/>
    </row>
    <row r="23" spans="1:9" x14ac:dyDescent="0.2">
      <c r="A23"/>
      <c r="B23"/>
      <c r="C23"/>
      <c r="D23"/>
      <c r="E23"/>
      <c r="F23"/>
      <c r="G23"/>
      <c r="H23"/>
    </row>
    <row r="24" spans="1:9" x14ac:dyDescent="0.2">
      <c r="A24"/>
      <c r="B24"/>
      <c r="C24"/>
      <c r="D24"/>
      <c r="E24"/>
      <c r="F24"/>
      <c r="G24"/>
      <c r="H24"/>
    </row>
  </sheetData>
  <mergeCells count="7">
    <mergeCell ref="A22:C22"/>
    <mergeCell ref="A1:C1"/>
    <mergeCell ref="E1:H1"/>
    <mergeCell ref="E11:H11"/>
    <mergeCell ref="A19:C19"/>
    <mergeCell ref="A20:C20"/>
    <mergeCell ref="A21:C21"/>
  </mergeCells>
  <pageMargins left="0.7" right="0.7" top="0.75" bottom="0.75" header="0.3" footer="0.3"/>
  <pageSetup scale="97" orientation="landscape" r:id="rId1"/>
  <customProperties>
    <customPr name="_pios_id" r:id="rId2"/>
  </customPropertie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DLSA</vt:lpstr>
      <vt:lpstr>2021</vt:lpstr>
      <vt:lpstr>DSMRC Costs</vt:lpstr>
      <vt:lpstr>DIA + DLSA Revenue</vt:lpstr>
      <vt:lpstr>DLSA!Print_Area</vt:lpstr>
      <vt:lpstr>'DSMRC Costs'!Print_Area</vt:lpstr>
      <vt:lpstr>'2021'!Print_Titles</vt:lpstr>
    </vt:vector>
  </TitlesOfParts>
  <Company>Atmos Energy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A Nelson</dc:creator>
  <cp:lastModifiedBy>Eric J Wilen</cp:lastModifiedBy>
  <cp:lastPrinted>2021-10-28T19:29:10Z</cp:lastPrinted>
  <dcterms:created xsi:type="dcterms:W3CDTF">2021-10-27T20:34:03Z</dcterms:created>
  <dcterms:modified xsi:type="dcterms:W3CDTF">2021-10-28T19:29:55Z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