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2010-2040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<sst xmlns="http://schemas.openxmlformats.org/spreadsheetml/2006/main" count="124" uniqueCount="62">
  <si>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>Ohio Valley Electric Corporation</t>
  </si>
  <si>
    <t>in thousands of dollars</t>
  </si>
  <si>
    <t>Generation Sales</t>
  </si>
  <si>
    <t xml:space="preserve">Estimated Delivered Power Sales from OVEC Generation </t>
  </si>
  <si>
    <t>Demand Charge</t>
  </si>
  <si>
    <t>Energy Charge</t>
  </si>
  <si>
    <t>Total Projected Energy Costs</t>
  </si>
  <si>
    <t>Projected Operation and Maintenance Costs (ICPA Component B)</t>
  </si>
  <si>
    <t>Projected Transmission and Dispatch Costs (ICPA Component B)</t>
  </si>
  <si>
    <t>Summary of ICPA Billable Power Production Costs</t>
  </si>
  <si>
    <t>Total Projected Power Production Costs</t>
  </si>
  <si>
    <t>Total Projected Demand Costs (ICPA Components A, B, C, D, E &amp; F)</t>
  </si>
  <si>
    <t>Projected Capital Improvements and Debt Costs (ICPA Component A)</t>
  </si>
  <si>
    <t xml:space="preserve">Projected Coal Cost (delivered) </t>
  </si>
  <si>
    <t>Transmission Charge</t>
  </si>
  <si>
    <t>$445 Million - 5.80% Senior Unsecured Notes - Series 2006-A - Due February 15, 2026</t>
  </si>
  <si>
    <t>Projected Transmission Charges</t>
  </si>
  <si>
    <t>Projected Allowance Cost (based on projected weighted average inventory)</t>
  </si>
  <si>
    <t>Projected ROE Costs (ICPA Component D)</t>
  </si>
  <si>
    <t>Projected Taxes (ICPA Component C)</t>
  </si>
  <si>
    <t>Projected Administration and General Costs (ICPA Component B)</t>
  </si>
  <si>
    <t>Total Transmission Costs</t>
  </si>
  <si>
    <t>Less Transmission Charges Credit to Demand Charge (ICPA Component B)</t>
  </si>
  <si>
    <t>Projected Postretirement Benefit Obligation (ICPA Component E)</t>
  </si>
  <si>
    <t>Projected Decommissioning and Demolition Obligation (ICPA Component F)</t>
  </si>
  <si>
    <t>Assumptions and Notes:</t>
  </si>
  <si>
    <t>Projected FGD Construction Interim Debt (AFUDC)</t>
  </si>
  <si>
    <t>Projected Debt Expense Amortization and Short-Term Debt Costs (excluding FGD Construction Interim Debt)</t>
  </si>
  <si>
    <t>Projected Kyger FGD Landfill Capital Costs for Phase 2 and Phase 3</t>
  </si>
  <si>
    <t>Projected Clifty FGD Landfill Capital Costs for Phase 2 and Phase 3</t>
  </si>
  <si>
    <t>$50 Million - 5.92% Senior Unsecured Notes - Series 2008-A - Due February 15, 2026</t>
  </si>
  <si>
    <t>Projected Accelerated SCR Catalyst Replacement at Kyger</t>
  </si>
  <si>
    <t>Projected SCR Catalyst Replacement at Clifty</t>
  </si>
  <si>
    <t>Projected Demand Costs - $/MWhr</t>
  </si>
  <si>
    <t>Projected Energy Costs - $/MWhr</t>
  </si>
  <si>
    <t>Projected Transmission Costs - $/MWhr</t>
  </si>
  <si>
    <t>$300 Million - 5.90% Senior Unsecured Notes - Series 2007-A-C - Due February 15, 2026</t>
  </si>
  <si>
    <t>$300 Million - 6.71% Senior Unsecured Notes - Series 2008-B-C - Due February 15, 2026</t>
  </si>
  <si>
    <t xml:space="preserve">Projected Other Fuel-Related Costs (reagents, fuel oil &amp; coal handling less byproduct sales) </t>
  </si>
  <si>
    <t>Dividend</t>
  </si>
  <si>
    <t>Projected Dividend</t>
  </si>
  <si>
    <t>Summary of ICPA Billable Power Production Costs Less Projected Dividend</t>
  </si>
  <si>
    <t>Total Projected Power Production Costs Less Projected Dividend</t>
  </si>
  <si>
    <t>Projected Power Production Costs Less Projected Dividend - $/MWhr</t>
  </si>
  <si>
    <t>$100 Million - Floating Rate Notes - Series 2009-A - Due February 15, 2013</t>
  </si>
  <si>
    <t>$100 Million - Floating Rate LOC Backed Bonds - OAQDA Tax Exempt 2009-A-D - Due February 1, 2026</t>
  </si>
  <si>
    <t>$100 Million - 5.625% Bonds - OAQDA Tax Exempt  2009-E - Due October 1, 2019</t>
  </si>
  <si>
    <t xml:space="preserve">Projected $300 Million Debt to be issued in 2012 </t>
  </si>
  <si>
    <t xml:space="preserve">Projected $100 Million Debt to be issued in 2011 </t>
  </si>
  <si>
    <t xml:space="preserve">CO2 emission control costs are not included in this projection. </t>
  </si>
  <si>
    <t>Assumes ICPA Contract Extension of 30 years in 2010</t>
  </si>
  <si>
    <t>Calendar Years 2010 - 2040</t>
  </si>
  <si>
    <t xml:space="preserve">2011:  Kyger JBR-35 in service Spring 2011; Kyger JBR-12 in service Fall 2011.  </t>
  </si>
  <si>
    <t>2014:  Clifty coal switch to 100% Illinois Basin beginning January 1.</t>
  </si>
  <si>
    <t>MWhr (The estimated Available Energy Use Factor 2010-2014 is 96%.)</t>
  </si>
  <si>
    <t xml:space="preserve">Preliminary Inter-Company Power Agreement (ICPA) Billable Cost Summary </t>
  </si>
  <si>
    <t>2013:  Clifty JBR 46 in service Spring 2013; Clifty JBR-13 in service Fall 2013.</t>
  </si>
  <si>
    <t>2010-2011:  Fill Kyger open position with PRB.</t>
  </si>
  <si>
    <t>SO2 allowances purchases projected at $70 per ton SO2 emitted.</t>
  </si>
  <si>
    <t>Projected Annual Capital Improvement Costs (excluding SCR, FGD and Other Financed Projects)</t>
  </si>
  <si>
    <t xml:space="preserve">Beginning in 2015, Capital Improvements and Demand Charges are estimated to increase by 2.5% per year.  Beginning in 2020, Energy Charges are estimated to increase by 3% per year.  </t>
  </si>
  <si>
    <t>All capital debt is due prior to contract termination, but operation expense related to the operation of the facilities is assumed to continue beyond the contract life.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</si>
</sst>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_);\(#,##0.000\)"/>
    <numFmt numFmtId="166" formatCode="#,##0.0_);\(#,##0.0\)"/>
    <numFmt numFmtId="167" formatCode="0.000_);\(0.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2" fillId="0" borderId="11" xfId="0" applyNumberFormat="1" applyFont="1" applyFill="1" applyBorder="1" applyAlignment="1">
      <alignment horizontal="center"/>
    </xf>
    <xf numFmtId="37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  <xf numFmtId="37" fontId="0" fillId="0" borderId="10" xfId="52" applyNumberFormat="1" applyFont="1" applyBorder="1" applyAlignment="1" applyProtection="1">
      <alignment/>
      <protection/>
    </xf>
    <xf numFmtId="37" fontId="4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5"/>
  <sheetViews>
    <sheetView tabSelected="1" zoomScalePageLayoutView="0" workbookViewId="0" topLeftCell="A1">
      <selection activeCell="AJ40" sqref="AJ40"/>
    </sheetView>
  </sheetViews>
  <sheetFormatPr defaultColWidth="10.7109375" defaultRowHeight="12.75"/>
  <cols>
    <col min="1" max="1" width="91.57421875" style="1" customWidth="1"/>
    <col min="2" max="17" width="10.7109375" style="1" customWidth="1"/>
    <col min="18" max="18" width="91.57421875" style="1" customWidth="1"/>
    <col min="19" max="16384" width="10.7109375" style="1" customWidth="1"/>
  </cols>
  <sheetData>
    <row r="1" spans="1:33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 t="s">
        <v>0</v>
      </c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8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 t="s">
        <v>55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 t="s">
        <v>50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18">
      <c r="A4" s="20" t="s">
        <v>51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51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18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 t="s">
        <v>1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2:33" s="4" customFormat="1" ht="13.5" thickBot="1">
      <c r="B6" s="4">
        <v>2010</v>
      </c>
      <c r="C6" s="4">
        <v>2011</v>
      </c>
      <c r="D6" s="4">
        <v>2012</v>
      </c>
      <c r="E6" s="4">
        <v>2013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  <c r="N6" s="4">
        <v>2022</v>
      </c>
      <c r="O6" s="4">
        <v>2023</v>
      </c>
      <c r="P6" s="4">
        <v>2024</v>
      </c>
      <c r="Q6" s="4">
        <v>2025</v>
      </c>
      <c r="S6" s="4">
        <v>2026</v>
      </c>
      <c r="T6" s="4">
        <v>2027</v>
      </c>
      <c r="U6" s="4">
        <v>2028</v>
      </c>
      <c r="V6" s="4">
        <v>2029</v>
      </c>
      <c r="W6" s="4">
        <v>2030</v>
      </c>
      <c r="X6" s="4">
        <v>2031</v>
      </c>
      <c r="Y6" s="4">
        <v>2032</v>
      </c>
      <c r="Z6" s="4">
        <v>2033</v>
      </c>
      <c r="AA6" s="4">
        <v>2034</v>
      </c>
      <c r="AB6" s="4">
        <v>2035</v>
      </c>
      <c r="AC6" s="4">
        <v>2036</v>
      </c>
      <c r="AD6" s="4">
        <v>2037</v>
      </c>
      <c r="AE6" s="4">
        <v>2038</v>
      </c>
      <c r="AF6" s="4">
        <v>2039</v>
      </c>
      <c r="AG6" s="4">
        <v>2040</v>
      </c>
    </row>
    <row r="7" spans="1:18" s="3" customFormat="1" ht="16.5" thickBot="1">
      <c r="A7" s="10" t="s">
        <v>2</v>
      </c>
      <c r="R7" s="10" t="s">
        <v>2</v>
      </c>
    </row>
    <row r="8" spans="1:18" s="3" customFormat="1" ht="12.75">
      <c r="A8" s="1" t="s">
        <v>3</v>
      </c>
      <c r="R8" s="1" t="s">
        <v>3</v>
      </c>
    </row>
    <row r="9" spans="1:33" s="5" customFormat="1" ht="12.75">
      <c r="A9" s="5" t="s">
        <v>54</v>
      </c>
      <c r="B9" s="5">
        <v>15232724</v>
      </c>
      <c r="C9" s="5">
        <v>14737227</v>
      </c>
      <c r="D9" s="5">
        <v>14645472</v>
      </c>
      <c r="E9" s="5">
        <v>14535977</v>
      </c>
      <c r="F9" s="5">
        <v>14751959</v>
      </c>
      <c r="G9" s="5">
        <v>14752672</v>
      </c>
      <c r="H9" s="5">
        <v>14950351</v>
      </c>
      <c r="I9" s="5">
        <v>15107967</v>
      </c>
      <c r="J9" s="5">
        <v>15157958</v>
      </c>
      <c r="K9" s="5">
        <v>15290055</v>
      </c>
      <c r="L9" s="5">
        <v>15185000</v>
      </c>
      <c r="M9" s="5">
        <v>15185000</v>
      </c>
      <c r="N9" s="5">
        <v>15185000</v>
      </c>
      <c r="O9" s="5">
        <v>15185000</v>
      </c>
      <c r="P9" s="5">
        <v>15185000</v>
      </c>
      <c r="Q9" s="5">
        <v>15185000</v>
      </c>
      <c r="R9" s="5" t="s">
        <v>54</v>
      </c>
      <c r="S9" s="5">
        <v>15185000</v>
      </c>
      <c r="T9" s="5">
        <v>15185000</v>
      </c>
      <c r="U9" s="5">
        <v>15185000</v>
      </c>
      <c r="V9" s="5">
        <v>15185000</v>
      </c>
      <c r="W9" s="5">
        <v>15185000</v>
      </c>
      <c r="X9" s="5">
        <v>15185000</v>
      </c>
      <c r="Y9" s="5">
        <v>15185000</v>
      </c>
      <c r="Z9" s="5">
        <v>15185000</v>
      </c>
      <c r="AA9" s="5">
        <v>15185000</v>
      </c>
      <c r="AB9" s="5">
        <v>15185000</v>
      </c>
      <c r="AC9" s="5">
        <v>15185000</v>
      </c>
      <c r="AD9" s="5">
        <v>15185000</v>
      </c>
      <c r="AE9" s="5">
        <v>15185000</v>
      </c>
      <c r="AF9" s="5">
        <v>15185000</v>
      </c>
      <c r="AG9" s="5">
        <v>15185000</v>
      </c>
    </row>
    <row r="10" s="3" customFormat="1" ht="3" customHeight="1" thickBot="1"/>
    <row r="11" spans="1:18" ht="16.5" thickBot="1">
      <c r="A11" s="11" t="s">
        <v>4</v>
      </c>
      <c r="R11" s="11" t="s">
        <v>4</v>
      </c>
    </row>
    <row r="12" spans="1:33" ht="12.75">
      <c r="A12" s="1" t="s">
        <v>59</v>
      </c>
      <c r="B12" s="1">
        <v>30712</v>
      </c>
      <c r="C12" s="1">
        <v>44074</v>
      </c>
      <c r="D12" s="13">
        <v>34641</v>
      </c>
      <c r="E12" s="13">
        <v>41543</v>
      </c>
      <c r="F12" s="13">
        <v>43971</v>
      </c>
      <c r="G12" s="13">
        <f aca="true" t="shared" si="0" ref="G12:Q12">ROUND((+F12)*1.025,-3)</f>
        <v>45000</v>
      </c>
      <c r="H12" s="13">
        <f t="shared" si="0"/>
        <v>46000</v>
      </c>
      <c r="I12" s="13">
        <f t="shared" si="0"/>
        <v>47000</v>
      </c>
      <c r="J12" s="13">
        <f t="shared" si="0"/>
        <v>48000</v>
      </c>
      <c r="K12" s="13">
        <f t="shared" si="0"/>
        <v>49000</v>
      </c>
      <c r="L12" s="13">
        <f t="shared" si="0"/>
        <v>50000</v>
      </c>
      <c r="M12" s="13">
        <f t="shared" si="0"/>
        <v>51000</v>
      </c>
      <c r="N12" s="13">
        <f t="shared" si="0"/>
        <v>52000</v>
      </c>
      <c r="O12" s="13">
        <f t="shared" si="0"/>
        <v>53000</v>
      </c>
      <c r="P12" s="13">
        <f t="shared" si="0"/>
        <v>54000</v>
      </c>
      <c r="Q12" s="13">
        <f t="shared" si="0"/>
        <v>55000</v>
      </c>
      <c r="R12" s="1" t="s">
        <v>59</v>
      </c>
      <c r="S12" s="13">
        <f>ROUND((+Q12)*1.025,-3)</f>
        <v>56000</v>
      </c>
      <c r="T12" s="13">
        <f>ROUND((+S12)*1.025,-3)</f>
        <v>57000</v>
      </c>
      <c r="U12" s="13">
        <f>ROUND((+S12)*1.025,-3)</f>
        <v>57000</v>
      </c>
      <c r="V12" s="13">
        <f>ROUND((+T12)*1.025,-3)</f>
        <v>58000</v>
      </c>
      <c r="W12" s="13">
        <f aca="true" t="shared" si="1" ref="W12:AG12">ROUND((+U12)*1.025,-3)</f>
        <v>58000</v>
      </c>
      <c r="X12" s="13">
        <f t="shared" si="1"/>
        <v>59000</v>
      </c>
      <c r="Y12" s="13">
        <f t="shared" si="1"/>
        <v>59000</v>
      </c>
      <c r="Z12" s="13">
        <f t="shared" si="1"/>
        <v>60000</v>
      </c>
      <c r="AA12" s="13">
        <f t="shared" si="1"/>
        <v>60000</v>
      </c>
      <c r="AB12" s="13">
        <f t="shared" si="1"/>
        <v>62000</v>
      </c>
      <c r="AC12" s="13">
        <f t="shared" si="1"/>
        <v>62000</v>
      </c>
      <c r="AD12" s="13">
        <f t="shared" si="1"/>
        <v>64000</v>
      </c>
      <c r="AE12" s="13">
        <f t="shared" si="1"/>
        <v>64000</v>
      </c>
      <c r="AF12" s="13">
        <f t="shared" si="1"/>
        <v>66000</v>
      </c>
      <c r="AG12" s="13">
        <f t="shared" si="1"/>
        <v>66000</v>
      </c>
    </row>
    <row r="13" spans="1:43" ht="12.75">
      <c r="A13" s="13" t="s">
        <v>31</v>
      </c>
      <c r="B13" s="13"/>
      <c r="C13" s="13"/>
      <c r="D13" s="13"/>
      <c r="E13" s="13">
        <v>2608</v>
      </c>
      <c r="F13" s="13">
        <v>5403</v>
      </c>
      <c r="G13" s="13">
        <v>2816</v>
      </c>
      <c r="H13" s="13">
        <v>5844</v>
      </c>
      <c r="I13" s="13">
        <v>3046</v>
      </c>
      <c r="J13" s="13">
        <v>6321</v>
      </c>
      <c r="K13" s="13"/>
      <c r="L13" s="13">
        <v>3426</v>
      </c>
      <c r="M13" s="13">
        <v>7110</v>
      </c>
      <c r="N13" s="13">
        <f>ROUND((+L13)*1.08,-2)</f>
        <v>3700</v>
      </c>
      <c r="O13" s="13">
        <f>ROUND((+M13)*1.08,-2)</f>
        <v>7700</v>
      </c>
      <c r="P13" s="13">
        <f>ROUND((+N13)*1.08,-2)</f>
        <v>4000</v>
      </c>
      <c r="Q13" s="13">
        <f>ROUND((+O13)*1.08,-2)</f>
        <v>8300</v>
      </c>
      <c r="R13" s="13" t="s">
        <v>31</v>
      </c>
      <c r="S13" s="13"/>
      <c r="T13" s="13">
        <f>ROUND((+P13)*1.08,-2)</f>
        <v>4300</v>
      </c>
      <c r="U13" s="13">
        <f>ROUND((+Q13)*1.08,-2)</f>
        <v>9000</v>
      </c>
      <c r="V13" s="13">
        <f>ROUND((+T13)*1.08,-2)</f>
        <v>4600</v>
      </c>
      <c r="W13" s="13">
        <f aca="true" t="shared" si="2" ref="W13:AG14">ROUND((+U13)*1.08,-2)</f>
        <v>9700</v>
      </c>
      <c r="X13" s="13">
        <f t="shared" si="2"/>
        <v>5000</v>
      </c>
      <c r="Y13" s="13">
        <f t="shared" si="2"/>
        <v>10500</v>
      </c>
      <c r="Z13" s="13">
        <f t="shared" si="2"/>
        <v>5400</v>
      </c>
      <c r="AA13" s="13">
        <f t="shared" si="2"/>
        <v>11300</v>
      </c>
      <c r="AB13" s="13">
        <f t="shared" si="2"/>
        <v>5800</v>
      </c>
      <c r="AC13" s="13">
        <f t="shared" si="2"/>
        <v>12200</v>
      </c>
      <c r="AD13" s="13">
        <f t="shared" si="2"/>
        <v>6300</v>
      </c>
      <c r="AE13" s="13">
        <f t="shared" si="2"/>
        <v>13200</v>
      </c>
      <c r="AF13" s="13">
        <f t="shared" si="2"/>
        <v>6800</v>
      </c>
      <c r="AG13" s="13">
        <f t="shared" si="2"/>
        <v>14300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2.75">
      <c r="A14" s="13" t="s">
        <v>32</v>
      </c>
      <c r="B14" s="13"/>
      <c r="C14" s="13">
        <v>2200</v>
      </c>
      <c r="D14" s="13">
        <v>5000</v>
      </c>
      <c r="E14" s="13">
        <v>2200</v>
      </c>
      <c r="F14" s="13">
        <v>5900</v>
      </c>
      <c r="G14" s="13">
        <v>2816</v>
      </c>
      <c r="H14" s="13">
        <v>5844</v>
      </c>
      <c r="I14" s="13">
        <v>3043</v>
      </c>
      <c r="J14" s="13">
        <v>6321</v>
      </c>
      <c r="K14" s="13">
        <v>3295</v>
      </c>
      <c r="L14" s="13">
        <v>6836</v>
      </c>
      <c r="M14" s="13"/>
      <c r="N14" s="13">
        <f>ROUND((+K14)*1.08,-2)</f>
        <v>3600</v>
      </c>
      <c r="O14" s="13">
        <f>ROUND((+L14)*1.08,-2)</f>
        <v>7400</v>
      </c>
      <c r="P14" s="13">
        <f>ROUND((+N14)*1.08,-2)</f>
        <v>3900</v>
      </c>
      <c r="Q14" s="13">
        <f>ROUND((+O14)*1.08,-2)</f>
        <v>8000</v>
      </c>
      <c r="R14" s="13" t="s">
        <v>32</v>
      </c>
      <c r="S14" s="13">
        <f>ROUND((+P14)*1.08,-2)</f>
        <v>4200</v>
      </c>
      <c r="T14" s="13">
        <f>ROUND((+Q14)*1.08,-2)</f>
        <v>8600</v>
      </c>
      <c r="U14" s="13">
        <f>ROUND((+S14)*1.08,-2)</f>
        <v>4500</v>
      </c>
      <c r="V14" s="13">
        <f>ROUND((+T14)*1.08,-2)</f>
        <v>9300</v>
      </c>
      <c r="W14" s="13">
        <f t="shared" si="2"/>
        <v>4900</v>
      </c>
      <c r="X14" s="13">
        <f t="shared" si="2"/>
        <v>10000</v>
      </c>
      <c r="Y14" s="13">
        <f t="shared" si="2"/>
        <v>5300</v>
      </c>
      <c r="Z14" s="13">
        <f t="shared" si="2"/>
        <v>10800</v>
      </c>
      <c r="AA14" s="13">
        <f t="shared" si="2"/>
        <v>5700</v>
      </c>
      <c r="AB14" s="13">
        <f t="shared" si="2"/>
        <v>11700</v>
      </c>
      <c r="AC14" s="13">
        <f t="shared" si="2"/>
        <v>6200</v>
      </c>
      <c r="AD14" s="13">
        <f t="shared" si="2"/>
        <v>12600</v>
      </c>
      <c r="AE14" s="13">
        <f t="shared" si="2"/>
        <v>6700</v>
      </c>
      <c r="AF14" s="13">
        <f t="shared" si="2"/>
        <v>13600</v>
      </c>
      <c r="AG14" s="13">
        <f t="shared" si="2"/>
        <v>7200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.75">
      <c r="A15" s="13" t="s">
        <v>28</v>
      </c>
      <c r="D15" s="13"/>
      <c r="E15" s="13"/>
      <c r="F15" s="13"/>
      <c r="G15" s="13">
        <v>9350</v>
      </c>
      <c r="H15" s="13">
        <v>9350</v>
      </c>
      <c r="I15" s="13"/>
      <c r="L15" s="13">
        <v>9700</v>
      </c>
      <c r="M15" s="13">
        <v>9700</v>
      </c>
      <c r="N15" s="13"/>
      <c r="O15" s="13"/>
      <c r="P15" s="13"/>
      <c r="Q15" s="13"/>
      <c r="R15" s="13" t="s">
        <v>28</v>
      </c>
      <c r="S15" s="13">
        <v>10150</v>
      </c>
      <c r="T15" s="13">
        <v>10150</v>
      </c>
      <c r="U15" s="13"/>
      <c r="V15" s="13"/>
      <c r="W15" s="13"/>
      <c r="X15" s="13"/>
      <c r="Y15" s="13">
        <f>ROUND((+S15)*1.025,-2)</f>
        <v>10400</v>
      </c>
      <c r="Z15" s="13">
        <f>ROUND((+T15)*1.025,-2)</f>
        <v>10400</v>
      </c>
      <c r="AA15" s="13"/>
      <c r="AB15" s="13"/>
      <c r="AC15" s="13"/>
      <c r="AD15" s="13"/>
      <c r="AE15" s="13">
        <f>ROUND((+Y15)*1.025,-2)</f>
        <v>10700</v>
      </c>
      <c r="AF15" s="13">
        <f>ROUND((+Z15)*1.025,-2)</f>
        <v>10700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2.75">
      <c r="A16" s="13" t="s">
        <v>29</v>
      </c>
      <c r="D16" s="13"/>
      <c r="E16" s="13"/>
      <c r="F16" s="13"/>
      <c r="G16" s="13"/>
      <c r="H16" s="13">
        <v>4933</v>
      </c>
      <c r="I16" s="13">
        <v>4933</v>
      </c>
      <c r="J16" s="13">
        <v>4934</v>
      </c>
      <c r="K16" s="13"/>
      <c r="L16" s="13"/>
      <c r="M16" s="13"/>
      <c r="N16" s="13"/>
      <c r="O16" s="13">
        <v>5333</v>
      </c>
      <c r="P16" s="13">
        <v>5333</v>
      </c>
      <c r="Q16" s="13">
        <v>5334</v>
      </c>
      <c r="R16" s="13" t="s">
        <v>29</v>
      </c>
      <c r="S16" s="13"/>
      <c r="T16" s="13"/>
      <c r="U16" s="13"/>
      <c r="V16" s="13"/>
      <c r="W16" s="13">
        <f>ROUND((+O16)*1.025,-2)</f>
        <v>5500</v>
      </c>
      <c r="X16" s="13">
        <f>ROUND((+P16)*1.025,-2)</f>
        <v>5500</v>
      </c>
      <c r="Y16" s="13">
        <f>ROUND((+Q16)*1.025,-2)</f>
        <v>5500</v>
      </c>
      <c r="Z16" s="13"/>
      <c r="AA16" s="13"/>
      <c r="AB16" s="13"/>
      <c r="AC16" s="13"/>
      <c r="AD16" s="13">
        <f>ROUND((+W16)*1.025,-2)</f>
        <v>5600</v>
      </c>
      <c r="AE16" s="13">
        <f>ROUND((+X16)*1.025,-2)</f>
        <v>5600</v>
      </c>
      <c r="AF16" s="13">
        <f>ROUND((+Y16)*1.025,-2)</f>
        <v>5600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33" ht="13.5" customHeight="1">
      <c r="A17" s="1" t="s">
        <v>27</v>
      </c>
      <c r="B17" s="1">
        <f>ROUND(25000*0.055+4300/20+3000/3+2500/19+3000/18+200,-2)</f>
        <v>3100</v>
      </c>
      <c r="C17" s="1">
        <f>ROUND(25000*0.0575+4300/20+3000/3+2500/19+3000/18+200+200,-2)</f>
        <v>3400</v>
      </c>
      <c r="D17" s="1">
        <f>ROUND(25000*0.0675+4300/20+3000/3+2500/19+3000/18+200+200+5000/15,-2)</f>
        <v>3900</v>
      </c>
      <c r="E17" s="1">
        <f>ROUND(25000*0.07+4300/20+3000/3+2500/19+3000/18+200+200+5000/15+200,-2)</f>
        <v>4200</v>
      </c>
      <c r="F17" s="1">
        <f>ROUND(100000*0.07+4300/20+3000/3+2500/19+3000/18+200+200+5000/15+200,-2)</f>
        <v>9400</v>
      </c>
      <c r="G17" s="1">
        <f>ROUND(125000*0.07+4300/20+3000/3+2500/19+3000/18+200+200+5000/15+200,-2)</f>
        <v>11200</v>
      </c>
      <c r="H17" s="1">
        <f>ROUND(125000*0.07+4300/20+3000/3+2500/19+3000/18+200+200+5000/15+200,-2)</f>
        <v>11200</v>
      </c>
      <c r="I17" s="1">
        <f>ROUND(125000*0.07+4300/20+3000/3+2500/19+3000/18+200+200+5000/15+200,-2)</f>
        <v>11200</v>
      </c>
      <c r="J17" s="1">
        <f>ROUND(125000*0.07+4300/20+3000/3+2500/19+3000/18+200+200+5000/15+200,-2)</f>
        <v>11200</v>
      </c>
      <c r="K17" s="1">
        <f>ROUND(125000*0.07+4300/20+3000/3+2500/19+3000/18+200+200+5000/15+200+200,-2)</f>
        <v>11400</v>
      </c>
      <c r="L17" s="1">
        <f>ROUND(150000*0.07+4300/20+3000/3+2500/19+3000/18+200+200+5000/15+200+200,-2)</f>
        <v>13100</v>
      </c>
      <c r="M17" s="1">
        <f>ROUND(150000*0.07+4300/20+3000/3+2500/19+3000/18+200+200+5000/15+200+200,-2)</f>
        <v>13100</v>
      </c>
      <c r="N17" s="1">
        <f>ROUND(150000*0.07+4300/20+3000/3+2500/19+3000/18+200+200+5000/15+200+200,-2)</f>
        <v>13100</v>
      </c>
      <c r="O17" s="1">
        <f>ROUND(150000*0.07+4300/20+3000/3+2500/19+3000/18+200+200+5000/15+200+200,-2)</f>
        <v>13100</v>
      </c>
      <c r="P17" s="1">
        <f>ROUND(150000*0.07+4300/20+3000/3+2500/19+3000/18+200+200+5000/15+200+200,-2)</f>
        <v>13100</v>
      </c>
      <c r="Q17" s="1">
        <f>ROUND(200000*0.07+4300/20+3000/3+2500/19+3000/18+200+200+5000/15+200+200,-2)</f>
        <v>16600</v>
      </c>
      <c r="R17" s="1" t="s">
        <v>27</v>
      </c>
      <c r="S17" s="1">
        <f>ROUND(200000*0.07+4300/20+3000/3+2500/19+3000/18+200+200+5000/15+200+200,-2)</f>
        <v>16600</v>
      </c>
      <c r="T17" s="1">
        <f>ROUND(200000*0.07+3000/3+200+200+200+200,-2)</f>
        <v>15800</v>
      </c>
      <c r="U17" s="1">
        <f>ROUND(200000*0.07+3000/3+200+200+200+200,-2)</f>
        <v>15800</v>
      </c>
      <c r="V17" s="1">
        <f>ROUND(200000*0.07+3000/3+200+200+200+200,-2)</f>
        <v>15800</v>
      </c>
      <c r="W17" s="1">
        <f aca="true" t="shared" si="3" ref="W17:AG17">ROUND(200000*0.07+3000/3+200+200+200+200,-2)</f>
        <v>15800</v>
      </c>
      <c r="X17" s="1">
        <f t="shared" si="3"/>
        <v>15800</v>
      </c>
      <c r="Y17" s="1">
        <f t="shared" si="3"/>
        <v>15800</v>
      </c>
      <c r="Z17" s="1">
        <f t="shared" si="3"/>
        <v>15800</v>
      </c>
      <c r="AA17" s="1">
        <f t="shared" si="3"/>
        <v>15800</v>
      </c>
      <c r="AB17" s="1">
        <f t="shared" si="3"/>
        <v>15800</v>
      </c>
      <c r="AC17" s="1">
        <f t="shared" si="3"/>
        <v>15800</v>
      </c>
      <c r="AD17" s="1">
        <f t="shared" si="3"/>
        <v>15800</v>
      </c>
      <c r="AE17" s="1">
        <f t="shared" si="3"/>
        <v>15800</v>
      </c>
      <c r="AF17" s="1">
        <f t="shared" si="3"/>
        <v>15800</v>
      </c>
      <c r="AG17" s="1">
        <f t="shared" si="3"/>
        <v>15800</v>
      </c>
    </row>
    <row r="18" spans="1:18" ht="12.75">
      <c r="A18" s="13" t="s">
        <v>26</v>
      </c>
      <c r="B18" s="13">
        <f>ROUND(((75000)*0.055),-2)</f>
        <v>4100</v>
      </c>
      <c r="C18" s="13">
        <f>ROUND(((75000)*0.0575),-2)</f>
        <v>4300</v>
      </c>
      <c r="D18" s="13">
        <f>ROUND(((75000)*0.0675),-2)</f>
        <v>5100</v>
      </c>
      <c r="E18" s="13">
        <f>ROUND(((75000)*0.07),-2)</f>
        <v>5300</v>
      </c>
      <c r="R18" s="13" t="s">
        <v>26</v>
      </c>
    </row>
    <row r="19" spans="1:33" s="2" customFormat="1" ht="12.75">
      <c r="A19" s="1" t="s">
        <v>15</v>
      </c>
      <c r="B19" s="1">
        <f>ROUND(18942+18942,0)</f>
        <v>37884</v>
      </c>
      <c r="C19" s="1">
        <f>ROUND(18942+18942,0)</f>
        <v>37884</v>
      </c>
      <c r="D19" s="1">
        <f>ROUND(18942+18942,0)</f>
        <v>37884</v>
      </c>
      <c r="E19" s="1">
        <f>ROUND(18942+18942,0)</f>
        <v>37884</v>
      </c>
      <c r="F19" s="1">
        <f>ROUND(18942+18942,0)</f>
        <v>37884</v>
      </c>
      <c r="G19" s="1">
        <f aca="true" t="shared" si="4" ref="G19:Q19">ROUND(18942+18942,0)</f>
        <v>37884</v>
      </c>
      <c r="H19" s="1">
        <f t="shared" si="4"/>
        <v>37884</v>
      </c>
      <c r="I19" s="1">
        <f t="shared" si="4"/>
        <v>37884</v>
      </c>
      <c r="J19" s="1">
        <f t="shared" si="4"/>
        <v>37884</v>
      </c>
      <c r="K19" s="1">
        <f t="shared" si="4"/>
        <v>37884</v>
      </c>
      <c r="L19" s="1">
        <f t="shared" si="4"/>
        <v>37884</v>
      </c>
      <c r="M19" s="1">
        <f t="shared" si="4"/>
        <v>37884</v>
      </c>
      <c r="N19" s="1">
        <f t="shared" si="4"/>
        <v>37884</v>
      </c>
      <c r="O19" s="1">
        <f t="shared" si="4"/>
        <v>37884</v>
      </c>
      <c r="P19" s="1">
        <f t="shared" si="4"/>
        <v>37884</v>
      </c>
      <c r="Q19" s="1">
        <f t="shared" si="4"/>
        <v>37884</v>
      </c>
      <c r="R19" s="1" t="s">
        <v>15</v>
      </c>
      <c r="S19" s="1">
        <v>3157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43" ht="12.75">
      <c r="A20" s="1" t="s">
        <v>36</v>
      </c>
      <c r="B20" s="13">
        <v>26829</v>
      </c>
      <c r="C20" s="13">
        <v>26829</v>
      </c>
      <c r="D20" s="13">
        <v>26829</v>
      </c>
      <c r="E20" s="13">
        <v>26829</v>
      </c>
      <c r="F20" s="13">
        <v>26829</v>
      </c>
      <c r="G20" s="13">
        <v>26829</v>
      </c>
      <c r="H20" s="13">
        <v>26829</v>
      </c>
      <c r="I20" s="13">
        <v>26829</v>
      </c>
      <c r="J20" s="13">
        <v>26829</v>
      </c>
      <c r="K20" s="13">
        <v>26829</v>
      </c>
      <c r="L20" s="13">
        <v>26829</v>
      </c>
      <c r="M20" s="13">
        <v>26829</v>
      </c>
      <c r="N20" s="13">
        <v>26829</v>
      </c>
      <c r="O20" s="13">
        <v>26829</v>
      </c>
      <c r="P20" s="13">
        <v>26829</v>
      </c>
      <c r="Q20" s="13">
        <v>26829</v>
      </c>
      <c r="R20" s="1" t="s">
        <v>36</v>
      </c>
      <c r="S20" s="13">
        <v>9342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2.75">
      <c r="A21" s="1" t="s">
        <v>30</v>
      </c>
      <c r="B21" s="13">
        <v>4565</v>
      </c>
      <c r="C21" s="13">
        <v>4565</v>
      </c>
      <c r="D21" s="13">
        <v>4565</v>
      </c>
      <c r="E21" s="13">
        <v>4565</v>
      </c>
      <c r="F21" s="13">
        <v>4565</v>
      </c>
      <c r="G21" s="13">
        <v>4565</v>
      </c>
      <c r="H21" s="13">
        <v>4565</v>
      </c>
      <c r="I21" s="13">
        <v>4565</v>
      </c>
      <c r="J21" s="13">
        <v>4565</v>
      </c>
      <c r="K21" s="13">
        <v>4565</v>
      </c>
      <c r="L21" s="13">
        <v>4565</v>
      </c>
      <c r="M21" s="13">
        <v>4565</v>
      </c>
      <c r="N21" s="13">
        <v>4565</v>
      </c>
      <c r="O21" s="13">
        <v>4565</v>
      </c>
      <c r="P21" s="13">
        <v>4565</v>
      </c>
      <c r="Q21" s="13">
        <v>4565</v>
      </c>
      <c r="R21" s="1" t="s">
        <v>30</v>
      </c>
      <c r="S21" s="13">
        <v>1178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2.75">
      <c r="A22" s="1" t="s">
        <v>37</v>
      </c>
      <c r="B22" s="13">
        <f>14622+14695</f>
        <v>29317</v>
      </c>
      <c r="C22" s="13">
        <f>14622+14695</f>
        <v>29317</v>
      </c>
      <c r="D22" s="13">
        <f>14622+14695</f>
        <v>29317</v>
      </c>
      <c r="E22" s="13">
        <f>14622+14695</f>
        <v>29317</v>
      </c>
      <c r="F22" s="13">
        <f>14622+14695</f>
        <v>29317</v>
      </c>
      <c r="G22" s="13">
        <f aca="true" t="shared" si="5" ref="G22:Q22">14622+14695</f>
        <v>29317</v>
      </c>
      <c r="H22" s="13">
        <f t="shared" si="5"/>
        <v>29317</v>
      </c>
      <c r="I22" s="13">
        <f t="shared" si="5"/>
        <v>29317</v>
      </c>
      <c r="J22" s="13">
        <f t="shared" si="5"/>
        <v>29317</v>
      </c>
      <c r="K22" s="13">
        <f t="shared" si="5"/>
        <v>29317</v>
      </c>
      <c r="L22" s="13">
        <f t="shared" si="5"/>
        <v>29317</v>
      </c>
      <c r="M22" s="13">
        <f t="shared" si="5"/>
        <v>29317</v>
      </c>
      <c r="N22" s="13">
        <f t="shared" si="5"/>
        <v>29317</v>
      </c>
      <c r="O22" s="13">
        <f t="shared" si="5"/>
        <v>29317</v>
      </c>
      <c r="P22" s="13">
        <f t="shared" si="5"/>
        <v>29317</v>
      </c>
      <c r="Q22" s="13">
        <f t="shared" si="5"/>
        <v>29317</v>
      </c>
      <c r="R22" s="1" t="s">
        <v>37</v>
      </c>
      <c r="S22" s="13">
        <f>5977+6014</f>
        <v>11991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2.75">
      <c r="A23" s="1" t="s">
        <v>44</v>
      </c>
      <c r="B23" s="13">
        <v>3750</v>
      </c>
      <c r="C23" s="13">
        <v>4250</v>
      </c>
      <c r="D23" s="13">
        <v>5250</v>
      </c>
      <c r="E23" s="13">
        <v>7000</v>
      </c>
      <c r="F23" s="13">
        <v>7000</v>
      </c>
      <c r="G23" s="13">
        <v>7000</v>
      </c>
      <c r="H23" s="13">
        <v>7000</v>
      </c>
      <c r="I23" s="13">
        <v>7000</v>
      </c>
      <c r="J23" s="13">
        <v>7000</v>
      </c>
      <c r="K23" s="13">
        <v>7000</v>
      </c>
      <c r="L23" s="13">
        <v>7000</v>
      </c>
      <c r="M23" s="13">
        <v>7000</v>
      </c>
      <c r="N23" s="13">
        <v>7000</v>
      </c>
      <c r="O23" s="13">
        <v>7000</v>
      </c>
      <c r="P23" s="13">
        <v>7000</v>
      </c>
      <c r="Q23" s="13">
        <v>7000</v>
      </c>
      <c r="R23" s="1" t="s">
        <v>44</v>
      </c>
      <c r="S23" s="13">
        <v>7000</v>
      </c>
      <c r="T23" s="13">
        <v>7000</v>
      </c>
      <c r="U23" s="13">
        <v>7000</v>
      </c>
      <c r="V23" s="13">
        <v>7000</v>
      </c>
      <c r="W23" s="13">
        <v>7000</v>
      </c>
      <c r="X23" s="13">
        <v>7000</v>
      </c>
      <c r="Y23" s="13">
        <v>7000</v>
      </c>
      <c r="Z23" s="13">
        <v>7000</v>
      </c>
      <c r="AA23" s="13">
        <v>7000</v>
      </c>
      <c r="AB23" s="13">
        <v>7000</v>
      </c>
      <c r="AC23" s="13">
        <v>7000</v>
      </c>
      <c r="AD23" s="13">
        <v>7000</v>
      </c>
      <c r="AE23" s="13">
        <v>7000</v>
      </c>
      <c r="AF23" s="13">
        <v>7000</v>
      </c>
      <c r="AG23" s="13">
        <f>100000+(7000/2)</f>
        <v>103500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2.75">
      <c r="A24" s="1" t="s">
        <v>45</v>
      </c>
      <c r="B24" s="13">
        <v>4750</v>
      </c>
      <c r="C24" s="13">
        <v>5250</v>
      </c>
      <c r="D24" s="13">
        <v>6250</v>
      </c>
      <c r="E24" s="13">
        <v>6750</v>
      </c>
      <c r="F24" s="13">
        <v>7000</v>
      </c>
      <c r="G24" s="13">
        <v>7000</v>
      </c>
      <c r="H24" s="13">
        <v>7000</v>
      </c>
      <c r="I24" s="13">
        <v>7000</v>
      </c>
      <c r="J24" s="13">
        <v>7000</v>
      </c>
      <c r="K24" s="13">
        <v>7000</v>
      </c>
      <c r="L24" s="13">
        <v>7000</v>
      </c>
      <c r="M24" s="13">
        <v>7000</v>
      </c>
      <c r="N24" s="13">
        <v>7000</v>
      </c>
      <c r="O24" s="13">
        <v>7000</v>
      </c>
      <c r="P24" s="13">
        <v>7000</v>
      </c>
      <c r="Q24" s="13">
        <v>7000</v>
      </c>
      <c r="R24" s="1" t="s">
        <v>45</v>
      </c>
      <c r="S24" s="13">
        <v>7000</v>
      </c>
      <c r="T24" s="13">
        <v>7000</v>
      </c>
      <c r="U24" s="13">
        <v>7000</v>
      </c>
      <c r="V24" s="13">
        <v>7000</v>
      </c>
      <c r="W24" s="13">
        <v>7000</v>
      </c>
      <c r="X24" s="13">
        <v>7000</v>
      </c>
      <c r="Y24" s="13">
        <v>7000</v>
      </c>
      <c r="Z24" s="13">
        <v>7000</v>
      </c>
      <c r="AA24" s="13">
        <v>7000</v>
      </c>
      <c r="AB24" s="13">
        <v>7000</v>
      </c>
      <c r="AC24" s="13">
        <v>7000</v>
      </c>
      <c r="AD24" s="13">
        <v>7000</v>
      </c>
      <c r="AE24" s="13">
        <v>7000</v>
      </c>
      <c r="AF24" s="13">
        <v>7000</v>
      </c>
      <c r="AG24" s="13">
        <f>100000+(7000/2)</f>
        <v>103500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2.75">
      <c r="A25" s="1" t="s">
        <v>46</v>
      </c>
      <c r="B25" s="13">
        <f aca="true" t="shared" si="6" ref="B25:J25">100000*0.05625</f>
        <v>5625</v>
      </c>
      <c r="C25" s="13">
        <f t="shared" si="6"/>
        <v>5625</v>
      </c>
      <c r="D25" s="13">
        <f t="shared" si="6"/>
        <v>5625</v>
      </c>
      <c r="E25" s="13">
        <f t="shared" si="6"/>
        <v>5625</v>
      </c>
      <c r="F25" s="13">
        <f t="shared" si="6"/>
        <v>5625</v>
      </c>
      <c r="G25" s="13">
        <f t="shared" si="6"/>
        <v>5625</v>
      </c>
      <c r="H25" s="13">
        <f t="shared" si="6"/>
        <v>5625</v>
      </c>
      <c r="I25" s="13">
        <f t="shared" si="6"/>
        <v>5625</v>
      </c>
      <c r="J25" s="13">
        <f t="shared" si="6"/>
        <v>5625</v>
      </c>
      <c r="K25" s="13">
        <f>((100000*0.05625)/12*9)+7000/12*3</f>
        <v>5968.75</v>
      </c>
      <c r="L25" s="13">
        <v>7000</v>
      </c>
      <c r="M25" s="13">
        <v>7000</v>
      </c>
      <c r="N25" s="13">
        <v>7000</v>
      </c>
      <c r="O25" s="13">
        <v>7000</v>
      </c>
      <c r="P25" s="13">
        <v>7000</v>
      </c>
      <c r="Q25" s="13">
        <v>7000</v>
      </c>
      <c r="R25" s="1" t="s">
        <v>46</v>
      </c>
      <c r="S25" s="13">
        <v>7000</v>
      </c>
      <c r="T25" s="13">
        <v>7000</v>
      </c>
      <c r="U25" s="13">
        <v>7000</v>
      </c>
      <c r="V25" s="13">
        <v>7000</v>
      </c>
      <c r="W25" s="13">
        <v>7000</v>
      </c>
      <c r="X25" s="13">
        <v>7000</v>
      </c>
      <c r="Y25" s="13">
        <v>7000</v>
      </c>
      <c r="Z25" s="13">
        <v>7000</v>
      </c>
      <c r="AA25" s="13">
        <v>7000</v>
      </c>
      <c r="AB25" s="13">
        <v>7000</v>
      </c>
      <c r="AC25" s="13">
        <v>7000</v>
      </c>
      <c r="AD25" s="13">
        <v>7000</v>
      </c>
      <c r="AE25" s="13">
        <v>7000</v>
      </c>
      <c r="AF25" s="13">
        <v>7000</v>
      </c>
      <c r="AG25" s="13">
        <f>100000+(7000/2)</f>
        <v>103500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2.75">
      <c r="A26" s="13" t="s">
        <v>48</v>
      </c>
      <c r="B26" s="13"/>
      <c r="C26" s="13">
        <f>100000*0.07</f>
        <v>7000.000000000001</v>
      </c>
      <c r="D26" s="13">
        <f>100000*0.07</f>
        <v>7000.000000000001</v>
      </c>
      <c r="E26" s="13">
        <f>100000*0.07</f>
        <v>7000.000000000001</v>
      </c>
      <c r="F26" s="13">
        <f>100000*0.07</f>
        <v>7000.000000000001</v>
      </c>
      <c r="G26" s="13">
        <f aca="true" t="shared" si="7" ref="G26:AF26">100000*0.07</f>
        <v>7000.000000000001</v>
      </c>
      <c r="H26" s="13">
        <f t="shared" si="7"/>
        <v>7000.000000000001</v>
      </c>
      <c r="I26" s="13">
        <f t="shared" si="7"/>
        <v>7000.000000000001</v>
      </c>
      <c r="J26" s="13">
        <f t="shared" si="7"/>
        <v>7000.000000000001</v>
      </c>
      <c r="K26" s="13">
        <f t="shared" si="7"/>
        <v>7000.000000000001</v>
      </c>
      <c r="L26" s="13">
        <f t="shared" si="7"/>
        <v>7000.000000000001</v>
      </c>
      <c r="M26" s="13">
        <f t="shared" si="7"/>
        <v>7000.000000000001</v>
      </c>
      <c r="N26" s="13">
        <f t="shared" si="7"/>
        <v>7000.000000000001</v>
      </c>
      <c r="O26" s="13">
        <f t="shared" si="7"/>
        <v>7000.000000000001</v>
      </c>
      <c r="P26" s="13">
        <f t="shared" si="7"/>
        <v>7000.000000000001</v>
      </c>
      <c r="Q26" s="13">
        <f t="shared" si="7"/>
        <v>7000.000000000001</v>
      </c>
      <c r="R26" s="13" t="s">
        <v>48</v>
      </c>
      <c r="S26" s="13">
        <f t="shared" si="7"/>
        <v>7000.000000000001</v>
      </c>
      <c r="T26" s="13">
        <f t="shared" si="7"/>
        <v>7000.000000000001</v>
      </c>
      <c r="U26" s="13">
        <f t="shared" si="7"/>
        <v>7000.000000000001</v>
      </c>
      <c r="V26" s="13">
        <f t="shared" si="7"/>
        <v>7000.000000000001</v>
      </c>
      <c r="W26" s="13">
        <f t="shared" si="7"/>
        <v>7000.000000000001</v>
      </c>
      <c r="X26" s="13">
        <f t="shared" si="7"/>
        <v>7000.000000000001</v>
      </c>
      <c r="Y26" s="13">
        <f t="shared" si="7"/>
        <v>7000.000000000001</v>
      </c>
      <c r="Z26" s="13">
        <f t="shared" si="7"/>
        <v>7000.000000000001</v>
      </c>
      <c r="AA26" s="13">
        <f t="shared" si="7"/>
        <v>7000.000000000001</v>
      </c>
      <c r="AB26" s="13">
        <f t="shared" si="7"/>
        <v>7000.000000000001</v>
      </c>
      <c r="AC26" s="13">
        <f t="shared" si="7"/>
        <v>7000.000000000001</v>
      </c>
      <c r="AD26" s="13">
        <f t="shared" si="7"/>
        <v>7000.000000000001</v>
      </c>
      <c r="AE26" s="13">
        <f t="shared" si="7"/>
        <v>7000.000000000001</v>
      </c>
      <c r="AF26" s="13">
        <f t="shared" si="7"/>
        <v>7000.000000000001</v>
      </c>
      <c r="AG26" s="13">
        <f>100000+(7000/2)</f>
        <v>103500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ht="12.75">
      <c r="A27" s="13" t="s">
        <v>47</v>
      </c>
      <c r="B27" s="6"/>
      <c r="C27" s="6"/>
      <c r="D27" s="19">
        <f>-PMT(0.08,28,300000,0,0)/12*8.5</f>
        <v>19228.89247098453</v>
      </c>
      <c r="E27" s="19">
        <f aca="true" t="shared" si="8" ref="E27:AF27">-PMT(0.08,28,300000,0,0)</f>
        <v>27146.671723742864</v>
      </c>
      <c r="F27" s="19">
        <f t="shared" si="8"/>
        <v>27146.671723742864</v>
      </c>
      <c r="G27" s="19">
        <f t="shared" si="8"/>
        <v>27146.671723742864</v>
      </c>
      <c r="H27" s="19">
        <f t="shared" si="8"/>
        <v>27146.671723742864</v>
      </c>
      <c r="I27" s="19">
        <f t="shared" si="8"/>
        <v>27146.671723742864</v>
      </c>
      <c r="J27" s="19">
        <f t="shared" si="8"/>
        <v>27146.671723742864</v>
      </c>
      <c r="K27" s="19">
        <f t="shared" si="8"/>
        <v>27146.671723742864</v>
      </c>
      <c r="L27" s="19">
        <f t="shared" si="8"/>
        <v>27146.671723742864</v>
      </c>
      <c r="M27" s="19">
        <f t="shared" si="8"/>
        <v>27146.671723742864</v>
      </c>
      <c r="N27" s="19">
        <f t="shared" si="8"/>
        <v>27146.671723742864</v>
      </c>
      <c r="O27" s="19">
        <f t="shared" si="8"/>
        <v>27146.671723742864</v>
      </c>
      <c r="P27" s="19">
        <f t="shared" si="8"/>
        <v>27146.671723742864</v>
      </c>
      <c r="Q27" s="19">
        <f t="shared" si="8"/>
        <v>27146.671723742864</v>
      </c>
      <c r="R27" s="13" t="s">
        <v>47</v>
      </c>
      <c r="S27" s="19">
        <f t="shared" si="8"/>
        <v>27146.671723742864</v>
      </c>
      <c r="T27" s="19">
        <f t="shared" si="8"/>
        <v>27146.671723742864</v>
      </c>
      <c r="U27" s="19">
        <f t="shared" si="8"/>
        <v>27146.671723742864</v>
      </c>
      <c r="V27" s="19">
        <f t="shared" si="8"/>
        <v>27146.671723742864</v>
      </c>
      <c r="W27" s="19">
        <f t="shared" si="8"/>
        <v>27146.671723742864</v>
      </c>
      <c r="X27" s="19">
        <f t="shared" si="8"/>
        <v>27146.671723742864</v>
      </c>
      <c r="Y27" s="19">
        <f t="shared" si="8"/>
        <v>27146.671723742864</v>
      </c>
      <c r="Z27" s="19">
        <f t="shared" si="8"/>
        <v>27146.671723742864</v>
      </c>
      <c r="AA27" s="19">
        <f t="shared" si="8"/>
        <v>27146.671723742864</v>
      </c>
      <c r="AB27" s="19">
        <f t="shared" si="8"/>
        <v>27146.671723742864</v>
      </c>
      <c r="AC27" s="19">
        <f t="shared" si="8"/>
        <v>27146.671723742864</v>
      </c>
      <c r="AD27" s="19">
        <f t="shared" si="8"/>
        <v>27146.671723742864</v>
      </c>
      <c r="AE27" s="19">
        <f t="shared" si="8"/>
        <v>27146.671723742864</v>
      </c>
      <c r="AF27" s="19">
        <f t="shared" si="8"/>
        <v>27146.671723742864</v>
      </c>
      <c r="AG27" s="19">
        <f>-PMT(0.08,28,300000,0,0)/12*6</f>
        <v>13573.335861871434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38" s="5" customFormat="1" ht="12.75">
      <c r="A28" s="5" t="s">
        <v>12</v>
      </c>
      <c r="B28" s="14">
        <f aca="true" t="shared" si="9" ref="B28:V28">SUM(B12:B27)</f>
        <v>150632</v>
      </c>
      <c r="C28" s="14">
        <f t="shared" si="9"/>
        <v>174694</v>
      </c>
      <c r="D28" s="14">
        <f t="shared" si="9"/>
        <v>190589.89247098455</v>
      </c>
      <c r="E28" s="14">
        <f t="shared" si="9"/>
        <v>207967.67172374285</v>
      </c>
      <c r="F28" s="14">
        <f t="shared" si="9"/>
        <v>217040.67172374285</v>
      </c>
      <c r="G28" s="14">
        <f t="shared" si="9"/>
        <v>223548.67172374285</v>
      </c>
      <c r="H28" s="14">
        <f t="shared" si="9"/>
        <v>235537.67172374285</v>
      </c>
      <c r="I28" s="14">
        <f t="shared" si="9"/>
        <v>221588.67172374285</v>
      </c>
      <c r="J28" s="14">
        <f t="shared" si="9"/>
        <v>229142.67172374285</v>
      </c>
      <c r="K28" s="14">
        <f t="shared" si="9"/>
        <v>216405.42172374285</v>
      </c>
      <c r="L28" s="14">
        <f t="shared" si="9"/>
        <v>236803.67172374285</v>
      </c>
      <c r="M28" s="14">
        <f t="shared" si="9"/>
        <v>234651.67172374285</v>
      </c>
      <c r="N28" s="14">
        <f t="shared" si="9"/>
        <v>226141.67172374285</v>
      </c>
      <c r="O28" s="14">
        <f t="shared" si="9"/>
        <v>240274.67172374285</v>
      </c>
      <c r="P28" s="14">
        <f t="shared" si="9"/>
        <v>234074.67172374285</v>
      </c>
      <c r="Q28" s="14">
        <f t="shared" si="9"/>
        <v>246975.67172374285</v>
      </c>
      <c r="R28" s="5" t="s">
        <v>12</v>
      </c>
      <c r="S28" s="14">
        <f t="shared" si="9"/>
        <v>167764.67172374285</v>
      </c>
      <c r="T28" s="14">
        <f t="shared" si="9"/>
        <v>150996.67172374285</v>
      </c>
      <c r="U28" s="14">
        <f t="shared" si="9"/>
        <v>141446.67172374285</v>
      </c>
      <c r="V28" s="14">
        <f t="shared" si="9"/>
        <v>142846.67172374285</v>
      </c>
      <c r="W28" s="14">
        <f aca="true" t="shared" si="10" ref="W28:AG28">SUM(W12:W27)</f>
        <v>149046.67172374285</v>
      </c>
      <c r="X28" s="14">
        <f t="shared" si="10"/>
        <v>150446.67172374285</v>
      </c>
      <c r="Y28" s="14">
        <f t="shared" si="10"/>
        <v>161646.67172374285</v>
      </c>
      <c r="Z28" s="14">
        <f t="shared" si="10"/>
        <v>157546.67172374285</v>
      </c>
      <c r="AA28" s="14">
        <f t="shared" si="10"/>
        <v>147946.67172374285</v>
      </c>
      <c r="AB28" s="14">
        <f t="shared" si="10"/>
        <v>150446.67172374285</v>
      </c>
      <c r="AC28" s="14">
        <f t="shared" si="10"/>
        <v>151346.67172374285</v>
      </c>
      <c r="AD28" s="14">
        <f t="shared" si="10"/>
        <v>159446.67172374285</v>
      </c>
      <c r="AE28" s="14">
        <f t="shared" si="10"/>
        <v>171146.67172374285</v>
      </c>
      <c r="AF28" s="14">
        <f t="shared" si="10"/>
        <v>173646.67172374285</v>
      </c>
      <c r="AG28" s="14">
        <f t="shared" si="10"/>
        <v>530873.3358618715</v>
      </c>
      <c r="AH28" s="14"/>
      <c r="AI28" s="14"/>
      <c r="AJ28" s="14"/>
      <c r="AK28" s="14"/>
      <c r="AL28" s="14"/>
    </row>
    <row r="29" spans="1:55" ht="12.75">
      <c r="A29" s="1" t="s">
        <v>7</v>
      </c>
      <c r="B29" s="1">
        <f>64546+70739-4000+658+3200</f>
        <v>135143</v>
      </c>
      <c r="C29" s="13">
        <f>70667+69066-4000+818</f>
        <v>136551</v>
      </c>
      <c r="D29" s="13">
        <f>64713+80856-4000+955</f>
        <v>142524</v>
      </c>
      <c r="E29" s="13">
        <f>64568+85038-4000+1101</f>
        <v>146707</v>
      </c>
      <c r="F29" s="13">
        <f>63749+81034-4000+988</f>
        <v>141771</v>
      </c>
      <c r="G29" s="13">
        <f aca="true" t="shared" si="11" ref="G29:Q32">ROUND((+F29)*1.025,-2)</f>
        <v>145300</v>
      </c>
      <c r="H29" s="13">
        <f t="shared" si="11"/>
        <v>148900</v>
      </c>
      <c r="I29" s="13">
        <f t="shared" si="11"/>
        <v>152600</v>
      </c>
      <c r="J29" s="13">
        <f t="shared" si="11"/>
        <v>156400</v>
      </c>
      <c r="K29" s="13">
        <f t="shared" si="11"/>
        <v>160300</v>
      </c>
      <c r="L29" s="13">
        <f t="shared" si="11"/>
        <v>164300</v>
      </c>
      <c r="M29" s="13">
        <f t="shared" si="11"/>
        <v>168400</v>
      </c>
      <c r="N29" s="13">
        <f t="shared" si="11"/>
        <v>172600</v>
      </c>
      <c r="O29" s="13">
        <f t="shared" si="11"/>
        <v>176900</v>
      </c>
      <c r="P29" s="13">
        <f t="shared" si="11"/>
        <v>181300</v>
      </c>
      <c r="Q29" s="13">
        <f t="shared" si="11"/>
        <v>185800</v>
      </c>
      <c r="R29" s="1" t="s">
        <v>7</v>
      </c>
      <c r="S29" s="13">
        <f>ROUND((+Q29)*1.025,-2)</f>
        <v>190400</v>
      </c>
      <c r="T29" s="13">
        <f>ROUND((+S29)*1.025,-2)</f>
        <v>195200</v>
      </c>
      <c r="U29" s="13">
        <f aca="true" t="shared" si="12" ref="U29:AG29">ROUND((+T29)*1.025,-2)</f>
        <v>200100</v>
      </c>
      <c r="V29" s="13">
        <f t="shared" si="12"/>
        <v>205100</v>
      </c>
      <c r="W29" s="13">
        <f t="shared" si="12"/>
        <v>210200</v>
      </c>
      <c r="X29" s="13">
        <f t="shared" si="12"/>
        <v>215500</v>
      </c>
      <c r="Y29" s="13">
        <f t="shared" si="12"/>
        <v>220900</v>
      </c>
      <c r="Z29" s="13">
        <f t="shared" si="12"/>
        <v>226400</v>
      </c>
      <c r="AA29" s="13">
        <f t="shared" si="12"/>
        <v>232100</v>
      </c>
      <c r="AB29" s="13">
        <f t="shared" si="12"/>
        <v>237900</v>
      </c>
      <c r="AC29" s="13">
        <f t="shared" si="12"/>
        <v>243800</v>
      </c>
      <c r="AD29" s="13">
        <f t="shared" si="12"/>
        <v>249900</v>
      </c>
      <c r="AE29" s="13">
        <f t="shared" si="12"/>
        <v>256100</v>
      </c>
      <c r="AF29" s="13">
        <f t="shared" si="12"/>
        <v>262500</v>
      </c>
      <c r="AG29" s="13">
        <f t="shared" si="12"/>
        <v>269100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ht="12.75">
      <c r="A30" s="1" t="s">
        <v>20</v>
      </c>
      <c r="B30" s="1">
        <f>517+584+2198+956+491+557+807+38864-B34</f>
        <v>38074</v>
      </c>
      <c r="C30" s="13">
        <f>530+600+2199+987+507+370+832+39980-C34</f>
        <v>38805</v>
      </c>
      <c r="D30" s="13">
        <f>547+624+2226+984+522+380+869+41306-D34</f>
        <v>40058</v>
      </c>
      <c r="E30" s="13">
        <f>571+643+1994+1027+543+393+893+42860-E34</f>
        <v>41324</v>
      </c>
      <c r="F30" s="13">
        <f>582+651+2325+1053+555+404+913+44520-F34</f>
        <v>43103</v>
      </c>
      <c r="G30" s="13">
        <f t="shared" si="11"/>
        <v>44200</v>
      </c>
      <c r="H30" s="13">
        <f t="shared" si="11"/>
        <v>45300</v>
      </c>
      <c r="I30" s="13">
        <f t="shared" si="11"/>
        <v>46400</v>
      </c>
      <c r="J30" s="13">
        <f t="shared" si="11"/>
        <v>47600</v>
      </c>
      <c r="K30" s="13">
        <f t="shared" si="11"/>
        <v>48800</v>
      </c>
      <c r="L30" s="13">
        <f t="shared" si="11"/>
        <v>50000</v>
      </c>
      <c r="M30" s="13">
        <f t="shared" si="11"/>
        <v>51300</v>
      </c>
      <c r="N30" s="13">
        <f t="shared" si="11"/>
        <v>52600</v>
      </c>
      <c r="O30" s="13">
        <f t="shared" si="11"/>
        <v>53900</v>
      </c>
      <c r="P30" s="13">
        <f t="shared" si="11"/>
        <v>55200</v>
      </c>
      <c r="Q30" s="13">
        <f t="shared" si="11"/>
        <v>56600</v>
      </c>
      <c r="R30" s="1" t="s">
        <v>20</v>
      </c>
      <c r="S30" s="13">
        <f>ROUND((+Q30)*1.025,-2)</f>
        <v>58000</v>
      </c>
      <c r="T30" s="13">
        <f>ROUND((+S30)*1.025,-2)</f>
        <v>59500</v>
      </c>
      <c r="U30" s="13">
        <f aca="true" t="shared" si="13" ref="U30:AG30">ROUND((+T30)*1.025,-2)</f>
        <v>61000</v>
      </c>
      <c r="V30" s="13">
        <f t="shared" si="13"/>
        <v>62500</v>
      </c>
      <c r="W30" s="13">
        <f t="shared" si="13"/>
        <v>64100</v>
      </c>
      <c r="X30" s="13">
        <f t="shared" si="13"/>
        <v>65700</v>
      </c>
      <c r="Y30" s="13">
        <f t="shared" si="13"/>
        <v>67300</v>
      </c>
      <c r="Z30" s="13">
        <f t="shared" si="13"/>
        <v>69000</v>
      </c>
      <c r="AA30" s="13">
        <f t="shared" si="13"/>
        <v>70700</v>
      </c>
      <c r="AB30" s="13">
        <f t="shared" si="13"/>
        <v>72500</v>
      </c>
      <c r="AC30" s="13">
        <f t="shared" si="13"/>
        <v>74300</v>
      </c>
      <c r="AD30" s="13">
        <f t="shared" si="13"/>
        <v>76200</v>
      </c>
      <c r="AE30" s="13">
        <f t="shared" si="13"/>
        <v>78100</v>
      </c>
      <c r="AF30" s="13">
        <f t="shared" si="13"/>
        <v>80100</v>
      </c>
      <c r="AG30" s="13">
        <f t="shared" si="13"/>
        <v>82100</v>
      </c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ht="12.75">
      <c r="A31" s="1" t="s">
        <v>8</v>
      </c>
      <c r="B31" s="1">
        <v>5202</v>
      </c>
      <c r="C31" s="13">
        <v>5292</v>
      </c>
      <c r="D31" s="13">
        <v>5418</v>
      </c>
      <c r="E31" s="13">
        <v>5648</v>
      </c>
      <c r="F31" s="13">
        <v>5791</v>
      </c>
      <c r="G31" s="13">
        <f t="shared" si="11"/>
        <v>5900</v>
      </c>
      <c r="H31" s="13">
        <f t="shared" si="11"/>
        <v>6000</v>
      </c>
      <c r="I31" s="13">
        <f t="shared" si="11"/>
        <v>6200</v>
      </c>
      <c r="J31" s="13">
        <f t="shared" si="11"/>
        <v>6400</v>
      </c>
      <c r="K31" s="13">
        <f t="shared" si="11"/>
        <v>6600</v>
      </c>
      <c r="L31" s="13">
        <f t="shared" si="11"/>
        <v>6800</v>
      </c>
      <c r="M31" s="13">
        <f t="shared" si="11"/>
        <v>7000</v>
      </c>
      <c r="N31" s="13">
        <f t="shared" si="11"/>
        <v>7200</v>
      </c>
      <c r="O31" s="13">
        <f t="shared" si="11"/>
        <v>7400</v>
      </c>
      <c r="P31" s="13">
        <f t="shared" si="11"/>
        <v>7600</v>
      </c>
      <c r="Q31" s="13">
        <f t="shared" si="11"/>
        <v>7800</v>
      </c>
      <c r="R31" s="1" t="s">
        <v>8</v>
      </c>
      <c r="S31" s="13">
        <f>ROUND((+Q31)*1.025,-2)</f>
        <v>8000</v>
      </c>
      <c r="T31" s="13">
        <f>ROUND((+S31)*1.025,-2)</f>
        <v>8200</v>
      </c>
      <c r="U31" s="13">
        <f aca="true" t="shared" si="14" ref="U31:AG31">ROUND((+T31)*1.025,-2)</f>
        <v>8400</v>
      </c>
      <c r="V31" s="13">
        <f t="shared" si="14"/>
        <v>8600</v>
      </c>
      <c r="W31" s="13">
        <f t="shared" si="14"/>
        <v>8800</v>
      </c>
      <c r="X31" s="13">
        <f t="shared" si="14"/>
        <v>9000</v>
      </c>
      <c r="Y31" s="13">
        <f t="shared" si="14"/>
        <v>9200</v>
      </c>
      <c r="Z31" s="13">
        <f t="shared" si="14"/>
        <v>9400</v>
      </c>
      <c r="AA31" s="13">
        <f t="shared" si="14"/>
        <v>9600</v>
      </c>
      <c r="AB31" s="13">
        <f t="shared" si="14"/>
        <v>9800</v>
      </c>
      <c r="AC31" s="13">
        <f t="shared" si="14"/>
        <v>10000</v>
      </c>
      <c r="AD31" s="13">
        <f t="shared" si="14"/>
        <v>10300</v>
      </c>
      <c r="AE31" s="13">
        <f t="shared" si="14"/>
        <v>10600</v>
      </c>
      <c r="AF31" s="13">
        <f t="shared" si="14"/>
        <v>10900</v>
      </c>
      <c r="AG31" s="13">
        <f t="shared" si="14"/>
        <v>11200</v>
      </c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ht="12.75">
      <c r="A32" s="1" t="s">
        <v>19</v>
      </c>
      <c r="B32" s="1">
        <v>13051</v>
      </c>
      <c r="C32" s="13">
        <v>13443</v>
      </c>
      <c r="D32" s="13">
        <v>13846</v>
      </c>
      <c r="E32" s="13">
        <v>14262</v>
      </c>
      <c r="F32" s="13">
        <v>14689</v>
      </c>
      <c r="G32" s="13">
        <f t="shared" si="11"/>
        <v>15100</v>
      </c>
      <c r="H32" s="13">
        <f t="shared" si="11"/>
        <v>15500</v>
      </c>
      <c r="I32" s="13">
        <f t="shared" si="11"/>
        <v>15900</v>
      </c>
      <c r="J32" s="13">
        <f t="shared" si="11"/>
        <v>16300</v>
      </c>
      <c r="K32" s="13">
        <f t="shared" si="11"/>
        <v>16700</v>
      </c>
      <c r="L32" s="13">
        <f t="shared" si="11"/>
        <v>17100</v>
      </c>
      <c r="M32" s="13">
        <f t="shared" si="11"/>
        <v>17500</v>
      </c>
      <c r="N32" s="13">
        <f t="shared" si="11"/>
        <v>17900</v>
      </c>
      <c r="O32" s="13">
        <f t="shared" si="11"/>
        <v>18300</v>
      </c>
      <c r="P32" s="13">
        <f t="shared" si="11"/>
        <v>18800</v>
      </c>
      <c r="Q32" s="13">
        <f t="shared" si="11"/>
        <v>19300</v>
      </c>
      <c r="R32" s="1" t="s">
        <v>19</v>
      </c>
      <c r="S32" s="13">
        <f>ROUND((+Q32)*1.025,-2)</f>
        <v>19800</v>
      </c>
      <c r="T32" s="13">
        <f>ROUND((+S32)*1.025,-2)</f>
        <v>20300</v>
      </c>
      <c r="U32" s="13">
        <f aca="true" t="shared" si="15" ref="U32:AG32">ROUND((+T32)*1.025,-2)</f>
        <v>20800</v>
      </c>
      <c r="V32" s="13">
        <f t="shared" si="15"/>
        <v>21300</v>
      </c>
      <c r="W32" s="13">
        <f t="shared" si="15"/>
        <v>21800</v>
      </c>
      <c r="X32" s="13">
        <f t="shared" si="15"/>
        <v>22300</v>
      </c>
      <c r="Y32" s="13">
        <f t="shared" si="15"/>
        <v>22900</v>
      </c>
      <c r="Z32" s="13">
        <f t="shared" si="15"/>
        <v>23500</v>
      </c>
      <c r="AA32" s="13">
        <f t="shared" si="15"/>
        <v>24100</v>
      </c>
      <c r="AB32" s="13">
        <f t="shared" si="15"/>
        <v>24700</v>
      </c>
      <c r="AC32" s="13">
        <f t="shared" si="15"/>
        <v>25300</v>
      </c>
      <c r="AD32" s="13">
        <f t="shared" si="15"/>
        <v>25900</v>
      </c>
      <c r="AE32" s="13">
        <f t="shared" si="15"/>
        <v>26500</v>
      </c>
      <c r="AF32" s="13">
        <f t="shared" si="15"/>
        <v>27200</v>
      </c>
      <c r="AG32" s="13">
        <f t="shared" si="15"/>
        <v>27900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12.75">
      <c r="A33" s="1" t="s">
        <v>18</v>
      </c>
      <c r="B33" s="1">
        <f>2.089*100000*0.012</f>
        <v>2506.8</v>
      </c>
      <c r="C33" s="1">
        <f>2.089*100000*0.012</f>
        <v>2506.8</v>
      </c>
      <c r="D33" s="1">
        <v>2507</v>
      </c>
      <c r="E33" s="1">
        <v>2507</v>
      </c>
      <c r="F33" s="1">
        <v>2507</v>
      </c>
      <c r="G33" s="1">
        <f aca="true" t="shared" si="16" ref="G33:AG33">ROUND(2.089*100000*0.012,-2)</f>
        <v>2500</v>
      </c>
      <c r="H33" s="1">
        <f t="shared" si="16"/>
        <v>2500</v>
      </c>
      <c r="I33" s="1">
        <f t="shared" si="16"/>
        <v>2500</v>
      </c>
      <c r="J33" s="1">
        <f t="shared" si="16"/>
        <v>2500</v>
      </c>
      <c r="K33" s="1">
        <f t="shared" si="16"/>
        <v>2500</v>
      </c>
      <c r="L33" s="1">
        <f t="shared" si="16"/>
        <v>2500</v>
      </c>
      <c r="M33" s="1">
        <f t="shared" si="16"/>
        <v>2500</v>
      </c>
      <c r="N33" s="1">
        <f t="shared" si="16"/>
        <v>2500</v>
      </c>
      <c r="O33" s="1">
        <f t="shared" si="16"/>
        <v>2500</v>
      </c>
      <c r="P33" s="1">
        <f t="shared" si="16"/>
        <v>2500</v>
      </c>
      <c r="Q33" s="1">
        <f t="shared" si="16"/>
        <v>2500</v>
      </c>
      <c r="R33" s="1" t="s">
        <v>18</v>
      </c>
      <c r="S33" s="1">
        <f t="shared" si="16"/>
        <v>2500</v>
      </c>
      <c r="T33" s="1">
        <f t="shared" si="16"/>
        <v>2500</v>
      </c>
      <c r="U33" s="1">
        <f t="shared" si="16"/>
        <v>2500</v>
      </c>
      <c r="V33" s="1">
        <f t="shared" si="16"/>
        <v>2500</v>
      </c>
      <c r="W33" s="1">
        <f t="shared" si="16"/>
        <v>2500</v>
      </c>
      <c r="X33" s="1">
        <f t="shared" si="16"/>
        <v>2500</v>
      </c>
      <c r="Y33" s="1">
        <f t="shared" si="16"/>
        <v>2500</v>
      </c>
      <c r="Z33" s="1">
        <f t="shared" si="16"/>
        <v>2500</v>
      </c>
      <c r="AA33" s="1">
        <f t="shared" si="16"/>
        <v>2500</v>
      </c>
      <c r="AB33" s="1">
        <f t="shared" si="16"/>
        <v>2500</v>
      </c>
      <c r="AC33" s="1">
        <f t="shared" si="16"/>
        <v>2500</v>
      </c>
      <c r="AD33" s="1">
        <f t="shared" si="16"/>
        <v>2500</v>
      </c>
      <c r="AE33" s="1">
        <f t="shared" si="16"/>
        <v>2500</v>
      </c>
      <c r="AF33" s="1">
        <f t="shared" si="16"/>
        <v>2500</v>
      </c>
      <c r="AG33" s="1">
        <f t="shared" si="16"/>
        <v>2500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33" ht="12.75">
      <c r="A34" s="1" t="s">
        <v>23</v>
      </c>
      <c r="B34" s="1">
        <v>6900</v>
      </c>
      <c r="C34" s="13">
        <v>7200</v>
      </c>
      <c r="D34" s="13">
        <v>7400</v>
      </c>
      <c r="E34" s="13">
        <v>7600</v>
      </c>
      <c r="F34" s="13">
        <v>7900</v>
      </c>
      <c r="G34" s="13">
        <f aca="true" t="shared" si="17" ref="G34:Q34">ROUND((+F34)*1.025,-2)</f>
        <v>8100</v>
      </c>
      <c r="H34" s="13">
        <f t="shared" si="17"/>
        <v>8300</v>
      </c>
      <c r="I34" s="13">
        <f t="shared" si="17"/>
        <v>8500</v>
      </c>
      <c r="J34" s="13">
        <f t="shared" si="17"/>
        <v>8700</v>
      </c>
      <c r="K34" s="13">
        <f t="shared" si="17"/>
        <v>8900</v>
      </c>
      <c r="L34" s="13">
        <f t="shared" si="17"/>
        <v>9100</v>
      </c>
      <c r="M34" s="13">
        <f t="shared" si="17"/>
        <v>9300</v>
      </c>
      <c r="N34" s="13">
        <f t="shared" si="17"/>
        <v>9500</v>
      </c>
      <c r="O34" s="13">
        <f t="shared" si="17"/>
        <v>9700</v>
      </c>
      <c r="P34" s="13">
        <f t="shared" si="17"/>
        <v>9900</v>
      </c>
      <c r="Q34" s="13">
        <f t="shared" si="17"/>
        <v>10100</v>
      </c>
      <c r="R34" s="1" t="s">
        <v>23</v>
      </c>
      <c r="S34" s="13">
        <f>ROUND((+Q34)*1.025,-2)</f>
        <v>10400</v>
      </c>
      <c r="T34" s="13">
        <f>ROUND((+S34)*1.025,-2)</f>
        <v>10700</v>
      </c>
      <c r="U34" s="13">
        <f aca="true" t="shared" si="18" ref="U34:AG34">ROUND((+T34)*1.025,-2)</f>
        <v>11000</v>
      </c>
      <c r="V34" s="13">
        <f t="shared" si="18"/>
        <v>11300</v>
      </c>
      <c r="W34" s="13">
        <f t="shared" si="18"/>
        <v>11600</v>
      </c>
      <c r="X34" s="13">
        <f t="shared" si="18"/>
        <v>11900</v>
      </c>
      <c r="Y34" s="13">
        <f t="shared" si="18"/>
        <v>12200</v>
      </c>
      <c r="Z34" s="13">
        <f t="shared" si="18"/>
        <v>12500</v>
      </c>
      <c r="AA34" s="13">
        <f t="shared" si="18"/>
        <v>12800</v>
      </c>
      <c r="AB34" s="13">
        <f t="shared" si="18"/>
        <v>13100</v>
      </c>
      <c r="AC34" s="13">
        <f t="shared" si="18"/>
        <v>13400</v>
      </c>
      <c r="AD34" s="13">
        <f t="shared" si="18"/>
        <v>13700</v>
      </c>
      <c r="AE34" s="13">
        <f t="shared" si="18"/>
        <v>14000</v>
      </c>
      <c r="AF34" s="13">
        <f t="shared" si="18"/>
        <v>14400</v>
      </c>
      <c r="AG34" s="13">
        <f t="shared" si="18"/>
        <v>14800</v>
      </c>
    </row>
    <row r="35" spans="1:33" ht="12.75">
      <c r="A35" s="1" t="s">
        <v>24</v>
      </c>
      <c r="B35" s="6">
        <f>+(283*3)+(246*3)+(63*6)</f>
        <v>1965</v>
      </c>
      <c r="C35" s="6">
        <f>+(63*3)+ROUND(63*1.025*9,0)</f>
        <v>770</v>
      </c>
      <c r="D35" s="6">
        <f>+(65*3)+ROUND(65*1.025*9,0)</f>
        <v>795</v>
      </c>
      <c r="E35" s="6">
        <f>+(67*3)+ROUND(67*1.025*9,0)</f>
        <v>819</v>
      </c>
      <c r="F35" s="6">
        <f>+(69*3)+ROUND(69*1.025*9,0)</f>
        <v>844</v>
      </c>
      <c r="G35" s="6">
        <f>+(71*3)+ROUND(71*1.025*9,0)</f>
        <v>868</v>
      </c>
      <c r="H35" s="6">
        <f>+(73*3)+ROUND(73*1.025*9,0)</f>
        <v>892</v>
      </c>
      <c r="I35" s="6">
        <f>+(75*3)+ROUND(75*1.025*9,0)</f>
        <v>917</v>
      </c>
      <c r="J35" s="6">
        <f>+(77*3)+ROUND(77*1.025*9,0)</f>
        <v>941</v>
      </c>
      <c r="K35" s="6">
        <f>+(79*3)+ROUND(79*1.025*9,0)</f>
        <v>966</v>
      </c>
      <c r="L35" s="6">
        <f>+(81*3)+ROUND(81*1.025*9,0)</f>
        <v>990</v>
      </c>
      <c r="M35" s="6">
        <f>+(83*3)+ROUND(83*1.025*9,0)</f>
        <v>1015</v>
      </c>
      <c r="N35" s="6">
        <f>+(85*3)+ROUND(85*1.025*9,0)</f>
        <v>1039</v>
      </c>
      <c r="O35" s="6">
        <f>+(87*3)+ROUND(87*1.025*9,0)</f>
        <v>1064</v>
      </c>
      <c r="P35" s="6">
        <f>+(89*3)+ROUND(89*1.025*9,0)</f>
        <v>1088</v>
      </c>
      <c r="Q35" s="6">
        <f>+(91*3)+ROUND(91*1.025*9,0)</f>
        <v>1112</v>
      </c>
      <c r="R35" s="1" t="s">
        <v>24</v>
      </c>
      <c r="S35" s="6">
        <f>+(93*3)+ROUND(93*1.025*9,0)</f>
        <v>1137</v>
      </c>
      <c r="T35" s="6">
        <f>+(95*3)+ROUND(95*1.025*9,0)</f>
        <v>1161</v>
      </c>
      <c r="U35" s="6">
        <f>+(97*3)+ROUND(97*1.025*9,0)</f>
        <v>1186</v>
      </c>
      <c r="V35" s="6">
        <f>+(99*3)+ROUND(99*1.025*9,0)</f>
        <v>1210</v>
      </c>
      <c r="W35" s="6">
        <f>+(101*3)+ROUND(101*1.025*9,0)</f>
        <v>1235</v>
      </c>
      <c r="X35" s="6">
        <f>+(104*3)+ROUND(104*1.025*9,0)</f>
        <v>1271</v>
      </c>
      <c r="Y35" s="6">
        <f>+(107*3)+ROUND(107*1.025*9,0)</f>
        <v>1308</v>
      </c>
      <c r="Z35" s="6">
        <f>+(110*3)+ROUND(110*1.025*9,0)</f>
        <v>1345</v>
      </c>
      <c r="AA35" s="6">
        <f>+(113*3)+ROUND(113*1.025*9,0)</f>
        <v>1381</v>
      </c>
      <c r="AB35" s="6">
        <f>+(116*3)+ROUND(116*1.025*9,0)</f>
        <v>1418</v>
      </c>
      <c r="AC35" s="6">
        <f>+(119*3)+ROUND(119*1.025*9,0)</f>
        <v>1455</v>
      </c>
      <c r="AD35" s="6">
        <f>+(122*3)+ROUND(122*1.025*9,0)</f>
        <v>1491</v>
      </c>
      <c r="AE35" s="6">
        <f>+(125*3)+ROUND(125*1.025*9,0)</f>
        <v>1528</v>
      </c>
      <c r="AF35" s="6">
        <f>+(128*3)+ROUND(128*1.025*9,0)</f>
        <v>1565</v>
      </c>
      <c r="AG35" s="6">
        <f>+(131*3)+ROUND(131*1.025*9,0)</f>
        <v>1601</v>
      </c>
    </row>
    <row r="36" spans="1:33" s="5" customFormat="1" ht="13.5" thickBot="1">
      <c r="A36" s="5" t="s">
        <v>11</v>
      </c>
      <c r="B36" s="15">
        <f>SUM(B28:B35)</f>
        <v>353473.8</v>
      </c>
      <c r="C36" s="15">
        <f>SUM(C28:C34)</f>
        <v>378491.8</v>
      </c>
      <c r="D36" s="15">
        <f>SUM(D28:D35)</f>
        <v>403137.89247098455</v>
      </c>
      <c r="E36" s="15">
        <f>SUM(E28:E35)</f>
        <v>426834.67172374285</v>
      </c>
      <c r="F36" s="15">
        <f aca="true" t="shared" si="19" ref="F36:V36">SUM(F28:F35)</f>
        <v>433645.67172374285</v>
      </c>
      <c r="G36" s="15">
        <f t="shared" si="19"/>
        <v>445516.67172374285</v>
      </c>
      <c r="H36" s="15">
        <f t="shared" si="19"/>
        <v>462929.67172374285</v>
      </c>
      <c r="I36" s="15">
        <f t="shared" si="19"/>
        <v>454605.67172374285</v>
      </c>
      <c r="J36" s="15">
        <f t="shared" si="19"/>
        <v>467983.67172374285</v>
      </c>
      <c r="K36" s="15">
        <f t="shared" si="19"/>
        <v>461171.42172374285</v>
      </c>
      <c r="L36" s="15">
        <f t="shared" si="19"/>
        <v>487593.67172374285</v>
      </c>
      <c r="M36" s="15">
        <f t="shared" si="19"/>
        <v>491666.67172374285</v>
      </c>
      <c r="N36" s="15">
        <f t="shared" si="19"/>
        <v>489480.67172374285</v>
      </c>
      <c r="O36" s="15">
        <f t="shared" si="19"/>
        <v>510038.67172374285</v>
      </c>
      <c r="P36" s="15">
        <f t="shared" si="19"/>
        <v>510462.67172374285</v>
      </c>
      <c r="Q36" s="15">
        <f t="shared" si="19"/>
        <v>530187.6717237429</v>
      </c>
      <c r="R36" s="5" t="s">
        <v>11</v>
      </c>
      <c r="S36" s="15">
        <f t="shared" si="19"/>
        <v>458001.67172374285</v>
      </c>
      <c r="T36" s="15">
        <f t="shared" si="19"/>
        <v>448557.67172374285</v>
      </c>
      <c r="U36" s="15">
        <f t="shared" si="19"/>
        <v>446432.67172374285</v>
      </c>
      <c r="V36" s="15">
        <f t="shared" si="19"/>
        <v>455356.67172374285</v>
      </c>
      <c r="W36" s="15">
        <f aca="true" t="shared" si="20" ref="W36:AG36">SUM(W28:W35)</f>
        <v>469281.67172374285</v>
      </c>
      <c r="X36" s="15">
        <f t="shared" si="20"/>
        <v>478617.67172374285</v>
      </c>
      <c r="Y36" s="15">
        <f t="shared" si="20"/>
        <v>497954.67172374285</v>
      </c>
      <c r="Z36" s="15">
        <f t="shared" si="20"/>
        <v>502191.67172374285</v>
      </c>
      <c r="AA36" s="15">
        <f t="shared" si="20"/>
        <v>501127.67172374285</v>
      </c>
      <c r="AB36" s="15">
        <f t="shared" si="20"/>
        <v>512364.67172374285</v>
      </c>
      <c r="AC36" s="15">
        <f t="shared" si="20"/>
        <v>522101.67172374285</v>
      </c>
      <c r="AD36" s="15">
        <f t="shared" si="20"/>
        <v>539437.6717237429</v>
      </c>
      <c r="AE36" s="15">
        <f t="shared" si="20"/>
        <v>560474.6717237429</v>
      </c>
      <c r="AF36" s="15">
        <f t="shared" si="20"/>
        <v>572811.6717237429</v>
      </c>
      <c r="AG36" s="15">
        <f t="shared" si="20"/>
        <v>940074.3358618715</v>
      </c>
    </row>
    <row r="37" ht="3" customHeight="1" thickTop="1"/>
    <row r="38" spans="1:33" s="7" customFormat="1" ht="12.75">
      <c r="A38" s="7" t="s">
        <v>33</v>
      </c>
      <c r="B38" s="7">
        <f aca="true" t="shared" si="21" ref="B38:AG38">ROUND(B36/B9*1000,3)</f>
        <v>23.205</v>
      </c>
      <c r="C38" s="7">
        <f t="shared" si="21"/>
        <v>25.683</v>
      </c>
      <c r="D38" s="7">
        <f t="shared" si="21"/>
        <v>27.526</v>
      </c>
      <c r="E38" s="7">
        <f t="shared" si="21"/>
        <v>29.364</v>
      </c>
      <c r="F38" s="7">
        <f t="shared" si="21"/>
        <v>29.396</v>
      </c>
      <c r="G38" s="7">
        <f t="shared" si="21"/>
        <v>30.199</v>
      </c>
      <c r="H38" s="7">
        <f t="shared" si="21"/>
        <v>30.964</v>
      </c>
      <c r="I38" s="7">
        <f t="shared" si="21"/>
        <v>30.09</v>
      </c>
      <c r="J38" s="7">
        <f t="shared" si="21"/>
        <v>30.874</v>
      </c>
      <c r="K38" s="7">
        <f t="shared" si="21"/>
        <v>30.162</v>
      </c>
      <c r="L38" s="7">
        <f t="shared" si="21"/>
        <v>32.11</v>
      </c>
      <c r="M38" s="7">
        <f t="shared" si="21"/>
        <v>32.378</v>
      </c>
      <c r="N38" s="7">
        <f t="shared" si="21"/>
        <v>32.234</v>
      </c>
      <c r="O38" s="7">
        <f t="shared" si="21"/>
        <v>33.588</v>
      </c>
      <c r="P38" s="7">
        <f t="shared" si="21"/>
        <v>33.616</v>
      </c>
      <c r="Q38" s="7">
        <f t="shared" si="21"/>
        <v>34.915</v>
      </c>
      <c r="R38" s="7" t="s">
        <v>33</v>
      </c>
      <c r="S38" s="7">
        <f t="shared" si="21"/>
        <v>30.161</v>
      </c>
      <c r="T38" s="7">
        <f t="shared" si="21"/>
        <v>29.54</v>
      </c>
      <c r="U38" s="7">
        <f t="shared" si="21"/>
        <v>29.4</v>
      </c>
      <c r="V38" s="7">
        <f t="shared" si="21"/>
        <v>29.987</v>
      </c>
      <c r="W38" s="7">
        <f t="shared" si="21"/>
        <v>30.904</v>
      </c>
      <c r="X38" s="7">
        <f t="shared" si="21"/>
        <v>31.519</v>
      </c>
      <c r="Y38" s="7">
        <f t="shared" si="21"/>
        <v>32.793</v>
      </c>
      <c r="Z38" s="7">
        <f t="shared" si="21"/>
        <v>33.072</v>
      </c>
      <c r="AA38" s="7">
        <f t="shared" si="21"/>
        <v>33.001</v>
      </c>
      <c r="AB38" s="7">
        <f t="shared" si="21"/>
        <v>33.741</v>
      </c>
      <c r="AC38" s="7">
        <f t="shared" si="21"/>
        <v>34.383</v>
      </c>
      <c r="AD38" s="7">
        <f t="shared" si="21"/>
        <v>35.524</v>
      </c>
      <c r="AE38" s="7">
        <f t="shared" si="21"/>
        <v>36.91</v>
      </c>
      <c r="AF38" s="7">
        <f t="shared" si="21"/>
        <v>37.722</v>
      </c>
      <c r="AG38" s="7">
        <f t="shared" si="21"/>
        <v>61.908</v>
      </c>
    </row>
    <row r="39" ht="3" customHeight="1" thickBot="1"/>
    <row r="40" spans="1:18" ht="16.5" thickBot="1">
      <c r="A40" s="11" t="s">
        <v>5</v>
      </c>
      <c r="R40" s="11" t="s">
        <v>5</v>
      </c>
    </row>
    <row r="41" spans="1:33" s="8" customFormat="1" ht="12.75">
      <c r="A41" s="8" t="s">
        <v>13</v>
      </c>
      <c r="B41" s="1">
        <v>357789</v>
      </c>
      <c r="C41" s="1">
        <v>358212</v>
      </c>
      <c r="D41" s="1">
        <v>352951</v>
      </c>
      <c r="E41" s="1">
        <v>379915</v>
      </c>
      <c r="F41" s="1">
        <v>377147</v>
      </c>
      <c r="G41" s="1">
        <v>378844</v>
      </c>
      <c r="H41" s="1">
        <v>395940</v>
      </c>
      <c r="I41" s="1">
        <v>412888</v>
      </c>
      <c r="J41" s="1">
        <v>426474</v>
      </c>
      <c r="K41" s="1">
        <v>443694</v>
      </c>
      <c r="L41" s="1">
        <v>453865</v>
      </c>
      <c r="M41" s="1">
        <v>467481</v>
      </c>
      <c r="N41" s="1">
        <v>481505</v>
      </c>
      <c r="O41" s="1">
        <v>495951</v>
      </c>
      <c r="P41" s="1">
        <v>510829</v>
      </c>
      <c r="Q41" s="1">
        <v>526154</v>
      </c>
      <c r="R41" s="8" t="s">
        <v>13</v>
      </c>
      <c r="S41" s="1">
        <v>541939</v>
      </c>
      <c r="T41" s="1">
        <v>558197</v>
      </c>
      <c r="U41" s="1">
        <v>574943</v>
      </c>
      <c r="V41" s="1">
        <v>592191</v>
      </c>
      <c r="W41" s="13">
        <f>ROUND((+V41)*1.03,-2)</f>
        <v>610000</v>
      </c>
      <c r="X41" s="13">
        <f aca="true" t="shared" si="22" ref="X41:AG41">ROUND((+W41)*1.03,-2)</f>
        <v>628300</v>
      </c>
      <c r="Y41" s="13">
        <f t="shared" si="22"/>
        <v>647100</v>
      </c>
      <c r="Z41" s="13">
        <f t="shared" si="22"/>
        <v>666500</v>
      </c>
      <c r="AA41" s="13">
        <f t="shared" si="22"/>
        <v>686500</v>
      </c>
      <c r="AB41" s="13">
        <f t="shared" si="22"/>
        <v>707100</v>
      </c>
      <c r="AC41" s="13">
        <f t="shared" si="22"/>
        <v>728300</v>
      </c>
      <c r="AD41" s="13">
        <f t="shared" si="22"/>
        <v>750100</v>
      </c>
      <c r="AE41" s="13">
        <f t="shared" si="22"/>
        <v>772600</v>
      </c>
      <c r="AF41" s="13">
        <f t="shared" si="22"/>
        <v>795800</v>
      </c>
      <c r="AG41" s="13">
        <f t="shared" si="22"/>
        <v>819700</v>
      </c>
    </row>
    <row r="42" spans="1:33" s="8" customFormat="1" ht="12.75">
      <c r="A42" s="8" t="s">
        <v>17</v>
      </c>
      <c r="B42" s="1">
        <v>7344</v>
      </c>
      <c r="C42" s="1">
        <v>10460</v>
      </c>
      <c r="D42" s="1">
        <v>3398</v>
      </c>
      <c r="E42" s="1">
        <v>224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8" t="s">
        <v>17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</row>
    <row r="43" spans="1:33" s="8" customFormat="1" ht="12.75">
      <c r="A43" s="8" t="s">
        <v>38</v>
      </c>
      <c r="B43" s="6">
        <v>24198</v>
      </c>
      <c r="C43" s="6">
        <v>35520</v>
      </c>
      <c r="D43" s="6">
        <v>46856</v>
      </c>
      <c r="E43" s="6">
        <v>48653</v>
      </c>
      <c r="F43" s="6">
        <v>63742</v>
      </c>
      <c r="G43" s="6">
        <v>67413</v>
      </c>
      <c r="H43" s="6">
        <v>70160</v>
      </c>
      <c r="I43" s="6">
        <v>74191</v>
      </c>
      <c r="J43" s="6">
        <v>78831</v>
      </c>
      <c r="K43" s="6">
        <v>83007</v>
      </c>
      <c r="L43" s="6">
        <v>84910</v>
      </c>
      <c r="M43" s="6">
        <v>87457</v>
      </c>
      <c r="N43" s="6">
        <v>90081</v>
      </c>
      <c r="O43" s="6">
        <v>92783</v>
      </c>
      <c r="P43" s="6">
        <v>95567</v>
      </c>
      <c r="Q43" s="6">
        <v>98434</v>
      </c>
      <c r="R43" s="8" t="s">
        <v>38</v>
      </c>
      <c r="S43" s="6">
        <v>101387</v>
      </c>
      <c r="T43" s="6">
        <v>104428</v>
      </c>
      <c r="U43" s="6">
        <v>107561</v>
      </c>
      <c r="V43" s="6">
        <v>110788</v>
      </c>
      <c r="W43" s="6">
        <f>ROUND((+V43)*1.025,-2)</f>
        <v>113600</v>
      </c>
      <c r="X43" s="6">
        <f aca="true" t="shared" si="23" ref="X43:AG43">ROUND((+W43)*1.025,-2)</f>
        <v>116400</v>
      </c>
      <c r="Y43" s="6">
        <f t="shared" si="23"/>
        <v>119300</v>
      </c>
      <c r="Z43" s="6">
        <f t="shared" si="23"/>
        <v>122300</v>
      </c>
      <c r="AA43" s="6">
        <f t="shared" si="23"/>
        <v>125400</v>
      </c>
      <c r="AB43" s="6">
        <f t="shared" si="23"/>
        <v>128500</v>
      </c>
      <c r="AC43" s="6">
        <f t="shared" si="23"/>
        <v>131700</v>
      </c>
      <c r="AD43" s="6">
        <f t="shared" si="23"/>
        <v>135000</v>
      </c>
      <c r="AE43" s="6">
        <f t="shared" si="23"/>
        <v>138400</v>
      </c>
      <c r="AF43" s="6">
        <f t="shared" si="23"/>
        <v>141900</v>
      </c>
      <c r="AG43" s="6">
        <f t="shared" si="23"/>
        <v>145400</v>
      </c>
    </row>
    <row r="44" spans="1:33" s="5" customFormat="1" ht="13.5" thickBot="1">
      <c r="A44" s="5" t="s">
        <v>6</v>
      </c>
      <c r="B44" s="16">
        <f>SUM(B41:B43)</f>
        <v>389331</v>
      </c>
      <c r="C44" s="16">
        <f>SUM(C41:C43)</f>
        <v>404192</v>
      </c>
      <c r="D44" s="16">
        <f>SUM(D41:D43)</f>
        <v>403205</v>
      </c>
      <c r="E44" s="16">
        <f>SUM(E41:E43)</f>
        <v>428792</v>
      </c>
      <c r="F44" s="16">
        <f aca="true" t="shared" si="24" ref="F44:V44">SUM(F41:F43)</f>
        <v>440889</v>
      </c>
      <c r="G44" s="16">
        <f t="shared" si="24"/>
        <v>446257</v>
      </c>
      <c r="H44" s="16">
        <f t="shared" si="24"/>
        <v>466100</v>
      </c>
      <c r="I44" s="16">
        <f t="shared" si="24"/>
        <v>487079</v>
      </c>
      <c r="J44" s="16">
        <f t="shared" si="24"/>
        <v>505305</v>
      </c>
      <c r="K44" s="16">
        <f t="shared" si="24"/>
        <v>526701</v>
      </c>
      <c r="L44" s="16">
        <f t="shared" si="24"/>
        <v>538775</v>
      </c>
      <c r="M44" s="16">
        <f t="shared" si="24"/>
        <v>554938</v>
      </c>
      <c r="N44" s="16">
        <f t="shared" si="24"/>
        <v>571586</v>
      </c>
      <c r="O44" s="16">
        <f t="shared" si="24"/>
        <v>588734</v>
      </c>
      <c r="P44" s="16">
        <f t="shared" si="24"/>
        <v>606396</v>
      </c>
      <c r="Q44" s="16">
        <f t="shared" si="24"/>
        <v>624588</v>
      </c>
      <c r="R44" s="5" t="s">
        <v>6</v>
      </c>
      <c r="S44" s="16">
        <f t="shared" si="24"/>
        <v>643326</v>
      </c>
      <c r="T44" s="16">
        <f t="shared" si="24"/>
        <v>662625</v>
      </c>
      <c r="U44" s="16">
        <f t="shared" si="24"/>
        <v>682504</v>
      </c>
      <c r="V44" s="16">
        <f t="shared" si="24"/>
        <v>702979</v>
      </c>
      <c r="W44" s="16">
        <f aca="true" t="shared" si="25" ref="W44:AG44">SUM(W41:W43)</f>
        <v>723600</v>
      </c>
      <c r="X44" s="16">
        <f t="shared" si="25"/>
        <v>744700</v>
      </c>
      <c r="Y44" s="16">
        <f t="shared" si="25"/>
        <v>766400</v>
      </c>
      <c r="Z44" s="16">
        <f t="shared" si="25"/>
        <v>788800</v>
      </c>
      <c r="AA44" s="16">
        <f t="shared" si="25"/>
        <v>811900</v>
      </c>
      <c r="AB44" s="16">
        <f t="shared" si="25"/>
        <v>835600</v>
      </c>
      <c r="AC44" s="16">
        <f t="shared" si="25"/>
        <v>860000</v>
      </c>
      <c r="AD44" s="16">
        <f t="shared" si="25"/>
        <v>885100</v>
      </c>
      <c r="AE44" s="16">
        <f t="shared" si="25"/>
        <v>911000</v>
      </c>
      <c r="AF44" s="16">
        <f t="shared" si="25"/>
        <v>937700</v>
      </c>
      <c r="AG44" s="16">
        <f t="shared" si="25"/>
        <v>965100</v>
      </c>
    </row>
    <row r="45" ht="3" customHeight="1" thickTop="1"/>
    <row r="46" spans="1:33" s="5" customFormat="1" ht="12.75">
      <c r="A46" s="7" t="s">
        <v>34</v>
      </c>
      <c r="B46" s="7">
        <f aca="true" t="shared" si="26" ref="B46:AG46">ROUND(B44/B9*1000,3)</f>
        <v>25.559</v>
      </c>
      <c r="C46" s="7">
        <f t="shared" si="26"/>
        <v>27.427</v>
      </c>
      <c r="D46" s="7">
        <f t="shared" si="26"/>
        <v>27.531</v>
      </c>
      <c r="E46" s="7">
        <f t="shared" si="26"/>
        <v>29.499</v>
      </c>
      <c r="F46" s="7">
        <f t="shared" si="26"/>
        <v>29.887</v>
      </c>
      <c r="G46" s="7">
        <f t="shared" si="26"/>
        <v>30.249</v>
      </c>
      <c r="H46" s="7">
        <f t="shared" si="26"/>
        <v>31.177</v>
      </c>
      <c r="I46" s="7">
        <f t="shared" si="26"/>
        <v>32.24</v>
      </c>
      <c r="J46" s="7">
        <f t="shared" si="26"/>
        <v>33.336</v>
      </c>
      <c r="K46" s="7">
        <f t="shared" si="26"/>
        <v>34.447</v>
      </c>
      <c r="L46" s="7">
        <f t="shared" si="26"/>
        <v>35.481</v>
      </c>
      <c r="M46" s="7">
        <f t="shared" si="26"/>
        <v>36.545</v>
      </c>
      <c r="N46" s="7">
        <f t="shared" si="26"/>
        <v>37.641</v>
      </c>
      <c r="O46" s="7">
        <f t="shared" si="26"/>
        <v>38.771</v>
      </c>
      <c r="P46" s="7">
        <f t="shared" si="26"/>
        <v>39.934</v>
      </c>
      <c r="Q46" s="7">
        <f t="shared" si="26"/>
        <v>41.132</v>
      </c>
      <c r="R46" s="7" t="s">
        <v>34</v>
      </c>
      <c r="S46" s="7">
        <f t="shared" si="26"/>
        <v>42.366</v>
      </c>
      <c r="T46" s="7">
        <f t="shared" si="26"/>
        <v>43.637</v>
      </c>
      <c r="U46" s="7">
        <f t="shared" si="26"/>
        <v>44.946</v>
      </c>
      <c r="V46" s="7">
        <f t="shared" si="26"/>
        <v>46.294</v>
      </c>
      <c r="W46" s="7">
        <f t="shared" si="26"/>
        <v>47.652</v>
      </c>
      <c r="X46" s="7">
        <f t="shared" si="26"/>
        <v>49.042</v>
      </c>
      <c r="Y46" s="7">
        <f t="shared" si="26"/>
        <v>50.471</v>
      </c>
      <c r="Z46" s="7">
        <f t="shared" si="26"/>
        <v>51.946</v>
      </c>
      <c r="AA46" s="7">
        <f t="shared" si="26"/>
        <v>53.467</v>
      </c>
      <c r="AB46" s="7">
        <f t="shared" si="26"/>
        <v>55.028</v>
      </c>
      <c r="AC46" s="7">
        <f t="shared" si="26"/>
        <v>56.635</v>
      </c>
      <c r="AD46" s="7">
        <f t="shared" si="26"/>
        <v>58.288</v>
      </c>
      <c r="AE46" s="7">
        <f t="shared" si="26"/>
        <v>59.993</v>
      </c>
      <c r="AF46" s="7">
        <f t="shared" si="26"/>
        <v>61.752</v>
      </c>
      <c r="AG46" s="7">
        <f t="shared" si="26"/>
        <v>63.556</v>
      </c>
    </row>
    <row r="47" spans="1:33" s="5" customFormat="1" ht="4.5" customHeight="1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s="5" customFormat="1" ht="16.5" thickBot="1">
      <c r="A48" s="12" t="s">
        <v>14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 t="s">
        <v>14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s="5" customFormat="1" ht="12.75">
      <c r="A49" s="9" t="s">
        <v>16</v>
      </c>
      <c r="B49" s="1">
        <v>22000</v>
      </c>
      <c r="C49" s="1">
        <v>22000</v>
      </c>
      <c r="D49" s="1">
        <v>22000</v>
      </c>
      <c r="E49" s="1">
        <v>22000</v>
      </c>
      <c r="F49" s="1">
        <v>24000</v>
      </c>
      <c r="G49" s="1">
        <v>24000</v>
      </c>
      <c r="H49" s="1">
        <v>24000</v>
      </c>
      <c r="I49" s="1">
        <v>24000</v>
      </c>
      <c r="J49" s="1">
        <v>24000</v>
      </c>
      <c r="K49" s="1">
        <v>24000</v>
      </c>
      <c r="L49" s="1">
        <v>24000</v>
      </c>
      <c r="M49" s="1">
        <v>24000</v>
      </c>
      <c r="N49" s="1">
        <v>24000</v>
      </c>
      <c r="O49" s="1">
        <v>24000</v>
      </c>
      <c r="P49" s="1">
        <v>24000</v>
      </c>
      <c r="Q49" s="1">
        <v>24000</v>
      </c>
      <c r="R49" s="9" t="s">
        <v>16</v>
      </c>
      <c r="S49" s="1">
        <v>24000</v>
      </c>
      <c r="T49" s="1">
        <v>24000</v>
      </c>
      <c r="U49" s="1">
        <v>24000</v>
      </c>
      <c r="V49" s="1">
        <v>24000</v>
      </c>
      <c r="W49" s="1">
        <v>24000</v>
      </c>
      <c r="X49" s="1">
        <v>24000</v>
      </c>
      <c r="Y49" s="1">
        <v>24000</v>
      </c>
      <c r="Z49" s="1">
        <v>24000</v>
      </c>
      <c r="AA49" s="1">
        <v>24000</v>
      </c>
      <c r="AB49" s="1">
        <v>24000</v>
      </c>
      <c r="AC49" s="1">
        <v>24000</v>
      </c>
      <c r="AD49" s="1">
        <v>24000</v>
      </c>
      <c r="AE49" s="1">
        <v>24000</v>
      </c>
      <c r="AF49" s="1">
        <v>24000</v>
      </c>
      <c r="AG49" s="1">
        <v>24000</v>
      </c>
    </row>
    <row r="50" spans="1:33" s="5" customFormat="1" ht="12.75">
      <c r="A50" s="9" t="s">
        <v>22</v>
      </c>
      <c r="B50" s="6">
        <f>-B49</f>
        <v>-22000</v>
      </c>
      <c r="C50" s="6">
        <f>-C49</f>
        <v>-22000</v>
      </c>
      <c r="D50" s="6">
        <f>-D49</f>
        <v>-22000</v>
      </c>
      <c r="E50" s="6">
        <f>-E49</f>
        <v>-22000</v>
      </c>
      <c r="F50" s="6">
        <f aca="true" t="shared" si="27" ref="F50:V50">-F49</f>
        <v>-24000</v>
      </c>
      <c r="G50" s="6">
        <f t="shared" si="27"/>
        <v>-24000</v>
      </c>
      <c r="H50" s="6">
        <f t="shared" si="27"/>
        <v>-24000</v>
      </c>
      <c r="I50" s="6">
        <f t="shared" si="27"/>
        <v>-24000</v>
      </c>
      <c r="J50" s="6">
        <f t="shared" si="27"/>
        <v>-24000</v>
      </c>
      <c r="K50" s="6">
        <f t="shared" si="27"/>
        <v>-24000</v>
      </c>
      <c r="L50" s="6">
        <f t="shared" si="27"/>
        <v>-24000</v>
      </c>
      <c r="M50" s="6">
        <f t="shared" si="27"/>
        <v>-24000</v>
      </c>
      <c r="N50" s="6">
        <f t="shared" si="27"/>
        <v>-24000</v>
      </c>
      <c r="O50" s="6">
        <f t="shared" si="27"/>
        <v>-24000</v>
      </c>
      <c r="P50" s="6">
        <f t="shared" si="27"/>
        <v>-24000</v>
      </c>
      <c r="Q50" s="6">
        <f t="shared" si="27"/>
        <v>-24000</v>
      </c>
      <c r="R50" s="9" t="s">
        <v>22</v>
      </c>
      <c r="S50" s="6">
        <f t="shared" si="27"/>
        <v>-24000</v>
      </c>
      <c r="T50" s="6">
        <f t="shared" si="27"/>
        <v>-24000</v>
      </c>
      <c r="U50" s="6">
        <f t="shared" si="27"/>
        <v>-24000</v>
      </c>
      <c r="V50" s="6">
        <f t="shared" si="27"/>
        <v>-24000</v>
      </c>
      <c r="W50" s="6">
        <f aca="true" t="shared" si="28" ref="W50:AG50">-W49</f>
        <v>-24000</v>
      </c>
      <c r="X50" s="6">
        <f t="shared" si="28"/>
        <v>-24000</v>
      </c>
      <c r="Y50" s="6">
        <f t="shared" si="28"/>
        <v>-24000</v>
      </c>
      <c r="Z50" s="6">
        <f t="shared" si="28"/>
        <v>-24000</v>
      </c>
      <c r="AA50" s="6">
        <f t="shared" si="28"/>
        <v>-24000</v>
      </c>
      <c r="AB50" s="6">
        <f t="shared" si="28"/>
        <v>-24000</v>
      </c>
      <c r="AC50" s="6">
        <f t="shared" si="28"/>
        <v>-24000</v>
      </c>
      <c r="AD50" s="6">
        <f t="shared" si="28"/>
        <v>-24000</v>
      </c>
      <c r="AE50" s="6">
        <f t="shared" si="28"/>
        <v>-24000</v>
      </c>
      <c r="AF50" s="6">
        <f t="shared" si="28"/>
        <v>-24000</v>
      </c>
      <c r="AG50" s="6">
        <f t="shared" si="28"/>
        <v>-24000</v>
      </c>
    </row>
    <row r="51" spans="1:33" s="5" customFormat="1" ht="13.5" thickBot="1">
      <c r="A51" s="5" t="s">
        <v>21</v>
      </c>
      <c r="B51" s="16">
        <f>SUM(B48:B50)</f>
        <v>0</v>
      </c>
      <c r="C51" s="16">
        <f>SUM(C48:C50)</f>
        <v>0</v>
      </c>
      <c r="D51" s="16">
        <f>SUM(D48:D50)</f>
        <v>0</v>
      </c>
      <c r="E51" s="16">
        <f>ROUND(+C51*1.02,-3)</f>
        <v>0</v>
      </c>
      <c r="F51" s="16">
        <f aca="true" t="shared" si="29" ref="F51:Q51">ROUND(+E51*1.02,-3)</f>
        <v>0</v>
      </c>
      <c r="G51" s="16">
        <f t="shared" si="29"/>
        <v>0</v>
      </c>
      <c r="H51" s="16">
        <f t="shared" si="29"/>
        <v>0</v>
      </c>
      <c r="I51" s="16">
        <f t="shared" si="29"/>
        <v>0</v>
      </c>
      <c r="J51" s="16">
        <f t="shared" si="29"/>
        <v>0</v>
      </c>
      <c r="K51" s="16">
        <f t="shared" si="29"/>
        <v>0</v>
      </c>
      <c r="L51" s="16">
        <f t="shared" si="29"/>
        <v>0</v>
      </c>
      <c r="M51" s="16">
        <f t="shared" si="29"/>
        <v>0</v>
      </c>
      <c r="N51" s="16">
        <f t="shared" si="29"/>
        <v>0</v>
      </c>
      <c r="O51" s="16">
        <f t="shared" si="29"/>
        <v>0</v>
      </c>
      <c r="P51" s="16">
        <f t="shared" si="29"/>
        <v>0</v>
      </c>
      <c r="Q51" s="16">
        <f t="shared" si="29"/>
        <v>0</v>
      </c>
      <c r="R51" s="5" t="s">
        <v>21</v>
      </c>
      <c r="S51" s="16">
        <f>ROUND(+Q51*1.02,-3)</f>
        <v>0</v>
      </c>
      <c r="T51" s="16">
        <f>ROUND(+S51*1.02,-3)</f>
        <v>0</v>
      </c>
      <c r="U51" s="16">
        <f>ROUND(+S51*1.02,-3)</f>
        <v>0</v>
      </c>
      <c r="V51" s="16">
        <f>ROUND(+T51*1.02,-3)</f>
        <v>0</v>
      </c>
      <c r="W51" s="16">
        <f aca="true" t="shared" si="30" ref="W51:AG51">ROUND(+U51*1.02,-3)</f>
        <v>0</v>
      </c>
      <c r="X51" s="16">
        <f t="shared" si="30"/>
        <v>0</v>
      </c>
      <c r="Y51" s="16">
        <f t="shared" si="30"/>
        <v>0</v>
      </c>
      <c r="Z51" s="16">
        <f t="shared" si="30"/>
        <v>0</v>
      </c>
      <c r="AA51" s="16">
        <f t="shared" si="30"/>
        <v>0</v>
      </c>
      <c r="AB51" s="16">
        <f t="shared" si="30"/>
        <v>0</v>
      </c>
      <c r="AC51" s="16">
        <f t="shared" si="30"/>
        <v>0</v>
      </c>
      <c r="AD51" s="16">
        <f t="shared" si="30"/>
        <v>0</v>
      </c>
      <c r="AE51" s="16">
        <f t="shared" si="30"/>
        <v>0</v>
      </c>
      <c r="AF51" s="16">
        <f t="shared" si="30"/>
        <v>0</v>
      </c>
      <c r="AG51" s="16">
        <f t="shared" si="30"/>
        <v>0</v>
      </c>
    </row>
    <row r="52" spans="2:33" ht="3" customHeight="1" thickTop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5" customFormat="1" ht="12.75">
      <c r="A53" s="7" t="s">
        <v>35</v>
      </c>
      <c r="B53" s="7">
        <f aca="true" t="shared" si="31" ref="B53:AG53">ROUND(B51/B9*1000,3)</f>
        <v>0</v>
      </c>
      <c r="C53" s="7">
        <f t="shared" si="31"/>
        <v>0</v>
      </c>
      <c r="D53" s="7">
        <f t="shared" si="31"/>
        <v>0</v>
      </c>
      <c r="E53" s="7">
        <f t="shared" si="31"/>
        <v>0</v>
      </c>
      <c r="F53" s="7">
        <f t="shared" si="31"/>
        <v>0</v>
      </c>
      <c r="G53" s="7">
        <f t="shared" si="31"/>
        <v>0</v>
      </c>
      <c r="H53" s="7">
        <f t="shared" si="31"/>
        <v>0</v>
      </c>
      <c r="I53" s="7">
        <f t="shared" si="31"/>
        <v>0</v>
      </c>
      <c r="J53" s="7">
        <f t="shared" si="31"/>
        <v>0</v>
      </c>
      <c r="K53" s="7">
        <f t="shared" si="31"/>
        <v>0</v>
      </c>
      <c r="L53" s="7">
        <f t="shared" si="31"/>
        <v>0</v>
      </c>
      <c r="M53" s="7">
        <f t="shared" si="31"/>
        <v>0</v>
      </c>
      <c r="N53" s="7">
        <f t="shared" si="31"/>
        <v>0</v>
      </c>
      <c r="O53" s="7">
        <f t="shared" si="31"/>
        <v>0</v>
      </c>
      <c r="P53" s="7">
        <f t="shared" si="31"/>
        <v>0</v>
      </c>
      <c r="Q53" s="7">
        <f t="shared" si="31"/>
        <v>0</v>
      </c>
      <c r="R53" s="7" t="s">
        <v>35</v>
      </c>
      <c r="S53" s="7">
        <f t="shared" si="31"/>
        <v>0</v>
      </c>
      <c r="T53" s="7">
        <f t="shared" si="31"/>
        <v>0</v>
      </c>
      <c r="U53" s="7">
        <f t="shared" si="31"/>
        <v>0</v>
      </c>
      <c r="V53" s="7">
        <f t="shared" si="31"/>
        <v>0</v>
      </c>
      <c r="W53" s="7">
        <f t="shared" si="31"/>
        <v>0</v>
      </c>
      <c r="X53" s="7">
        <f t="shared" si="31"/>
        <v>0</v>
      </c>
      <c r="Y53" s="7">
        <f t="shared" si="31"/>
        <v>0</v>
      </c>
      <c r="Z53" s="7">
        <f t="shared" si="31"/>
        <v>0</v>
      </c>
      <c r="AA53" s="7">
        <f t="shared" si="31"/>
        <v>0</v>
      </c>
      <c r="AB53" s="7">
        <f t="shared" si="31"/>
        <v>0</v>
      </c>
      <c r="AC53" s="7">
        <f t="shared" si="31"/>
        <v>0</v>
      </c>
      <c r="AD53" s="7">
        <f t="shared" si="31"/>
        <v>0</v>
      </c>
      <c r="AE53" s="7">
        <f t="shared" si="31"/>
        <v>0</v>
      </c>
      <c r="AF53" s="7">
        <f t="shared" si="31"/>
        <v>0</v>
      </c>
      <c r="AG53" s="7">
        <f t="shared" si="31"/>
        <v>0</v>
      </c>
    </row>
    <row r="54" spans="1:18" ht="3" customHeight="1" thickBot="1">
      <c r="A54" s="9"/>
      <c r="R54" s="9"/>
    </row>
    <row r="55" spans="1:18" ht="16.5" thickBot="1">
      <c r="A55" s="12" t="s">
        <v>9</v>
      </c>
      <c r="R55" s="12" t="s">
        <v>9</v>
      </c>
    </row>
    <row r="56" spans="1:33" s="5" customFormat="1" ht="13.5" thickBot="1">
      <c r="A56" s="7" t="s">
        <v>10</v>
      </c>
      <c r="B56" s="15">
        <f>+B51+B44+B36</f>
        <v>742804.8</v>
      </c>
      <c r="C56" s="15">
        <f>+C51+C44+C36</f>
        <v>782683.8</v>
      </c>
      <c r="D56" s="15">
        <f>+D51+D44+D36</f>
        <v>806342.8924709845</v>
      </c>
      <c r="E56" s="15">
        <f>+E51+E44+E36</f>
        <v>855626.6717237429</v>
      </c>
      <c r="F56" s="15">
        <f aca="true" t="shared" si="32" ref="F56:V56">+F51+F44+F36</f>
        <v>874534.6717237429</v>
      </c>
      <c r="G56" s="15">
        <f t="shared" si="32"/>
        <v>891773.6717237429</v>
      </c>
      <c r="H56" s="15">
        <f t="shared" si="32"/>
        <v>929029.6717237429</v>
      </c>
      <c r="I56" s="15">
        <f t="shared" si="32"/>
        <v>941684.6717237429</v>
      </c>
      <c r="J56" s="15">
        <f t="shared" si="32"/>
        <v>973288.6717237429</v>
      </c>
      <c r="K56" s="15">
        <f t="shared" si="32"/>
        <v>987872.4217237429</v>
      </c>
      <c r="L56" s="15">
        <f t="shared" si="32"/>
        <v>1026368.6717237429</v>
      </c>
      <c r="M56" s="15">
        <f t="shared" si="32"/>
        <v>1046604.6717237429</v>
      </c>
      <c r="N56" s="15">
        <f t="shared" si="32"/>
        <v>1061066.671723743</v>
      </c>
      <c r="O56" s="15">
        <f t="shared" si="32"/>
        <v>1098772.671723743</v>
      </c>
      <c r="P56" s="15">
        <f t="shared" si="32"/>
        <v>1116858.671723743</v>
      </c>
      <c r="Q56" s="15">
        <f t="shared" si="32"/>
        <v>1154775.671723743</v>
      </c>
      <c r="R56" s="7" t="s">
        <v>10</v>
      </c>
      <c r="S56" s="15">
        <f t="shared" si="32"/>
        <v>1101327.671723743</v>
      </c>
      <c r="T56" s="15">
        <f t="shared" si="32"/>
        <v>1111182.671723743</v>
      </c>
      <c r="U56" s="15">
        <f>+U51+U44+U36</f>
        <v>1128936.671723743</v>
      </c>
      <c r="V56" s="15">
        <f t="shared" si="32"/>
        <v>1158335.671723743</v>
      </c>
      <c r="W56" s="15">
        <f aca="true" t="shared" si="33" ref="W56:AG56">+W51+W44+W36</f>
        <v>1192881.671723743</v>
      </c>
      <c r="X56" s="15">
        <f t="shared" si="33"/>
        <v>1223317.671723743</v>
      </c>
      <c r="Y56" s="15">
        <f t="shared" si="33"/>
        <v>1264354.671723743</v>
      </c>
      <c r="Z56" s="15">
        <f t="shared" si="33"/>
        <v>1290991.671723743</v>
      </c>
      <c r="AA56" s="15">
        <f t="shared" si="33"/>
        <v>1313027.671723743</v>
      </c>
      <c r="AB56" s="15">
        <f t="shared" si="33"/>
        <v>1347964.671723743</v>
      </c>
      <c r="AC56" s="15">
        <f t="shared" si="33"/>
        <v>1382101.671723743</v>
      </c>
      <c r="AD56" s="15">
        <f t="shared" si="33"/>
        <v>1424537.671723743</v>
      </c>
      <c r="AE56" s="15">
        <f t="shared" si="33"/>
        <v>1471474.671723743</v>
      </c>
      <c r="AF56" s="15">
        <f t="shared" si="33"/>
        <v>1510511.671723743</v>
      </c>
      <c r="AG56" s="15">
        <f t="shared" si="33"/>
        <v>1905174.3358618715</v>
      </c>
    </row>
    <row r="57" spans="1:33" ht="3.75" customHeight="1" thickBot="1" thickTop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s="5" customFormat="1" ht="16.5" thickBot="1">
      <c r="A58" s="11" t="s">
        <v>39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" t="s">
        <v>39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5" customFormat="1" ht="13.5" thickBot="1">
      <c r="A59" s="17" t="s">
        <v>40</v>
      </c>
      <c r="B59" s="16">
        <v>-2500</v>
      </c>
      <c r="C59" s="16">
        <v>-2500</v>
      </c>
      <c r="D59" s="16">
        <v>-2500</v>
      </c>
      <c r="E59" s="16">
        <v>-2500</v>
      </c>
      <c r="F59" s="16">
        <v>-2500</v>
      </c>
      <c r="G59" s="16">
        <v>-2500</v>
      </c>
      <c r="H59" s="16">
        <v>-2500</v>
      </c>
      <c r="I59" s="16">
        <v>-2500</v>
      </c>
      <c r="J59" s="16">
        <v>-2500</v>
      </c>
      <c r="K59" s="16">
        <v>-2500</v>
      </c>
      <c r="L59" s="16">
        <v>-2500</v>
      </c>
      <c r="M59" s="16">
        <v>-2500</v>
      </c>
      <c r="N59" s="16">
        <v>-2500</v>
      </c>
      <c r="O59" s="16">
        <v>-2500</v>
      </c>
      <c r="P59" s="16">
        <v>-2500</v>
      </c>
      <c r="Q59" s="16">
        <v>-2500</v>
      </c>
      <c r="R59" s="17" t="s">
        <v>40</v>
      </c>
      <c r="S59" s="16">
        <v>-2500</v>
      </c>
      <c r="T59" s="16">
        <v>-2500</v>
      </c>
      <c r="U59" s="16">
        <v>-2500</v>
      </c>
      <c r="V59" s="16">
        <v>-2500</v>
      </c>
      <c r="W59" s="16">
        <v>-2500</v>
      </c>
      <c r="X59" s="16">
        <v>-2500</v>
      </c>
      <c r="Y59" s="16">
        <v>-2500</v>
      </c>
      <c r="Z59" s="16">
        <v>-2500</v>
      </c>
      <c r="AA59" s="16">
        <v>-2500</v>
      </c>
      <c r="AB59" s="16">
        <v>-2500</v>
      </c>
      <c r="AC59" s="16">
        <v>-2500</v>
      </c>
      <c r="AD59" s="16">
        <v>-2500</v>
      </c>
      <c r="AE59" s="16">
        <v>-2500</v>
      </c>
      <c r="AF59" s="16">
        <v>-2500</v>
      </c>
      <c r="AG59" s="16">
        <v>-2500</v>
      </c>
    </row>
    <row r="60" spans="1:33" s="5" customFormat="1" ht="3" customHeight="1" thickBot="1" thickTop="1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8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5" customFormat="1" ht="16.5" thickBot="1">
      <c r="A61" s="12" t="s">
        <v>41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2" t="s">
        <v>41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5" customFormat="1" ht="13.5" thickBot="1">
      <c r="A62" s="7" t="s">
        <v>42</v>
      </c>
      <c r="B62" s="15">
        <f>+B56+B59</f>
        <v>740304.8</v>
      </c>
      <c r="C62" s="15">
        <f>+C56+C59</f>
        <v>780183.8</v>
      </c>
      <c r="D62" s="15">
        <f>+D56+D59</f>
        <v>803842.8924709845</v>
      </c>
      <c r="E62" s="15">
        <f>+E56+E59</f>
        <v>853126.6717237429</v>
      </c>
      <c r="F62" s="15">
        <f aca="true" t="shared" si="34" ref="F62:V62">+F56+F59</f>
        <v>872034.6717237429</v>
      </c>
      <c r="G62" s="15">
        <f t="shared" si="34"/>
        <v>889273.6717237429</v>
      </c>
      <c r="H62" s="15">
        <f t="shared" si="34"/>
        <v>926529.6717237429</v>
      </c>
      <c r="I62" s="15">
        <f t="shared" si="34"/>
        <v>939184.6717237429</v>
      </c>
      <c r="J62" s="15">
        <f t="shared" si="34"/>
        <v>970788.6717237429</v>
      </c>
      <c r="K62" s="15">
        <f t="shared" si="34"/>
        <v>985372.4217237429</v>
      </c>
      <c r="L62" s="15">
        <f t="shared" si="34"/>
        <v>1023868.6717237429</v>
      </c>
      <c r="M62" s="15">
        <f t="shared" si="34"/>
        <v>1044104.6717237429</v>
      </c>
      <c r="N62" s="15">
        <f t="shared" si="34"/>
        <v>1058566.671723743</v>
      </c>
      <c r="O62" s="15">
        <f t="shared" si="34"/>
        <v>1096272.671723743</v>
      </c>
      <c r="P62" s="15">
        <f t="shared" si="34"/>
        <v>1114358.671723743</v>
      </c>
      <c r="Q62" s="15">
        <f t="shared" si="34"/>
        <v>1152275.671723743</v>
      </c>
      <c r="R62" s="7" t="s">
        <v>42</v>
      </c>
      <c r="S62" s="15">
        <f t="shared" si="34"/>
        <v>1098827.671723743</v>
      </c>
      <c r="T62" s="15">
        <f t="shared" si="34"/>
        <v>1108682.671723743</v>
      </c>
      <c r="U62" s="15">
        <f>+U56+U59</f>
        <v>1126436.671723743</v>
      </c>
      <c r="V62" s="15">
        <f t="shared" si="34"/>
        <v>1155835.671723743</v>
      </c>
      <c r="W62" s="15">
        <f aca="true" t="shared" si="35" ref="W62:AG62">+W56+W59</f>
        <v>1190381.671723743</v>
      </c>
      <c r="X62" s="15">
        <f t="shared" si="35"/>
        <v>1220817.671723743</v>
      </c>
      <c r="Y62" s="15">
        <f t="shared" si="35"/>
        <v>1261854.671723743</v>
      </c>
      <c r="Z62" s="15">
        <f t="shared" si="35"/>
        <v>1288491.671723743</v>
      </c>
      <c r="AA62" s="15">
        <f t="shared" si="35"/>
        <v>1310527.671723743</v>
      </c>
      <c r="AB62" s="15">
        <f t="shared" si="35"/>
        <v>1345464.671723743</v>
      </c>
      <c r="AC62" s="15">
        <f t="shared" si="35"/>
        <v>1379601.671723743</v>
      </c>
      <c r="AD62" s="15">
        <f t="shared" si="35"/>
        <v>1422037.671723743</v>
      </c>
      <c r="AE62" s="15">
        <f t="shared" si="35"/>
        <v>1468974.671723743</v>
      </c>
      <c r="AF62" s="15">
        <f t="shared" si="35"/>
        <v>1508011.671723743</v>
      </c>
      <c r="AG62" s="15">
        <f t="shared" si="35"/>
        <v>1902674.3358618715</v>
      </c>
    </row>
    <row r="63" spans="1:33" s="5" customFormat="1" ht="3.75" customHeight="1" thickTop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5" customFormat="1" ht="12.75">
      <c r="A64" s="7" t="s">
        <v>43</v>
      </c>
      <c r="B64" s="7">
        <f aca="true" t="shared" si="36" ref="B64:AG64">ROUND(B62/B9*1000,3)</f>
        <v>48.6</v>
      </c>
      <c r="C64" s="7">
        <f t="shared" si="36"/>
        <v>52.94</v>
      </c>
      <c r="D64" s="7">
        <f t="shared" si="36"/>
        <v>54.887</v>
      </c>
      <c r="E64" s="7">
        <f t="shared" si="36"/>
        <v>58.691</v>
      </c>
      <c r="F64" s="7">
        <f t="shared" si="36"/>
        <v>59.113</v>
      </c>
      <c r="G64" s="7">
        <f t="shared" si="36"/>
        <v>60.279</v>
      </c>
      <c r="H64" s="7">
        <f t="shared" si="36"/>
        <v>61.974</v>
      </c>
      <c r="I64" s="7">
        <f t="shared" si="36"/>
        <v>62.165</v>
      </c>
      <c r="J64" s="7">
        <f t="shared" si="36"/>
        <v>64.045</v>
      </c>
      <c r="K64" s="7">
        <f t="shared" si="36"/>
        <v>64.445</v>
      </c>
      <c r="L64" s="7">
        <f t="shared" si="36"/>
        <v>67.426</v>
      </c>
      <c r="M64" s="7">
        <f t="shared" si="36"/>
        <v>68.759</v>
      </c>
      <c r="N64" s="7">
        <f t="shared" si="36"/>
        <v>69.711</v>
      </c>
      <c r="O64" s="7">
        <f t="shared" si="36"/>
        <v>72.194</v>
      </c>
      <c r="P64" s="7">
        <f t="shared" si="36"/>
        <v>73.385</v>
      </c>
      <c r="Q64" s="7">
        <f t="shared" si="36"/>
        <v>75.882</v>
      </c>
      <c r="R64" s="7" t="s">
        <v>43</v>
      </c>
      <c r="S64" s="7">
        <f t="shared" si="36"/>
        <v>72.363</v>
      </c>
      <c r="T64" s="7">
        <f t="shared" si="36"/>
        <v>73.012</v>
      </c>
      <c r="U64" s="7">
        <f t="shared" si="36"/>
        <v>74.181</v>
      </c>
      <c r="V64" s="7">
        <f t="shared" si="36"/>
        <v>76.117</v>
      </c>
      <c r="W64" s="7">
        <f t="shared" si="36"/>
        <v>78.392</v>
      </c>
      <c r="X64" s="7">
        <f t="shared" si="36"/>
        <v>80.396</v>
      </c>
      <c r="Y64" s="7">
        <f t="shared" si="36"/>
        <v>83.099</v>
      </c>
      <c r="Z64" s="7">
        <f t="shared" si="36"/>
        <v>84.853</v>
      </c>
      <c r="AA64" s="7">
        <f t="shared" si="36"/>
        <v>86.304</v>
      </c>
      <c r="AB64" s="7">
        <f t="shared" si="36"/>
        <v>88.605</v>
      </c>
      <c r="AC64" s="7">
        <f t="shared" si="36"/>
        <v>90.853</v>
      </c>
      <c r="AD64" s="7">
        <f t="shared" si="36"/>
        <v>93.648</v>
      </c>
      <c r="AE64" s="7">
        <f t="shared" si="36"/>
        <v>96.739</v>
      </c>
      <c r="AF64" s="7">
        <f t="shared" si="36"/>
        <v>99.309</v>
      </c>
      <c r="AG64" s="7">
        <f t="shared" si="36"/>
        <v>125.3</v>
      </c>
    </row>
    <row r="65" spans="1:33" s="5" customFormat="1" ht="3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s="5" customFormat="1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18" s="5" customFormat="1" ht="12.75" customHeight="1">
      <c r="A67" s="7" t="s">
        <v>25</v>
      </c>
      <c r="R67" s="7" t="s">
        <v>25</v>
      </c>
    </row>
    <row r="68" spans="1:18" s="5" customFormat="1" ht="12.75" customHeight="1">
      <c r="A68" s="1" t="s">
        <v>57</v>
      </c>
      <c r="R68" s="1" t="s">
        <v>57</v>
      </c>
    </row>
    <row r="69" spans="1:18" s="5" customFormat="1" ht="12.75" customHeight="1">
      <c r="A69" s="1" t="s">
        <v>52</v>
      </c>
      <c r="R69" s="1" t="s">
        <v>52</v>
      </c>
    </row>
    <row r="70" spans="1:18" s="5" customFormat="1" ht="12.75" customHeight="1">
      <c r="A70" s="1" t="s">
        <v>56</v>
      </c>
      <c r="R70" s="1" t="s">
        <v>56</v>
      </c>
    </row>
    <row r="71" spans="1:18" s="5" customFormat="1" ht="12.75" customHeight="1">
      <c r="A71" s="1" t="s">
        <v>53</v>
      </c>
      <c r="R71" s="1" t="s">
        <v>53</v>
      </c>
    </row>
    <row r="72" spans="1:18" s="5" customFormat="1" ht="12.75" customHeight="1">
      <c r="A72" s="1" t="s">
        <v>58</v>
      </c>
      <c r="R72" s="1" t="s">
        <v>58</v>
      </c>
    </row>
    <row r="73" spans="1:18" s="5" customFormat="1" ht="12.75" customHeight="1">
      <c r="A73" s="1" t="s">
        <v>49</v>
      </c>
      <c r="R73" s="1" t="s">
        <v>49</v>
      </c>
    </row>
    <row r="74" spans="1:18" ht="11.25" customHeight="1">
      <c r="A74" s="1" t="s">
        <v>60</v>
      </c>
      <c r="R74" s="1" t="s">
        <v>60</v>
      </c>
    </row>
    <row r="75" spans="1:18" ht="12.75">
      <c r="A75" s="1" t="s">
        <v>61</v>
      </c>
      <c r="R75" s="1" t="s">
        <v>61</v>
      </c>
    </row>
  </sheetData>
  <sheetProtection/>
  <mergeCells count="10">
    <mergeCell ref="R5:AG5"/>
    <mergeCell ref="R1:AG1"/>
    <mergeCell ref="R2:AG2"/>
    <mergeCell ref="R3:AG3"/>
    <mergeCell ref="R4:AG4"/>
    <mergeCell ref="A1:Q1"/>
    <mergeCell ref="A2:Q2"/>
    <mergeCell ref="A3:Q3"/>
    <mergeCell ref="A4:Q4"/>
    <mergeCell ref="A5:Q5"/>
  </mergeCells>
  <printOptions horizontalCentered="1"/>
  <pageMargins left="0" right="0" top="1" bottom="1" header="0.75" footer="0.5"/>
  <pageSetup fitToWidth="3" fitToHeight="1" horizontalDpi="600" verticalDpi="600" orientation="landscape" scale="52" r:id="rId1"/>
  <headerFooter alignWithMargins="0">
    <oddHeader>&amp;C&amp;"Times New Roman,Bold"&amp;12CONFIDENTIAL</oddHeader>
    <oddFooter>&amp;R&amp;"Times New Roman,Bold"&amp;12Attachment to Response to Question No. 10
Page &amp;P of &amp;N
Bellar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OVEC/IKEC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KEDWARDS</dc:creator>
  <cp:keywords/>
  <dc:description/>
  <cp:lastModifiedBy>Brandi Sanders</cp:lastModifiedBy>
  <cp:lastPrinted>2011-04-28T12:13:35Z</cp:lastPrinted>
  <dcterms:created xsi:type="dcterms:W3CDTF">2004-11-11T21:23:51Z</dcterms:created>
  <dcterms:modified xsi:type="dcterms:W3CDTF">2011-04-28T12:14:11Z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KU, LGE</vt:lpwstr>
  </property>
  <property fmtid="{D5CDD505-2E9C-101B-9397-08002B2CF9AE}" pid="4" name="Ye">
    <vt:lpwstr>2021</vt:lpwstr>
  </property>
  <property fmtid="{D5CDD505-2E9C-101B-9397-08002B2CF9AE}" pid="5" name="Case">
    <vt:lpwstr/>
  </property>
  <property fmtid="{D5CDD505-2E9C-101B-9397-08002B2CF9AE}" pid="6" name="Witness Testimo">
    <vt:lpwstr/>
  </property>
  <property fmtid="{D5CDD505-2E9C-101B-9397-08002B2CF9AE}" pid="7" name="Data Request Par">
    <vt:lpwstr>Sierra Club</vt:lpwstr>
  </property>
  <property fmtid="{D5CDD505-2E9C-101B-9397-08002B2CF9AE}" pid="8" name="Status (Internal Use Onl">
    <vt:lpwstr/>
  </property>
  <property fmtid="{D5CDD505-2E9C-101B-9397-08002B2CF9AE}" pid="9" name="Review Case Doc Typ">
    <vt:lpwstr>07 - Post Hearing Data Request</vt:lpwstr>
  </property>
</Properties>
</file>