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Navitas\"/>
    </mc:Choice>
  </mc:AlternateContent>
  <bookViews>
    <workbookView xWindow="-108" yWindow="-108" windowWidth="23256" windowHeight="12576"/>
  </bookViews>
  <sheets>
    <sheet name="Johnson Transition (new form)" sheetId="5" r:id="rId1"/>
    <sheet name="Floyd Transition (new form)" sheetId="6" r:id="rId2"/>
    <sheet name="Clinton Transition (old form)" sheetId="3" r:id="rId3"/>
    <sheet name="Sales" sheetId="1" r:id="rId4"/>
  </sheets>
  <definedNames>
    <definedName name="_xlnm.Print_Area" localSheetId="3">Sales!$A$2:$AD$21</definedName>
    <definedName name="_xlnm.Print_Titles" localSheetId="2">'Clinton Transition (old form)'!$A:$E</definedName>
    <definedName name="_xlnm.Print_Titles" localSheetId="1">'Floyd Transition (new form)'!$A:$E</definedName>
    <definedName name="_xlnm.Print_Titles" localSheetId="0">'Johnson Transition (new form)'!$A:$E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5" l="1"/>
  <c r="G33" i="6"/>
  <c r="I33" i="6"/>
  <c r="K33" i="6"/>
  <c r="M33" i="6"/>
  <c r="G37" i="5"/>
  <c r="G26" i="5" s="1"/>
  <c r="I37" i="5"/>
  <c r="K37" i="5"/>
  <c r="K26" i="5" s="1"/>
  <c r="K27" i="5" s="1"/>
  <c r="M37" i="5"/>
  <c r="I26" i="5"/>
  <c r="I27" i="5" s="1"/>
  <c r="M26" i="5"/>
  <c r="M27" i="5" s="1"/>
  <c r="O26" i="5"/>
  <c r="O27" i="5" s="1"/>
  <c r="Q26" i="5"/>
  <c r="Q27" i="5" s="1"/>
  <c r="S26" i="5"/>
  <c r="O37" i="5"/>
  <c r="Q37" i="5"/>
  <c r="S37" i="5"/>
  <c r="S27" i="5" s="1"/>
  <c r="R11" i="1"/>
  <c r="O29" i="6"/>
  <c r="O24" i="6"/>
  <c r="R23" i="1" l="1"/>
  <c r="P23" i="1"/>
  <c r="R9" i="1"/>
  <c r="P9" i="1"/>
  <c r="O49" i="3"/>
  <c r="M49" i="3"/>
  <c r="M33" i="3"/>
  <c r="M6" i="3" s="1"/>
  <c r="M38" i="3"/>
  <c r="M8" i="3" s="1"/>
  <c r="Q45" i="3"/>
  <c r="Q9" i="3" s="1"/>
  <c r="M45" i="3"/>
  <c r="M9" i="3" s="1"/>
  <c r="Q44" i="3"/>
  <c r="O44" i="3"/>
  <c r="O45" i="3" s="1"/>
  <c r="O9" i="3" s="1"/>
  <c r="M44" i="3"/>
  <c r="M24" i="3"/>
  <c r="Q23" i="3"/>
  <c r="Q24" i="3" s="1"/>
  <c r="Q38" i="3" s="1"/>
  <c r="Q8" i="3" s="1"/>
  <c r="O23" i="3"/>
  <c r="O24" i="3" s="1"/>
  <c r="O38" i="3" s="1"/>
  <c r="O8" i="3" s="1"/>
  <c r="M23" i="3"/>
  <c r="O33" i="3" l="1"/>
  <c r="O6" i="3" s="1"/>
  <c r="Q49" i="3"/>
  <c r="Q33" i="3"/>
  <c r="Q6" i="3"/>
  <c r="Q10" i="3" s="1"/>
  <c r="Q12" i="3" s="1"/>
  <c r="Q14" i="3" s="1"/>
  <c r="Q15" i="3" s="1"/>
  <c r="Q17" i="3" s="1"/>
  <c r="O10" i="3"/>
  <c r="O12" i="3" s="1"/>
  <c r="O14" i="3" s="1"/>
  <c r="O15" i="3" s="1"/>
  <c r="M10" i="3"/>
  <c r="M12" i="3" s="1"/>
  <c r="M14" i="3" s="1"/>
  <c r="M15" i="3" s="1"/>
  <c r="I44" i="5"/>
  <c r="I24" i="5" s="1"/>
  <c r="G43" i="5"/>
  <c r="G44" i="5" s="1"/>
  <c r="G24" i="5" s="1"/>
  <c r="I43" i="5"/>
  <c r="K43" i="5"/>
  <c r="K44" i="5" s="1"/>
  <c r="K24" i="5" s="1"/>
  <c r="M43" i="5"/>
  <c r="M44" i="5" s="1"/>
  <c r="M24" i="5" s="1"/>
  <c r="S36" i="6"/>
  <c r="S23" i="6" s="1"/>
  <c r="S25" i="6" s="1"/>
  <c r="Q36" i="6"/>
  <c r="Q23" i="6" s="1"/>
  <c r="Q25" i="6" s="1"/>
  <c r="O36" i="6"/>
  <c r="O23" i="6" s="1"/>
  <c r="O25" i="6" s="1"/>
  <c r="M36" i="6"/>
  <c r="M23" i="6" s="1"/>
  <c r="K36" i="6"/>
  <c r="K23" i="6" s="1"/>
  <c r="I36" i="6"/>
  <c r="I23" i="6" s="1"/>
  <c r="G36" i="6"/>
  <c r="G23" i="6" s="1"/>
  <c r="S43" i="5"/>
  <c r="S44" i="5" s="1"/>
  <c r="S24" i="5" s="1"/>
  <c r="Q43" i="5"/>
  <c r="Q44" i="5" s="1"/>
  <c r="Q24" i="5" s="1"/>
  <c r="O43" i="5"/>
  <c r="O44" i="5" s="1"/>
  <c r="O24" i="5" s="1"/>
  <c r="S10" i="6"/>
  <c r="S16" i="6" s="1"/>
  <c r="Q10" i="6"/>
  <c r="Q16" i="6" s="1"/>
  <c r="O10" i="6"/>
  <c r="O16" i="6" s="1"/>
  <c r="M10" i="6"/>
  <c r="M16" i="6" s="1"/>
  <c r="K10" i="6"/>
  <c r="K16" i="6" s="1"/>
  <c r="I10" i="6"/>
  <c r="I16" i="6" s="1"/>
  <c r="G10" i="6"/>
  <c r="G16" i="6" s="1"/>
  <c r="S30" i="6"/>
  <c r="S6" i="6" s="1"/>
  <c r="Q30" i="6"/>
  <c r="Q6" i="6" s="1"/>
  <c r="O30" i="6"/>
  <c r="O6" i="6" s="1"/>
  <c r="G29" i="6"/>
  <c r="I29" i="6"/>
  <c r="M29" i="6"/>
  <c r="K29" i="6"/>
  <c r="I30" i="6" l="1"/>
  <c r="I25" i="6"/>
  <c r="I8" i="6" s="1"/>
  <c r="I13" i="6" s="1"/>
  <c r="I15" i="6" s="1"/>
  <c r="I17" i="6" s="1"/>
  <c r="G30" i="6"/>
  <c r="G25" i="6"/>
  <c r="G8" i="6" s="1"/>
  <c r="G13" i="6" s="1"/>
  <c r="G15" i="6" s="1"/>
  <c r="G17" i="6" s="1"/>
  <c r="K30" i="6"/>
  <c r="K6" i="6" s="1"/>
  <c r="K11" i="6" s="1"/>
  <c r="K25" i="6"/>
  <c r="K8" i="6" s="1"/>
  <c r="K13" i="6" s="1"/>
  <c r="K15" i="6" s="1"/>
  <c r="K17" i="6" s="1"/>
  <c r="M30" i="6"/>
  <c r="M25" i="6"/>
  <c r="M8" i="6" s="1"/>
  <c r="M13" i="6" s="1"/>
  <c r="M15" i="6" s="1"/>
  <c r="M17" i="6" s="1"/>
  <c r="O11" i="6"/>
  <c r="S11" i="6"/>
  <c r="Q11" i="6"/>
  <c r="G6" i="6"/>
  <c r="G11" i="6" s="1"/>
  <c r="M6" i="6"/>
  <c r="M11" i="6" s="1"/>
  <c r="I6" i="6"/>
  <c r="I11" i="6" s="1"/>
  <c r="K32" i="5"/>
  <c r="K6" i="5" s="1"/>
  <c r="I32" i="5"/>
  <c r="G32" i="5"/>
  <c r="G6" i="5" s="1"/>
  <c r="K8" i="5"/>
  <c r="I8" i="5"/>
  <c r="K10" i="5"/>
  <c r="I10" i="5"/>
  <c r="G10" i="5"/>
  <c r="G8" i="5"/>
  <c r="I6" i="5"/>
  <c r="S10" i="5"/>
  <c r="Q10" i="5"/>
  <c r="I16" i="5" l="1"/>
  <c r="I11" i="5"/>
  <c r="K16" i="5"/>
  <c r="K11" i="5"/>
  <c r="G16" i="5"/>
  <c r="G11" i="5"/>
  <c r="K13" i="5"/>
  <c r="K15" i="5" s="1"/>
  <c r="G13" i="5"/>
  <c r="G15" i="5" s="1"/>
  <c r="G17" i="5" s="1"/>
  <c r="I13" i="5"/>
  <c r="I15" i="5" s="1"/>
  <c r="I17" i="5" s="1"/>
  <c r="S16" i="5"/>
  <c r="Q16" i="5"/>
  <c r="O10" i="5"/>
  <c r="O16" i="5" s="1"/>
  <c r="M10" i="5"/>
  <c r="S32" i="5"/>
  <c r="Q32" i="5"/>
  <c r="Q6" i="5" s="1"/>
  <c r="Q11" i="5" s="1"/>
  <c r="O32" i="5"/>
  <c r="M32" i="5"/>
  <c r="M6" i="5" s="1"/>
  <c r="Q8" i="5"/>
  <c r="Q13" i="5" s="1"/>
  <c r="Q15" i="5" s="1"/>
  <c r="M8" i="5"/>
  <c r="M13" i="5" s="1"/>
  <c r="M15" i="5" s="1"/>
  <c r="K25" i="3"/>
  <c r="I25" i="3"/>
  <c r="G25" i="3"/>
  <c r="L43" i="1"/>
  <c r="H43" i="1"/>
  <c r="F43" i="1"/>
  <c r="AB34" i="1"/>
  <c r="Z34" i="1"/>
  <c r="X34" i="1"/>
  <c r="V34" i="1"/>
  <c r="T34" i="1"/>
  <c r="R34" i="1"/>
  <c r="P34" i="1"/>
  <c r="N34" i="1"/>
  <c r="L34" i="1"/>
  <c r="J34" i="1"/>
  <c r="H34" i="1"/>
  <c r="F34" i="1"/>
  <c r="N33" i="1"/>
  <c r="N31" i="1"/>
  <c r="AD31" i="1" s="1"/>
  <c r="AD30" i="1"/>
  <c r="AD29" i="1"/>
  <c r="AD28" i="1"/>
  <c r="AD27" i="1"/>
  <c r="AD26" i="1"/>
  <c r="AB23" i="1"/>
  <c r="Z23" i="1"/>
  <c r="X23" i="1"/>
  <c r="V23" i="1"/>
  <c r="T23" i="1"/>
  <c r="N23" i="1"/>
  <c r="L23" i="1"/>
  <c r="J23" i="1"/>
  <c r="H23" i="1"/>
  <c r="F23" i="1"/>
  <c r="AD23" i="1" s="1"/>
  <c r="N22" i="1"/>
  <c r="AD20" i="1"/>
  <c r="N20" i="1"/>
  <c r="AD19" i="1"/>
  <c r="AD18" i="1"/>
  <c r="AD17" i="1"/>
  <c r="AD16" i="1"/>
  <c r="AD15" i="1"/>
  <c r="N9" i="1"/>
  <c r="L9" i="1"/>
  <c r="J9" i="1"/>
  <c r="J43" i="1" s="1"/>
  <c r="H9" i="1"/>
  <c r="F9" i="1"/>
  <c r="AB8" i="1"/>
  <c r="AB42" i="1" s="1"/>
  <c r="Z8" i="1"/>
  <c r="Z42" i="1" s="1"/>
  <c r="X8" i="1"/>
  <c r="X42" i="1" s="1"/>
  <c r="V8" i="1"/>
  <c r="V42" i="1" s="1"/>
  <c r="T8" i="1"/>
  <c r="T42" i="1" s="1"/>
  <c r="R8" i="1"/>
  <c r="R42" i="1" s="1"/>
  <c r="P8" i="1"/>
  <c r="P42" i="1" s="1"/>
  <c r="N8" i="1"/>
  <c r="L8" i="1"/>
  <c r="L12" i="1" s="1"/>
  <c r="J8" i="1"/>
  <c r="J12" i="1" s="1"/>
  <c r="H8" i="1"/>
  <c r="H12" i="1" s="1"/>
  <c r="F8" i="1"/>
  <c r="F12" i="1" s="1"/>
  <c r="AD7" i="1"/>
  <c r="AB7" i="1"/>
  <c r="Z7" i="1"/>
  <c r="Z12" i="1" s="1"/>
  <c r="AD6" i="1"/>
  <c r="AD5" i="1"/>
  <c r="AD4" i="1"/>
  <c r="O6" i="5" l="1"/>
  <c r="O11" i="5" s="1"/>
  <c r="O8" i="5"/>
  <c r="O13" i="5" s="1"/>
  <c r="O15" i="5" s="1"/>
  <c r="O17" i="5" s="1"/>
  <c r="S6" i="5"/>
  <c r="S11" i="5" s="1"/>
  <c r="S8" i="5"/>
  <c r="S13" i="5" s="1"/>
  <c r="S15" i="5" s="1"/>
  <c r="S17" i="5" s="1"/>
  <c r="M16" i="5"/>
  <c r="M17" i="5" s="1"/>
  <c r="M11" i="5"/>
  <c r="K17" i="5"/>
  <c r="Q17" i="5"/>
  <c r="K44" i="3"/>
  <c r="K45" i="3" s="1"/>
  <c r="K9" i="3" s="1"/>
  <c r="K23" i="3"/>
  <c r="K24" i="3" s="1"/>
  <c r="G44" i="3"/>
  <c r="G45" i="3" s="1"/>
  <c r="G9" i="3" s="1"/>
  <c r="G23" i="3"/>
  <c r="G24" i="3" s="1"/>
  <c r="I44" i="3"/>
  <c r="I45" i="3" s="1"/>
  <c r="I9" i="3" s="1"/>
  <c r="I23" i="3"/>
  <c r="I24" i="3" s="1"/>
  <c r="Z36" i="1"/>
  <c r="Z37" i="1" s="1"/>
  <c r="H36" i="1"/>
  <c r="H37" i="1"/>
  <c r="J37" i="1"/>
  <c r="J36" i="1"/>
  <c r="J38" i="1" s="1"/>
  <c r="F36" i="1"/>
  <c r="F37" i="1" s="1"/>
  <c r="L36" i="1"/>
  <c r="L39" i="1" s="1"/>
  <c r="H38" i="1"/>
  <c r="H39" i="1"/>
  <c r="T12" i="1"/>
  <c r="AB12" i="1"/>
  <c r="AD8" i="1"/>
  <c r="N12" i="1"/>
  <c r="V12" i="1"/>
  <c r="AD34" i="1"/>
  <c r="N43" i="1"/>
  <c r="AD43" i="1" s="1"/>
  <c r="P12" i="1"/>
  <c r="X12" i="1"/>
  <c r="R12" i="1"/>
  <c r="S19" i="5" l="1"/>
  <c r="K49" i="3"/>
  <c r="K38" i="3"/>
  <c r="K8" i="3" s="1"/>
  <c r="K33" i="3"/>
  <c r="I49" i="3"/>
  <c r="I38" i="3"/>
  <c r="I8" i="3" s="1"/>
  <c r="I33" i="3"/>
  <c r="G49" i="3"/>
  <c r="G38" i="3"/>
  <c r="G8" i="3" s="1"/>
  <c r="G33" i="3"/>
  <c r="R36" i="1"/>
  <c r="X36" i="1"/>
  <c r="V36" i="1"/>
  <c r="T37" i="1"/>
  <c r="T36" i="1"/>
  <c r="F39" i="1"/>
  <c r="J39" i="1"/>
  <c r="P36" i="1"/>
  <c r="AD36" i="1" s="1"/>
  <c r="AD38" i="1" s="1"/>
  <c r="L38" i="1"/>
  <c r="Z38" i="1"/>
  <c r="N37" i="1"/>
  <c r="N36" i="1"/>
  <c r="Z39" i="1"/>
  <c r="L37" i="1"/>
  <c r="AD12" i="1"/>
  <c r="AB36" i="1"/>
  <c r="F38" i="1"/>
  <c r="AD37" i="1" l="1"/>
  <c r="I6" i="3"/>
  <c r="I10" i="3" s="1"/>
  <c r="I12" i="3" s="1"/>
  <c r="I14" i="3" s="1"/>
  <c r="I15" i="3" s="1"/>
  <c r="K6" i="3"/>
  <c r="K10" i="3" s="1"/>
  <c r="K12" i="3" s="1"/>
  <c r="K14" i="3" s="1"/>
  <c r="K15" i="3" s="1"/>
  <c r="G6" i="3"/>
  <c r="G10" i="3" s="1"/>
  <c r="P38" i="1"/>
  <c r="P39" i="1"/>
  <c r="X39" i="1"/>
  <c r="X38" i="1"/>
  <c r="V38" i="1"/>
  <c r="V39" i="1"/>
  <c r="AD39" i="1"/>
  <c r="AB38" i="1"/>
  <c r="AB39" i="1"/>
  <c r="V37" i="1"/>
  <c r="R39" i="1"/>
  <c r="R38" i="1"/>
  <c r="AB37" i="1"/>
  <c r="N38" i="1"/>
  <c r="N39" i="1"/>
  <c r="P37" i="1"/>
  <c r="T39" i="1"/>
  <c r="T38" i="1"/>
  <c r="X37" i="1"/>
  <c r="R37" i="1"/>
  <c r="G12" i="3" l="1"/>
  <c r="G14" i="3" s="1"/>
  <c r="G15" i="3" s="1"/>
  <c r="S8" i="6"/>
  <c r="S13" i="6"/>
  <c r="S15" i="6"/>
  <c r="S17" i="6" s="1"/>
  <c r="Q8" i="6"/>
  <c r="Q13" i="6" s="1"/>
  <c r="Q15" i="6" s="1"/>
  <c r="Q17" i="6" s="1"/>
  <c r="O8" i="6"/>
  <c r="O13" i="6"/>
  <c r="O15" i="6" s="1"/>
  <c r="O17" i="6" s="1"/>
  <c r="S19" i="6" s="1"/>
</calcChain>
</file>

<file path=xl/comments1.xml><?xml version="1.0" encoding="utf-8"?>
<comments xmlns="http://schemas.openxmlformats.org/spreadsheetml/2006/main">
  <authors>
    <author>Thomas Hartline</author>
  </authors>
  <commentList>
    <comment ref="Q11" authorId="0" shapeId="0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We're looking into this figure. It may be a balancing issue where DGO is allocating more gas into the system than it is utilized creating a stored balance on paper.</t>
        </r>
      </text>
    </comment>
    <comment ref="S31" authorId="0" shapeId="0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Originally filed as 148 (which is the DTh #)</t>
        </r>
      </text>
    </comment>
  </commentList>
</comments>
</file>

<file path=xl/comments2.xml><?xml version="1.0" encoding="utf-8"?>
<comments xmlns="http://schemas.openxmlformats.org/spreadsheetml/2006/main">
  <authors>
    <author>Thomas Hartline</author>
  </authors>
  <commentList>
    <comment ref="S28" authorId="0" shapeId="0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Need to look at this figure 366.5 and from where it came on his side.</t>
        </r>
      </text>
    </comment>
  </commentList>
</comments>
</file>

<file path=xl/comments3.xml><?xml version="1.0" encoding="utf-8"?>
<comments xmlns="http://schemas.openxmlformats.org/spreadsheetml/2006/main">
  <authors>
    <author>Thomas Hartline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</commentList>
</comments>
</file>

<file path=xl/sharedStrings.xml><?xml version="1.0" encoding="utf-8"?>
<sst xmlns="http://schemas.openxmlformats.org/spreadsheetml/2006/main" count="123" uniqueCount="70">
  <si>
    <t>Sales in MCF</t>
  </si>
  <si>
    <t>Total</t>
  </si>
  <si>
    <t>Clinton County</t>
  </si>
  <si>
    <t>LTM</t>
  </si>
  <si>
    <t>Last 5-yr Ave</t>
  </si>
  <si>
    <t>Floyd County</t>
  </si>
  <si>
    <t>Johnson County</t>
  </si>
  <si>
    <t>Total L5YA</t>
  </si>
  <si>
    <t>Clinton</t>
  </si>
  <si>
    <t>Floyd</t>
  </si>
  <si>
    <t>Johnson</t>
  </si>
  <si>
    <t>Actual (usage month, billed on 7th of following)</t>
  </si>
  <si>
    <t>Usage beginning</t>
  </si>
  <si>
    <t>Supply</t>
  </si>
  <si>
    <t>Transportation</t>
  </si>
  <si>
    <t>Total cost</t>
  </si>
  <si>
    <t>Cost per MCF</t>
  </si>
  <si>
    <t>less EGC in effect</t>
  </si>
  <si>
    <t>Delta</t>
  </si>
  <si>
    <t>Monthly cost difference</t>
  </si>
  <si>
    <t>Total cost difference</t>
  </si>
  <si>
    <t>Allocation</t>
  </si>
  <si>
    <t>Byrds/Fentress sales CCF</t>
  </si>
  <si>
    <t>KY%</t>
  </si>
  <si>
    <t>Supply Cost Invoices</t>
  </si>
  <si>
    <t>Sub total</t>
  </si>
  <si>
    <t>Diversified Gas &amp; Oil</t>
  </si>
  <si>
    <t>Hall-Stephens-Hall</t>
  </si>
  <si>
    <t>Invoices</t>
  </si>
  <si>
    <t>Petrol &amp; FWM (B&amp;W)</t>
  </si>
  <si>
    <t>Spectra</t>
  </si>
  <si>
    <t>B&amp;W</t>
  </si>
  <si>
    <t>Total KY &amp; TN sales MCF</t>
  </si>
  <si>
    <t>original GCA submission</t>
  </si>
  <si>
    <t>Supply Cost: Petrol</t>
  </si>
  <si>
    <t>Invoice</t>
  </si>
  <si>
    <t>Trans Cost: Enbridge (aka Spectra)</t>
  </si>
  <si>
    <t>Invoice (contract 250)</t>
  </si>
  <si>
    <t>Spectra old contract</t>
  </si>
  <si>
    <t>Spectra adj Nov 10 - Oct 11</t>
  </si>
  <si>
    <t>Trans Cost: B&amp;W Pipeline</t>
  </si>
  <si>
    <t>TN tariff</t>
  </si>
  <si>
    <t>FERC tariff</t>
  </si>
  <si>
    <t>Allocation (100% w/FERC)</t>
  </si>
  <si>
    <t>Supply Cost: Sparta (aka FWM)</t>
  </si>
  <si>
    <t>Volume Purchased</t>
  </si>
  <si>
    <t>Cost of Purchases</t>
  </si>
  <si>
    <t>Volume Sold</t>
  </si>
  <si>
    <t>Cost per Unit Volume</t>
  </si>
  <si>
    <t>EGC</t>
  </si>
  <si>
    <t>Sales</t>
  </si>
  <si>
    <t>Total Cost Delta</t>
  </si>
  <si>
    <t>Total period cost difference</t>
  </si>
  <si>
    <t>Supply Volumes</t>
  </si>
  <si>
    <t>Rife</t>
  </si>
  <si>
    <t>Navitas</t>
  </si>
  <si>
    <t>B&amp;S Oil</t>
  </si>
  <si>
    <t>BOM NYMEX</t>
  </si>
  <si>
    <t>Plus $2</t>
  </si>
  <si>
    <t>sub total</t>
  </si>
  <si>
    <t>Peoples-Columbia Average</t>
  </si>
  <si>
    <t>calculated</t>
  </si>
  <si>
    <t>Calculated</t>
  </si>
  <si>
    <t>Supply DTh</t>
  </si>
  <si>
    <t>Diversified Energy Marketing</t>
  </si>
  <si>
    <t>DGO transport</t>
  </si>
  <si>
    <t>c</t>
  </si>
  <si>
    <t>DGO transport per DTH</t>
  </si>
  <si>
    <t>DGO transport per MCF</t>
  </si>
  <si>
    <t>DEM 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</si>
</sst>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m;@"/>
    <numFmt numFmtId="166" formatCode="0.0%"/>
    <numFmt numFmtId="167" formatCode="_(* #,##0_);_(* \(#,##0\);_(* &quot;-&quot;??_);_(@_)"/>
    <numFmt numFmtId="168" formatCode="[$-409]mmm\-yy;@"/>
    <numFmt numFmtId="169" formatCode="[$-409]d\-mmm;@"/>
    <numFmt numFmtId="170" formatCode="_(* #,##0.0000_);_(* \(#,##0.0000\);_(* &quot;-&quot;??_);_(@_)"/>
    <numFmt numFmtId="171" formatCode="_(* #,##0.0_);_(* \(#,##0.0\);_(* &quot;-&quot;?_);_(@_)"/>
    <numFmt numFmtId="172" formatCode="_(* #,##0.0_);_(* \(#,##0.0\);_(* &quot;-&quot;??_);_(@_)"/>
    <numFmt numFmtId="173" formatCode="_(* #,##0.0000_);_(* \(#,##0.0000\);_(* &quot;-&quot;????_);_(@_)"/>
  </numFmts>
  <fonts count="11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41" fontId="1" fillId="0" borderId="0" xfId="0" applyNumberFormat="1" applyFont="1"/>
    <xf numFmtId="41" fontId="0" fillId="0" borderId="0" xfId="0" applyNumberFormat="1"/>
    <xf numFmtId="166" fontId="0" fillId="0" borderId="0" xfId="2" applyNumberFormat="1" applyFont="1" applyBorder="1"/>
    <xf numFmtId="166" fontId="0" fillId="0" borderId="0" xfId="2" applyNumberFormat="1" applyFont="1" applyFill="1" applyBorder="1"/>
    <xf numFmtId="167" fontId="0" fillId="0" borderId="0" xfId="1" applyNumberFormat="1" applyFont="1" applyBorder="1"/>
    <xf numFmtId="0" fontId="0" fillId="2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>
      <alignment horizontal="right"/>
    </xf>
    <xf numFmtId="168" fontId="0" fillId="2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43" fontId="0" fillId="3" borderId="0" xfId="0" applyNumberFormat="1" applyFill="1"/>
    <xf numFmtId="0" fontId="1" fillId="0" borderId="0" xfId="0" applyFont="1" applyAlignment="1">
      <alignment horizontal="right"/>
    </xf>
    <xf numFmtId="43" fontId="0" fillId="3" borderId="2" xfId="0" applyNumberFormat="1" applyFill="1" applyBorder="1"/>
    <xf numFmtId="43" fontId="0" fillId="0" borderId="0" xfId="0" applyNumberFormat="1"/>
    <xf numFmtId="167" fontId="0" fillId="4" borderId="0" xfId="0" applyNumberFormat="1" applyFill="1"/>
    <xf numFmtId="170" fontId="0" fillId="3" borderId="0" xfId="0" applyNumberFormat="1" applyFill="1"/>
    <xf numFmtId="170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70" fontId="3" fillId="0" borderId="0" xfId="0" applyNumberFormat="1" applyFont="1"/>
    <xf numFmtId="43" fontId="1" fillId="0" borderId="0" xfId="0" applyNumberFormat="1" applyFont="1"/>
    <xf numFmtId="0" fontId="1" fillId="0" borderId="0" xfId="3"/>
    <xf numFmtId="0" fontId="4" fillId="0" borderId="0" xfId="0" applyFont="1"/>
    <xf numFmtId="3" fontId="0" fillId="0" borderId="0" xfId="0" applyNumberFormat="1"/>
    <xf numFmtId="9" fontId="0" fillId="3" borderId="0" xfId="2" applyFont="1" applyFill="1"/>
    <xf numFmtId="0" fontId="4" fillId="0" borderId="0" xfId="3" applyFont="1"/>
    <xf numFmtId="167" fontId="4" fillId="0" borderId="0" xfId="0" applyNumberFormat="1" applyFont="1"/>
    <xf numFmtId="43" fontId="5" fillId="0" borderId="0" xfId="0" applyNumberFormat="1" applyFont="1"/>
    <xf numFmtId="0" fontId="0" fillId="0" borderId="0" xfId="0" applyAlignment="1">
      <alignment horizontal="left"/>
    </xf>
    <xf numFmtId="43" fontId="0" fillId="3" borderId="1" xfId="0" applyNumberFormat="1" applyFill="1" applyBorder="1"/>
    <xf numFmtId="167" fontId="0" fillId="0" borderId="0" xfId="0" applyNumberFormat="1"/>
    <xf numFmtId="0" fontId="4" fillId="0" borderId="0" xfId="0" applyFont="1" applyAlignment="1">
      <alignment horizontal="right"/>
    </xf>
    <xf numFmtId="167" fontId="0" fillId="3" borderId="0" xfId="0" applyNumberFormat="1" applyFill="1"/>
    <xf numFmtId="43" fontId="1" fillId="0" borderId="1" xfId="0" applyNumberFormat="1" applyFont="1" applyBorder="1"/>
    <xf numFmtId="43" fontId="1" fillId="3" borderId="1" xfId="0" applyNumberFormat="1" applyFont="1" applyFill="1" applyBorder="1"/>
    <xf numFmtId="0" fontId="0" fillId="0" borderId="0" xfId="0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1" fontId="0" fillId="0" borderId="0" xfId="0" applyNumberFormat="1"/>
    <xf numFmtId="171" fontId="0" fillId="3" borderId="2" xfId="0" applyNumberFormat="1" applyFill="1" applyBorder="1"/>
    <xf numFmtId="43" fontId="0" fillId="4" borderId="0" xfId="0" applyNumberFormat="1" applyFill="1"/>
    <xf numFmtId="172" fontId="0" fillId="0" borderId="0" xfId="0" applyNumberFormat="1" applyFill="1"/>
    <xf numFmtId="170" fontId="0" fillId="5" borderId="0" xfId="0" applyNumberFormat="1" applyFill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4" fontId="0" fillId="5" borderId="0" xfId="0" applyNumberFormat="1" applyFill="1"/>
    <xf numFmtId="171" fontId="0" fillId="5" borderId="0" xfId="0" applyNumberFormat="1" applyFill="1"/>
    <xf numFmtId="172" fontId="0" fillId="3" borderId="2" xfId="0" applyNumberFormat="1" applyFill="1" applyBorder="1"/>
    <xf numFmtId="172" fontId="0" fillId="0" borderId="0" xfId="0" applyNumberFormat="1"/>
    <xf numFmtId="172" fontId="0" fillId="4" borderId="0" xfId="0" applyNumberFormat="1" applyFill="1"/>
    <xf numFmtId="172" fontId="0" fillId="2" borderId="0" xfId="0" applyNumberFormat="1" applyFill="1" applyAlignment="1">
      <alignment horizontal="center"/>
    </xf>
    <xf numFmtId="0" fontId="0" fillId="0" borderId="0" xfId="0" applyBorder="1"/>
    <xf numFmtId="43" fontId="0" fillId="0" borderId="0" xfId="0" applyNumberFormat="1" applyBorder="1"/>
    <xf numFmtId="173" fontId="0" fillId="0" borderId="0" xfId="0" applyNumberFormat="1"/>
    <xf numFmtId="173" fontId="0" fillId="0" borderId="2" xfId="0" applyNumberFormat="1" applyBorder="1"/>
    <xf numFmtId="2" fontId="0" fillId="0" borderId="0" xfId="0" applyNumberFormat="1"/>
    <xf numFmtId="43" fontId="4" fillId="0" borderId="0" xfId="0" applyNumberFormat="1" applyFont="1" applyFill="1"/>
    <xf numFmtId="168" fontId="0" fillId="0" borderId="0" xfId="0" applyNumberFormat="1" applyFill="1" applyAlignment="1">
      <alignment horizontal="center"/>
    </xf>
    <xf numFmtId="0" fontId="4" fillId="0" borderId="0" xfId="0" applyFont="1" applyFill="1"/>
    <xf numFmtId="167" fontId="4" fillId="5" borderId="0" xfId="0" applyNumberFormat="1" applyFont="1" applyFill="1"/>
    <xf numFmtId="3" fontId="4" fillId="5" borderId="0" xfId="0" applyNumberFormat="1" applyFont="1" applyFill="1"/>
    <xf numFmtId="43" fontId="8" fillId="5" borderId="0" xfId="4" applyFont="1" applyFill="1"/>
    <xf numFmtId="43" fontId="5" fillId="5" borderId="0" xfId="0" applyNumberFormat="1" applyFont="1" applyFill="1"/>
    <xf numFmtId="44" fontId="2" fillId="5" borderId="1" xfId="0" applyNumberFormat="1" applyFont="1" applyFill="1" applyBorder="1"/>
    <xf numFmtId="43" fontId="0" fillId="5" borderId="0" xfId="0" applyNumberFormat="1" applyFill="1"/>
    <xf numFmtId="43" fontId="2" fillId="5" borderId="1" xfId="0" applyNumberFormat="1" applyFont="1" applyFill="1" applyBorder="1"/>
    <xf numFmtId="170" fontId="0" fillId="5" borderId="1" xfId="0" applyNumberFormat="1" applyFill="1" applyBorder="1"/>
    <xf numFmtId="10" fontId="0" fillId="3" borderId="0" xfId="2" applyNumberFormat="1" applyFont="1" applyFill="1"/>
    <xf numFmtId="0" fontId="0" fillId="5" borderId="0" xfId="0" applyFill="1"/>
    <xf numFmtId="44" fontId="0" fillId="3" borderId="0" xfId="0" applyNumberFormat="1" applyFill="1"/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>
      <pane xSplit="4" ySplit="3" topLeftCell="E10" activePane="bottomRight" state="frozen"/>
      <selection pane="topRight" activeCell="E1" sqref="E1"/>
      <selection pane="bottomLeft" activeCell="A4" sqref="A4"/>
      <selection pane="bottomRight" activeCell="M21" sqref="M21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0.88671875" customWidth="1"/>
    <col min="7" max="7" width="12.77734375" customWidth="1"/>
    <col min="8" max="8" width="1.77734375" customWidth="1"/>
    <col min="9" max="9" width="12.77734375" customWidth="1"/>
    <col min="10" max="10" width="1.77734375" customWidth="1"/>
    <col min="11" max="11" width="12.77734375" customWidth="1"/>
    <col min="12" max="12" width="1.77734375" customWidth="1"/>
    <col min="13" max="13" width="12.77734375" customWidth="1"/>
    <col min="14" max="14" width="0.88671875" customWidth="1"/>
    <col min="15" max="15" width="12.77734375" customWidth="1"/>
    <col min="16" max="16" width="1.77734375" customWidth="1"/>
    <col min="17" max="17" width="12.77734375" customWidth="1"/>
    <col min="18" max="18" width="1.77734375" customWidth="1"/>
    <col min="19" max="19" width="12.77734375" customWidth="1"/>
    <col min="20" max="20" width="0.88671875" customWidth="1"/>
    <col min="21" max="21" width="1.77734375" customWidth="1"/>
  </cols>
  <sheetData>
    <row r="1" spans="1:21" x14ac:dyDescent="0.25">
      <c r="F1" s="11"/>
      <c r="G1" s="12"/>
      <c r="H1" s="12"/>
      <c r="I1" s="12"/>
      <c r="J1" s="12"/>
      <c r="K1" s="13"/>
      <c r="L1" s="12"/>
      <c r="M1" s="55" t="s">
        <v>54</v>
      </c>
      <c r="N1" s="11"/>
      <c r="O1" s="54" t="s">
        <v>55</v>
      </c>
      <c r="P1" s="12"/>
      <c r="Q1" s="13"/>
      <c r="R1" s="12"/>
      <c r="S1" s="12"/>
      <c r="T1" s="11"/>
      <c r="U1" s="12"/>
    </row>
    <row r="2" spans="1:21" x14ac:dyDescent="0.25">
      <c r="F2" s="11"/>
      <c r="G2" s="12"/>
      <c r="I2" s="12"/>
      <c r="K2" s="13"/>
      <c r="L2" s="14"/>
      <c r="M2" s="12"/>
      <c r="N2" s="11"/>
      <c r="O2" s="12"/>
      <c r="Q2" s="13"/>
      <c r="R2" s="14"/>
      <c r="S2" s="12"/>
      <c r="T2" s="11"/>
      <c r="U2" s="14"/>
    </row>
    <row r="3" spans="1:21" s="16" customFormat="1" x14ac:dyDescent="0.25">
      <c r="A3" s="15"/>
      <c r="C3" s="17" t="s">
        <v>12</v>
      </c>
      <c r="F3" s="18"/>
      <c r="G3" s="16">
        <v>44197</v>
      </c>
      <c r="I3" s="16">
        <v>44228</v>
      </c>
      <c r="K3" s="16">
        <v>44256</v>
      </c>
      <c r="M3" s="16">
        <v>44287</v>
      </c>
      <c r="N3" s="18"/>
      <c r="O3" s="16">
        <v>44317</v>
      </c>
      <c r="Q3" s="16">
        <v>44348</v>
      </c>
      <c r="S3" s="16">
        <v>44378</v>
      </c>
      <c r="T3" s="18"/>
    </row>
    <row r="4" spans="1:21" s="16" customFormat="1" x14ac:dyDescent="0.25">
      <c r="A4" s="15"/>
      <c r="C4" s="17"/>
      <c r="F4" s="18"/>
      <c r="G4" s="19"/>
      <c r="I4" s="19"/>
      <c r="K4" s="19"/>
      <c r="M4" s="19"/>
      <c r="N4" s="18"/>
      <c r="O4" s="19"/>
      <c r="Q4" s="19"/>
      <c r="S4" s="19"/>
      <c r="T4" s="18"/>
    </row>
    <row r="5" spans="1:21" s="16" customFormat="1" ht="7.05" customHeight="1" x14ac:dyDescent="0.25">
      <c r="A5" s="15"/>
      <c r="C5" s="17"/>
      <c r="F5" s="18"/>
      <c r="G5" s="19"/>
      <c r="I5" s="19"/>
      <c r="K5" s="19"/>
      <c r="M5" s="19"/>
      <c r="N5" s="18"/>
      <c r="O5" s="19"/>
      <c r="Q5" s="19"/>
      <c r="S5" s="19"/>
      <c r="T5" s="18"/>
    </row>
    <row r="6" spans="1:21" x14ac:dyDescent="0.25">
      <c r="A6" t="s">
        <v>45</v>
      </c>
      <c r="C6" s="45"/>
      <c r="D6" s="47"/>
      <c r="E6" s="45"/>
      <c r="F6" s="18"/>
      <c r="G6" s="51">
        <f>G32</f>
        <v>2560</v>
      </c>
      <c r="H6" s="45"/>
      <c r="I6" s="51">
        <f>I32</f>
        <v>2906</v>
      </c>
      <c r="J6" s="45"/>
      <c r="K6" s="51">
        <f>K32</f>
        <v>1697</v>
      </c>
      <c r="L6" s="45"/>
      <c r="M6" s="51">
        <f>M32</f>
        <v>850</v>
      </c>
      <c r="N6" s="18"/>
      <c r="O6" s="51">
        <f>O32</f>
        <v>725.9</v>
      </c>
      <c r="P6" s="45"/>
      <c r="Q6" s="51">
        <f>Q32</f>
        <v>270.2</v>
      </c>
      <c r="R6" s="45"/>
      <c r="S6" s="51">
        <f>S32</f>
        <v>219.4</v>
      </c>
      <c r="T6" s="18"/>
      <c r="U6" s="45"/>
    </row>
    <row r="7" spans="1:21" s="16" customFormat="1" ht="7.05" customHeight="1" x14ac:dyDescent="0.25">
      <c r="A7" s="15"/>
      <c r="C7" s="17"/>
      <c r="F7" s="18"/>
      <c r="G7" s="19"/>
      <c r="I7" s="19"/>
      <c r="K7" s="19"/>
      <c r="M7" s="19"/>
      <c r="N7" s="18"/>
      <c r="O7" s="19"/>
      <c r="Q7" s="19"/>
      <c r="S7" s="19"/>
      <c r="T7" s="18"/>
    </row>
    <row r="8" spans="1:21" x14ac:dyDescent="0.25">
      <c r="B8" t="s">
        <v>46</v>
      </c>
      <c r="C8" s="45"/>
      <c r="D8" s="47"/>
      <c r="E8" s="45"/>
      <c r="F8" s="18"/>
      <c r="G8" s="51">
        <f>G27</f>
        <v>14074.454591888467</v>
      </c>
      <c r="H8" s="45"/>
      <c r="I8" s="51">
        <f>I27</f>
        <v>16942.019067245121</v>
      </c>
      <c r="J8" s="45"/>
      <c r="K8" s="51">
        <f>K27</f>
        <v>10008.947792682926</v>
      </c>
      <c r="L8" s="45"/>
      <c r="M8" s="51">
        <f>M27</f>
        <v>4779.7495637393777</v>
      </c>
      <c r="N8" s="18"/>
      <c r="O8" s="51">
        <f>O27</f>
        <v>4365.2938644444448</v>
      </c>
      <c r="P8" s="45"/>
      <c r="Q8" s="51">
        <f>Q27</f>
        <v>1664.8699866666666</v>
      </c>
      <c r="R8" s="45"/>
      <c r="S8" s="51">
        <f>S27</f>
        <v>1488.9607829059828</v>
      </c>
      <c r="T8" s="18"/>
      <c r="U8" s="45"/>
    </row>
    <row r="9" spans="1:21" s="16" customFormat="1" ht="7.05" customHeight="1" x14ac:dyDescent="0.25">
      <c r="A9" s="15"/>
      <c r="C9" s="17"/>
      <c r="F9" s="18"/>
      <c r="G9" s="19"/>
      <c r="I9" s="19"/>
      <c r="K9" s="19"/>
      <c r="M9" s="19"/>
      <c r="N9" s="18"/>
      <c r="O9" s="19"/>
      <c r="Q9" s="19"/>
      <c r="S9" s="19"/>
      <c r="T9" s="18"/>
    </row>
    <row r="10" spans="1:21" x14ac:dyDescent="0.25">
      <c r="C10" s="45" t="s">
        <v>47</v>
      </c>
      <c r="D10" s="47"/>
      <c r="E10" s="45"/>
      <c r="F10" s="18"/>
      <c r="G10" s="24">
        <f>Sales!F31</f>
        <v>2462</v>
      </c>
      <c r="H10" s="45"/>
      <c r="I10" s="24">
        <f>Sales!H31</f>
        <v>2794</v>
      </c>
      <c r="J10" s="45"/>
      <c r="K10" s="24">
        <f>Sales!J31</f>
        <v>1632</v>
      </c>
      <c r="L10" s="45"/>
      <c r="M10" s="24">
        <f>Sales!L31</f>
        <v>817</v>
      </c>
      <c r="N10" s="18"/>
      <c r="O10" s="24">
        <f>Sales!N31</f>
        <v>698.7</v>
      </c>
      <c r="P10" s="45"/>
      <c r="Q10" s="24">
        <f>Sales!P31</f>
        <v>144.30000000000001</v>
      </c>
      <c r="R10" s="45"/>
      <c r="S10" s="24">
        <f>Sales!R31</f>
        <v>178.9</v>
      </c>
      <c r="T10" s="18"/>
      <c r="U10" s="45"/>
    </row>
    <row r="11" spans="1:21" x14ac:dyDescent="0.25">
      <c r="C11" s="45"/>
      <c r="D11" s="47"/>
      <c r="E11" s="45"/>
      <c r="F11" s="18"/>
      <c r="G11" s="34">
        <f>G10/G6</f>
        <v>0.96171874999999996</v>
      </c>
      <c r="H11" s="52"/>
      <c r="I11" s="34">
        <f>I10/I6</f>
        <v>0.96145905024088096</v>
      </c>
      <c r="J11" s="52"/>
      <c r="K11" s="34">
        <f>K10/K6</f>
        <v>0.96169711255156154</v>
      </c>
      <c r="L11" s="52"/>
      <c r="M11" s="34">
        <f>M10/M6</f>
        <v>0.9611764705882353</v>
      </c>
      <c r="N11" s="61"/>
      <c r="O11" s="34">
        <f>O10/O6</f>
        <v>0.96252927400468391</v>
      </c>
      <c r="P11" s="52"/>
      <c r="Q11" s="34">
        <f>Q10/Q6</f>
        <v>0.53404885270170255</v>
      </c>
      <c r="R11" s="52"/>
      <c r="S11" s="34">
        <f>S10/S6</f>
        <v>0.81540565177757518</v>
      </c>
      <c r="T11" s="18"/>
      <c r="U11" s="52"/>
    </row>
    <row r="12" spans="1:21" s="16" customFormat="1" ht="7.05" customHeight="1" x14ac:dyDescent="0.25">
      <c r="A12" s="15"/>
      <c r="C12" s="17"/>
      <c r="F12" s="18"/>
      <c r="G12" s="19"/>
      <c r="I12" s="19"/>
      <c r="K12" s="19"/>
      <c r="M12" s="19"/>
      <c r="N12" s="18"/>
      <c r="O12" s="19"/>
      <c r="Q12" s="19"/>
      <c r="S12" s="19"/>
      <c r="T12" s="18"/>
    </row>
    <row r="13" spans="1:21" x14ac:dyDescent="0.25">
      <c r="C13" s="48" t="s">
        <v>48</v>
      </c>
      <c r="D13" s="47"/>
      <c r="E13" s="45"/>
      <c r="F13" s="18"/>
      <c r="G13" s="22">
        <f>G8/G10</f>
        <v>5.7166753013356892</v>
      </c>
      <c r="H13" s="45"/>
      <c r="I13" s="22">
        <f>I8/I10</f>
        <v>6.0637147699517255</v>
      </c>
      <c r="J13" s="45"/>
      <c r="K13" s="22">
        <f>K8/K10</f>
        <v>6.1329336964968908</v>
      </c>
      <c r="L13" s="45"/>
      <c r="M13" s="22">
        <f>M8/M10</f>
        <v>5.8503666630836939</v>
      </c>
      <c r="N13" s="18"/>
      <c r="O13" s="22">
        <f>O8/O10</f>
        <v>6.2477370322662722</v>
      </c>
      <c r="P13" s="45"/>
      <c r="Q13" s="22">
        <f>Q8/Q10</f>
        <v>11.537560545160543</v>
      </c>
      <c r="R13" s="45"/>
      <c r="S13" s="22">
        <f>S8/S10</f>
        <v>8.3228663102626204</v>
      </c>
      <c r="T13" s="18"/>
      <c r="U13" s="45"/>
    </row>
    <row r="14" spans="1:21" x14ac:dyDescent="0.25">
      <c r="C14" s="48" t="s">
        <v>49</v>
      </c>
      <c r="D14" s="47"/>
      <c r="E14" s="45"/>
      <c r="F14" s="18"/>
      <c r="G14" s="53">
        <v>5.3734000000000002</v>
      </c>
      <c r="H14" s="45"/>
      <c r="I14" s="53">
        <v>5.3734000000000002</v>
      </c>
      <c r="J14" s="45"/>
      <c r="K14" s="53">
        <v>5.3734000000000002</v>
      </c>
      <c r="L14" s="45"/>
      <c r="M14" s="53">
        <v>4.7462</v>
      </c>
      <c r="N14" s="18"/>
      <c r="O14" s="53">
        <v>4.7462</v>
      </c>
      <c r="P14" s="45"/>
      <c r="Q14" s="53">
        <v>4.7462</v>
      </c>
      <c r="R14" s="45"/>
      <c r="S14" s="53">
        <v>4.7462</v>
      </c>
      <c r="T14" s="18"/>
      <c r="U14" s="45"/>
    </row>
    <row r="15" spans="1:21" x14ac:dyDescent="0.25">
      <c r="C15" s="48" t="s">
        <v>18</v>
      </c>
      <c r="D15" s="47"/>
      <c r="E15" s="45"/>
      <c r="F15" s="18"/>
      <c r="G15" s="22">
        <f>G13-G14</f>
        <v>0.34327530133568906</v>
      </c>
      <c r="H15" s="45"/>
      <c r="I15" s="22">
        <f>I13-I14</f>
        <v>0.69031476995172536</v>
      </c>
      <c r="J15" s="45"/>
      <c r="K15" s="22">
        <f>K13-K14</f>
        <v>0.75953369649689062</v>
      </c>
      <c r="L15" s="45"/>
      <c r="M15" s="22">
        <f>M13-M14</f>
        <v>1.1041666630836939</v>
      </c>
      <c r="N15" s="18"/>
      <c r="O15" s="22">
        <f>O13-O14</f>
        <v>1.5015370322662722</v>
      </c>
      <c r="P15" s="45"/>
      <c r="Q15" s="22">
        <f>Q13-Q14</f>
        <v>6.7913605451605434</v>
      </c>
      <c r="R15" s="45"/>
      <c r="S15" s="22">
        <f>S13-S14</f>
        <v>3.5766663102626204</v>
      </c>
      <c r="T15" s="18"/>
      <c r="U15" s="45"/>
    </row>
    <row r="16" spans="1:21" x14ac:dyDescent="0.25">
      <c r="C16" s="48" t="s">
        <v>50</v>
      </c>
      <c r="D16" s="47"/>
      <c r="E16" s="45"/>
      <c r="F16" s="18"/>
      <c r="G16" s="42">
        <f>G10</f>
        <v>2462</v>
      </c>
      <c r="H16" s="45"/>
      <c r="I16" s="42">
        <f>I10</f>
        <v>2794</v>
      </c>
      <c r="J16" s="45"/>
      <c r="K16" s="42">
        <f>K10</f>
        <v>1632</v>
      </c>
      <c r="L16" s="45"/>
      <c r="M16" s="42">
        <f>M10</f>
        <v>817</v>
      </c>
      <c r="N16" s="18"/>
      <c r="O16" s="42">
        <f>O10</f>
        <v>698.7</v>
      </c>
      <c r="P16" s="45"/>
      <c r="Q16" s="42">
        <f>Q10</f>
        <v>144.30000000000001</v>
      </c>
      <c r="R16" s="45"/>
      <c r="S16" s="42">
        <f>S10</f>
        <v>178.9</v>
      </c>
      <c r="T16" s="18"/>
      <c r="U16" s="45"/>
    </row>
    <row r="17" spans="1:21" x14ac:dyDescent="0.25">
      <c r="C17" s="48" t="s">
        <v>51</v>
      </c>
      <c r="D17" s="47"/>
      <c r="E17" s="45"/>
      <c r="F17" s="18"/>
      <c r="G17" s="22">
        <f>G15*G16</f>
        <v>845.14379188846647</v>
      </c>
      <c r="H17" s="45"/>
      <c r="I17" s="22">
        <f>I15*I16</f>
        <v>1928.7394672451207</v>
      </c>
      <c r="J17" s="45"/>
      <c r="K17" s="22">
        <f>K15*K16</f>
        <v>1239.5589926829255</v>
      </c>
      <c r="L17" s="45"/>
      <c r="M17" s="22">
        <f>M15*M16</f>
        <v>902.1041637393779</v>
      </c>
      <c r="N17" s="18"/>
      <c r="O17" s="22">
        <f>O15*O16</f>
        <v>1049.1239244444444</v>
      </c>
      <c r="P17" s="45"/>
      <c r="Q17" s="22">
        <f>Q15*Q16</f>
        <v>979.99332666666646</v>
      </c>
      <c r="R17" s="45"/>
      <c r="S17" s="22">
        <f>S15*S16</f>
        <v>639.86560290598277</v>
      </c>
      <c r="T17" s="18"/>
      <c r="U17" s="45"/>
    </row>
    <row r="18" spans="1:21" s="16" customFormat="1" ht="7.05" customHeight="1" x14ac:dyDescent="0.25">
      <c r="A18" s="15"/>
      <c r="C18" s="17"/>
      <c r="F18" s="18"/>
      <c r="G18" s="19"/>
      <c r="I18" s="19"/>
      <c r="K18" s="19"/>
      <c r="M18" s="19"/>
      <c r="N18" s="18"/>
      <c r="O18" s="19"/>
      <c r="Q18" s="19"/>
      <c r="S18" s="19"/>
      <c r="T18" s="18"/>
    </row>
    <row r="19" spans="1:21" x14ac:dyDescent="0.25">
      <c r="C19" s="27" t="s">
        <v>52</v>
      </c>
      <c r="F19" s="11"/>
      <c r="G19" s="23"/>
      <c r="I19" s="23"/>
      <c r="K19" s="27"/>
      <c r="M19" s="23"/>
      <c r="N19" s="11"/>
      <c r="O19" s="23"/>
      <c r="Q19" s="27"/>
      <c r="S19" s="20">
        <f>SUM(G17:S17)</f>
        <v>7584.529269572985</v>
      </c>
      <c r="T19" s="11"/>
    </row>
    <row r="20" spans="1:21" x14ac:dyDescent="0.25">
      <c r="F20" s="11"/>
      <c r="N20" s="11"/>
      <c r="T20" s="11"/>
    </row>
    <row r="21" spans="1:21" x14ac:dyDescent="0.25">
      <c r="F21" s="11"/>
      <c r="N21" s="11"/>
      <c r="T21" s="11"/>
    </row>
    <row r="22" spans="1:21" x14ac:dyDescent="0.25">
      <c r="A22" s="1" t="s">
        <v>6</v>
      </c>
      <c r="F22" s="11"/>
      <c r="N22" s="11"/>
      <c r="T22" s="11"/>
    </row>
    <row r="23" spans="1:21" x14ac:dyDescent="0.25">
      <c r="A23" s="1" t="s">
        <v>24</v>
      </c>
      <c r="F23" s="11"/>
      <c r="N23" s="11"/>
      <c r="T23" s="11"/>
    </row>
    <row r="24" spans="1:21" x14ac:dyDescent="0.25">
      <c r="A24" s="1"/>
      <c r="B24" s="1" t="s">
        <v>27</v>
      </c>
      <c r="D24" s="21" t="s">
        <v>61</v>
      </c>
      <c r="F24" s="11"/>
      <c r="G24" s="56">
        <f>G44</f>
        <v>7911.0570000000007</v>
      </c>
      <c r="I24" s="56">
        <f>I44</f>
        <v>11638.199999999999</v>
      </c>
      <c r="K24" s="56">
        <f>K44</f>
        <v>7441.1819999999998</v>
      </c>
      <c r="M24" s="56">
        <f>M44</f>
        <v>2279.2420000000002</v>
      </c>
      <c r="N24" s="11"/>
      <c r="O24" s="56">
        <f>O44</f>
        <v>2466.9324999999999</v>
      </c>
      <c r="Q24" s="56">
        <f>Q44</f>
        <v>599.07680000000005</v>
      </c>
      <c r="S24" s="56">
        <f>S44</f>
        <v>575.18079999999998</v>
      </c>
      <c r="T24" s="11"/>
    </row>
    <row r="25" spans="1:21" x14ac:dyDescent="0.25">
      <c r="B25" s="1" t="s">
        <v>64</v>
      </c>
      <c r="F25" s="11"/>
      <c r="G25" s="56">
        <v>3589.9</v>
      </c>
      <c r="I25" s="56">
        <v>2380.61</v>
      </c>
      <c r="K25" s="56">
        <v>859.28</v>
      </c>
      <c r="M25" s="56">
        <v>1646.39</v>
      </c>
      <c r="N25" s="11"/>
      <c r="O25" s="56">
        <v>1166.8800000000001</v>
      </c>
      <c r="P25" t="s">
        <v>66</v>
      </c>
      <c r="Q25" s="56">
        <v>793.99</v>
      </c>
      <c r="R25" t="s">
        <v>66</v>
      </c>
      <c r="S25" s="56">
        <v>694.53</v>
      </c>
      <c r="T25" s="11"/>
      <c r="U25" t="s">
        <v>66</v>
      </c>
    </row>
    <row r="26" spans="1:21" x14ac:dyDescent="0.25">
      <c r="B26" s="1" t="s">
        <v>65</v>
      </c>
      <c r="F26" s="11"/>
      <c r="G26" s="80">
        <f>G32*G37</f>
        <v>2573.497591888467</v>
      </c>
      <c r="I26" s="80">
        <f>I32*I37</f>
        <v>2923.2090672451195</v>
      </c>
      <c r="K26" s="80">
        <f>K32*K37</f>
        <v>1708.485792682927</v>
      </c>
      <c r="M26" s="80">
        <f>M32*M37</f>
        <v>854.11756373937692</v>
      </c>
      <c r="N26" s="11"/>
      <c r="O26" s="80">
        <f>O32*O37</f>
        <v>731.48136444444458</v>
      </c>
      <c r="Q26" s="80">
        <f>Q32*Q37</f>
        <v>271.80318666666665</v>
      </c>
      <c r="S26" s="80">
        <f>S32*S37</f>
        <v>219.24998290598293</v>
      </c>
      <c r="T26" s="11"/>
    </row>
    <row r="27" spans="1:21" x14ac:dyDescent="0.25">
      <c r="C27" s="1" t="s">
        <v>25</v>
      </c>
      <c r="F27" s="11"/>
      <c r="G27" s="22">
        <f>SUM(G24:G26)</f>
        <v>14074.454591888467</v>
      </c>
      <c r="I27" s="22">
        <f>SUM(I24:I26)</f>
        <v>16942.019067245121</v>
      </c>
      <c r="K27" s="22">
        <f>SUM(K24:K26)</f>
        <v>10008.947792682926</v>
      </c>
      <c r="M27" s="22">
        <f>SUM(M24:M26)</f>
        <v>4779.7495637393777</v>
      </c>
      <c r="N27" s="11"/>
      <c r="O27" s="22">
        <f>SUM(O24:O26)</f>
        <v>4365.2938644444448</v>
      </c>
      <c r="Q27" s="22">
        <f>SUM(Q24:Q26)</f>
        <v>1664.8699866666666</v>
      </c>
      <c r="S27" s="22">
        <f>SUM(S24:S26)</f>
        <v>1488.9607829059828</v>
      </c>
      <c r="T27" s="11"/>
    </row>
    <row r="28" spans="1:21" ht="6.75" customHeight="1" x14ac:dyDescent="0.25">
      <c r="F28" s="11"/>
      <c r="I28" s="23"/>
      <c r="N28" s="11"/>
      <c r="O28" s="23"/>
      <c r="T28" s="11"/>
    </row>
    <row r="29" spans="1:21" x14ac:dyDescent="0.25">
      <c r="A29" s="1" t="s">
        <v>53</v>
      </c>
      <c r="F29" s="11"/>
      <c r="N29" s="11"/>
      <c r="T29" s="11"/>
    </row>
    <row r="30" spans="1:21" x14ac:dyDescent="0.25">
      <c r="A30" s="1"/>
      <c r="B30" s="1" t="s">
        <v>27</v>
      </c>
      <c r="F30" s="11"/>
      <c r="G30" s="57">
        <v>1771</v>
      </c>
      <c r="H30" s="49"/>
      <c r="I30" s="57">
        <v>2445</v>
      </c>
      <c r="J30" s="49"/>
      <c r="K30" s="57">
        <v>1533</v>
      </c>
      <c r="L30" s="49"/>
      <c r="M30" s="57">
        <v>497</v>
      </c>
      <c r="N30" s="11"/>
      <c r="O30" s="57">
        <v>500.9</v>
      </c>
      <c r="P30" s="49"/>
      <c r="Q30" s="57">
        <v>120.2</v>
      </c>
      <c r="R30" s="49"/>
      <c r="S30" s="57">
        <v>102.4</v>
      </c>
      <c r="T30" s="11"/>
      <c r="U30" s="49"/>
    </row>
    <row r="31" spans="1:21" x14ac:dyDescent="0.25">
      <c r="B31" s="1" t="s">
        <v>26</v>
      </c>
      <c r="F31" s="11"/>
      <c r="G31" s="57">
        <v>789</v>
      </c>
      <c r="H31" s="49"/>
      <c r="I31" s="57">
        <v>461</v>
      </c>
      <c r="J31" s="49"/>
      <c r="K31" s="57">
        <v>164</v>
      </c>
      <c r="L31" s="49"/>
      <c r="M31" s="57">
        <v>353</v>
      </c>
      <c r="N31" s="11"/>
      <c r="O31" s="57">
        <v>225</v>
      </c>
      <c r="P31" t="s">
        <v>66</v>
      </c>
      <c r="Q31" s="57">
        <v>150</v>
      </c>
      <c r="R31" t="s">
        <v>66</v>
      </c>
      <c r="S31" s="57">
        <v>117</v>
      </c>
      <c r="T31" s="11"/>
      <c r="U31" t="s">
        <v>66</v>
      </c>
    </row>
    <row r="32" spans="1:21" x14ac:dyDescent="0.25">
      <c r="C32" s="1" t="s">
        <v>25</v>
      </c>
      <c r="F32" s="11"/>
      <c r="G32" s="50">
        <f>SUM(G30:G31)</f>
        <v>2560</v>
      </c>
      <c r="H32" s="49"/>
      <c r="I32" s="50">
        <f>SUM(I30:I31)</f>
        <v>2906</v>
      </c>
      <c r="J32" s="49"/>
      <c r="K32" s="50">
        <f>SUM(K30:K31)</f>
        <v>1697</v>
      </c>
      <c r="L32" s="49"/>
      <c r="M32" s="50">
        <f>SUM(M30:M31)</f>
        <v>850</v>
      </c>
      <c r="N32" s="11"/>
      <c r="O32" s="50">
        <f>SUM(O30:O31)</f>
        <v>725.9</v>
      </c>
      <c r="P32" s="49"/>
      <c r="Q32" s="50">
        <f>SUM(Q30:Q31)</f>
        <v>270.2</v>
      </c>
      <c r="R32" s="49"/>
      <c r="S32" s="50">
        <f>SUM(S30:S31)</f>
        <v>219.4</v>
      </c>
      <c r="T32" s="11"/>
      <c r="U32" s="49"/>
    </row>
    <row r="33" spans="1:21" x14ac:dyDescent="0.25">
      <c r="F33" s="11"/>
      <c r="N33" s="11"/>
      <c r="T33" s="11"/>
    </row>
    <row r="34" spans="1:21" x14ac:dyDescent="0.25">
      <c r="A34" t="s">
        <v>63</v>
      </c>
      <c r="F34" s="11"/>
      <c r="N34" s="11"/>
      <c r="T34" s="11"/>
    </row>
    <row r="35" spans="1:21" x14ac:dyDescent="0.25">
      <c r="B35" t="s">
        <v>69</v>
      </c>
      <c r="F35" s="11"/>
      <c r="G35" s="79">
        <v>1004</v>
      </c>
      <c r="I35" s="79">
        <v>587</v>
      </c>
      <c r="K35" s="79">
        <v>209</v>
      </c>
      <c r="M35" s="79">
        <v>449</v>
      </c>
      <c r="N35" s="11"/>
      <c r="O35" s="79">
        <v>287</v>
      </c>
      <c r="Q35" s="79">
        <v>191</v>
      </c>
      <c r="S35" s="79">
        <v>148</v>
      </c>
      <c r="T35" s="11"/>
    </row>
    <row r="36" spans="1:21" x14ac:dyDescent="0.25">
      <c r="B36" s="1" t="s">
        <v>67</v>
      </c>
      <c r="F36" s="11"/>
      <c r="G36" s="56">
        <v>0.79</v>
      </c>
      <c r="I36" s="56">
        <v>0.79</v>
      </c>
      <c r="K36" s="56">
        <v>0.79</v>
      </c>
      <c r="M36" s="56">
        <v>0.79</v>
      </c>
      <c r="N36" s="11"/>
      <c r="O36" s="56">
        <v>0.79</v>
      </c>
      <c r="Q36" s="56">
        <v>0.79</v>
      </c>
      <c r="S36" s="56">
        <v>0.79</v>
      </c>
      <c r="T36" s="11"/>
    </row>
    <row r="37" spans="1:21" x14ac:dyDescent="0.25">
      <c r="B37" s="1" t="s">
        <v>68</v>
      </c>
      <c r="F37" s="11"/>
      <c r="G37" s="80">
        <f>(G35*G36)/G31</f>
        <v>1.0052724968314324</v>
      </c>
      <c r="I37" s="80">
        <f>(I35*I36)/I31</f>
        <v>1.0059219088937095</v>
      </c>
      <c r="K37" s="80">
        <f>(K35*K36)/K31</f>
        <v>1.0067682926829269</v>
      </c>
      <c r="M37" s="80">
        <f>(M35*M36)/M31</f>
        <v>1.004844192634561</v>
      </c>
      <c r="N37" s="11"/>
      <c r="O37" s="80">
        <f>(O35*O36)/O31</f>
        <v>1.0076888888888891</v>
      </c>
      <c r="Q37" s="80">
        <f>(Q35*Q36)/Q31</f>
        <v>1.0059333333333333</v>
      </c>
      <c r="S37" s="80">
        <f>(S35*S36)/S31</f>
        <v>0.99931623931623936</v>
      </c>
      <c r="T37" s="11"/>
    </row>
    <row r="41" spans="1:21" x14ac:dyDescent="0.25">
      <c r="A41" s="1" t="s">
        <v>57</v>
      </c>
      <c r="G41" s="64">
        <v>2.4670000000000001</v>
      </c>
      <c r="H41" s="62"/>
      <c r="I41" s="64">
        <v>2.76</v>
      </c>
      <c r="J41" s="62"/>
      <c r="K41" s="64">
        <v>2.8540000000000001</v>
      </c>
      <c r="L41" s="62"/>
      <c r="M41" s="64">
        <v>2.5859999999999999</v>
      </c>
      <c r="O41" s="64">
        <v>2.9249999999999998</v>
      </c>
      <c r="P41" s="64"/>
      <c r="Q41" s="64">
        <v>2.984</v>
      </c>
      <c r="R41" s="64"/>
      <c r="S41" s="64">
        <v>3.617</v>
      </c>
      <c r="U41" s="64"/>
    </row>
    <row r="42" spans="1:21" x14ac:dyDescent="0.25">
      <c r="B42" s="1" t="s">
        <v>58</v>
      </c>
      <c r="G42" s="64">
        <v>2</v>
      </c>
      <c r="H42" s="62"/>
      <c r="I42" s="64">
        <v>2</v>
      </c>
      <c r="J42" s="62"/>
      <c r="K42" s="64">
        <v>2</v>
      </c>
      <c r="L42" s="62"/>
      <c r="M42" s="64">
        <v>2</v>
      </c>
      <c r="O42" s="64">
        <v>2</v>
      </c>
      <c r="P42" s="64"/>
      <c r="Q42" s="64">
        <v>2</v>
      </c>
      <c r="R42" s="64"/>
      <c r="S42" s="64">
        <v>2</v>
      </c>
      <c r="U42" s="64"/>
    </row>
    <row r="43" spans="1:21" x14ac:dyDescent="0.25">
      <c r="C43" s="1" t="s">
        <v>59</v>
      </c>
      <c r="G43" s="65">
        <f>SUM(G41:G42)</f>
        <v>4.4670000000000005</v>
      </c>
      <c r="H43" s="62"/>
      <c r="I43" s="65">
        <f>SUM(I41:I42)</f>
        <v>4.76</v>
      </c>
      <c r="J43" s="62"/>
      <c r="K43" s="65">
        <f>SUM(K41:K42)</f>
        <v>4.8540000000000001</v>
      </c>
      <c r="L43" s="62"/>
      <c r="M43" s="65">
        <f>SUM(M41:M42)</f>
        <v>4.5860000000000003</v>
      </c>
      <c r="O43" s="65">
        <f>SUM(O41:O42)</f>
        <v>4.9249999999999998</v>
      </c>
      <c r="Q43" s="65">
        <f>SUM(Q41:Q42)</f>
        <v>4.984</v>
      </c>
      <c r="S43" s="65">
        <f>SUM(S41:S42)</f>
        <v>5.617</v>
      </c>
    </row>
    <row r="44" spans="1:21" x14ac:dyDescent="0.25">
      <c r="C44" s="1" t="s">
        <v>62</v>
      </c>
      <c r="G44" s="63">
        <f>G43*G30</f>
        <v>7911.0570000000007</v>
      </c>
      <c r="H44" s="62"/>
      <c r="I44" s="63">
        <f>I43*I30</f>
        <v>11638.199999999999</v>
      </c>
      <c r="J44" s="62"/>
      <c r="K44" s="63">
        <f>K43*K30</f>
        <v>7441.1819999999998</v>
      </c>
      <c r="L44" s="62"/>
      <c r="M44" s="63">
        <f>M43*M30</f>
        <v>2279.2420000000002</v>
      </c>
      <c r="O44" s="63">
        <f>O43*O30</f>
        <v>2466.9324999999999</v>
      </c>
      <c r="Q44" s="63">
        <f>Q43*Q30</f>
        <v>599.07680000000005</v>
      </c>
      <c r="S44" s="63">
        <f>S43*S30</f>
        <v>575.18079999999998</v>
      </c>
    </row>
    <row r="45" spans="1:21" x14ac:dyDescent="0.25">
      <c r="C45" s="1" t="s">
        <v>35</v>
      </c>
      <c r="G45" s="46">
        <v>11015.62</v>
      </c>
      <c r="H45" s="46"/>
      <c r="I45" s="46">
        <v>15207.9</v>
      </c>
      <c r="J45" s="46"/>
      <c r="K45" s="46">
        <v>9535.26</v>
      </c>
      <c r="L45" s="46"/>
      <c r="M45" s="46">
        <v>2957.15</v>
      </c>
      <c r="N45" s="46"/>
      <c r="O45" s="46">
        <v>2466.96</v>
      </c>
      <c r="P45" s="46"/>
      <c r="Q45" s="46">
        <v>599.08000000000004</v>
      </c>
      <c r="R45" s="46"/>
      <c r="S45" s="46">
        <v>575.17999999999995</v>
      </c>
      <c r="U45" s="46"/>
    </row>
    <row r="47" spans="1:21" x14ac:dyDescent="0.25">
      <c r="G47" s="66"/>
      <c r="I47" s="66"/>
      <c r="K47" s="66"/>
      <c r="M47" s="66"/>
    </row>
  </sheetData>
  <pageMargins left="0.5" right="0.5" top="1" bottom="1" header="0.5" footer="0.5"/>
  <pageSetup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34" sqref="G34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0.88671875" customWidth="1"/>
    <col min="7" max="7" width="12.77734375" customWidth="1"/>
    <col min="8" max="8" width="1.77734375" customWidth="1"/>
    <col min="9" max="9" width="12.77734375" customWidth="1"/>
    <col min="10" max="10" width="1.77734375" customWidth="1"/>
    <col min="11" max="11" width="12.77734375" customWidth="1"/>
    <col min="12" max="12" width="1.77734375" customWidth="1"/>
    <col min="13" max="13" width="12.77734375" customWidth="1"/>
    <col min="14" max="14" width="0.88671875" customWidth="1"/>
    <col min="15" max="15" width="12.77734375" customWidth="1"/>
    <col min="16" max="16" width="1.77734375" customWidth="1"/>
    <col min="17" max="17" width="12.77734375" customWidth="1"/>
    <col min="18" max="18" width="1.77734375" customWidth="1"/>
    <col min="19" max="19" width="12.77734375" customWidth="1"/>
    <col min="20" max="20" width="0.88671875" customWidth="1"/>
    <col min="21" max="21" width="1.77734375" customWidth="1"/>
  </cols>
  <sheetData>
    <row r="1" spans="1:21" x14ac:dyDescent="0.25">
      <c r="F1" s="11"/>
      <c r="G1" s="12"/>
      <c r="H1" s="12"/>
      <c r="I1" s="12"/>
      <c r="J1" s="12"/>
      <c r="K1" s="13"/>
      <c r="L1" s="12"/>
      <c r="M1" s="55" t="s">
        <v>54</v>
      </c>
      <c r="N1" s="11"/>
      <c r="O1" s="54" t="s">
        <v>55</v>
      </c>
      <c r="P1" s="12"/>
      <c r="Q1" s="13"/>
      <c r="R1" s="12"/>
      <c r="S1" s="12"/>
      <c r="T1" s="11"/>
      <c r="U1" s="12"/>
    </row>
    <row r="2" spans="1:21" x14ac:dyDescent="0.25">
      <c r="F2" s="11"/>
      <c r="G2" s="12"/>
      <c r="I2" s="12"/>
      <c r="K2" s="13"/>
      <c r="L2" s="14"/>
      <c r="M2" s="12"/>
      <c r="N2" s="11"/>
      <c r="O2" s="12"/>
      <c r="Q2" s="13"/>
      <c r="R2" s="14"/>
      <c r="S2" s="12"/>
      <c r="T2" s="11"/>
      <c r="U2" s="14"/>
    </row>
    <row r="3" spans="1:21" s="16" customFormat="1" x14ac:dyDescent="0.25">
      <c r="A3" s="15"/>
      <c r="C3" s="17" t="s">
        <v>12</v>
      </c>
      <c r="F3" s="18"/>
      <c r="G3" s="16">
        <v>44197</v>
      </c>
      <c r="I3" s="16">
        <v>44228</v>
      </c>
      <c r="K3" s="16">
        <v>44256</v>
      </c>
      <c r="M3" s="16">
        <v>44287</v>
      </c>
      <c r="N3" s="18"/>
      <c r="O3" s="16">
        <v>44317</v>
      </c>
      <c r="Q3" s="16">
        <v>44348</v>
      </c>
      <c r="S3" s="16">
        <v>44378</v>
      </c>
      <c r="T3" s="18"/>
    </row>
    <row r="4" spans="1:21" s="16" customFormat="1" x14ac:dyDescent="0.25">
      <c r="A4" s="15"/>
      <c r="C4" s="17"/>
      <c r="F4" s="18"/>
      <c r="G4" s="19"/>
      <c r="I4" s="19"/>
      <c r="K4" s="19"/>
      <c r="M4" s="19"/>
      <c r="N4" s="18"/>
      <c r="O4" s="19"/>
      <c r="Q4" s="19"/>
      <c r="S4" s="19"/>
      <c r="T4" s="18"/>
    </row>
    <row r="5" spans="1:21" s="16" customFormat="1" ht="7.05" customHeight="1" x14ac:dyDescent="0.25">
      <c r="A5" s="15"/>
      <c r="C5" s="17"/>
      <c r="F5" s="18"/>
      <c r="G5" s="19"/>
      <c r="I5" s="19"/>
      <c r="K5" s="19"/>
      <c r="M5" s="19"/>
      <c r="N5" s="18"/>
      <c r="O5" s="19"/>
      <c r="Q5" s="19"/>
      <c r="S5" s="19"/>
      <c r="T5" s="18"/>
    </row>
    <row r="6" spans="1:21" x14ac:dyDescent="0.25">
      <c r="A6" t="s">
        <v>45</v>
      </c>
      <c r="C6" s="45"/>
      <c r="D6" s="47"/>
      <c r="E6" s="45"/>
      <c r="F6" s="18"/>
      <c r="G6" s="60">
        <f>G30</f>
        <v>3193</v>
      </c>
      <c r="H6" s="52"/>
      <c r="I6" s="60">
        <f>I30</f>
        <v>3462</v>
      </c>
      <c r="J6" s="52"/>
      <c r="K6" s="60">
        <f>K30</f>
        <v>2069</v>
      </c>
      <c r="L6" s="52"/>
      <c r="M6" s="60">
        <f>M30</f>
        <v>1297</v>
      </c>
      <c r="N6" s="61"/>
      <c r="O6" s="60">
        <f>O30</f>
        <v>1384.4</v>
      </c>
      <c r="P6" s="52"/>
      <c r="Q6" s="60">
        <f>Q30</f>
        <v>413.7</v>
      </c>
      <c r="R6" s="52"/>
      <c r="S6" s="60">
        <f>S30</f>
        <v>379.7</v>
      </c>
      <c r="T6" s="18"/>
      <c r="U6" s="52"/>
    </row>
    <row r="7" spans="1:21" s="16" customFormat="1" ht="7.05" customHeight="1" x14ac:dyDescent="0.25">
      <c r="A7" s="15"/>
      <c r="C7" s="17"/>
      <c r="F7" s="18"/>
      <c r="G7" s="19"/>
      <c r="I7" s="19"/>
      <c r="K7" s="19"/>
      <c r="M7" s="19"/>
      <c r="N7" s="18"/>
      <c r="O7" s="19"/>
      <c r="Q7" s="19"/>
      <c r="S7" s="19"/>
      <c r="T7" s="18"/>
    </row>
    <row r="8" spans="1:21" x14ac:dyDescent="0.25">
      <c r="B8" t="s">
        <v>46</v>
      </c>
      <c r="C8" s="45"/>
      <c r="D8" s="47"/>
      <c r="E8" s="45"/>
      <c r="F8" s="18"/>
      <c r="G8" s="51">
        <f>G25</f>
        <v>17466.548999999999</v>
      </c>
      <c r="H8" s="45"/>
      <c r="I8" s="51">
        <f>I25</f>
        <v>19988.557000000001</v>
      </c>
      <c r="J8" s="45"/>
      <c r="K8" s="51">
        <f>K25</f>
        <v>11638.126</v>
      </c>
      <c r="L8" s="45"/>
      <c r="M8" s="51">
        <f>M25</f>
        <v>6677.7725</v>
      </c>
      <c r="N8" s="18"/>
      <c r="O8" s="51">
        <f>O25</f>
        <v>6989.1279800000011</v>
      </c>
      <c r="P8" s="45"/>
      <c r="Q8" s="51">
        <f>Q25</f>
        <v>2073.3402900000001</v>
      </c>
      <c r="R8" s="45"/>
      <c r="S8" s="51">
        <f>S25</f>
        <v>2352.6954900000001</v>
      </c>
      <c r="T8" s="18"/>
      <c r="U8" s="45"/>
    </row>
    <row r="9" spans="1:21" s="16" customFormat="1" ht="7.05" customHeight="1" x14ac:dyDescent="0.25">
      <c r="A9" s="15"/>
      <c r="C9" s="17"/>
      <c r="F9" s="18"/>
      <c r="G9" s="19"/>
      <c r="I9" s="19"/>
      <c r="K9" s="19"/>
      <c r="M9" s="19"/>
      <c r="N9" s="18"/>
      <c r="O9" s="19"/>
      <c r="Q9" s="19"/>
      <c r="S9" s="19"/>
      <c r="T9" s="18"/>
    </row>
    <row r="10" spans="1:21" x14ac:dyDescent="0.25">
      <c r="C10" s="45" t="s">
        <v>47</v>
      </c>
      <c r="D10" s="47"/>
      <c r="E10" s="45"/>
      <c r="F10" s="18"/>
      <c r="G10" s="60">
        <f>Sales!F20</f>
        <v>3070</v>
      </c>
      <c r="H10" s="52"/>
      <c r="I10" s="60">
        <f>Sales!H20</f>
        <v>3329</v>
      </c>
      <c r="J10" s="52"/>
      <c r="K10" s="60">
        <f>Sales!J20</f>
        <v>1992</v>
      </c>
      <c r="L10" s="52"/>
      <c r="M10" s="60">
        <f>Sales!L20</f>
        <v>1247</v>
      </c>
      <c r="N10" s="61"/>
      <c r="O10" s="60">
        <f>Sales!N20</f>
        <v>1345.5</v>
      </c>
      <c r="P10" s="52"/>
      <c r="Q10" s="60">
        <f>Sales!P20</f>
        <v>413.7</v>
      </c>
      <c r="R10" s="52"/>
      <c r="S10" s="60">
        <f>Sales!R20</f>
        <v>364.5</v>
      </c>
      <c r="T10" s="18"/>
      <c r="U10" s="52"/>
    </row>
    <row r="11" spans="1:21" x14ac:dyDescent="0.25">
      <c r="C11" s="45"/>
      <c r="D11" s="47"/>
      <c r="E11" s="45"/>
      <c r="F11" s="18"/>
      <c r="G11" s="34">
        <f>G10/G6</f>
        <v>0.96147823363607887</v>
      </c>
      <c r="H11" s="52"/>
      <c r="I11" s="34">
        <f>I10/I6</f>
        <v>0.96158290005777003</v>
      </c>
      <c r="J11" s="52"/>
      <c r="K11" s="34">
        <f>K10/K6</f>
        <v>0.96278395360077329</v>
      </c>
      <c r="L11" s="52"/>
      <c r="M11" s="34">
        <f>M10/M6</f>
        <v>0.96144949884348496</v>
      </c>
      <c r="N11" s="61"/>
      <c r="O11" s="78">
        <f>O10/O6</f>
        <v>0.97190118462871999</v>
      </c>
      <c r="P11" s="52"/>
      <c r="Q11" s="78">
        <f>Q10/Q6</f>
        <v>1</v>
      </c>
      <c r="R11" s="52"/>
      <c r="S11" s="78">
        <f>S10/S6</f>
        <v>0.95996839610218598</v>
      </c>
      <c r="T11" s="18"/>
      <c r="U11" s="52"/>
    </row>
    <row r="12" spans="1:21" s="16" customFormat="1" ht="7.05" customHeight="1" x14ac:dyDescent="0.25">
      <c r="A12" s="15"/>
      <c r="C12" s="17"/>
      <c r="F12" s="18"/>
      <c r="G12" s="19"/>
      <c r="I12" s="19"/>
      <c r="K12" s="19"/>
      <c r="M12" s="19"/>
      <c r="N12" s="18"/>
      <c r="O12" s="19"/>
      <c r="Q12" s="19"/>
      <c r="S12" s="19"/>
      <c r="T12" s="18"/>
    </row>
    <row r="13" spans="1:21" x14ac:dyDescent="0.25">
      <c r="C13" s="48" t="s">
        <v>48</v>
      </c>
      <c r="D13" s="47"/>
      <c r="E13" s="45"/>
      <c r="F13" s="18"/>
      <c r="G13" s="22">
        <f>G8/G10</f>
        <v>5.6894296416938106</v>
      </c>
      <c r="H13" s="45"/>
      <c r="I13" s="22">
        <f>I8/I10</f>
        <v>6.0043727846200063</v>
      </c>
      <c r="J13" s="45"/>
      <c r="K13" s="22">
        <f>K8/K10</f>
        <v>5.8424327309236945</v>
      </c>
      <c r="L13" s="45"/>
      <c r="M13" s="22">
        <f>M8/M10</f>
        <v>5.3550701684041702</v>
      </c>
      <c r="N13" s="18"/>
      <c r="O13" s="22">
        <f>O8/O10</f>
        <v>5.1944466592344858</v>
      </c>
      <c r="P13" s="45"/>
      <c r="Q13" s="22">
        <f>Q8/Q10</f>
        <v>5.0117000000000003</v>
      </c>
      <c r="R13" s="45"/>
      <c r="S13" s="22">
        <f>S8/S10</f>
        <v>6.454582962962963</v>
      </c>
      <c r="T13" s="18"/>
      <c r="U13" s="45"/>
    </row>
    <row r="14" spans="1:21" x14ac:dyDescent="0.25">
      <c r="C14" s="48" t="s">
        <v>49</v>
      </c>
      <c r="D14" s="47"/>
      <c r="E14" s="45"/>
      <c r="F14" s="18"/>
      <c r="G14" s="53">
        <v>5.2144000000000004</v>
      </c>
      <c r="H14" s="45"/>
      <c r="I14" s="53">
        <v>5.2144000000000004</v>
      </c>
      <c r="J14" s="45"/>
      <c r="K14" s="53">
        <v>5.2144000000000004</v>
      </c>
      <c r="L14" s="45"/>
      <c r="M14" s="53">
        <v>5.2417999999999996</v>
      </c>
      <c r="N14" s="18"/>
      <c r="O14" s="53">
        <v>5.2417999999999996</v>
      </c>
      <c r="P14" s="45"/>
      <c r="Q14" s="53">
        <v>5.2417999999999996</v>
      </c>
      <c r="R14" s="45"/>
      <c r="S14" s="53">
        <v>5.2417999999999996</v>
      </c>
      <c r="T14" s="18"/>
      <c r="U14" s="45"/>
    </row>
    <row r="15" spans="1:21" x14ac:dyDescent="0.25">
      <c r="C15" s="48" t="s">
        <v>18</v>
      </c>
      <c r="D15" s="47"/>
      <c r="E15" s="45"/>
      <c r="F15" s="18"/>
      <c r="G15" s="22">
        <f>G13-G14</f>
        <v>0.47502964169381023</v>
      </c>
      <c r="H15" s="45"/>
      <c r="I15" s="22">
        <f>I13-I14</f>
        <v>0.78997278462000597</v>
      </c>
      <c r="J15" s="45"/>
      <c r="K15" s="22">
        <f>K13-K14</f>
        <v>0.62803273092369416</v>
      </c>
      <c r="L15" s="45"/>
      <c r="M15" s="22">
        <f>M13-M14</f>
        <v>0.11327016840417059</v>
      </c>
      <c r="N15" s="18"/>
      <c r="O15" s="22">
        <f>O13-O14</f>
        <v>-4.7353340765513785E-2</v>
      </c>
      <c r="P15" s="45"/>
      <c r="Q15" s="22">
        <f>Q13-Q14</f>
        <v>-0.23009999999999931</v>
      </c>
      <c r="R15" s="45"/>
      <c r="S15" s="22">
        <f>S13-S14</f>
        <v>1.2127829629629634</v>
      </c>
      <c r="T15" s="18"/>
      <c r="U15" s="45"/>
    </row>
    <row r="16" spans="1:21" x14ac:dyDescent="0.25">
      <c r="C16" s="48" t="s">
        <v>50</v>
      </c>
      <c r="D16" s="47"/>
      <c r="E16" s="45"/>
      <c r="F16" s="18"/>
      <c r="G16" s="42">
        <f>G10</f>
        <v>3070</v>
      </c>
      <c r="H16" s="45"/>
      <c r="I16" s="42">
        <f>I10</f>
        <v>3329</v>
      </c>
      <c r="J16" s="45"/>
      <c r="K16" s="42">
        <f>K10</f>
        <v>1992</v>
      </c>
      <c r="L16" s="45"/>
      <c r="M16" s="42">
        <f>M10</f>
        <v>1247</v>
      </c>
      <c r="N16" s="18"/>
      <c r="O16" s="42">
        <f>O10</f>
        <v>1345.5</v>
      </c>
      <c r="P16" s="45"/>
      <c r="Q16" s="42">
        <f>Q10</f>
        <v>413.7</v>
      </c>
      <c r="R16" s="45"/>
      <c r="S16" s="42">
        <f>S10</f>
        <v>364.5</v>
      </c>
      <c r="T16" s="18"/>
      <c r="U16" s="45"/>
    </row>
    <row r="17" spans="1:21" x14ac:dyDescent="0.25">
      <c r="C17" s="48" t="s">
        <v>51</v>
      </c>
      <c r="D17" s="47"/>
      <c r="E17" s="45"/>
      <c r="F17" s="18"/>
      <c r="G17" s="22">
        <f>G15*G16</f>
        <v>1458.3409999999974</v>
      </c>
      <c r="H17" s="45"/>
      <c r="I17" s="22">
        <f>I15*I16</f>
        <v>2629.8193999999999</v>
      </c>
      <c r="J17" s="45"/>
      <c r="K17" s="22">
        <f>K15*K16</f>
        <v>1251.0411999999988</v>
      </c>
      <c r="L17" s="45"/>
      <c r="M17" s="22">
        <f>M15*M16</f>
        <v>141.24790000000073</v>
      </c>
      <c r="N17" s="18"/>
      <c r="O17" s="22">
        <f>O15*O16</f>
        <v>-63.713919999998801</v>
      </c>
      <c r="P17" s="45"/>
      <c r="Q17" s="22">
        <f>Q15*Q16</f>
        <v>-95.192369999999713</v>
      </c>
      <c r="R17" s="45"/>
      <c r="S17" s="22">
        <f>S15*S16</f>
        <v>442.05939000000018</v>
      </c>
      <c r="T17" s="18"/>
      <c r="U17" s="45"/>
    </row>
    <row r="18" spans="1:21" s="16" customFormat="1" ht="7.05" customHeight="1" x14ac:dyDescent="0.25">
      <c r="A18" s="15"/>
      <c r="C18" s="17"/>
      <c r="F18" s="18"/>
      <c r="G18" s="19"/>
      <c r="I18" s="19"/>
      <c r="K18" s="19"/>
      <c r="M18" s="19"/>
      <c r="N18" s="18"/>
      <c r="O18" s="19"/>
      <c r="Q18" s="19"/>
      <c r="S18" s="19"/>
      <c r="T18" s="18"/>
    </row>
    <row r="19" spans="1:21" x14ac:dyDescent="0.25">
      <c r="C19" s="27" t="s">
        <v>52</v>
      </c>
      <c r="F19" s="11"/>
      <c r="G19" s="23"/>
      <c r="I19" s="23"/>
      <c r="K19" s="27"/>
      <c r="M19" s="23"/>
      <c r="N19" s="11"/>
      <c r="O19" s="23"/>
      <c r="Q19" s="27"/>
      <c r="S19" s="20">
        <f>SUM(G17:S17)</f>
        <v>5763.6025999999974</v>
      </c>
      <c r="T19" s="11"/>
    </row>
    <row r="20" spans="1:21" x14ac:dyDescent="0.25">
      <c r="F20" s="11"/>
      <c r="N20" s="11"/>
      <c r="T20" s="11"/>
    </row>
    <row r="21" spans="1:21" x14ac:dyDescent="0.25">
      <c r="A21" s="1" t="s">
        <v>5</v>
      </c>
      <c r="F21" s="11"/>
      <c r="N21" s="11"/>
      <c r="T21" s="11"/>
    </row>
    <row r="22" spans="1:21" x14ac:dyDescent="0.25">
      <c r="A22" s="1" t="s">
        <v>24</v>
      </c>
      <c r="F22" s="11"/>
      <c r="N22" s="11"/>
      <c r="T22" s="11"/>
    </row>
    <row r="23" spans="1:21" x14ac:dyDescent="0.25">
      <c r="A23" s="1"/>
      <c r="B23" s="1" t="s">
        <v>56</v>
      </c>
      <c r="D23" s="21" t="s">
        <v>61</v>
      </c>
      <c r="F23" s="11"/>
      <c r="G23" s="56">
        <f>G36</f>
        <v>3799.989</v>
      </c>
      <c r="I23" s="56">
        <f>I36</f>
        <v>6414.7069999999994</v>
      </c>
      <c r="K23" s="56">
        <f>K36</f>
        <v>5331.1759999999995</v>
      </c>
      <c r="M23" s="56">
        <f>M36</f>
        <v>5136.9925000000003</v>
      </c>
      <c r="N23" s="11"/>
      <c r="O23" s="56">
        <f>O36</f>
        <v>6762.787980000001</v>
      </c>
      <c r="Q23" s="56">
        <f>Q36</f>
        <v>2073.3402900000001</v>
      </c>
      <c r="S23" s="56">
        <f>S36</f>
        <v>850.48549000000003</v>
      </c>
      <c r="T23" s="11"/>
    </row>
    <row r="24" spans="1:21" x14ac:dyDescent="0.25">
      <c r="B24" s="1" t="s">
        <v>64</v>
      </c>
      <c r="F24" s="11"/>
      <c r="G24" s="56">
        <v>13666.56</v>
      </c>
      <c r="I24" s="56">
        <v>13573.85</v>
      </c>
      <c r="K24" s="56">
        <v>6306.95</v>
      </c>
      <c r="M24" s="56">
        <v>1540.78</v>
      </c>
      <c r="N24" s="11"/>
      <c r="O24" s="56">
        <f>67.42+158.92</f>
        <v>226.33999999999997</v>
      </c>
      <c r="P24" t="s">
        <v>66</v>
      </c>
      <c r="Q24" s="56">
        <v>0</v>
      </c>
      <c r="R24" t="s">
        <v>66</v>
      </c>
      <c r="S24" s="56">
        <v>1502.21</v>
      </c>
      <c r="T24" s="11"/>
      <c r="U24" t="s">
        <v>66</v>
      </c>
    </row>
    <row r="25" spans="1:21" x14ac:dyDescent="0.25">
      <c r="C25" s="1" t="s">
        <v>25</v>
      </c>
      <c r="F25" s="11"/>
      <c r="G25" s="22">
        <f>SUM(G23:G24)</f>
        <v>17466.548999999999</v>
      </c>
      <c r="I25" s="22">
        <f>SUM(I23:I24)</f>
        <v>19988.557000000001</v>
      </c>
      <c r="K25" s="22">
        <f>SUM(K23:K24)</f>
        <v>11638.126</v>
      </c>
      <c r="M25" s="22">
        <f>SUM(M23:M24)</f>
        <v>6677.7725</v>
      </c>
      <c r="N25" s="11"/>
      <c r="O25" s="22">
        <f>SUM(O23:O24)</f>
        <v>6989.1279800000011</v>
      </c>
      <c r="Q25" s="22">
        <f>SUM(Q23:Q24)</f>
        <v>2073.3402900000001</v>
      </c>
      <c r="S25" s="22">
        <f>SUM(S23:S24)</f>
        <v>2352.6954900000001</v>
      </c>
      <c r="T25" s="11"/>
    </row>
    <row r="26" spans="1:21" ht="6.75" customHeight="1" x14ac:dyDescent="0.25">
      <c r="F26" s="11"/>
      <c r="I26" s="23"/>
      <c r="N26" s="11"/>
      <c r="O26" s="23"/>
      <c r="T26" s="11"/>
    </row>
    <row r="27" spans="1:21" x14ac:dyDescent="0.25">
      <c r="A27" s="1" t="s">
        <v>53</v>
      </c>
      <c r="F27" s="11"/>
      <c r="N27" s="11"/>
      <c r="T27" s="11"/>
    </row>
    <row r="28" spans="1:21" x14ac:dyDescent="0.25">
      <c r="A28" s="1"/>
      <c r="B28" s="1" t="s">
        <v>56</v>
      </c>
      <c r="F28" s="11"/>
      <c r="G28" s="57">
        <v>747</v>
      </c>
      <c r="H28" s="49"/>
      <c r="I28" s="57">
        <v>1261</v>
      </c>
      <c r="J28" s="49"/>
      <c r="K28" s="57">
        <v>1048</v>
      </c>
      <c r="L28" s="49"/>
      <c r="M28" s="57">
        <v>1025</v>
      </c>
      <c r="N28" s="11"/>
      <c r="O28" s="57">
        <v>1349.4</v>
      </c>
      <c r="P28" s="49"/>
      <c r="Q28" s="57">
        <v>413.7</v>
      </c>
      <c r="R28" s="49"/>
      <c r="S28" s="57">
        <v>169.7</v>
      </c>
      <c r="T28" s="11"/>
      <c r="U28" s="49"/>
    </row>
    <row r="29" spans="1:21" x14ac:dyDescent="0.25">
      <c r="B29" s="1" t="s">
        <v>26</v>
      </c>
      <c r="F29" s="11"/>
      <c r="G29" s="57">
        <f>1022+1424</f>
        <v>2446</v>
      </c>
      <c r="H29" s="49"/>
      <c r="I29" s="57">
        <f>1020+1181</f>
        <v>2201</v>
      </c>
      <c r="J29" s="49"/>
      <c r="K29" s="57">
        <f>576+445</f>
        <v>1021</v>
      </c>
      <c r="L29" s="49"/>
      <c r="M29" s="57">
        <f>127+145</f>
        <v>272</v>
      </c>
      <c r="N29" s="11"/>
      <c r="O29" s="57">
        <f>10+25</f>
        <v>35</v>
      </c>
      <c r="P29" t="s">
        <v>66</v>
      </c>
      <c r="Q29" s="57">
        <v>0</v>
      </c>
      <c r="R29" t="s">
        <v>66</v>
      </c>
      <c r="S29" s="57">
        <v>210</v>
      </c>
      <c r="T29" s="11"/>
      <c r="U29" t="s">
        <v>66</v>
      </c>
    </row>
    <row r="30" spans="1:21" x14ac:dyDescent="0.25">
      <c r="C30" s="1" t="s">
        <v>25</v>
      </c>
      <c r="F30" s="11"/>
      <c r="G30" s="58">
        <f>SUM(G28:G29)</f>
        <v>3193</v>
      </c>
      <c r="H30" s="59"/>
      <c r="I30" s="58">
        <f>SUM(I28:I29)</f>
        <v>3462</v>
      </c>
      <c r="J30" s="59"/>
      <c r="K30" s="58">
        <f>SUM(K28:K29)</f>
        <v>2069</v>
      </c>
      <c r="L30" s="59"/>
      <c r="M30" s="58">
        <f>SUM(M28:M29)</f>
        <v>1297</v>
      </c>
      <c r="N30" s="11"/>
      <c r="O30" s="58">
        <f>SUM(O28:O29)</f>
        <v>1384.4</v>
      </c>
      <c r="P30" s="59"/>
      <c r="Q30" s="58">
        <f>SUM(Q28:Q29)</f>
        <v>413.7</v>
      </c>
      <c r="R30" s="59"/>
      <c r="S30" s="58">
        <f>SUM(S28:S29)</f>
        <v>379.7</v>
      </c>
      <c r="T30" s="11"/>
      <c r="U30" s="59"/>
    </row>
    <row r="31" spans="1:21" x14ac:dyDescent="0.25">
      <c r="F31" s="11"/>
      <c r="N31" s="11"/>
      <c r="T31" s="11"/>
    </row>
    <row r="32" spans="1:21" x14ac:dyDescent="0.25">
      <c r="A32" t="s">
        <v>63</v>
      </c>
      <c r="F32" s="11"/>
      <c r="N32" s="11"/>
      <c r="T32" s="11"/>
    </row>
    <row r="33" spans="1:21" x14ac:dyDescent="0.25">
      <c r="B33" t="s">
        <v>69</v>
      </c>
      <c r="F33" s="11"/>
      <c r="G33" s="79">
        <f>1341+1907</f>
        <v>3248</v>
      </c>
      <c r="I33" s="79">
        <f>1339+1582</f>
        <v>2921</v>
      </c>
      <c r="K33" s="79">
        <f>756+596</f>
        <v>1352</v>
      </c>
      <c r="M33" s="79">
        <f>166+194</f>
        <v>360</v>
      </c>
      <c r="N33" s="11"/>
      <c r="O33" s="79">
        <v>47</v>
      </c>
      <c r="Q33" s="79">
        <v>0</v>
      </c>
      <c r="S33" s="79">
        <v>276</v>
      </c>
      <c r="T33" s="11"/>
    </row>
    <row r="34" spans="1:21" x14ac:dyDescent="0.25">
      <c r="F34" s="11"/>
      <c r="N34" s="11"/>
      <c r="T34" s="11"/>
    </row>
    <row r="35" spans="1:21" x14ac:dyDescent="0.25">
      <c r="A35" s="1" t="s">
        <v>60</v>
      </c>
      <c r="F35" s="11"/>
      <c r="G35" s="64">
        <v>5.0869999999999997</v>
      </c>
      <c r="I35" s="64">
        <v>5.0869999999999997</v>
      </c>
      <c r="K35" s="64">
        <v>5.0869999999999997</v>
      </c>
      <c r="M35" s="64">
        <v>5.0117000000000003</v>
      </c>
      <c r="N35" s="11"/>
      <c r="O35" s="64">
        <v>5.0117000000000003</v>
      </c>
      <c r="Q35" s="64">
        <v>5.0117000000000003</v>
      </c>
      <c r="S35" s="64">
        <v>5.0117000000000003</v>
      </c>
      <c r="T35" s="11"/>
    </row>
    <row r="36" spans="1:21" x14ac:dyDescent="0.25">
      <c r="C36" s="1" t="s">
        <v>62</v>
      </c>
      <c r="F36" s="11"/>
      <c r="G36" s="23">
        <f>G35*G28</f>
        <v>3799.989</v>
      </c>
      <c r="I36" s="23">
        <f>I35*I28</f>
        <v>6414.7069999999994</v>
      </c>
      <c r="K36" s="23">
        <f>K35*K28</f>
        <v>5331.1759999999995</v>
      </c>
      <c r="M36" s="23">
        <f>M35*M28</f>
        <v>5136.9925000000003</v>
      </c>
      <c r="N36" s="11"/>
      <c r="O36" s="23">
        <f>O35*O28</f>
        <v>6762.787980000001</v>
      </c>
      <c r="Q36" s="23">
        <f>Q35*Q28</f>
        <v>2073.3402900000001</v>
      </c>
      <c r="S36" s="23">
        <f>S35*S28</f>
        <v>850.48549000000003</v>
      </c>
      <c r="T36" s="11"/>
    </row>
    <row r="37" spans="1:21" x14ac:dyDescent="0.25">
      <c r="C37" s="1" t="s">
        <v>35</v>
      </c>
      <c r="F37" s="11"/>
      <c r="G37" s="46">
        <v>5602.5</v>
      </c>
      <c r="H37" s="46"/>
      <c r="I37" s="46">
        <v>9457.5</v>
      </c>
      <c r="J37" s="46"/>
      <c r="K37" s="46">
        <v>7849.52</v>
      </c>
      <c r="L37" s="46"/>
      <c r="M37" s="46">
        <v>7431.25</v>
      </c>
      <c r="N37" s="11"/>
      <c r="O37" s="46">
        <v>6762.79</v>
      </c>
      <c r="P37" s="67"/>
      <c r="Q37" s="46">
        <v>2073.34</v>
      </c>
      <c r="R37" s="67"/>
      <c r="S37" s="46">
        <v>2569.79</v>
      </c>
      <c r="T37" s="11"/>
      <c r="U37" s="67"/>
    </row>
  </sheetData>
  <pageMargins left="0.5" right="0.5" top="1" bottom="1" header="0.5" footer="0.5"/>
  <pageSetup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Normal="100" workbookViewId="0">
      <pane xSplit="4" ySplit="3" topLeftCell="E10" activePane="bottomRight" state="frozen"/>
      <selection pane="topRight" activeCell="E1" sqref="E1"/>
      <selection pane="bottomLeft" activeCell="A4" sqref="A4"/>
      <selection pane="bottomRight" activeCell="I18" sqref="I18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0.88671875" customWidth="1"/>
    <col min="7" max="7" width="12.77734375" customWidth="1"/>
    <col min="8" max="8" width="1.77734375" customWidth="1"/>
    <col min="9" max="9" width="12.77734375" customWidth="1"/>
    <col min="10" max="10" width="1.77734375" customWidth="1"/>
    <col min="11" max="11" width="12.77734375" customWidth="1"/>
    <col min="12" max="12" width="0.88671875" style="45" customWidth="1"/>
    <col min="13" max="13" width="12.77734375" customWidth="1"/>
    <col min="14" max="14" width="1.77734375" customWidth="1"/>
    <col min="15" max="15" width="12.77734375" customWidth="1"/>
    <col min="16" max="16" width="1.77734375" customWidth="1"/>
    <col min="17" max="17" width="12.77734375" customWidth="1"/>
    <col min="18" max="18" width="0.88671875" customWidth="1"/>
  </cols>
  <sheetData>
    <row r="1" spans="1:18" x14ac:dyDescent="0.25">
      <c r="F1" s="11"/>
      <c r="G1" s="12"/>
      <c r="H1" s="12"/>
      <c r="I1" s="13"/>
      <c r="J1" s="12"/>
      <c r="K1" s="12"/>
      <c r="M1" s="12"/>
      <c r="N1" s="12"/>
      <c r="O1" s="13"/>
      <c r="P1" s="12"/>
      <c r="Q1" s="12"/>
      <c r="R1" s="11"/>
    </row>
    <row r="2" spans="1:18" x14ac:dyDescent="0.25">
      <c r="F2" s="11"/>
      <c r="G2" s="12"/>
      <c r="I2" s="13" t="s">
        <v>11</v>
      </c>
      <c r="J2" s="14"/>
      <c r="K2" s="12"/>
      <c r="M2" s="12"/>
      <c r="O2" s="13" t="s">
        <v>11</v>
      </c>
      <c r="P2" s="14"/>
      <c r="Q2" s="12"/>
      <c r="R2" s="11"/>
    </row>
    <row r="3" spans="1:18" s="16" customFormat="1" x14ac:dyDescent="0.25">
      <c r="A3" s="15"/>
      <c r="C3" s="17" t="s">
        <v>12</v>
      </c>
      <c r="F3" s="18"/>
      <c r="G3" s="16">
        <v>44228</v>
      </c>
      <c r="I3" s="16">
        <v>44256</v>
      </c>
      <c r="K3" s="16">
        <v>44287</v>
      </c>
      <c r="L3" s="68"/>
      <c r="M3" s="16">
        <v>44317</v>
      </c>
      <c r="O3" s="16">
        <v>44348</v>
      </c>
      <c r="Q3" s="16">
        <v>44378</v>
      </c>
      <c r="R3" s="18"/>
    </row>
    <row r="4" spans="1:18" x14ac:dyDescent="0.25">
      <c r="A4" s="1" t="s">
        <v>28</v>
      </c>
      <c r="F4" s="11"/>
      <c r="R4" s="11"/>
    </row>
    <row r="5" spans="1:18" x14ac:dyDescent="0.25">
      <c r="B5" s="1" t="s">
        <v>13</v>
      </c>
      <c r="F5" s="11"/>
      <c r="R5" s="11"/>
    </row>
    <row r="6" spans="1:18" x14ac:dyDescent="0.25">
      <c r="C6" s="1" t="s">
        <v>29</v>
      </c>
      <c r="F6" s="11"/>
      <c r="G6" s="20">
        <f>G33+G49</f>
        <v>57144.430719475829</v>
      </c>
      <c r="I6" s="20">
        <f>I33+I49</f>
        <v>59370.714562072419</v>
      </c>
      <c r="J6" s="7"/>
      <c r="K6" s="20">
        <f>K33+K49</f>
        <v>46953.559650187162</v>
      </c>
      <c r="M6" s="20">
        <f>M33+M49</f>
        <v>40954.386113683388</v>
      </c>
      <c r="O6" s="20">
        <f>O33+O49</f>
        <v>34703.185556412616</v>
      </c>
      <c r="P6" s="7"/>
      <c r="Q6" s="20">
        <f>Q33+Q49</f>
        <v>18569.387591737825</v>
      </c>
      <c r="R6" s="11"/>
    </row>
    <row r="7" spans="1:18" x14ac:dyDescent="0.25">
      <c r="B7" s="1" t="s">
        <v>14</v>
      </c>
      <c r="F7" s="11"/>
      <c r="G7" s="23"/>
      <c r="I7" s="23"/>
      <c r="K7" s="23"/>
      <c r="M7" s="23"/>
      <c r="O7" s="23"/>
      <c r="Q7" s="23"/>
      <c r="R7" s="11"/>
    </row>
    <row r="8" spans="1:18" x14ac:dyDescent="0.25">
      <c r="C8" s="1" t="s">
        <v>30</v>
      </c>
      <c r="F8" s="11"/>
      <c r="G8" s="20">
        <f>G38+G37</f>
        <v>2260.2321714477721</v>
      </c>
      <c r="I8" s="20">
        <f>I38+I37</f>
        <v>2689.6730096212837</v>
      </c>
      <c r="K8" s="20">
        <f>K38+K37</f>
        <v>2708.5486007486766</v>
      </c>
      <c r="M8" s="20">
        <f>M38+M37</f>
        <v>2749.708978425771</v>
      </c>
      <c r="O8" s="20">
        <f>O38+O37</f>
        <v>2753.1319389147657</v>
      </c>
      <c r="Q8" s="20">
        <f>Q38+Q37</f>
        <v>2714.4105510039235</v>
      </c>
      <c r="R8" s="11"/>
    </row>
    <row r="9" spans="1:18" x14ac:dyDescent="0.25">
      <c r="C9" s="1" t="s">
        <v>31</v>
      </c>
      <c r="F9" s="11"/>
      <c r="G9" s="39">
        <f>G45</f>
        <v>26157.125800000002</v>
      </c>
      <c r="I9" s="39">
        <f>I45</f>
        <v>32803.12528</v>
      </c>
      <c r="K9" s="39">
        <f>K45</f>
        <v>28098.836920000002</v>
      </c>
      <c r="M9" s="39">
        <f>M45</f>
        <v>18848.67296</v>
      </c>
      <c r="O9" s="39">
        <f>O45</f>
        <v>18056.065720000002</v>
      </c>
      <c r="Q9" s="39">
        <f>Q45</f>
        <v>9238.7517200000002</v>
      </c>
      <c r="R9" s="11"/>
    </row>
    <row r="10" spans="1:18" x14ac:dyDescent="0.25">
      <c r="C10" s="21" t="s">
        <v>15</v>
      </c>
      <c r="F10" s="11"/>
      <c r="G10" s="20">
        <f>SUM(G6:G9)</f>
        <v>85561.788690923597</v>
      </c>
      <c r="I10" s="20">
        <f>SUM(I6:I9)</f>
        <v>94863.512851693697</v>
      </c>
      <c r="K10" s="20">
        <f>SUM(K6:K9)</f>
        <v>77760.94517093584</v>
      </c>
      <c r="M10" s="20">
        <f>SUM(M6:M9)</f>
        <v>62552.768052109153</v>
      </c>
      <c r="O10" s="20">
        <f>SUM(O6:O9)</f>
        <v>55512.383215327383</v>
      </c>
      <c r="Q10" s="20">
        <f>SUM(Q6:Q9)</f>
        <v>30522.549862741747</v>
      </c>
      <c r="R10" s="11"/>
    </row>
    <row r="11" spans="1:18" x14ac:dyDescent="0.25">
      <c r="C11" s="1" t="s">
        <v>0</v>
      </c>
      <c r="F11" s="11"/>
      <c r="G11" s="24">
        <v>9626.5</v>
      </c>
      <c r="I11" s="24">
        <v>12072.4</v>
      </c>
      <c r="J11" s="7"/>
      <c r="K11" s="24">
        <v>10341.1</v>
      </c>
      <c r="M11" s="24">
        <v>6936.8</v>
      </c>
      <c r="O11" s="24">
        <v>6645.1</v>
      </c>
      <c r="P11" s="7"/>
      <c r="Q11" s="24">
        <v>3400.1</v>
      </c>
      <c r="R11" s="11"/>
    </row>
    <row r="12" spans="1:18" x14ac:dyDescent="0.25">
      <c r="A12" s="1" t="s">
        <v>16</v>
      </c>
      <c r="F12" s="11"/>
      <c r="G12" s="25">
        <f>G10/G11</f>
        <v>8.8881513209290599</v>
      </c>
      <c r="H12" s="26"/>
      <c r="I12" s="25">
        <f>I10/I11</f>
        <v>7.8578835071480153</v>
      </c>
      <c r="J12" s="26"/>
      <c r="K12" s="25">
        <f>K10/K11</f>
        <v>7.5196009293920216</v>
      </c>
      <c r="M12" s="25">
        <f>M10/M11</f>
        <v>9.0175250911240266</v>
      </c>
      <c r="N12" s="26"/>
      <c r="O12" s="25">
        <f>O10/O11</f>
        <v>8.3538822915121482</v>
      </c>
      <c r="P12" s="26"/>
      <c r="Q12" s="25">
        <f>Q10/Q11</f>
        <v>8.9769565197322869</v>
      </c>
      <c r="R12" s="11"/>
    </row>
    <row r="13" spans="1:18" x14ac:dyDescent="0.25">
      <c r="A13" s="1" t="s">
        <v>17</v>
      </c>
      <c r="F13" s="11"/>
      <c r="G13" s="77">
        <v>7.1603000000000003</v>
      </c>
      <c r="I13" s="77">
        <v>7.1603000000000003</v>
      </c>
      <c r="K13" s="77">
        <v>7.1603000000000003</v>
      </c>
      <c r="M13" s="77">
        <v>8.4405999999999999</v>
      </c>
      <c r="O13" s="77">
        <v>8.4405999999999999</v>
      </c>
      <c r="Q13" s="77">
        <v>8.4405999999999999</v>
      </c>
      <c r="R13" s="11"/>
    </row>
    <row r="14" spans="1:18" x14ac:dyDescent="0.25">
      <c r="B14" s="1" t="s">
        <v>18</v>
      </c>
      <c r="F14" s="11"/>
      <c r="G14" s="20">
        <f>G12-G13</f>
        <v>1.7278513209290596</v>
      </c>
      <c r="I14" s="20">
        <f>I12-I13</f>
        <v>0.69758350714801498</v>
      </c>
      <c r="K14" s="20">
        <f>K12-K13</f>
        <v>0.3593009293920213</v>
      </c>
      <c r="M14" s="20">
        <f>M12-M13</f>
        <v>0.57692509112402668</v>
      </c>
      <c r="O14" s="20">
        <f>O12-O13</f>
        <v>-8.6717708487851652E-2</v>
      </c>
      <c r="Q14" s="20">
        <f>Q12-Q13</f>
        <v>0.53635651973228704</v>
      </c>
      <c r="R14" s="11"/>
    </row>
    <row r="15" spans="1:18" x14ac:dyDescent="0.25">
      <c r="C15" s="21" t="s">
        <v>19</v>
      </c>
      <c r="F15" s="11"/>
      <c r="G15" s="20">
        <f>G14*G11</f>
        <v>16633.160740923591</v>
      </c>
      <c r="I15" s="20">
        <f>I14*I11</f>
        <v>8421.5071316936956</v>
      </c>
      <c r="K15" s="20">
        <f>K14*K11</f>
        <v>3715.5668409358314</v>
      </c>
      <c r="M15" s="20">
        <f>M14*M11</f>
        <v>4002.0139721091482</v>
      </c>
      <c r="O15" s="20">
        <f>O14*O11</f>
        <v>-576.24784467262305</v>
      </c>
      <c r="Q15" s="20">
        <f>Q14*Q11</f>
        <v>1823.6658027417491</v>
      </c>
      <c r="R15" s="11"/>
    </row>
    <row r="16" spans="1:18" x14ac:dyDescent="0.25">
      <c r="F16" s="11"/>
      <c r="G16" s="23"/>
      <c r="M16" s="23"/>
      <c r="R16" s="11"/>
    </row>
    <row r="17" spans="1:18" x14ac:dyDescent="0.25">
      <c r="D17" s="27" t="s">
        <v>20</v>
      </c>
      <c r="F17" s="11"/>
      <c r="G17" s="23"/>
      <c r="I17" s="27"/>
      <c r="K17" s="23"/>
      <c r="M17" s="23"/>
      <c r="O17" s="27"/>
      <c r="Q17" s="20">
        <f>SUM(G15:Q15)</f>
        <v>34019.666643731391</v>
      </c>
      <c r="R17" s="11"/>
    </row>
    <row r="18" spans="1:18" x14ac:dyDescent="0.25">
      <c r="D18" s="28"/>
      <c r="G18" s="23"/>
      <c r="I18" s="28"/>
      <c r="K18" s="29"/>
      <c r="M18" s="23"/>
      <c r="O18" s="28"/>
      <c r="Q18" s="29"/>
    </row>
    <row r="19" spans="1:18" x14ac:dyDescent="0.25">
      <c r="D19" s="28"/>
      <c r="G19" s="23"/>
      <c r="I19" s="28"/>
      <c r="K19" s="30"/>
      <c r="M19" s="23"/>
      <c r="O19" s="28"/>
      <c r="Q19" s="30"/>
    </row>
    <row r="20" spans="1:18" x14ac:dyDescent="0.25">
      <c r="D20" s="28"/>
      <c r="G20" s="23"/>
      <c r="I20" s="28"/>
      <c r="K20" s="29"/>
      <c r="M20" s="23"/>
      <c r="O20" s="28"/>
      <c r="Q20" s="29"/>
    </row>
    <row r="21" spans="1:18" x14ac:dyDescent="0.25">
      <c r="G21" s="30"/>
      <c r="H21" s="1"/>
      <c r="I21" s="21"/>
      <c r="J21" s="1"/>
      <c r="M21" s="30"/>
      <c r="N21" s="1"/>
      <c r="O21" s="21"/>
      <c r="P21" s="1"/>
    </row>
    <row r="22" spans="1:18" x14ac:dyDescent="0.25">
      <c r="A22" s="1" t="s">
        <v>21</v>
      </c>
      <c r="G22" s="23"/>
      <c r="M22" s="23"/>
    </row>
    <row r="23" spans="1:18" x14ac:dyDescent="0.25">
      <c r="C23" s="1" t="s">
        <v>32</v>
      </c>
      <c r="G23" s="42">
        <f>G11+((+G25)/10)</f>
        <v>11904.5</v>
      </c>
      <c r="I23" s="42">
        <f>I11+((+I25)/10)</f>
        <v>12877.699999999999</v>
      </c>
      <c r="K23" s="42">
        <f>K11+((+K25)/10)</f>
        <v>10845.800000000001</v>
      </c>
      <c r="M23" s="42">
        <f>M11+((+M25)/10)</f>
        <v>7105.7</v>
      </c>
      <c r="O23" s="42">
        <f>O11+((+O25)/10)</f>
        <v>6741.4000000000005</v>
      </c>
      <c r="Q23" s="42">
        <f>Q11+((+Q25)/10)</f>
        <v>3466.4</v>
      </c>
    </row>
    <row r="24" spans="1:18" x14ac:dyDescent="0.25">
      <c r="C24" s="1" t="s">
        <v>23</v>
      </c>
      <c r="G24" s="34">
        <f>G11/G23</f>
        <v>0.80864379016338361</v>
      </c>
      <c r="I24" s="34">
        <f>I11/I23</f>
        <v>0.93746554120689263</v>
      </c>
      <c r="K24" s="34">
        <f>K11/K23</f>
        <v>0.95346585775138759</v>
      </c>
      <c r="M24" s="34">
        <f>M11/M23</f>
        <v>0.97623035028216787</v>
      </c>
      <c r="O24" s="34">
        <f>O11/O23</f>
        <v>0.98571513335508942</v>
      </c>
      <c r="Q24" s="34">
        <f>Q11/Q23</f>
        <v>0.98087352873297939</v>
      </c>
    </row>
    <row r="25" spans="1:18" x14ac:dyDescent="0.25">
      <c r="A25" s="1"/>
      <c r="C25" s="31" t="s">
        <v>22</v>
      </c>
      <c r="F25" s="32"/>
      <c r="G25" s="70">
        <f>5127+5240+12413</f>
        <v>22780</v>
      </c>
      <c r="H25" s="32"/>
      <c r="I25" s="71">
        <f>2097+2140+3816</f>
        <v>8053</v>
      </c>
      <c r="J25" s="33"/>
      <c r="K25" s="71">
        <f>1585+1544+1918</f>
        <v>5047</v>
      </c>
      <c r="L25" s="69"/>
      <c r="M25" s="70">
        <v>1689</v>
      </c>
      <c r="N25" s="32"/>
      <c r="O25" s="70">
        <v>963</v>
      </c>
      <c r="P25" s="32"/>
      <c r="Q25" s="70">
        <v>663</v>
      </c>
      <c r="R25" s="32"/>
    </row>
    <row r="26" spans="1:18" s="32" customFormat="1" ht="13.65" hidden="1" customHeight="1" x14ac:dyDescent="0.2">
      <c r="C26" s="35" t="s">
        <v>33</v>
      </c>
      <c r="G26" s="36"/>
      <c r="I26" s="36"/>
      <c r="K26" s="36"/>
      <c r="L26" s="69"/>
      <c r="M26" s="36"/>
      <c r="O26" s="36"/>
      <c r="Q26" s="36"/>
    </row>
    <row r="27" spans="1:18" s="32" customFormat="1" ht="13.65" customHeight="1" x14ac:dyDescent="0.2">
      <c r="C27" s="35"/>
      <c r="G27" s="36"/>
      <c r="I27" s="36"/>
      <c r="K27" s="36"/>
      <c r="L27" s="69"/>
      <c r="M27" s="36"/>
      <c r="O27" s="36"/>
      <c r="Q27" s="36"/>
    </row>
    <row r="28" spans="1:18" s="32" customFormat="1" ht="13.65" customHeight="1" x14ac:dyDescent="0.25">
      <c r="A28" s="1" t="s">
        <v>34</v>
      </c>
      <c r="C28" s="35"/>
      <c r="G28" s="36"/>
      <c r="I28" s="36"/>
      <c r="K28" s="36"/>
      <c r="L28" s="69"/>
      <c r="M28" s="36"/>
      <c r="O28" s="36"/>
      <c r="Q28" s="36"/>
    </row>
    <row r="29" spans="1:18" x14ac:dyDescent="0.25">
      <c r="B29" s="1"/>
      <c r="C29" s="1"/>
      <c r="G29" s="40"/>
      <c r="I29" s="40"/>
      <c r="K29" s="40"/>
      <c r="M29" s="40"/>
      <c r="O29" s="40"/>
      <c r="Q29" s="40"/>
    </row>
    <row r="30" spans="1:18" ht="13.8" x14ac:dyDescent="0.3">
      <c r="B30" s="1" t="s">
        <v>35</v>
      </c>
      <c r="C30" s="1"/>
      <c r="G30" s="75">
        <v>52263.8</v>
      </c>
      <c r="I30" s="72">
        <v>43758.879999999997</v>
      </c>
      <c r="J30" s="37"/>
      <c r="K30" s="72">
        <v>31723.119999999999</v>
      </c>
      <c r="M30" s="56">
        <v>23063.040000000001</v>
      </c>
      <c r="O30" s="56">
        <v>20305.599999999999</v>
      </c>
      <c r="Q30" s="56">
        <v>11148.28</v>
      </c>
    </row>
    <row r="31" spans="1:18" hidden="1" x14ac:dyDescent="0.25">
      <c r="C31" s="1"/>
      <c r="G31" s="23"/>
      <c r="I31" s="23"/>
      <c r="K31" s="23"/>
      <c r="M31" s="23"/>
      <c r="O31" s="23"/>
      <c r="Q31" s="23"/>
    </row>
    <row r="32" spans="1:18" x14ac:dyDescent="0.25">
      <c r="C32" s="1"/>
      <c r="G32" s="26"/>
      <c r="I32" s="26"/>
      <c r="K32" s="26"/>
      <c r="M32" s="26"/>
      <c r="O32" s="26"/>
      <c r="Q32" s="26"/>
    </row>
    <row r="33" spans="1:17" x14ac:dyDescent="0.25">
      <c r="C33" s="21" t="s">
        <v>21</v>
      </c>
      <c r="G33" s="22">
        <f>G30*G24</f>
        <v>42262.797320341051</v>
      </c>
      <c r="I33" s="22">
        <f>I30*I24</f>
        <v>41022.442121807464</v>
      </c>
      <c r="K33" s="22">
        <f>K30*K24</f>
        <v>30246.911821350197</v>
      </c>
      <c r="M33" s="22">
        <f>M30*M24</f>
        <v>22514.83961777165</v>
      </c>
      <c r="O33" s="22">
        <f>O30*O24</f>
        <v>20015.537211855102</v>
      </c>
      <c r="Q33" s="22">
        <f>Q30*Q24</f>
        <v>10935.052742903301</v>
      </c>
    </row>
    <row r="34" spans="1:17" ht="6.75" customHeight="1" x14ac:dyDescent="0.25">
      <c r="G34" s="23"/>
      <c r="M34" s="23"/>
    </row>
    <row r="35" spans="1:17" x14ac:dyDescent="0.25">
      <c r="A35" s="1" t="s">
        <v>36</v>
      </c>
      <c r="G35" s="30"/>
      <c r="M35" s="30"/>
    </row>
    <row r="36" spans="1:17" ht="13.8" x14ac:dyDescent="0.3">
      <c r="B36" s="1" t="s">
        <v>37</v>
      </c>
      <c r="C36" s="38"/>
      <c r="G36" s="73">
        <v>2795.09</v>
      </c>
      <c r="H36" s="37"/>
      <c r="I36" s="73">
        <v>2869.09</v>
      </c>
      <c r="K36" s="56">
        <v>2840.74</v>
      </c>
      <c r="M36" s="56">
        <v>2816.66</v>
      </c>
      <c r="O36" s="56">
        <v>2793.03</v>
      </c>
      <c r="Q36" s="56">
        <v>2767.34</v>
      </c>
    </row>
    <row r="37" spans="1:17" hidden="1" x14ac:dyDescent="0.25">
      <c r="C37" s="41" t="s">
        <v>38</v>
      </c>
      <c r="G37" s="43"/>
      <c r="I37" s="43"/>
      <c r="K37" s="43"/>
      <c r="M37" s="43"/>
      <c r="O37" s="43"/>
      <c r="Q37" s="43"/>
    </row>
    <row r="38" spans="1:17" x14ac:dyDescent="0.25">
      <c r="C38" s="21" t="s">
        <v>21</v>
      </c>
      <c r="G38" s="20">
        <f>G36*G24</f>
        <v>2260.2321714477721</v>
      </c>
      <c r="I38" s="20">
        <f>I36*I24</f>
        <v>2689.6730096212837</v>
      </c>
      <c r="K38" s="20">
        <f>K36*K24</f>
        <v>2708.5486007486766</v>
      </c>
      <c r="M38" s="20">
        <f>M36*M24</f>
        <v>2749.708978425771</v>
      </c>
      <c r="O38" s="20">
        <f>O36*O24</f>
        <v>2753.1319389147657</v>
      </c>
      <c r="Q38" s="20">
        <f>Q36*Q24</f>
        <v>2714.4105510039235</v>
      </c>
    </row>
    <row r="39" spans="1:17" ht="6.75" customHeight="1" x14ac:dyDescent="0.25">
      <c r="B39" s="1"/>
      <c r="C39" s="21"/>
      <c r="G39" s="23"/>
      <c r="I39" s="23"/>
      <c r="K39" s="23"/>
      <c r="M39" s="23"/>
      <c r="O39" s="23"/>
      <c r="Q39" s="23"/>
    </row>
    <row r="40" spans="1:17" hidden="1" x14ac:dyDescent="0.25">
      <c r="C40" s="41" t="s">
        <v>39</v>
      </c>
      <c r="G40" s="23"/>
      <c r="I40" s="23"/>
      <c r="K40" s="23"/>
      <c r="M40" s="23"/>
      <c r="O40" s="23"/>
      <c r="Q40" s="23"/>
    </row>
    <row r="41" spans="1:17" ht="6.75" customHeight="1" x14ac:dyDescent="0.25">
      <c r="G41" s="23"/>
      <c r="M41" s="23"/>
    </row>
    <row r="42" spans="1:17" x14ac:dyDescent="0.25">
      <c r="A42" s="1" t="s">
        <v>40</v>
      </c>
      <c r="B42" s="1"/>
      <c r="C42" s="1"/>
      <c r="G42" s="23"/>
      <c r="M42" s="23"/>
    </row>
    <row r="43" spans="1:17" x14ac:dyDescent="0.25">
      <c r="B43" s="1" t="s">
        <v>41</v>
      </c>
      <c r="C43" s="1"/>
      <c r="G43" s="30"/>
      <c r="I43" s="30"/>
      <c r="K43" s="30"/>
      <c r="M43" s="30"/>
      <c r="O43" s="30"/>
      <c r="Q43" s="30"/>
    </row>
    <row r="44" spans="1:17" x14ac:dyDescent="0.25">
      <c r="B44" s="1" t="s">
        <v>42</v>
      </c>
      <c r="C44" s="1"/>
      <c r="G44" s="44">
        <f>2.7172*G11</f>
        <v>26157.125800000002</v>
      </c>
      <c r="I44" s="44">
        <f>2.7172*I11</f>
        <v>32803.12528</v>
      </c>
      <c r="K44" s="44">
        <f>2.7172*K11</f>
        <v>28098.836920000002</v>
      </c>
      <c r="M44" s="44">
        <f>2.7172*M11</f>
        <v>18848.67296</v>
      </c>
      <c r="O44" s="44">
        <f>2.7172*O11</f>
        <v>18056.065720000002</v>
      </c>
      <c r="Q44" s="44">
        <f>2.7172*Q11</f>
        <v>9238.7517200000002</v>
      </c>
    </row>
    <row r="45" spans="1:17" x14ac:dyDescent="0.25">
      <c r="C45" s="1" t="s">
        <v>43</v>
      </c>
      <c r="G45" s="20">
        <f>SUM(G43:G44)</f>
        <v>26157.125800000002</v>
      </c>
      <c r="I45" s="20">
        <f>SUM(I43:I44)</f>
        <v>32803.12528</v>
      </c>
      <c r="K45" s="20">
        <f>SUM(K43:K44)</f>
        <v>28098.836920000002</v>
      </c>
      <c r="M45" s="20">
        <f>SUM(M43:M44)</f>
        <v>18848.67296</v>
      </c>
      <c r="O45" s="20">
        <f>SUM(O43:O44)</f>
        <v>18056.065720000002</v>
      </c>
      <c r="Q45" s="20">
        <f>SUM(Q43:Q44)</f>
        <v>9238.7517200000002</v>
      </c>
    </row>
    <row r="46" spans="1:17" ht="6.75" customHeight="1" x14ac:dyDescent="0.25">
      <c r="G46" s="23"/>
      <c r="M46" s="23"/>
    </row>
    <row r="47" spans="1:17" x14ac:dyDescent="0.25">
      <c r="A47" s="1" t="s">
        <v>44</v>
      </c>
    </row>
    <row r="48" spans="1:17" ht="13.8" x14ac:dyDescent="0.3">
      <c r="B48" s="1" t="s">
        <v>35</v>
      </c>
      <c r="G48" s="76">
        <v>18403.2</v>
      </c>
      <c r="I48" s="72">
        <v>19572.21</v>
      </c>
      <c r="J48" s="37"/>
      <c r="K48" s="72">
        <v>17522.02</v>
      </c>
      <c r="M48" s="74">
        <v>18888.52</v>
      </c>
      <c r="O48" s="74">
        <v>14900.5</v>
      </c>
      <c r="Q48" s="74">
        <v>7783.2</v>
      </c>
    </row>
    <row r="49" spans="3:17" x14ac:dyDescent="0.25">
      <c r="C49" s="21" t="s">
        <v>21</v>
      </c>
      <c r="G49" s="20">
        <f>G48*G24</f>
        <v>14881.633399134782</v>
      </c>
      <c r="I49" s="22">
        <f>I48*I24</f>
        <v>18348.272440264955</v>
      </c>
      <c r="K49" s="22">
        <f>K48*K24</f>
        <v>16706.647828836969</v>
      </c>
      <c r="M49" s="22">
        <f>M48*M24</f>
        <v>18439.546495911734</v>
      </c>
      <c r="O49" s="22">
        <f>O48*O24</f>
        <v>14687.64834455751</v>
      </c>
      <c r="Q49" s="22">
        <f>Q48*Q24</f>
        <v>7634.3348488345255</v>
      </c>
    </row>
    <row r="50" spans="3:17" x14ac:dyDescent="0.25">
      <c r="C50" s="21"/>
    </row>
  </sheetData>
  <pageMargins left="0.5" right="0.5" top="1" bottom="1" header="0.5" footer="0.5"/>
  <pageSetup scale="87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Normal="100" workbookViewId="0">
      <selection activeCell="N11" sqref="N11"/>
    </sheetView>
  </sheetViews>
  <sheetFormatPr defaultColWidth="9.109375" defaultRowHeight="13.2" x14ac:dyDescent="0.25"/>
  <cols>
    <col min="1" max="2" width="1.21875" customWidth="1"/>
    <col min="3" max="3" width="10.6640625" customWidth="1"/>
    <col min="4" max="5" width="1.21875" customWidth="1"/>
    <col min="6" max="6" width="9.6640625" customWidth="1"/>
    <col min="7" max="7" width="1.21875" customWidth="1"/>
    <col min="8" max="8" width="9.6640625" customWidth="1"/>
    <col min="9" max="9" width="1.21875" customWidth="1"/>
    <col min="10" max="10" width="9.6640625" customWidth="1"/>
    <col min="11" max="11" width="1.21875" customWidth="1"/>
    <col min="12" max="12" width="9.6640625" customWidth="1"/>
    <col min="13" max="13" width="1.21875" customWidth="1"/>
    <col min="14" max="14" width="9.6640625" customWidth="1"/>
    <col min="15" max="15" width="1.21875" customWidth="1"/>
    <col min="16" max="16" width="9.6640625" customWidth="1"/>
    <col min="17" max="17" width="1.21875" customWidth="1"/>
    <col min="18" max="18" width="9.6640625" customWidth="1"/>
    <col min="19" max="19" width="1.21875" customWidth="1"/>
    <col min="20" max="20" width="9.6640625" customWidth="1"/>
    <col min="21" max="21" width="1.21875" customWidth="1"/>
    <col min="22" max="22" width="9.6640625" customWidth="1"/>
    <col min="23" max="23" width="1.21875" customWidth="1"/>
    <col min="24" max="24" width="9.6640625" customWidth="1"/>
    <col min="25" max="25" width="1.21875" customWidth="1"/>
    <col min="26" max="26" width="9.6640625" customWidth="1"/>
    <col min="27" max="27" width="1.21875" customWidth="1"/>
    <col min="28" max="28" width="9.6640625" customWidth="1"/>
    <col min="29" max="29" width="1.21875" customWidth="1"/>
    <col min="30" max="30" width="10.6640625" customWidth="1"/>
    <col min="32" max="32" width="15.88671875" customWidth="1"/>
    <col min="33" max="33" width="9.6640625" customWidth="1"/>
  </cols>
  <sheetData>
    <row r="1" spans="1:30" x14ac:dyDescent="0.25">
      <c r="A1" s="1" t="s">
        <v>0</v>
      </c>
    </row>
    <row r="2" spans="1:30" s="3" customFormat="1" x14ac:dyDescent="0.25">
      <c r="A2" s="2"/>
      <c r="F2" s="4">
        <v>39478</v>
      </c>
      <c r="G2" s="4"/>
      <c r="H2" s="4">
        <v>39506</v>
      </c>
      <c r="I2" s="4"/>
      <c r="J2" s="4">
        <v>39538</v>
      </c>
      <c r="K2" s="4"/>
      <c r="L2" s="4">
        <v>39568</v>
      </c>
      <c r="M2" s="4"/>
      <c r="N2" s="4">
        <v>39599</v>
      </c>
      <c r="O2" s="4"/>
      <c r="P2" s="4">
        <v>39629</v>
      </c>
      <c r="Q2" s="4"/>
      <c r="R2" s="4">
        <v>39660</v>
      </c>
      <c r="S2" s="4"/>
      <c r="T2" s="4">
        <v>39691</v>
      </c>
      <c r="U2" s="4"/>
      <c r="V2" s="4">
        <v>39721</v>
      </c>
      <c r="W2" s="4"/>
      <c r="X2" s="4">
        <v>39752</v>
      </c>
      <c r="Y2" s="4"/>
      <c r="Z2" s="4">
        <v>39782</v>
      </c>
      <c r="AA2" s="4"/>
      <c r="AB2" s="4">
        <v>39813</v>
      </c>
      <c r="AC2" s="4"/>
      <c r="AD2" s="5" t="s">
        <v>1</v>
      </c>
    </row>
    <row r="3" spans="1:30" x14ac:dyDescent="0.25">
      <c r="B3" t="s">
        <v>2</v>
      </c>
    </row>
    <row r="4" spans="1:30" x14ac:dyDescent="0.25">
      <c r="C4">
        <v>2016</v>
      </c>
      <c r="F4" s="6">
        <v>11015</v>
      </c>
      <c r="G4" s="6"/>
      <c r="H4" s="6">
        <v>10109</v>
      </c>
      <c r="I4" s="6"/>
      <c r="J4" s="6">
        <v>9340</v>
      </c>
      <c r="K4" s="6"/>
      <c r="L4" s="6">
        <v>7794</v>
      </c>
      <c r="M4" s="6"/>
      <c r="N4" s="6">
        <v>5474</v>
      </c>
      <c r="O4" s="6"/>
      <c r="P4" s="6">
        <v>4778</v>
      </c>
      <c r="Q4" s="6"/>
      <c r="R4" s="6">
        <v>4594</v>
      </c>
      <c r="S4" s="6"/>
      <c r="T4" s="6">
        <v>4462</v>
      </c>
      <c r="U4" s="6"/>
      <c r="V4" s="6">
        <v>5505</v>
      </c>
      <c r="W4" s="6"/>
      <c r="X4" s="6">
        <v>5465</v>
      </c>
      <c r="Y4" s="6"/>
      <c r="Z4" s="6">
        <v>7363</v>
      </c>
      <c r="AA4" s="6"/>
      <c r="AB4" s="6">
        <v>8826</v>
      </c>
      <c r="AD4" s="7">
        <f t="shared" ref="AD4:AD8" si="0">SUM(F4:AB4)</f>
        <v>84725</v>
      </c>
    </row>
    <row r="5" spans="1:30" x14ac:dyDescent="0.25">
      <c r="C5">
        <v>2017</v>
      </c>
      <c r="F5" s="6">
        <v>7634</v>
      </c>
      <c r="G5" s="6"/>
      <c r="H5" s="6">
        <v>6393</v>
      </c>
      <c r="I5" s="6"/>
      <c r="J5" s="6">
        <v>7774</v>
      </c>
      <c r="K5" s="6"/>
      <c r="L5" s="6">
        <v>6650</v>
      </c>
      <c r="M5" s="6"/>
      <c r="N5" s="6">
        <v>3981</v>
      </c>
      <c r="O5" s="6"/>
      <c r="P5" s="6">
        <v>3459</v>
      </c>
      <c r="Q5" s="6"/>
      <c r="R5" s="6">
        <v>2704</v>
      </c>
      <c r="S5" s="6"/>
      <c r="T5" s="6">
        <v>4983</v>
      </c>
      <c r="U5" s="6"/>
      <c r="V5" s="6">
        <v>6437</v>
      </c>
      <c r="W5" s="6"/>
      <c r="X5" s="6">
        <v>6306</v>
      </c>
      <c r="Y5" s="6"/>
      <c r="Z5" s="6">
        <v>10869</v>
      </c>
      <c r="AA5" s="6"/>
      <c r="AB5" s="6">
        <v>12716</v>
      </c>
      <c r="AD5" s="7">
        <f t="shared" si="0"/>
        <v>79906</v>
      </c>
    </row>
    <row r="6" spans="1:30" x14ac:dyDescent="0.25">
      <c r="C6">
        <v>2018</v>
      </c>
      <c r="F6" s="7">
        <v>12306</v>
      </c>
      <c r="G6" s="7"/>
      <c r="H6" s="7">
        <v>12391</v>
      </c>
      <c r="I6" s="7"/>
      <c r="J6" s="6">
        <v>13164</v>
      </c>
      <c r="K6" s="6"/>
      <c r="L6" s="6">
        <v>10761</v>
      </c>
      <c r="M6" s="6"/>
      <c r="N6" s="6">
        <v>6961</v>
      </c>
      <c r="O6" s="7"/>
      <c r="P6" s="6">
        <v>6678</v>
      </c>
      <c r="Q6" s="6"/>
      <c r="R6" s="6">
        <v>5672</v>
      </c>
      <c r="S6" s="7"/>
      <c r="T6" s="7">
        <v>6855</v>
      </c>
      <c r="U6" s="7"/>
      <c r="V6" s="7">
        <v>6082.8</v>
      </c>
      <c r="W6" s="7"/>
      <c r="X6" s="7">
        <v>7301.3</v>
      </c>
      <c r="Y6" s="7"/>
      <c r="Z6" s="7">
        <v>13375.6</v>
      </c>
      <c r="AA6" s="7"/>
      <c r="AB6" s="7">
        <v>13910</v>
      </c>
      <c r="AD6" s="7">
        <f t="shared" si="0"/>
        <v>115457.70000000001</v>
      </c>
    </row>
    <row r="7" spans="1:30" x14ac:dyDescent="0.25">
      <c r="C7">
        <v>2019</v>
      </c>
      <c r="F7" s="7">
        <v>12228</v>
      </c>
      <c r="G7" s="7"/>
      <c r="H7" s="7">
        <v>14660</v>
      </c>
      <c r="I7" s="7"/>
      <c r="J7" s="6">
        <v>12783</v>
      </c>
      <c r="K7" s="6"/>
      <c r="L7" s="6">
        <v>9302</v>
      </c>
      <c r="M7" s="6"/>
      <c r="N7" s="6">
        <v>9488</v>
      </c>
      <c r="O7" s="7"/>
      <c r="P7" s="6">
        <v>6501</v>
      </c>
      <c r="Q7" s="6"/>
      <c r="R7" s="6">
        <v>6289</v>
      </c>
      <c r="S7" s="7"/>
      <c r="T7" s="7">
        <v>6925</v>
      </c>
      <c r="U7" s="7"/>
      <c r="V7" s="7">
        <v>4629</v>
      </c>
      <c r="W7" s="7"/>
      <c r="X7" s="7">
        <v>5670</v>
      </c>
      <c r="Y7" s="7"/>
      <c r="Z7" s="7">
        <f>(8157+25419+79254+1932)/10</f>
        <v>11476.2</v>
      </c>
      <c r="AA7" s="7"/>
      <c r="AB7" s="7">
        <f>110608/10</f>
        <v>11060.8</v>
      </c>
      <c r="AD7" s="7">
        <f t="shared" si="0"/>
        <v>111012</v>
      </c>
    </row>
    <row r="8" spans="1:30" x14ac:dyDescent="0.25">
      <c r="C8">
        <v>2020</v>
      </c>
      <c r="F8" s="7">
        <f>126026/10</f>
        <v>12602.6</v>
      </c>
      <c r="G8" s="7"/>
      <c r="H8" s="7">
        <f>121576/10</f>
        <v>12157.6</v>
      </c>
      <c r="I8" s="7"/>
      <c r="J8" s="7">
        <f>127017/10</f>
        <v>12701.7</v>
      </c>
      <c r="K8" s="6"/>
      <c r="L8" s="7">
        <f>103242/10</f>
        <v>10324.200000000001</v>
      </c>
      <c r="M8" s="6"/>
      <c r="N8" s="7">
        <f>75817/10</f>
        <v>7581.7</v>
      </c>
      <c r="O8" s="7"/>
      <c r="P8" s="6">
        <f>58765/10</f>
        <v>5876.5</v>
      </c>
      <c r="Q8" s="6"/>
      <c r="R8" s="7">
        <f>59521/10</f>
        <v>5952.1</v>
      </c>
      <c r="S8" s="7"/>
      <c r="T8" s="7">
        <f>51603/10</f>
        <v>5160.3</v>
      </c>
      <c r="U8" s="7"/>
      <c r="V8" s="7">
        <f>63345/10</f>
        <v>6334.5</v>
      </c>
      <c r="W8" s="7"/>
      <c r="X8" s="7">
        <f>77349/10</f>
        <v>7734.9</v>
      </c>
      <c r="Y8" s="7"/>
      <c r="Z8" s="7">
        <f>91968/10</f>
        <v>9196.7999999999993</v>
      </c>
      <c r="AA8" s="7"/>
      <c r="AB8" s="7">
        <f>137696/10</f>
        <v>13769.6</v>
      </c>
      <c r="AD8" s="7">
        <f t="shared" si="0"/>
        <v>109392.50000000001</v>
      </c>
    </row>
    <row r="9" spans="1:30" x14ac:dyDescent="0.25">
      <c r="C9">
        <v>2021</v>
      </c>
      <c r="F9" s="7">
        <f>90889/10</f>
        <v>9088.9</v>
      </c>
      <c r="G9" s="7"/>
      <c r="H9" s="7">
        <f>96265/10</f>
        <v>9626.5</v>
      </c>
      <c r="I9" s="7"/>
      <c r="J9" s="7">
        <f>120724/10</f>
        <v>12072.4</v>
      </c>
      <c r="K9" s="6"/>
      <c r="L9" s="7">
        <f>103411/10</f>
        <v>10341.1</v>
      </c>
      <c r="M9" s="6"/>
      <c r="N9" s="7">
        <f>(780+7910+57187+3491)/10</f>
        <v>6936.8</v>
      </c>
      <c r="O9" s="7"/>
      <c r="P9" s="6">
        <f>(338+9258+56577+278)/10</f>
        <v>6645.1</v>
      </c>
      <c r="Q9" s="6"/>
      <c r="R9" s="7">
        <f>(179+6383+26737+702)/10</f>
        <v>3400.1</v>
      </c>
      <c r="S9" s="7"/>
      <c r="T9" s="7"/>
      <c r="U9" s="7"/>
      <c r="V9" s="7"/>
      <c r="W9" s="7"/>
      <c r="X9" s="7"/>
      <c r="Y9" s="7"/>
      <c r="Z9" s="7"/>
      <c r="AA9" s="7"/>
      <c r="AB9" s="7"/>
      <c r="AD9" s="7"/>
    </row>
    <row r="10" spans="1:30" x14ac:dyDescent="0.25">
      <c r="F10" s="7"/>
      <c r="G10" s="7"/>
      <c r="H10" s="7"/>
      <c r="I10" s="7"/>
      <c r="J10" s="6"/>
      <c r="K10" s="6"/>
      <c r="L10" s="6"/>
      <c r="M10" s="6"/>
      <c r="N10" s="6"/>
      <c r="O10" s="7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D10" s="7"/>
    </row>
    <row r="11" spans="1:30" x14ac:dyDescent="0.25">
      <c r="C11" s="1" t="s">
        <v>3</v>
      </c>
      <c r="F11" s="7"/>
      <c r="G11" s="7"/>
      <c r="H11" s="7"/>
      <c r="I11" s="7"/>
      <c r="J11" s="6"/>
      <c r="K11" s="6"/>
      <c r="L11" s="6"/>
      <c r="M11" s="6"/>
      <c r="N11" s="6"/>
      <c r="O11" s="7"/>
      <c r="P11" s="6"/>
      <c r="Q11" s="6"/>
      <c r="R11" s="6">
        <f>SUM(T8:$AB8)+SUM($F9:R9)</f>
        <v>100307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D11" s="7"/>
    </row>
    <row r="12" spans="1:30" x14ac:dyDescent="0.25">
      <c r="C12" t="s">
        <v>4</v>
      </c>
      <c r="F12" s="7">
        <f>AVERAGE(F4:F8)</f>
        <v>11157.119999999999</v>
      </c>
      <c r="G12" s="7"/>
      <c r="H12" s="7">
        <f>AVERAGE(H4:H8)</f>
        <v>11142.119999999999</v>
      </c>
      <c r="I12" s="7"/>
      <c r="J12" s="7">
        <f>AVERAGE(J4:J8)</f>
        <v>11152.539999999999</v>
      </c>
      <c r="K12" s="6"/>
      <c r="L12" s="7">
        <f>AVERAGE(L4:L8)</f>
        <v>8966.24</v>
      </c>
      <c r="M12" s="6"/>
      <c r="N12" s="7">
        <f>AVERAGE(N4:N8)</f>
        <v>6697.1399999999994</v>
      </c>
      <c r="O12" s="7"/>
      <c r="P12" s="7">
        <f>AVERAGE(P4:P8)</f>
        <v>5458.5</v>
      </c>
      <c r="Q12" s="6"/>
      <c r="R12" s="7">
        <f>AVERAGE(R4:R8)</f>
        <v>5042.2199999999993</v>
      </c>
      <c r="S12" s="7"/>
      <c r="T12" s="7">
        <f>AVERAGE(T4:T8)</f>
        <v>5677.0599999999995</v>
      </c>
      <c r="U12" s="7"/>
      <c r="V12" s="7">
        <f>AVERAGE(V4:V8)</f>
        <v>5797.66</v>
      </c>
      <c r="W12" s="7"/>
      <c r="X12" s="7">
        <f>AVERAGE(X4:X8)</f>
        <v>6495.44</v>
      </c>
      <c r="Y12" s="7"/>
      <c r="Z12" s="7">
        <f>AVERAGE(Z4:Z8)</f>
        <v>10456.120000000001</v>
      </c>
      <c r="AA12" s="7"/>
      <c r="AB12" s="7">
        <f>AVERAGE(AB4:AB8)</f>
        <v>12056.48</v>
      </c>
      <c r="AD12" s="7">
        <f t="shared" ref="AD12" si="1">SUM(F12:AB12)</f>
        <v>100098.63999999998</v>
      </c>
    </row>
    <row r="13" spans="1:30" x14ac:dyDescent="0.25">
      <c r="F13" s="7"/>
      <c r="G13" s="7"/>
      <c r="H13" s="7"/>
      <c r="I13" s="7"/>
      <c r="J13" s="6"/>
      <c r="K13" s="6"/>
      <c r="L13" s="6"/>
      <c r="M13" s="6"/>
      <c r="N13" s="6"/>
      <c r="O13" s="7"/>
      <c r="P13" s="6"/>
      <c r="Q13" s="6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D13" s="7"/>
    </row>
    <row r="14" spans="1:30" x14ac:dyDescent="0.25">
      <c r="B14" t="s">
        <v>5</v>
      </c>
    </row>
    <row r="15" spans="1:30" x14ac:dyDescent="0.25">
      <c r="C15">
        <v>2016</v>
      </c>
      <c r="F15" s="6">
        <v>3400</v>
      </c>
      <c r="G15" s="6"/>
      <c r="H15" s="6">
        <v>2723</v>
      </c>
      <c r="I15" s="6"/>
      <c r="J15" s="6">
        <v>1376</v>
      </c>
      <c r="K15" s="6"/>
      <c r="L15" s="6">
        <v>913</v>
      </c>
      <c r="M15" s="6"/>
      <c r="N15" s="6">
        <v>406</v>
      </c>
      <c r="O15" s="6"/>
      <c r="P15" s="6">
        <v>247</v>
      </c>
      <c r="Q15" s="6"/>
      <c r="R15" s="6">
        <v>223</v>
      </c>
      <c r="S15" s="6"/>
      <c r="T15" s="6">
        <v>221</v>
      </c>
      <c r="U15" s="6"/>
      <c r="V15" s="6">
        <v>235</v>
      </c>
      <c r="W15" s="6"/>
      <c r="X15" s="6">
        <v>443</v>
      </c>
      <c r="Y15" s="6"/>
      <c r="Z15" s="6">
        <v>1501</v>
      </c>
      <c r="AA15" s="6"/>
      <c r="AB15" s="6">
        <v>2532</v>
      </c>
      <c r="AD15" s="7">
        <f t="shared" ref="AD15:AD20" si="2">SUM(F15:AB15)</f>
        <v>14220</v>
      </c>
    </row>
    <row r="16" spans="1:30" x14ac:dyDescent="0.25">
      <c r="C16">
        <v>2017</v>
      </c>
      <c r="F16" s="6">
        <v>2547</v>
      </c>
      <c r="G16" s="6"/>
      <c r="H16" s="6">
        <v>1912</v>
      </c>
      <c r="I16" s="6"/>
      <c r="J16" s="6">
        <v>1990</v>
      </c>
      <c r="K16" s="6"/>
      <c r="L16" s="6">
        <v>659</v>
      </c>
      <c r="M16" s="6"/>
      <c r="N16" s="6">
        <v>481</v>
      </c>
      <c r="O16" s="6"/>
      <c r="P16" s="6">
        <v>285</v>
      </c>
      <c r="Q16" s="6"/>
      <c r="R16" s="6">
        <v>284</v>
      </c>
      <c r="S16" s="6"/>
      <c r="T16" s="6">
        <v>298</v>
      </c>
      <c r="U16" s="6"/>
      <c r="V16" s="6">
        <v>289</v>
      </c>
      <c r="W16" s="6"/>
      <c r="X16" s="6">
        <v>754</v>
      </c>
      <c r="Y16" s="6"/>
      <c r="Z16" s="6">
        <v>1828</v>
      </c>
      <c r="AA16" s="6"/>
      <c r="AB16" s="6">
        <v>2501</v>
      </c>
      <c r="AD16" s="7">
        <f t="shared" si="2"/>
        <v>13828</v>
      </c>
    </row>
    <row r="17" spans="2:30" x14ac:dyDescent="0.25">
      <c r="C17">
        <v>2018</v>
      </c>
      <c r="F17" s="7">
        <v>4102</v>
      </c>
      <c r="G17" s="7"/>
      <c r="H17" s="7">
        <v>2020</v>
      </c>
      <c r="I17" s="7"/>
      <c r="J17" s="6">
        <v>2241</v>
      </c>
      <c r="K17" s="6"/>
      <c r="L17" s="6">
        <v>1481</v>
      </c>
      <c r="M17" s="6"/>
      <c r="N17" s="6">
        <v>392</v>
      </c>
      <c r="O17" s="7"/>
      <c r="P17" s="6">
        <v>303</v>
      </c>
      <c r="Q17" s="6"/>
      <c r="R17" s="6">
        <v>298</v>
      </c>
      <c r="S17" s="7"/>
      <c r="T17" s="7">
        <v>316</v>
      </c>
      <c r="U17" s="7"/>
      <c r="V17" s="7">
        <v>260</v>
      </c>
      <c r="W17" s="7"/>
      <c r="X17" s="7">
        <v>812</v>
      </c>
      <c r="Y17" s="7"/>
      <c r="Z17" s="7">
        <v>2151</v>
      </c>
      <c r="AA17" s="7"/>
      <c r="AB17" s="7">
        <v>2602</v>
      </c>
      <c r="AD17" s="7">
        <f t="shared" si="2"/>
        <v>16978</v>
      </c>
    </row>
    <row r="18" spans="2:30" x14ac:dyDescent="0.25">
      <c r="C18">
        <v>2019</v>
      </c>
      <c r="F18" s="7">
        <v>2898</v>
      </c>
      <c r="G18" s="7"/>
      <c r="H18" s="7">
        <v>2333</v>
      </c>
      <c r="I18" s="7"/>
      <c r="J18" s="6">
        <v>2073</v>
      </c>
      <c r="K18" s="6"/>
      <c r="L18" s="6">
        <v>912</v>
      </c>
      <c r="M18" s="6"/>
      <c r="N18" s="6">
        <v>369</v>
      </c>
      <c r="O18" s="7"/>
      <c r="P18" s="6">
        <v>320</v>
      </c>
      <c r="Q18" s="6"/>
      <c r="R18" s="6">
        <v>335</v>
      </c>
      <c r="S18" s="7"/>
      <c r="T18" s="7">
        <v>289</v>
      </c>
      <c r="U18" s="7"/>
      <c r="V18" s="7">
        <v>365</v>
      </c>
      <c r="W18" s="7"/>
      <c r="X18" s="7">
        <v>628</v>
      </c>
      <c r="Y18" s="7"/>
      <c r="Z18" s="7">
        <v>2233</v>
      </c>
      <c r="AA18" s="7"/>
      <c r="AB18" s="7">
        <v>2655</v>
      </c>
      <c r="AD18" s="7">
        <f t="shared" si="2"/>
        <v>15410</v>
      </c>
    </row>
    <row r="19" spans="2:30" x14ac:dyDescent="0.25">
      <c r="C19">
        <v>2020</v>
      </c>
      <c r="F19" s="7">
        <v>2719</v>
      </c>
      <c r="G19" s="7"/>
      <c r="H19" s="7">
        <v>2400</v>
      </c>
      <c r="I19" s="7"/>
      <c r="J19" s="7">
        <v>1653</v>
      </c>
      <c r="K19" s="6"/>
      <c r="L19" s="7">
        <v>1142</v>
      </c>
      <c r="M19" s="6"/>
      <c r="N19" s="7">
        <v>847</v>
      </c>
      <c r="O19" s="7"/>
      <c r="P19" s="6">
        <v>448</v>
      </c>
      <c r="Q19" s="6"/>
      <c r="R19" s="7">
        <v>413</v>
      </c>
      <c r="S19" s="7"/>
      <c r="T19" s="7">
        <v>312</v>
      </c>
      <c r="U19" s="7"/>
      <c r="V19" s="7">
        <v>441</v>
      </c>
      <c r="W19" s="7"/>
      <c r="X19" s="7">
        <v>639</v>
      </c>
      <c r="Y19" s="7"/>
      <c r="Z19" s="7">
        <v>1890</v>
      </c>
      <c r="AA19" s="7"/>
      <c r="AB19" s="7">
        <v>2795</v>
      </c>
      <c r="AD19" s="7">
        <f t="shared" si="2"/>
        <v>15699</v>
      </c>
    </row>
    <row r="20" spans="2:30" x14ac:dyDescent="0.25">
      <c r="C20">
        <v>2021</v>
      </c>
      <c r="F20" s="7">
        <v>3070</v>
      </c>
      <c r="G20" s="7"/>
      <c r="H20" s="7">
        <v>3329</v>
      </c>
      <c r="I20" s="7"/>
      <c r="J20" s="7">
        <v>1992</v>
      </c>
      <c r="K20" s="6"/>
      <c r="L20" s="7">
        <v>1247</v>
      </c>
      <c r="M20" s="6"/>
      <c r="N20" s="7">
        <f>(9615+3840)/10</f>
        <v>1345.5</v>
      </c>
      <c r="O20" s="7"/>
      <c r="P20" s="6">
        <v>413.7</v>
      </c>
      <c r="Q20" s="6"/>
      <c r="R20" s="7">
        <v>364.5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D20" s="7">
        <f t="shared" si="2"/>
        <v>11761.7</v>
      </c>
    </row>
    <row r="21" spans="2:30" x14ac:dyDescent="0.25">
      <c r="L21" s="7"/>
    </row>
    <row r="22" spans="2:30" x14ac:dyDescent="0.25">
      <c r="C22" s="1" t="s">
        <v>3</v>
      </c>
      <c r="L22" s="6"/>
      <c r="N22" s="6">
        <f>SUM(P19:$AB19)+SUM($F20:N20)</f>
        <v>17921.5</v>
      </c>
    </row>
    <row r="23" spans="2:30" x14ac:dyDescent="0.25">
      <c r="C23" t="s">
        <v>4</v>
      </c>
      <c r="F23" s="7">
        <f>AVERAGE(F15:F19)</f>
        <v>3133.2</v>
      </c>
      <c r="G23" s="7"/>
      <c r="H23" s="7">
        <f>AVERAGE(H15:H19)</f>
        <v>2277.6</v>
      </c>
      <c r="I23" s="7"/>
      <c r="J23" s="7">
        <f>AVERAGE(J15:J19)</f>
        <v>1866.6</v>
      </c>
      <c r="K23" s="6"/>
      <c r="L23" s="7">
        <f>AVERAGE(L15:L19)</f>
        <v>1021.4</v>
      </c>
      <c r="M23" s="6"/>
      <c r="N23" s="7">
        <f>AVERAGE(N15:N19)</f>
        <v>499</v>
      </c>
      <c r="O23" s="7"/>
      <c r="P23" s="7">
        <f>AVERAGE(P15:P20)</f>
        <v>336.11666666666667</v>
      </c>
      <c r="Q23" s="6"/>
      <c r="R23" s="7">
        <f>AVERAGE(R15:R20)</f>
        <v>319.58333333333331</v>
      </c>
      <c r="S23" s="7"/>
      <c r="T23" s="7">
        <f>AVERAGE(T15:T19)</f>
        <v>287.2</v>
      </c>
      <c r="U23" s="7"/>
      <c r="V23" s="7">
        <f>AVERAGE(V15:V19)</f>
        <v>318</v>
      </c>
      <c r="W23" s="7"/>
      <c r="X23" s="7">
        <f>AVERAGE(X15:X19)</f>
        <v>655.20000000000005</v>
      </c>
      <c r="Y23" s="7"/>
      <c r="Z23" s="7">
        <f>AVERAGE(Z15:Z19)</f>
        <v>1920.6</v>
      </c>
      <c r="AA23" s="7"/>
      <c r="AB23" s="7">
        <f>AVERAGE(AB15:AB19)</f>
        <v>2617</v>
      </c>
      <c r="AD23" s="7">
        <f t="shared" ref="AD23" si="3">SUM(F23:AB23)</f>
        <v>15251.500000000002</v>
      </c>
    </row>
    <row r="24" spans="2:30" x14ac:dyDescent="0.25">
      <c r="L24" s="7"/>
    </row>
    <row r="25" spans="2:30" x14ac:dyDescent="0.25">
      <c r="B25" t="s">
        <v>6</v>
      </c>
    </row>
    <row r="26" spans="2:30" x14ac:dyDescent="0.25">
      <c r="C26">
        <v>2016</v>
      </c>
      <c r="F26" s="6">
        <v>2914</v>
      </c>
      <c r="G26" s="6"/>
      <c r="H26" s="6">
        <v>2325</v>
      </c>
      <c r="I26" s="6"/>
      <c r="J26" s="6">
        <v>1385</v>
      </c>
      <c r="K26" s="6"/>
      <c r="L26" s="6">
        <v>663</v>
      </c>
      <c r="M26" s="6"/>
      <c r="N26" s="6">
        <v>362</v>
      </c>
      <c r="O26" s="6"/>
      <c r="P26" s="6">
        <v>103</v>
      </c>
      <c r="Q26" s="6"/>
      <c r="R26" s="6">
        <v>105</v>
      </c>
      <c r="S26" s="6"/>
      <c r="T26" s="6">
        <v>74</v>
      </c>
      <c r="U26" s="6"/>
      <c r="V26" s="6">
        <v>175</v>
      </c>
      <c r="W26" s="6"/>
      <c r="X26" s="6">
        <v>313</v>
      </c>
      <c r="Y26" s="6"/>
      <c r="Z26" s="6">
        <v>1361</v>
      </c>
      <c r="AA26" s="6"/>
      <c r="AB26" s="6">
        <v>1998</v>
      </c>
      <c r="AD26" s="7">
        <f t="shared" ref="AD26:AD31" si="4">SUM(F26:AB26)</f>
        <v>11778</v>
      </c>
    </row>
    <row r="27" spans="2:30" x14ac:dyDescent="0.25">
      <c r="C27">
        <v>2017</v>
      </c>
      <c r="F27" s="6">
        <v>2132</v>
      </c>
      <c r="G27" s="6"/>
      <c r="H27" s="6">
        <v>1591</v>
      </c>
      <c r="I27" s="6"/>
      <c r="J27" s="6">
        <v>1662</v>
      </c>
      <c r="K27" s="6"/>
      <c r="L27" s="6">
        <v>498</v>
      </c>
      <c r="M27" s="6"/>
      <c r="N27" s="6">
        <v>272</v>
      </c>
      <c r="O27" s="6"/>
      <c r="P27" s="6">
        <v>137</v>
      </c>
      <c r="Q27" s="6"/>
      <c r="R27" s="6">
        <v>125</v>
      </c>
      <c r="S27" s="6"/>
      <c r="T27" s="6">
        <v>112</v>
      </c>
      <c r="U27" s="6"/>
      <c r="V27" s="6">
        <v>146</v>
      </c>
      <c r="W27" s="6"/>
      <c r="X27" s="6">
        <v>503</v>
      </c>
      <c r="Y27" s="6"/>
      <c r="Z27" s="6">
        <v>1424</v>
      </c>
      <c r="AA27" s="6"/>
      <c r="AB27" s="6">
        <v>2076</v>
      </c>
      <c r="AD27" s="7">
        <f t="shared" si="4"/>
        <v>10678</v>
      </c>
    </row>
    <row r="28" spans="2:30" x14ac:dyDescent="0.25">
      <c r="C28">
        <v>2018</v>
      </c>
      <c r="F28" s="7">
        <v>3491</v>
      </c>
      <c r="G28" s="7"/>
      <c r="H28" s="7">
        <v>1682</v>
      </c>
      <c r="I28" s="7"/>
      <c r="J28" s="6">
        <v>1932</v>
      </c>
      <c r="K28" s="6"/>
      <c r="L28" s="6">
        <v>1238</v>
      </c>
      <c r="M28" s="6"/>
      <c r="N28" s="6">
        <v>169</v>
      </c>
      <c r="O28" s="7"/>
      <c r="P28" s="6">
        <v>108</v>
      </c>
      <c r="Q28" s="6"/>
      <c r="R28" s="6">
        <v>114</v>
      </c>
      <c r="S28" s="7"/>
      <c r="T28" s="7">
        <v>120</v>
      </c>
      <c r="U28" s="7"/>
      <c r="V28" s="7">
        <v>76</v>
      </c>
      <c r="W28" s="7"/>
      <c r="X28" s="7">
        <v>670</v>
      </c>
      <c r="Y28" s="7"/>
      <c r="Z28" s="7">
        <v>1713</v>
      </c>
      <c r="AA28" s="7"/>
      <c r="AB28" s="7">
        <v>2044</v>
      </c>
      <c r="AD28" s="7">
        <f t="shared" si="4"/>
        <v>13357</v>
      </c>
    </row>
    <row r="29" spans="2:30" x14ac:dyDescent="0.25">
      <c r="C29">
        <v>2019</v>
      </c>
      <c r="F29" s="7">
        <v>2854</v>
      </c>
      <c r="G29" s="7"/>
      <c r="H29" s="7">
        <v>1720</v>
      </c>
      <c r="I29" s="7"/>
      <c r="J29" s="6">
        <v>1809</v>
      </c>
      <c r="K29" s="6"/>
      <c r="L29" s="6">
        <v>703</v>
      </c>
      <c r="M29" s="6"/>
      <c r="N29" s="6">
        <v>191</v>
      </c>
      <c r="O29" s="7"/>
      <c r="P29" s="6">
        <v>138</v>
      </c>
      <c r="Q29" s="6"/>
      <c r="R29" s="6">
        <v>123</v>
      </c>
      <c r="S29" s="7"/>
      <c r="T29" s="7">
        <v>128</v>
      </c>
      <c r="U29" s="7"/>
      <c r="V29" s="7">
        <v>151</v>
      </c>
      <c r="W29" s="7"/>
      <c r="X29" s="7">
        <v>439</v>
      </c>
      <c r="Y29" s="7"/>
      <c r="Z29" s="7">
        <v>1651</v>
      </c>
      <c r="AA29" s="7"/>
      <c r="AB29" s="7">
        <v>2141</v>
      </c>
      <c r="AD29" s="7">
        <f t="shared" si="4"/>
        <v>12048</v>
      </c>
    </row>
    <row r="30" spans="2:30" x14ac:dyDescent="0.25">
      <c r="C30">
        <v>2020</v>
      </c>
      <c r="F30" s="7">
        <v>2131</v>
      </c>
      <c r="G30" s="7"/>
      <c r="H30" s="7">
        <v>1951</v>
      </c>
      <c r="I30" s="7"/>
      <c r="J30" s="7">
        <v>1327</v>
      </c>
      <c r="K30" s="6"/>
      <c r="L30" s="7">
        <v>957</v>
      </c>
      <c r="M30" s="6"/>
      <c r="N30" s="7">
        <v>530</v>
      </c>
      <c r="O30" s="7"/>
      <c r="P30" s="6">
        <v>170</v>
      </c>
      <c r="Q30" s="6"/>
      <c r="R30" s="7">
        <v>118</v>
      </c>
      <c r="S30" s="7"/>
      <c r="T30" s="7">
        <v>132</v>
      </c>
      <c r="U30" s="7"/>
      <c r="V30" s="7">
        <v>280</v>
      </c>
      <c r="W30" s="7"/>
      <c r="X30" s="7">
        <v>453</v>
      </c>
      <c r="Y30" s="7"/>
      <c r="Z30" s="7">
        <v>1296</v>
      </c>
      <c r="AA30" s="7"/>
      <c r="AB30" s="7">
        <v>2369</v>
      </c>
      <c r="AD30" s="7">
        <f t="shared" si="4"/>
        <v>11714</v>
      </c>
    </row>
    <row r="31" spans="2:30" x14ac:dyDescent="0.25">
      <c r="C31">
        <v>2021</v>
      </c>
      <c r="F31" s="7">
        <v>2462</v>
      </c>
      <c r="G31" s="7"/>
      <c r="H31" s="7">
        <v>2794</v>
      </c>
      <c r="I31" s="7"/>
      <c r="J31" s="7">
        <v>1632</v>
      </c>
      <c r="K31" s="6"/>
      <c r="L31" s="7">
        <v>817</v>
      </c>
      <c r="M31" s="6"/>
      <c r="N31" s="7">
        <f>(6568+419)/10</f>
        <v>698.7</v>
      </c>
      <c r="O31" s="7"/>
      <c r="P31" s="7">
        <v>144.30000000000001</v>
      </c>
      <c r="Q31" s="7"/>
      <c r="R31" s="7">
        <v>178.9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D31" s="7">
        <f t="shared" si="4"/>
        <v>8726.9</v>
      </c>
    </row>
    <row r="32" spans="2:30" x14ac:dyDescent="0.25">
      <c r="L32" s="6"/>
    </row>
    <row r="33" spans="1:30" x14ac:dyDescent="0.25">
      <c r="C33" s="1" t="s">
        <v>3</v>
      </c>
      <c r="L33" s="6"/>
      <c r="N33" s="6">
        <f>SUM(P30:$AB30)+SUM($F31:N31)</f>
        <v>13221.7</v>
      </c>
    </row>
    <row r="34" spans="1:30" x14ac:dyDescent="0.25">
      <c r="C34" t="s">
        <v>4</v>
      </c>
      <c r="F34" s="7">
        <f>AVERAGE(F26:F30)</f>
        <v>2704.4</v>
      </c>
      <c r="G34" s="7"/>
      <c r="H34" s="7">
        <f>AVERAGE(H26:H30)</f>
        <v>1853.8</v>
      </c>
      <c r="I34" s="7"/>
      <c r="J34" s="7">
        <f>AVERAGE(J26:J30)</f>
        <v>1623</v>
      </c>
      <c r="K34" s="6"/>
      <c r="L34" s="7">
        <f>AVERAGE(L26:L30)</f>
        <v>811.8</v>
      </c>
      <c r="M34" s="6"/>
      <c r="N34" s="7">
        <f>AVERAGE(N26:N30)</f>
        <v>304.8</v>
      </c>
      <c r="O34" s="7"/>
      <c r="P34" s="7">
        <f>AVERAGE(P26:P30)</f>
        <v>131.19999999999999</v>
      </c>
      <c r="Q34" s="6"/>
      <c r="R34" s="7">
        <f>AVERAGE(R26:R30)</f>
        <v>117</v>
      </c>
      <c r="S34" s="7"/>
      <c r="T34" s="7">
        <f>AVERAGE(T26:T30)</f>
        <v>113.2</v>
      </c>
      <c r="U34" s="7"/>
      <c r="V34" s="7">
        <f>AVERAGE(V26:V30)</f>
        <v>165.6</v>
      </c>
      <c r="W34" s="7"/>
      <c r="X34" s="7">
        <f>AVERAGE(X26:X30)</f>
        <v>475.6</v>
      </c>
      <c r="Y34" s="7"/>
      <c r="Z34" s="7">
        <f>AVERAGE(Z26:Z30)</f>
        <v>1489</v>
      </c>
      <c r="AA34" s="7"/>
      <c r="AB34" s="7">
        <f>AVERAGE(AB26:AB30)</f>
        <v>2125.6</v>
      </c>
      <c r="AD34" s="7">
        <f t="shared" ref="AD34:AD36" si="5">SUM(F34:AB34)</f>
        <v>11915</v>
      </c>
    </row>
    <row r="36" spans="1:30" x14ac:dyDescent="0.25">
      <c r="A36" t="s">
        <v>7</v>
      </c>
      <c r="F36" s="7">
        <f>F12+F23+F34</f>
        <v>16994.72</v>
      </c>
      <c r="H36" s="7">
        <f>H12+H23+H34</f>
        <v>15273.519999999999</v>
      </c>
      <c r="J36" s="7">
        <f>J12+J23+J34</f>
        <v>14642.14</v>
      </c>
      <c r="L36" s="7">
        <f>L12+L23+L34</f>
        <v>10799.439999999999</v>
      </c>
      <c r="N36" s="7">
        <f>N12+N23+N34</f>
        <v>7500.94</v>
      </c>
      <c r="P36" s="7">
        <f>P12+P23+P34</f>
        <v>5925.8166666666666</v>
      </c>
      <c r="R36" s="7">
        <f>R12+R23+R34</f>
        <v>5478.8033333333324</v>
      </c>
      <c r="T36" s="7">
        <f>T12+T23+T34</f>
        <v>6077.4599999999991</v>
      </c>
      <c r="V36" s="7">
        <f>V12+V23+V34</f>
        <v>6281.26</v>
      </c>
      <c r="X36" s="7">
        <f>X12+X23+X34</f>
        <v>7626.24</v>
      </c>
      <c r="Z36" s="7">
        <f>Z12+Z23+Z34</f>
        <v>13865.720000000001</v>
      </c>
      <c r="AB36" s="7">
        <f>AB12+AB23+AB34</f>
        <v>16799.079999999998</v>
      </c>
      <c r="AD36" s="7">
        <f t="shared" si="5"/>
        <v>127265.14</v>
      </c>
    </row>
    <row r="37" spans="1:30" x14ac:dyDescent="0.25">
      <c r="B37" t="s">
        <v>8</v>
      </c>
      <c r="F37" s="8">
        <f>F12/F$36</f>
        <v>0.6565050792246061</v>
      </c>
      <c r="H37" s="8">
        <f>H12/H$36</f>
        <v>0.72950570660856173</v>
      </c>
      <c r="J37" s="8">
        <f>J12/J$36</f>
        <v>0.76167418150625521</v>
      </c>
      <c r="L37" s="8">
        <f>L12/L$36</f>
        <v>0.83025045743112613</v>
      </c>
      <c r="N37" s="8">
        <f>N12/N$36</f>
        <v>0.89284009737446235</v>
      </c>
      <c r="P37" s="8">
        <f>P12/P$36</f>
        <v>0.92113885849770361</v>
      </c>
      <c r="R37" s="8">
        <f>R12/R$36</f>
        <v>0.92031410752104625</v>
      </c>
      <c r="T37" s="8">
        <f>T12/T$36</f>
        <v>0.93411721344114163</v>
      </c>
      <c r="V37" s="8">
        <f>V12/V$36</f>
        <v>0.92300907779649299</v>
      </c>
      <c r="X37" s="8">
        <f>X12/X$36</f>
        <v>0.85172247398455858</v>
      </c>
      <c r="Z37" s="8">
        <f>Z12/Z$36</f>
        <v>0.75409859711576466</v>
      </c>
      <c r="AB37" s="8">
        <f>AB12/AB$36</f>
        <v>0.71768692095043307</v>
      </c>
      <c r="AD37" s="9">
        <f>AD12/AD$36</f>
        <v>0.78653620307964922</v>
      </c>
    </row>
    <row r="38" spans="1:30" x14ac:dyDescent="0.25">
      <c r="B38" t="s">
        <v>9</v>
      </c>
      <c r="F38" s="8">
        <f>F23/F$36</f>
        <v>0.18436314337629567</v>
      </c>
      <c r="H38" s="8">
        <f>H23/H$36</f>
        <v>0.14912083134732532</v>
      </c>
      <c r="J38" s="8">
        <f>J23/J$36</f>
        <v>0.12748136542882393</v>
      </c>
      <c r="L38" s="8">
        <f>L23/L$36</f>
        <v>9.4578978169238409E-2</v>
      </c>
      <c r="N38" s="8">
        <f>N23/N$36</f>
        <v>6.6524995533893086E-2</v>
      </c>
      <c r="P38" s="8">
        <f>P23/P$36</f>
        <v>5.6720733288520009E-2</v>
      </c>
      <c r="R38" s="8">
        <f>R23/R$36</f>
        <v>5.8330864221566636E-2</v>
      </c>
      <c r="T38" s="8">
        <f>T23/T$36</f>
        <v>4.7256584165095289E-2</v>
      </c>
      <c r="V38" s="8">
        <f>V23/V$36</f>
        <v>5.062678507178496E-2</v>
      </c>
      <c r="X38" s="8">
        <f>X23/X$36</f>
        <v>8.5913897280966781E-2</v>
      </c>
      <c r="Z38" s="8">
        <f>Z23/Z$36</f>
        <v>0.13851426395455843</v>
      </c>
      <c r="AB38" s="8">
        <f>AB23/AB$36</f>
        <v>0.15578234046150147</v>
      </c>
      <c r="AD38" s="9">
        <f>AD23/AD$36</f>
        <v>0.11984035848308501</v>
      </c>
    </row>
    <row r="39" spans="1:30" x14ac:dyDescent="0.25">
      <c r="B39" t="s">
        <v>10</v>
      </c>
      <c r="F39" s="8">
        <f>F34/F$36</f>
        <v>0.15913177739909806</v>
      </c>
      <c r="H39" s="8">
        <f>H34/H$36</f>
        <v>0.12137346204411295</v>
      </c>
      <c r="J39" s="8">
        <f>J34/J$36</f>
        <v>0.11084445306492084</v>
      </c>
      <c r="L39" s="8">
        <f>L34/L$36</f>
        <v>7.5170564399635542E-2</v>
      </c>
      <c r="N39" s="8">
        <f>N34/N$36</f>
        <v>4.0634907091644516E-2</v>
      </c>
      <c r="P39" s="8">
        <f>P34/P$36</f>
        <v>2.2140408213776441E-2</v>
      </c>
      <c r="R39" s="8">
        <f>R34/R$36</f>
        <v>2.135502825738711E-2</v>
      </c>
      <c r="T39" s="8">
        <f>T34/T$36</f>
        <v>1.8626202393763187E-2</v>
      </c>
      <c r="V39" s="8">
        <f>V34/V$36</f>
        <v>2.6364137131721976E-2</v>
      </c>
      <c r="X39" s="8">
        <f>X34/X$36</f>
        <v>6.2363628734474659E-2</v>
      </c>
      <c r="Z39" s="8">
        <f>Z34/Z$36</f>
        <v>0.10738713892967693</v>
      </c>
      <c r="AB39" s="8">
        <f>AB34/AB$36</f>
        <v>0.12653073858806554</v>
      </c>
      <c r="AD39" s="9">
        <f>AD34/AD$36</f>
        <v>9.3623438437265699E-2</v>
      </c>
    </row>
    <row r="41" spans="1:30" x14ac:dyDescent="0.25">
      <c r="A41" t="s">
        <v>3</v>
      </c>
    </row>
    <row r="42" spans="1:30" x14ac:dyDescent="0.25">
      <c r="C42">
        <v>2020</v>
      </c>
      <c r="P42" s="7">
        <f>P30+P19+P8</f>
        <v>6494.5</v>
      </c>
      <c r="R42" s="7">
        <f>R30+R19+R8</f>
        <v>6483.1</v>
      </c>
      <c r="T42" s="7">
        <f>T30+T19+T8</f>
        <v>5604.3</v>
      </c>
      <c r="V42" s="7">
        <f>V30+V19+V8</f>
        <v>7055.5</v>
      </c>
      <c r="X42" s="7">
        <f>X30+X19+X8</f>
        <v>8826.9</v>
      </c>
      <c r="Z42" s="7">
        <f>Z30+Z19+Z8</f>
        <v>12382.8</v>
      </c>
      <c r="AB42" s="7">
        <f>AB30+AB19+AB8</f>
        <v>18933.599999999999</v>
      </c>
    </row>
    <row r="43" spans="1:30" x14ac:dyDescent="0.25">
      <c r="C43">
        <v>2021</v>
      </c>
      <c r="F43" s="7">
        <f>F31+F20+F9</f>
        <v>14620.9</v>
      </c>
      <c r="H43" s="7">
        <f>H31+H20+H9</f>
        <v>15749.5</v>
      </c>
      <c r="J43" s="7">
        <f>J31+J20+J9</f>
        <v>15696.4</v>
      </c>
      <c r="L43" s="7">
        <f>L31+L20+L9</f>
        <v>12405.1</v>
      </c>
      <c r="N43" s="7">
        <f>N31+N20+N9</f>
        <v>8981</v>
      </c>
      <c r="AD43" s="10">
        <f>SUM(F42:AB43)</f>
        <v>133233.60000000001</v>
      </c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Johnson Transition (new form)</vt:lpstr>
      <vt:lpstr>Floyd Transition (new form)</vt:lpstr>
      <vt:lpstr>Clinton Transition (old form)</vt:lpstr>
      <vt:lpstr>Sales</vt:lpstr>
      <vt:lpstr>Sales!Print_Area</vt:lpstr>
      <vt:lpstr>'Clinton Transition (old form)'!Print_Titles</vt:lpstr>
      <vt:lpstr>'Floyd Transition (new form)'!Print_Titles</vt:lpstr>
      <vt:lpstr>'Johnson Transition (new form)'!Print_Titles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Hartline</dc:creator>
  <cp:lastModifiedBy>INGLE, KERRY</cp:lastModifiedBy>
  <cp:lastPrinted>2021-10-01T03:16:03Z</cp:lastPrinted>
  <dcterms:created xsi:type="dcterms:W3CDTF">2021-09-30T01:07:57Z</dcterms:created>
  <dcterms:modified xsi:type="dcterms:W3CDTF">2021-10-27T22:24:31Z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-221777849</vt:i4>
  </property>
  <property fmtid="{D5CDD505-2E9C-101B-9397-08002B2CF9AE}" pid="3" name="_NewReviewCycle">
    <vt:lpwstr/>
  </property>
  <property fmtid="{D5CDD505-2E9C-101B-9397-08002B2CF9AE}" pid="4" name="_EmailSubject">
    <vt:lpwstr>21-381 Supplemental Filing_updated_(23278536)_(1) (002).DOCX</vt:lpwstr>
  </property>
  <property fmtid="{D5CDD505-2E9C-101B-9397-08002B2CF9AE}" pid="5" name="_AuthorEmail">
    <vt:lpwstr>Evan.Buckley@DINSMORE.COM</vt:lpwstr>
  </property>
  <property fmtid="{D5CDD505-2E9C-101B-9397-08002B2CF9AE}" pid="6" name="_AuthorEmailDisplayName">
    <vt:lpwstr>Buckley, Evan</vt:lpwstr>
  </property>
  <property fmtid="{D5CDD505-2E9C-101B-9397-08002B2CF9AE}" pid="7" name="_ReviewingToolsShownOnce">
    <vt:lpwstr/>
  </property>
</Properties>
</file>