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 Hartline\Dropbox (Navitas Utility)\Accounting\PGA\KY PGA\2021\Post Acquisition\"/>
    </mc:Choice>
  </mc:AlternateContent>
  <xr:revisionPtr revIDLastSave="0" documentId="13_ncr:1_{EFBC74E1-6E57-444C-934D-43556F0CBB3B}" xr6:coauthVersionLast="47" xr6:coauthVersionMax="47" xr10:uidLastSave="{00000000-0000-0000-0000-000000000000}"/>
  <bookViews>
    <workbookView xWindow="-108" yWindow="-108" windowWidth="23256" windowHeight="12576" activeTab="1" xr2:uid="{7A132CA4-AB03-4711-82E6-56F96D0A87E1}"/>
  </bookViews>
  <sheets>
    <sheet name="Cover page" sheetId="4" r:id="rId1"/>
    <sheet name="Summary (SI)" sheetId="5" r:id="rId2"/>
    <sheet name="EGC (SII)" sheetId="1" r:id="rId3"/>
    <sheet name="SCHEDULE III B&amp;S Oil FloydCo" sheetId="3" r:id="rId4"/>
    <sheet name="Purchases" sheetId="6" r:id="rId5"/>
    <sheet name="Sales" sheetId="2" r:id="rId6"/>
  </sheets>
  <externalReferences>
    <externalReference r:id="rId7"/>
  </externalReferences>
  <definedNames>
    <definedName name="_xlnm.Print_Area" localSheetId="4">Purchases!$A$2:$AD$32</definedName>
    <definedName name="_xlnm.Print_Area" localSheetId="5">Sales!$A$2:$AD$21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5" l="1"/>
  <c r="J11" i="5"/>
  <c r="J10" i="5"/>
  <c r="H7" i="1"/>
  <c r="H6" i="1"/>
  <c r="R16" i="6"/>
  <c r="R11" i="6"/>
  <c r="R25" i="6"/>
  <c r="R22" i="6"/>
  <c r="H28" i="1"/>
  <c r="H22" i="1"/>
  <c r="H21" i="1"/>
  <c r="H16" i="1"/>
  <c r="H15" i="1"/>
  <c r="R52" i="6"/>
  <c r="R50" i="6"/>
  <c r="R45" i="6"/>
  <c r="R32" i="6"/>
  <c r="R39" i="6" s="1"/>
  <c r="R37" i="6"/>
  <c r="N22" i="6"/>
  <c r="R20" i="6" l="1"/>
  <c r="R23" i="6" l="1"/>
  <c r="P23" i="6"/>
  <c r="N23" i="6"/>
  <c r="R10" i="6"/>
  <c r="P10" i="6"/>
  <c r="N10" i="6"/>
  <c r="T10" i="6"/>
  <c r="J6" i="1"/>
  <c r="J21" i="1"/>
  <c r="J15" i="1"/>
  <c r="H20" i="1"/>
  <c r="H14" i="1"/>
  <c r="H4" i="1"/>
  <c r="L36" i="6"/>
  <c r="J36" i="6"/>
  <c r="H36" i="6"/>
  <c r="F36" i="6"/>
  <c r="AB35" i="6"/>
  <c r="AB22" i="6"/>
  <c r="H8" i="6"/>
  <c r="J10" i="6" s="1"/>
  <c r="J23" i="6" s="1"/>
  <c r="J35" i="5"/>
  <c r="J28" i="5"/>
  <c r="J20" i="5"/>
  <c r="J12" i="5"/>
  <c r="J6" i="5"/>
  <c r="J27" i="3"/>
  <c r="J28" i="3" s="1"/>
  <c r="J29" i="3" s="1"/>
  <c r="J32" i="3" s="1"/>
  <c r="J18" i="3"/>
  <c r="J34" i="3" s="1"/>
  <c r="J17" i="3"/>
  <c r="AB9" i="6" l="1"/>
  <c r="L10" i="6"/>
  <c r="L23" i="6" s="1"/>
  <c r="N9" i="6"/>
  <c r="P9" i="6"/>
  <c r="P22" i="6" s="1"/>
  <c r="X9" i="6"/>
  <c r="X22" i="6" s="1"/>
  <c r="H10" i="6"/>
  <c r="H23" i="6" s="1"/>
  <c r="T9" i="6"/>
  <c r="T22" i="6" s="1"/>
  <c r="V9" i="6"/>
  <c r="V22" i="6" s="1"/>
  <c r="F10" i="6"/>
  <c r="R9" i="6"/>
  <c r="Z9" i="6"/>
  <c r="Z22" i="6" s="1"/>
  <c r="J35" i="3"/>
  <c r="J33" i="3"/>
  <c r="F23" i="6" l="1"/>
  <c r="R43" i="2" l="1"/>
  <c r="P43" i="2"/>
  <c r="R33" i="2"/>
  <c r="R22" i="2"/>
  <c r="L43" i="2"/>
  <c r="J43" i="2"/>
  <c r="AB42" i="2"/>
  <c r="Z42" i="2"/>
  <c r="T42" i="2"/>
  <c r="AB34" i="2"/>
  <c r="Z34" i="2"/>
  <c r="X34" i="2"/>
  <c r="V34" i="2"/>
  <c r="T34" i="2"/>
  <c r="R34" i="2"/>
  <c r="P34" i="2"/>
  <c r="N34" i="2"/>
  <c r="L34" i="2"/>
  <c r="J34" i="2"/>
  <c r="H34" i="2"/>
  <c r="F34" i="2"/>
  <c r="AD31" i="2"/>
  <c r="N31" i="2"/>
  <c r="N43" i="2" s="1"/>
  <c r="AD30" i="2"/>
  <c r="AD29" i="2"/>
  <c r="AD28" i="2"/>
  <c r="AD27" i="2"/>
  <c r="AD26" i="2"/>
  <c r="AB23" i="2"/>
  <c r="Z23" i="2"/>
  <c r="X23" i="2"/>
  <c r="V23" i="2"/>
  <c r="T23" i="2"/>
  <c r="R23" i="2"/>
  <c r="P23" i="2"/>
  <c r="N23" i="2"/>
  <c r="L23" i="2"/>
  <c r="J23" i="2"/>
  <c r="H23" i="2"/>
  <c r="F23" i="2"/>
  <c r="N20" i="2"/>
  <c r="AD20" i="2" s="1"/>
  <c r="AD19" i="2"/>
  <c r="AD18" i="2"/>
  <c r="AD17" i="2"/>
  <c r="AD16" i="2"/>
  <c r="AD15" i="2"/>
  <c r="V12" i="2"/>
  <c r="V36" i="2" s="1"/>
  <c r="N12" i="2"/>
  <c r="N36" i="2" s="1"/>
  <c r="F12" i="2"/>
  <c r="F36" i="2" s="1"/>
  <c r="R9" i="2"/>
  <c r="P9" i="2"/>
  <c r="N9" i="2"/>
  <c r="L9" i="2"/>
  <c r="J9" i="2"/>
  <c r="H9" i="2"/>
  <c r="H43" i="2" s="1"/>
  <c r="F9" i="2"/>
  <c r="F43" i="2" s="1"/>
  <c r="AB8" i="2"/>
  <c r="Z8" i="2"/>
  <c r="X8" i="2"/>
  <c r="X42" i="2" s="1"/>
  <c r="V8" i="2"/>
  <c r="V42" i="2" s="1"/>
  <c r="T8" i="2"/>
  <c r="T12" i="2" s="1"/>
  <c r="R8" i="2"/>
  <c r="R12" i="2" s="1"/>
  <c r="P8" i="2"/>
  <c r="N8" i="2"/>
  <c r="L8" i="2"/>
  <c r="L12" i="2" s="1"/>
  <c r="J8" i="2"/>
  <c r="J12" i="2" s="1"/>
  <c r="H8" i="2"/>
  <c r="H12" i="2" s="1"/>
  <c r="F8" i="2"/>
  <c r="AD8" i="2" s="1"/>
  <c r="AB7" i="2"/>
  <c r="AB12" i="2" s="1"/>
  <c r="Z7" i="2"/>
  <c r="Z12" i="2" s="1"/>
  <c r="AD6" i="2"/>
  <c r="AD5" i="2"/>
  <c r="AD4" i="2"/>
  <c r="AB36" i="2" l="1"/>
  <c r="AB37" i="2" s="1"/>
  <c r="T36" i="2"/>
  <c r="T39" i="2" s="1"/>
  <c r="L36" i="2"/>
  <c r="L37" i="2" s="1"/>
  <c r="J38" i="2"/>
  <c r="R39" i="2"/>
  <c r="L38" i="2"/>
  <c r="AB38" i="2"/>
  <c r="AB39" i="2"/>
  <c r="H36" i="2"/>
  <c r="H37" i="2" s="1"/>
  <c r="AD43" i="2"/>
  <c r="F38" i="2"/>
  <c r="N38" i="2"/>
  <c r="V38" i="2"/>
  <c r="F39" i="2"/>
  <c r="N39" i="2"/>
  <c r="V39" i="2"/>
  <c r="Z36" i="2"/>
  <c r="Z39" i="2" s="1"/>
  <c r="Z37" i="2"/>
  <c r="J36" i="2"/>
  <c r="J39" i="2" s="1"/>
  <c r="J37" i="2"/>
  <c r="R36" i="2"/>
  <c r="R38" i="2" s="1"/>
  <c r="N37" i="2"/>
  <c r="P12" i="2"/>
  <c r="X12" i="2"/>
  <c r="AD23" i="2"/>
  <c r="AD7" i="2"/>
  <c r="AD34" i="2"/>
  <c r="F37" i="2"/>
  <c r="V37" i="2"/>
  <c r="R11" i="2"/>
  <c r="P36" i="2" l="1"/>
  <c r="H38" i="2"/>
  <c r="T38" i="2"/>
  <c r="T37" i="2"/>
  <c r="X37" i="2"/>
  <c r="X36" i="2"/>
  <c r="Z38" i="2"/>
  <c r="H39" i="2"/>
  <c r="AD12" i="2"/>
  <c r="R37" i="2"/>
  <c r="L39" i="2"/>
  <c r="P38" i="2" l="1"/>
  <c r="P39" i="2"/>
  <c r="AD36" i="2"/>
  <c r="P37" i="2"/>
  <c r="X38" i="2"/>
  <c r="X39" i="2"/>
  <c r="AD39" i="2" l="1"/>
  <c r="AD38" i="2"/>
  <c r="AD37" i="2"/>
  <c r="D22" i="1" l="1"/>
  <c r="H25" i="1"/>
  <c r="F21" i="1"/>
  <c r="D21" i="1" s="1"/>
  <c r="J16" i="1"/>
  <c r="D16" i="1"/>
  <c r="L15" i="1"/>
  <c r="L9" i="1"/>
  <c r="L7" i="1"/>
  <c r="F7" i="1"/>
  <c r="J22" i="1" s="1"/>
  <c r="L22" i="1" s="1"/>
  <c r="D7" i="1"/>
  <c r="L6" i="1"/>
  <c r="D6" i="1" l="1"/>
  <c r="D12" i="1" s="1"/>
  <c r="L16" i="1"/>
  <c r="L18" i="1" s="1"/>
  <c r="L21" i="1"/>
  <c r="L25" i="1" s="1"/>
  <c r="H18" i="1"/>
  <c r="D25" i="1"/>
  <c r="H10" i="1"/>
  <c r="H27" i="1" s="1"/>
  <c r="D15" i="1"/>
  <c r="D18" i="1" s="1"/>
  <c r="D33" i="1" l="1"/>
  <c r="L10" i="1"/>
  <c r="L12" i="1" s="1"/>
  <c r="L32" i="1" s="1"/>
  <c r="L33" i="1" l="1"/>
  <c r="L35" i="1" s="1"/>
  <c r="H29" i="1"/>
  <c r="H30" i="1" s="1"/>
  <c r="L34" i="1" l="1"/>
  <c r="L36" i="1" s="1"/>
</calcChain>
</file>

<file path=xl/sharedStrings.xml><?xml version="1.0" encoding="utf-8"?>
<sst xmlns="http://schemas.openxmlformats.org/spreadsheetml/2006/main" count="214" uniqueCount="148">
  <si>
    <t>Location</t>
  </si>
  <si>
    <t>LTM MCF</t>
  </si>
  <si>
    <t>Supplier</t>
  </si>
  <si>
    <t>MMBtu</t>
  </si>
  <si>
    <t>Heat Rate</t>
  </si>
  <si>
    <t>MCF</t>
  </si>
  <si>
    <t>Rate</t>
  </si>
  <si>
    <t>Sub total</t>
  </si>
  <si>
    <t>Notes</t>
  </si>
  <si>
    <t>Clinton County</t>
  </si>
  <si>
    <t>Petrol</t>
  </si>
  <si>
    <t>Sparta</t>
  </si>
  <si>
    <t>Price quote per MCF</t>
  </si>
  <si>
    <t>transport</t>
  </si>
  <si>
    <t>Enbridge pipeline</t>
  </si>
  <si>
    <t>Contract is substantially fixed</t>
  </si>
  <si>
    <t>B&amp;W pipeline</t>
  </si>
  <si>
    <t>FERC tariff per MCF</t>
  </si>
  <si>
    <t>Floyd County</t>
  </si>
  <si>
    <t>B&amp;S Oil Company</t>
  </si>
  <si>
    <t>Schedule III calculation</t>
  </si>
  <si>
    <t>Diversified Gas &amp; Oil</t>
  </si>
  <si>
    <t>Estimated based on Sparta</t>
  </si>
  <si>
    <t>Johnson County</t>
  </si>
  <si>
    <t>Hall-Stephens-Hall</t>
  </si>
  <si>
    <t>Purchases</t>
  </si>
  <si>
    <t>Sales</t>
  </si>
  <si>
    <t>Line loss</t>
  </si>
  <si>
    <t>Total cost</t>
  </si>
  <si>
    <t>Total MCF</t>
  </si>
  <si>
    <t>$/MCF</t>
  </si>
  <si>
    <t>Total EGC</t>
  </si>
  <si>
    <t>Sales in MCF</t>
  </si>
  <si>
    <t>Total</t>
  </si>
  <si>
    <t>LTM</t>
  </si>
  <si>
    <t>Last 5-yr Ave</t>
  </si>
  <si>
    <t>Total L5YA</t>
  </si>
  <si>
    <t>Clinton</t>
  </si>
  <si>
    <t>Floyd</t>
  </si>
  <si>
    <t>Johnson</t>
  </si>
  <si>
    <t>Schedule III</t>
  </si>
  <si>
    <t>B&amp;H Rate Calculation as Required in Case No. 2015-00367</t>
  </si>
  <si>
    <t>Average of twice Peoples rate and Columbia rate</t>
  </si>
  <si>
    <t>a)</t>
  </si>
  <si>
    <t>B&amp;S Heat Rate</t>
  </si>
  <si>
    <t>Columbia's Most Recent GCA Case</t>
  </si>
  <si>
    <t>b)</t>
  </si>
  <si>
    <t>Columbia IUS Rate</t>
  </si>
  <si>
    <t>c)</t>
  </si>
  <si>
    <t>Columbia Heat Rate</t>
  </si>
  <si>
    <t>d)</t>
  </si>
  <si>
    <t>Columbia Heat Rate Differential</t>
  </si>
  <si>
    <t>a / c</t>
  </si>
  <si>
    <t>e)</t>
  </si>
  <si>
    <t>Columbia Heat Adjusted Price</t>
  </si>
  <si>
    <t>b x d</t>
  </si>
  <si>
    <t>Peoples' Most Recent GCA Case</t>
  </si>
  <si>
    <t>f)</t>
  </si>
  <si>
    <t>Peoples Expected Gas Cost</t>
  </si>
  <si>
    <t>Schedule I</t>
  </si>
  <si>
    <t>g)</t>
  </si>
  <si>
    <t>Peoples Purchase Volume Dth</t>
  </si>
  <si>
    <t>Schedule II</t>
  </si>
  <si>
    <t>h)</t>
  </si>
  <si>
    <t>Peoples Purchase Volume MCF</t>
  </si>
  <si>
    <t>i)</t>
  </si>
  <si>
    <t>Peoples Heat Rate</t>
  </si>
  <si>
    <t>g / h</t>
  </si>
  <si>
    <t>j)</t>
  </si>
  <si>
    <t>Peoples Heat Rate Differential</t>
  </si>
  <si>
    <t>a / i</t>
  </si>
  <si>
    <t>k)</t>
  </si>
  <si>
    <t>Peoples Heat Adjusted Price</t>
  </si>
  <si>
    <t>f x j</t>
  </si>
  <si>
    <t>Price Average</t>
  </si>
  <si>
    <t>Period</t>
  </si>
  <si>
    <t>Filing date (on or about)</t>
  </si>
  <si>
    <t>Reporting Months</t>
  </si>
  <si>
    <t>Effective date (&amp; 1st forecast month)</t>
  </si>
  <si>
    <t>November</t>
  </si>
  <si>
    <t>for June 7, 2021 billing date</t>
  </si>
  <si>
    <t>December</t>
  </si>
  <si>
    <t>January</t>
  </si>
  <si>
    <t>X</t>
  </si>
  <si>
    <t>February</t>
  </si>
  <si>
    <t>for September 7, 2021 billing date</t>
  </si>
  <si>
    <t>March</t>
  </si>
  <si>
    <t>April</t>
  </si>
  <si>
    <t>May</t>
  </si>
  <si>
    <t>for December 7, 2021 billing date</t>
  </si>
  <si>
    <t>June</t>
  </si>
  <si>
    <t>July</t>
  </si>
  <si>
    <t>August</t>
  </si>
  <si>
    <t>for March 7, 2022 billing date</t>
  </si>
  <si>
    <t>September</t>
  </si>
  <si>
    <t>October</t>
  </si>
  <si>
    <t>Updated by county</t>
  </si>
  <si>
    <t>BA</t>
  </si>
  <si>
    <t>Actual Adjustment</t>
  </si>
  <si>
    <t>RA</t>
  </si>
  <si>
    <t>EGC</t>
  </si>
  <si>
    <t>Summary</t>
  </si>
  <si>
    <t>EGC only</t>
  </si>
  <si>
    <t>Cover page</t>
  </si>
  <si>
    <t>Modified notes</t>
  </si>
  <si>
    <t>Component</t>
  </si>
  <si>
    <t>Expected Gas Cost (EGC)</t>
  </si>
  <si>
    <t>+</t>
  </si>
  <si>
    <t>Refund Adjustment (RA)</t>
  </si>
  <si>
    <t>Actual Adjustment (AA)</t>
  </si>
  <si>
    <t>Balance Adjustment(BA)</t>
  </si>
  <si>
    <t>=</t>
  </si>
  <si>
    <t>Gas Cost Recovery Rate</t>
  </si>
  <si>
    <t>A. Expected Gas Cost Calculation</t>
  </si>
  <si>
    <t>/</t>
  </si>
  <si>
    <t>Twelve months sales</t>
  </si>
  <si>
    <t>B. Refund Adjustment Calculation</t>
  </si>
  <si>
    <t>Refund Adjustment for reporting period</t>
  </si>
  <si>
    <t>Previous quarter RA</t>
  </si>
  <si>
    <t>Second previous quarter RA</t>
  </si>
  <si>
    <t>Third previous quarter RA</t>
  </si>
  <si>
    <t>Other cost adjustments</t>
  </si>
  <si>
    <t>Refund Adjustment</t>
  </si>
  <si>
    <t>NOT USED</t>
  </si>
  <si>
    <t>C. Actual Adjustment Calculation</t>
  </si>
  <si>
    <t>Actual Adjustment for reporting period</t>
  </si>
  <si>
    <t>Previous quarter AA</t>
  </si>
  <si>
    <t>Second previous quarter AA</t>
  </si>
  <si>
    <t>Third previous quarter AA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</si>
  <si>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</si>
  <si>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</si>
  <si>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</si>
  <si>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</si>
  <si>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</si>
  <si>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</si>
  <si>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%KY</t>
  </si>
  <si>
    <t>B&amp;S Oil</t>
  </si>
  <si>
    <t>DEM</t>
  </si>
  <si>
    <t>Floyd LTM</t>
  </si>
  <si>
    <t>H-S-H</t>
  </si>
  <si>
    <t>Johnson LTM</t>
  </si>
  <si>
    <t>Not used or included with this filing</t>
  </si>
  <si>
    <t>Updated</t>
  </si>
  <si>
    <t>2021-00308</t>
  </si>
  <si>
    <t>2021-00247</t>
  </si>
  <si>
    <t>OCT NYMEX Settlement $5.841/MMBtu</t>
  </si>
  <si>
    <t>Price quote per MMBtu $7.90</t>
  </si>
  <si>
    <t>or included in this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</si>
</sst>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  <numFmt numFmtId="166" formatCode="_(* #,##0_);_(* \(#,##0\);_(* &quot;-&quot;??_);_(@_)"/>
    <numFmt numFmtId="167" formatCode="0.0%"/>
    <numFmt numFmtId="168" formatCode="_(* #,##0.0000_);_(* \(#,##0.0000\);_(* &quot;-&quot;??_);_(@_)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mm/dd/yy;@"/>
    <numFmt numFmtId="172" formatCode="[$-409]mmmmm;@"/>
    <numFmt numFmtId="173" formatCode="_(&quot;$&quot;* #,##0.0000_);_(&quot;$&quot;* \(#,##0.0000\);_(&quot;$&quot;* &quot;-&quot;????_);_(@_)"/>
    <numFmt numFmtId="174" formatCode="_(* #,##0_);_(* \(#,##0\);_(* &quot;-&quot;????_);_(@_)"/>
    <numFmt numFmtId="175" formatCode="_(* #,##0.00_);_(* \(#,##0.00\);_(* &quot;-&quot;_);_(@_)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/>
    <xf numFmtId="43" fontId="2" fillId="0" borderId="0" xfId="0" applyNumberFormat="1" applyFont="1"/>
    <xf numFmtId="1" fontId="1" fillId="0" borderId="0" xfId="0" applyNumberFormat="1" applyFont="1"/>
    <xf numFmtId="41" fontId="1" fillId="0" borderId="0" xfId="0" applyNumberFormat="1" applyFont="1"/>
    <xf numFmtId="3" fontId="1" fillId="0" borderId="0" xfId="0" applyNumberFormat="1" applyFont="1"/>
    <xf numFmtId="2" fontId="1" fillId="0" borderId="0" xfId="0" applyNumberFormat="1" applyFont="1"/>
    <xf numFmtId="43" fontId="1" fillId="0" borderId="0" xfId="0" applyNumberFormat="1" applyFont="1"/>
    <xf numFmtId="164" fontId="1" fillId="0" borderId="0" xfId="0" applyNumberFormat="1" applyFont="1"/>
    <xf numFmtId="165" fontId="2" fillId="0" borderId="0" xfId="0" applyNumberFormat="1" applyFont="1"/>
    <xf numFmtId="41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/>
    <xf numFmtId="166" fontId="2" fillId="0" borderId="2" xfId="0" applyNumberFormat="1" applyFont="1" applyBorder="1"/>
    <xf numFmtId="41" fontId="2" fillId="0" borderId="1" xfId="0" applyNumberFormat="1" applyFont="1" applyBorder="1"/>
    <xf numFmtId="167" fontId="2" fillId="0" borderId="0" xfId="2" applyNumberFormat="1" applyFont="1" applyFill="1" applyBorder="1"/>
    <xf numFmtId="43" fontId="2" fillId="0" borderId="3" xfId="0" applyNumberFormat="1" applyFont="1" applyBorder="1"/>
    <xf numFmtId="170" fontId="2" fillId="0" borderId="0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0" xfId="0" applyNumberFormat="1" applyFont="1"/>
    <xf numFmtId="171" fontId="2" fillId="0" borderId="0" xfId="0" applyNumberFormat="1" applyFont="1"/>
    <xf numFmtId="171" fontId="0" fillId="0" borderId="0" xfId="0" applyNumberFormat="1"/>
    <xf numFmtId="172" fontId="0" fillId="0" borderId="0" xfId="0" applyNumberFormat="1"/>
    <xf numFmtId="171" fontId="2" fillId="0" borderId="0" xfId="0" applyNumberFormat="1" applyFont="1" applyAlignment="1">
      <alignment horizontal="center"/>
    </xf>
    <xf numFmtId="41" fontId="0" fillId="0" borderId="0" xfId="0" applyNumberFormat="1"/>
    <xf numFmtId="167" fontId="0" fillId="0" borderId="0" xfId="2" applyNumberFormat="1" applyFont="1" applyBorder="1"/>
    <xf numFmtId="167" fontId="0" fillId="0" borderId="0" xfId="2" applyNumberFormat="1" applyFont="1" applyFill="1" applyBorder="1"/>
    <xf numFmtId="166" fontId="0" fillId="0" borderId="0" xfId="3" applyNumberFormat="1" applyFont="1" applyBorder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73" fontId="0" fillId="0" borderId="0" xfId="0" applyNumberFormat="1"/>
    <xf numFmtId="0" fontId="2" fillId="0" borderId="0" xfId="0" quotePrefix="1" applyFont="1" applyAlignment="1">
      <alignment horizontal="center"/>
    </xf>
    <xf numFmtId="174" fontId="0" fillId="0" borderId="0" xfId="0" applyNumberFormat="1"/>
    <xf numFmtId="173" fontId="0" fillId="0" borderId="2" xfId="0" applyNumberForma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2" fillId="0" borderId="2" xfId="0" applyFont="1" applyBorder="1"/>
    <xf numFmtId="16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/>
    <xf numFmtId="0" fontId="0" fillId="0" borderId="9" xfId="0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7" xfId="0" applyNumberFormat="1" applyBorder="1" applyAlignment="1">
      <alignment horizontal="center"/>
    </xf>
    <xf numFmtId="168" fontId="0" fillId="0" borderId="0" xfId="0" applyNumberFormat="1"/>
    <xf numFmtId="0" fontId="2" fillId="0" borderId="0" xfId="0" quotePrefix="1" applyFont="1"/>
    <xf numFmtId="168" fontId="0" fillId="0" borderId="1" xfId="0" applyNumberFormat="1" applyBorder="1"/>
    <xf numFmtId="173" fontId="0" fillId="2" borderId="0" xfId="0" applyNumberFormat="1" applyFill="1"/>
    <xf numFmtId="0" fontId="0" fillId="0" borderId="10" xfId="0" applyBorder="1"/>
    <xf numFmtId="169" fontId="0" fillId="3" borderId="0" xfId="0" applyNumberFormat="1" applyFill="1"/>
    <xf numFmtId="3" fontId="0" fillId="3" borderId="1" xfId="0" applyNumberFormat="1" applyFill="1" applyBorder="1"/>
    <xf numFmtId="170" fontId="0" fillId="2" borderId="0" xfId="0" applyNumberFormat="1" applyFill="1"/>
    <xf numFmtId="168" fontId="0" fillId="3" borderId="0" xfId="0" applyNumberFormat="1" applyFill="1"/>
    <xf numFmtId="165" fontId="0" fillId="3" borderId="0" xfId="0" applyNumberFormat="1" applyFill="1"/>
    <xf numFmtId="170" fontId="0" fillId="2" borderId="2" xfId="0" applyNumberFormat="1" applyFill="1" applyBorder="1"/>
    <xf numFmtId="175" fontId="2" fillId="0" borderId="0" xfId="0" applyNumberFormat="1" applyFont="1"/>
    <xf numFmtId="167" fontId="0" fillId="0" borderId="0" xfId="2" applyNumberFormat="1" applyFont="1" applyFill="1"/>
    <xf numFmtId="167" fontId="0" fillId="0" borderId="0" xfId="2" applyNumberFormat="1" applyFont="1"/>
    <xf numFmtId="167" fontId="2" fillId="0" borderId="0" xfId="2" applyNumberFormat="1" applyFont="1" applyFill="1"/>
    <xf numFmtId="0" fontId="0" fillId="0" borderId="0" xfId="0" applyAlignment="1">
      <alignment horizontal="right"/>
    </xf>
    <xf numFmtId="0" fontId="3" fillId="0" borderId="0" xfId="0" applyFont="1"/>
    <xf numFmtId="167" fontId="2" fillId="0" borderId="0" xfId="2" applyNumberFormat="1" applyFont="1"/>
    <xf numFmtId="43" fontId="2" fillId="4" borderId="0" xfId="0" applyNumberFormat="1" applyFont="1" applyFill="1"/>
    <xf numFmtId="165" fontId="2" fillId="5" borderId="0" xfId="0" applyNumberFormat="1" applyFont="1" applyFill="1"/>
    <xf numFmtId="165" fontId="2" fillId="5" borderId="0" xfId="0" applyNumberFormat="1" applyFont="1" applyFill="1" applyAlignment="1">
      <alignment horizontal="center"/>
    </xf>
    <xf numFmtId="41" fontId="2" fillId="6" borderId="0" xfId="0" applyNumberFormat="1" applyFont="1" applyFill="1"/>
    <xf numFmtId="41" fontId="2" fillId="5" borderId="0" xfId="0" applyNumberFormat="1" applyFont="1" applyFill="1"/>
    <xf numFmtId="41" fontId="2" fillId="4" borderId="0" xfId="0" applyNumberFormat="1" applyFont="1" applyFill="1"/>
    <xf numFmtId="43" fontId="2" fillId="4" borderId="2" xfId="0" applyNumberFormat="1" applyFont="1" applyFill="1" applyBorder="1"/>
    <xf numFmtId="41" fontId="1" fillId="6" borderId="0" xfId="0" applyNumberFormat="1" applyFont="1" applyFill="1"/>
    <xf numFmtId="166" fontId="2" fillId="4" borderId="2" xfId="0" applyNumberFormat="1" applyFont="1" applyFill="1" applyBorder="1"/>
    <xf numFmtId="165" fontId="2" fillId="6" borderId="0" xfId="0" applyNumberFormat="1" applyFont="1" applyFill="1"/>
    <xf numFmtId="165" fontId="2" fillId="4" borderId="0" xfId="0" applyNumberFormat="1" applyFont="1" applyFill="1"/>
    <xf numFmtId="166" fontId="2" fillId="4" borderId="0" xfId="0" applyNumberFormat="1" applyFont="1" applyFill="1"/>
    <xf numFmtId="168" fontId="2" fillId="4" borderId="0" xfId="0" applyNumberFormat="1" applyFont="1" applyFill="1"/>
    <xf numFmtId="169" fontId="2" fillId="4" borderId="0" xfId="0" applyNumberFormat="1" applyFont="1" applyFill="1"/>
    <xf numFmtId="167" fontId="1" fillId="0" borderId="0" xfId="2" applyNumberFormat="1" applyFont="1"/>
    <xf numFmtId="0" fontId="4" fillId="0" borderId="0" xfId="0" applyFont="1"/>
  </cellXfs>
  <cellStyles count="4">
    <cellStyle name="Comma 2" xfId="3" xr:uid="{2728FCC3-527C-411F-8269-CDC4EB884ED1}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PGA%20210630%20-%20New%20EGC%2020-00396%20-%20supplemen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ion Timing"/>
      <sheetName val="Cover page"/>
      <sheetName val="Summary (SI)"/>
      <sheetName val="Purchases"/>
      <sheetName val="EGC (SII)"/>
      <sheetName val="SCHEDULE III B&amp;S Oil FloydCo"/>
      <sheetName val="NOT USED RA (SIII)"/>
      <sheetName val="EXAMPLE Actual Adjustment (SIV)"/>
      <sheetName val="FUTURE BA (SV)"/>
      <sheetName val="19-430 (VI)"/>
      <sheetName val="EGC application"/>
      <sheetName val="Sale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L11">
            <v>62194.166666666672</v>
          </cell>
        </row>
      </sheetData>
      <sheetData sheetId="4">
        <row r="6">
          <cell r="F6">
            <v>1.2</v>
          </cell>
        </row>
      </sheetData>
      <sheetData sheetId="5">
        <row r="35">
          <cell r="J35">
            <v>5.361592443000089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N11">
            <v>102090.40000000001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E7A5-90C1-4BD2-8F13-AD95FE37D141}">
  <dimension ref="A2:J39"/>
  <sheetViews>
    <sheetView zoomScaleNormal="100" workbookViewId="0">
      <selection activeCell="D18" sqref="D18"/>
    </sheetView>
  </sheetViews>
  <sheetFormatPr defaultRowHeight="13.2" x14ac:dyDescent="0.25"/>
  <cols>
    <col min="1" max="1" width="1.77734375" customWidth="1"/>
    <col min="2" max="2" width="11.77734375" customWidth="1"/>
    <col min="3" max="3" width="1.77734375" customWidth="1"/>
    <col min="4" max="4" width="11.77734375" customWidth="1"/>
    <col min="5" max="5" width="1.77734375" customWidth="1"/>
    <col min="6" max="6" width="11.77734375" customWidth="1"/>
    <col min="7" max="7" width="1.77734375" customWidth="1"/>
    <col min="8" max="8" width="11.77734375" customWidth="1"/>
    <col min="9" max="9" width="1.77734375" customWidth="1"/>
    <col min="10" max="10" width="11.77734375" customWidth="1"/>
    <col min="11" max="11" width="1.77734375" customWidth="1"/>
    <col min="12" max="12" width="11.77734375" customWidth="1"/>
    <col min="13" max="13" width="1.77734375" customWidth="1"/>
    <col min="14" max="14" width="11.77734375" customWidth="1"/>
    <col min="15" max="15" width="1.77734375" customWidth="1"/>
    <col min="16" max="16" width="11.77734375" customWidth="1"/>
    <col min="17" max="17" width="1.77734375" customWidth="1"/>
    <col min="18" max="18" width="11.77734375" customWidth="1"/>
    <col min="19" max="19" width="1.77734375" customWidth="1"/>
    <col min="20" max="20" width="11.77734375" customWidth="1"/>
    <col min="21" max="21" width="1.77734375" customWidth="1"/>
    <col min="22" max="22" width="11.77734375" customWidth="1"/>
    <col min="23" max="23" width="1.77734375" customWidth="1"/>
    <col min="24" max="24" width="11.77734375" customWidth="1"/>
    <col min="25" max="25" width="1.77734375" customWidth="1"/>
    <col min="26" max="26" width="11.77734375" customWidth="1"/>
    <col min="27" max="27" width="1.77734375" customWidth="1"/>
  </cols>
  <sheetData>
    <row r="2" spans="1:10" s="47" customFormat="1" ht="52.8" x14ac:dyDescent="0.25">
      <c r="B2" s="48" t="s">
        <v>75</v>
      </c>
      <c r="C2" s="49"/>
      <c r="D2" s="48" t="s">
        <v>76</v>
      </c>
      <c r="E2" s="49"/>
      <c r="F2" s="48" t="s">
        <v>77</v>
      </c>
      <c r="G2" s="49"/>
      <c r="H2" s="48" t="s">
        <v>78</v>
      </c>
    </row>
    <row r="3" spans="1:10" x14ac:dyDescent="0.25">
      <c r="B3" s="50"/>
      <c r="C3" s="51"/>
      <c r="D3" s="52">
        <v>40633</v>
      </c>
      <c r="E3" s="51"/>
      <c r="F3" s="53" t="s">
        <v>79</v>
      </c>
      <c r="G3" s="51"/>
      <c r="H3" s="54">
        <v>40664</v>
      </c>
      <c r="J3" s="3" t="s">
        <v>80</v>
      </c>
    </row>
    <row r="4" spans="1:10" x14ac:dyDescent="0.25">
      <c r="B4" s="55"/>
      <c r="D4" s="38"/>
      <c r="F4" s="3" t="s">
        <v>81</v>
      </c>
      <c r="H4" s="56"/>
    </row>
    <row r="5" spans="1:10" x14ac:dyDescent="0.25">
      <c r="B5" s="57"/>
      <c r="C5" s="40"/>
      <c r="D5" s="41"/>
      <c r="E5" s="40"/>
      <c r="F5" s="58" t="s">
        <v>82</v>
      </c>
      <c r="G5" s="40"/>
      <c r="H5" s="59"/>
    </row>
    <row r="6" spans="1:10" x14ac:dyDescent="0.25">
      <c r="B6" s="50"/>
      <c r="C6" s="51"/>
      <c r="D6" s="52">
        <v>40724</v>
      </c>
      <c r="E6" s="51"/>
      <c r="F6" s="53" t="s">
        <v>84</v>
      </c>
      <c r="G6" s="51"/>
      <c r="H6" s="54">
        <v>40756</v>
      </c>
      <c r="J6" s="3" t="s">
        <v>85</v>
      </c>
    </row>
    <row r="7" spans="1:10" x14ac:dyDescent="0.25">
      <c r="B7" s="55"/>
      <c r="D7" s="38"/>
      <c r="F7" s="3" t="s">
        <v>86</v>
      </c>
      <c r="H7" s="56"/>
    </row>
    <row r="8" spans="1:10" x14ac:dyDescent="0.25">
      <c r="B8" s="57"/>
      <c r="C8" s="40"/>
      <c r="D8" s="41"/>
      <c r="E8" s="40"/>
      <c r="F8" s="58" t="s">
        <v>87</v>
      </c>
      <c r="G8" s="40"/>
      <c r="H8" s="59"/>
    </row>
    <row r="9" spans="1:10" x14ac:dyDescent="0.25">
      <c r="B9" s="50" t="s">
        <v>83</v>
      </c>
      <c r="C9" s="51"/>
      <c r="D9" s="52">
        <v>40816</v>
      </c>
      <c r="E9" s="51"/>
      <c r="F9" s="53" t="s">
        <v>88</v>
      </c>
      <c r="G9" s="51"/>
      <c r="H9" s="54">
        <v>40848</v>
      </c>
      <c r="J9" s="3" t="s">
        <v>89</v>
      </c>
    </row>
    <row r="10" spans="1:10" x14ac:dyDescent="0.25">
      <c r="B10" s="55"/>
      <c r="D10" s="38"/>
      <c r="F10" s="3" t="s">
        <v>90</v>
      </c>
      <c r="H10" s="56"/>
    </row>
    <row r="11" spans="1:10" x14ac:dyDescent="0.25">
      <c r="B11" s="57"/>
      <c r="C11" s="40"/>
      <c r="D11" s="41"/>
      <c r="E11" s="40"/>
      <c r="F11" s="58" t="s">
        <v>91</v>
      </c>
      <c r="G11" s="40"/>
      <c r="H11" s="59"/>
    </row>
    <row r="12" spans="1:10" x14ac:dyDescent="0.25">
      <c r="B12" s="50"/>
      <c r="C12" s="51"/>
      <c r="D12" s="52">
        <v>40908</v>
      </c>
      <c r="E12" s="51"/>
      <c r="F12" s="53" t="s">
        <v>92</v>
      </c>
      <c r="G12" s="51"/>
      <c r="H12" s="54">
        <v>40575</v>
      </c>
      <c r="J12" s="3" t="s">
        <v>93</v>
      </c>
    </row>
    <row r="13" spans="1:10" x14ac:dyDescent="0.25">
      <c r="B13" s="60"/>
      <c r="D13" s="61"/>
      <c r="F13" s="3" t="s">
        <v>94</v>
      </c>
      <c r="H13" s="62"/>
    </row>
    <row r="14" spans="1:10" x14ac:dyDescent="0.25">
      <c r="B14" s="57"/>
      <c r="C14" s="40"/>
      <c r="D14" s="41"/>
      <c r="E14" s="40"/>
      <c r="F14" s="58" t="s">
        <v>95</v>
      </c>
      <c r="G14" s="40"/>
      <c r="H14" s="59"/>
    </row>
    <row r="16" spans="1:10" x14ac:dyDescent="0.25">
      <c r="A16" s="3" t="s">
        <v>8</v>
      </c>
    </row>
    <row r="17" spans="2:3" x14ac:dyDescent="0.25">
      <c r="B17" s="3" t="s">
        <v>26</v>
      </c>
    </row>
    <row r="18" spans="2:3" x14ac:dyDescent="0.25">
      <c r="C18" s="3" t="s">
        <v>96</v>
      </c>
    </row>
    <row r="19" spans="2:3" x14ac:dyDescent="0.25">
      <c r="C19" s="3"/>
    </row>
    <row r="20" spans="2:3" x14ac:dyDescent="0.25">
      <c r="B20" s="79" t="s">
        <v>97</v>
      </c>
      <c r="C20" s="3"/>
    </row>
    <row r="21" spans="2:3" x14ac:dyDescent="0.25">
      <c r="C21" s="3" t="s">
        <v>141</v>
      </c>
    </row>
    <row r="22" spans="2:3" x14ac:dyDescent="0.25">
      <c r="C22" s="3"/>
    </row>
    <row r="23" spans="2:3" x14ac:dyDescent="0.25">
      <c r="B23" s="79" t="s">
        <v>98</v>
      </c>
    </row>
    <row r="24" spans="2:3" x14ac:dyDescent="0.25">
      <c r="C24" s="3" t="s">
        <v>141</v>
      </c>
    </row>
    <row r="25" spans="2:3" x14ac:dyDescent="0.25">
      <c r="C25" s="3"/>
    </row>
    <row r="26" spans="2:3" x14ac:dyDescent="0.25">
      <c r="B26" s="79" t="s">
        <v>99</v>
      </c>
    </row>
    <row r="27" spans="2:3" x14ac:dyDescent="0.25">
      <c r="C27" s="3" t="s">
        <v>141</v>
      </c>
    </row>
    <row r="29" spans="2:3" x14ac:dyDescent="0.25">
      <c r="B29" s="3" t="s">
        <v>100</v>
      </c>
      <c r="C29" s="3"/>
    </row>
    <row r="30" spans="2:3" x14ac:dyDescent="0.25">
      <c r="C30" s="3" t="s">
        <v>142</v>
      </c>
    </row>
    <row r="31" spans="2:3" x14ac:dyDescent="0.25">
      <c r="C31" s="3"/>
    </row>
    <row r="32" spans="2:3" x14ac:dyDescent="0.25">
      <c r="B32" s="3" t="s">
        <v>101</v>
      </c>
    </row>
    <row r="33" spans="2:3" x14ac:dyDescent="0.25">
      <c r="C33" s="3" t="s">
        <v>102</v>
      </c>
    </row>
    <row r="35" spans="2:3" x14ac:dyDescent="0.25">
      <c r="B35" s="3" t="s">
        <v>103</v>
      </c>
    </row>
    <row r="36" spans="2:3" x14ac:dyDescent="0.25">
      <c r="C36" s="3" t="s">
        <v>104</v>
      </c>
    </row>
    <row r="38" spans="2:3" x14ac:dyDescent="0.25">
      <c r="B38" s="3"/>
      <c r="C38" s="3"/>
    </row>
    <row r="39" spans="2:3" x14ac:dyDescent="0.25">
      <c r="C39" s="3"/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1AAA3-0DEB-46FE-AAA6-A50C988D450F}">
  <dimension ref="A1:M36"/>
  <sheetViews>
    <sheetView tabSelected="1" zoomScaleNormal="100" workbookViewId="0">
      <selection activeCell="L49" sqref="L49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12.77734375" customWidth="1"/>
    <col min="7" max="7" width="1.77734375" customWidth="1"/>
    <col min="8" max="8" width="12.77734375" customWidth="1"/>
    <col min="9" max="9" width="1.77734375" customWidth="1"/>
    <col min="10" max="10" width="12.77734375" customWidth="1"/>
    <col min="11" max="11" width="1.77734375" customWidth="1"/>
    <col min="12" max="12" width="17.109375" customWidth="1"/>
    <col min="13" max="13" width="1.77734375" customWidth="1"/>
    <col min="14" max="14" width="12.77734375" customWidth="1"/>
    <col min="15" max="15" width="1.77734375" customWidth="1"/>
    <col min="16" max="16" width="12.77734375" customWidth="1"/>
    <col min="17" max="17" width="1.77734375" customWidth="1"/>
    <col min="18" max="18" width="12.77734375" customWidth="1"/>
    <col min="19" max="19" width="1.77734375" customWidth="1"/>
    <col min="20" max="20" width="12.77734375" customWidth="1"/>
    <col min="21" max="21" width="1.77734375" customWidth="1"/>
    <col min="22" max="22" width="12.77734375" customWidth="1"/>
    <col min="23" max="23" width="1.77734375" customWidth="1"/>
    <col min="24" max="24" width="12.77734375" customWidth="1"/>
    <col min="25" max="25" width="1.77734375" customWidth="1"/>
  </cols>
  <sheetData>
    <row r="1" spans="1:13" x14ac:dyDescent="0.25">
      <c r="A1" s="58" t="s">
        <v>105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B2" s="3" t="s">
        <v>106</v>
      </c>
      <c r="J2" s="63">
        <f>J12</f>
        <v>9.5028569764990838</v>
      </c>
      <c r="L2" s="3"/>
    </row>
    <row r="3" spans="1:13" x14ac:dyDescent="0.25">
      <c r="A3" s="64" t="s">
        <v>107</v>
      </c>
      <c r="B3" s="3" t="s">
        <v>108</v>
      </c>
      <c r="J3" s="63"/>
    </row>
    <row r="4" spans="1:13" x14ac:dyDescent="0.25">
      <c r="A4" s="64" t="s">
        <v>107</v>
      </c>
      <c r="B4" s="3" t="s">
        <v>109</v>
      </c>
      <c r="J4" s="63"/>
    </row>
    <row r="5" spans="1:13" x14ac:dyDescent="0.25">
      <c r="A5" s="64" t="s">
        <v>107</v>
      </c>
      <c r="B5" s="3" t="s">
        <v>110</v>
      </c>
      <c r="J5" s="65"/>
    </row>
    <row r="6" spans="1:13" x14ac:dyDescent="0.25">
      <c r="A6" s="64" t="s">
        <v>111</v>
      </c>
      <c r="B6" s="3" t="s">
        <v>112</v>
      </c>
      <c r="J6" s="66">
        <f>SUM(J2:J5)</f>
        <v>9.5028569764990838</v>
      </c>
      <c r="K6" s="3"/>
      <c r="L6" s="3"/>
    </row>
    <row r="7" spans="1:13" ht="13.8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3.8" thickTop="1" x14ac:dyDescent="0.25"/>
    <row r="9" spans="1:13" x14ac:dyDescent="0.25">
      <c r="A9" s="58" t="s">
        <v>113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B10" s="3" t="s">
        <v>31</v>
      </c>
      <c r="J10" s="68">
        <f>'EGC (SII)'!L36</f>
        <v>1248700.1141401185</v>
      </c>
    </row>
    <row r="11" spans="1:13" x14ac:dyDescent="0.25">
      <c r="A11" s="64" t="s">
        <v>114</v>
      </c>
      <c r="B11" s="3" t="s">
        <v>115</v>
      </c>
      <c r="J11" s="69">
        <f>Sales!AD43</f>
        <v>131402.6</v>
      </c>
      <c r="L11" s="3"/>
    </row>
    <row r="12" spans="1:13" x14ac:dyDescent="0.25">
      <c r="C12" s="3" t="s">
        <v>100</v>
      </c>
      <c r="J12" s="70">
        <f>J10/J11</f>
        <v>9.5028569764990838</v>
      </c>
      <c r="K12" s="3"/>
      <c r="L12" s="3"/>
    </row>
    <row r="14" spans="1:13" x14ac:dyDescent="0.25">
      <c r="A14" s="58" t="s">
        <v>116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B15" s="3" t="s">
        <v>117</v>
      </c>
      <c r="J15" s="71"/>
    </row>
    <row r="16" spans="1:13" x14ac:dyDescent="0.25">
      <c r="A16" s="64" t="s">
        <v>107</v>
      </c>
      <c r="B16" s="3" t="s">
        <v>118</v>
      </c>
      <c r="J16" s="71"/>
    </row>
    <row r="17" spans="1:13" x14ac:dyDescent="0.25">
      <c r="A17" s="64" t="s">
        <v>107</v>
      </c>
      <c r="B17" s="3" t="s">
        <v>119</v>
      </c>
      <c r="J17" s="71"/>
    </row>
    <row r="18" spans="1:13" x14ac:dyDescent="0.25">
      <c r="A18" s="64" t="s">
        <v>107</v>
      </c>
      <c r="B18" s="3" t="s">
        <v>120</v>
      </c>
      <c r="J18" s="71"/>
    </row>
    <row r="19" spans="1:13" x14ac:dyDescent="0.25">
      <c r="A19" s="64" t="s">
        <v>107</v>
      </c>
      <c r="B19" s="3" t="s">
        <v>121</v>
      </c>
      <c r="J19" s="65"/>
    </row>
    <row r="20" spans="1:13" x14ac:dyDescent="0.25">
      <c r="A20" s="64" t="s">
        <v>111</v>
      </c>
      <c r="B20" s="3" t="s">
        <v>122</v>
      </c>
      <c r="J20" s="66">
        <f>SUM(J15:J19)</f>
        <v>0</v>
      </c>
      <c r="L20" s="3" t="s">
        <v>123</v>
      </c>
    </row>
    <row r="21" spans="1:13" x14ac:dyDescent="0.25">
      <c r="L21" s="96" t="s">
        <v>147</v>
      </c>
    </row>
    <row r="22" spans="1:13" x14ac:dyDescent="0.25">
      <c r="A22" s="58" t="s">
        <v>124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5">
      <c r="B23" s="3" t="s">
        <v>125</v>
      </c>
      <c r="J23" s="71"/>
      <c r="K23" s="3"/>
      <c r="L23" s="3"/>
    </row>
    <row r="24" spans="1:13" x14ac:dyDescent="0.25">
      <c r="A24" s="64" t="s">
        <v>107</v>
      </c>
      <c r="B24" s="3" t="s">
        <v>126</v>
      </c>
      <c r="J24" s="71"/>
    </row>
    <row r="25" spans="1:13" x14ac:dyDescent="0.25">
      <c r="A25" s="64" t="s">
        <v>107</v>
      </c>
      <c r="B25" s="3" t="s">
        <v>127</v>
      </c>
      <c r="J25" s="71"/>
    </row>
    <row r="26" spans="1:13" x14ac:dyDescent="0.25">
      <c r="A26" s="64" t="s">
        <v>107</v>
      </c>
      <c r="B26" s="3" t="s">
        <v>128</v>
      </c>
      <c r="J26" s="71"/>
    </row>
    <row r="27" spans="1:13" x14ac:dyDescent="0.25">
      <c r="A27" s="64" t="s">
        <v>107</v>
      </c>
      <c r="B27" s="3" t="s">
        <v>121</v>
      </c>
      <c r="J27" s="65"/>
    </row>
    <row r="28" spans="1:13" x14ac:dyDescent="0.25">
      <c r="A28" s="64" t="s">
        <v>111</v>
      </c>
      <c r="B28" s="3" t="s">
        <v>98</v>
      </c>
      <c r="J28" s="66">
        <f>SUM(J23:J27)</f>
        <v>0</v>
      </c>
      <c r="K28" s="3"/>
      <c r="L28" s="3" t="s">
        <v>123</v>
      </c>
    </row>
    <row r="29" spans="1:13" x14ac:dyDescent="0.25">
      <c r="L29" s="96" t="s">
        <v>147</v>
      </c>
    </row>
    <row r="30" spans="1:13" x14ac:dyDescent="0.25">
      <c r="A30" s="58" t="s">
        <v>129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B31" t="s">
        <v>130</v>
      </c>
      <c r="J31" s="72"/>
      <c r="K31" s="3"/>
      <c r="L31" s="3"/>
    </row>
    <row r="32" spans="1:13" x14ac:dyDescent="0.25">
      <c r="A32" s="64" t="s">
        <v>107</v>
      </c>
      <c r="B32" s="3" t="s">
        <v>131</v>
      </c>
      <c r="J32" s="72"/>
    </row>
    <row r="33" spans="1:12" x14ac:dyDescent="0.25">
      <c r="A33" s="64" t="s">
        <v>107</v>
      </c>
      <c r="B33" s="3" t="s">
        <v>132</v>
      </c>
      <c r="J33" s="72"/>
    </row>
    <row r="34" spans="1:12" x14ac:dyDescent="0.25">
      <c r="A34" s="64" t="s">
        <v>107</v>
      </c>
      <c r="B34" s="3" t="s">
        <v>133</v>
      </c>
      <c r="J34" s="72"/>
    </row>
    <row r="35" spans="1:12" x14ac:dyDescent="0.25">
      <c r="A35" s="64" t="s">
        <v>111</v>
      </c>
      <c r="B35" s="3" t="s">
        <v>134</v>
      </c>
      <c r="J35" s="73">
        <f>SUM(J31:J34)</f>
        <v>0</v>
      </c>
      <c r="K35" s="3"/>
      <c r="L35" s="3" t="s">
        <v>123</v>
      </c>
    </row>
    <row r="36" spans="1:12" x14ac:dyDescent="0.25">
      <c r="L36" s="96" t="s">
        <v>147</v>
      </c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B923-3ACC-4CDF-AED2-001F3929AC45}">
  <sheetPr>
    <pageSetUpPr fitToPage="1"/>
  </sheetPr>
  <dimension ref="A1:V38"/>
  <sheetViews>
    <sheetView topLeftCell="A7" zoomScaleNormal="100" workbookViewId="0">
      <selection activeCell="J20" sqref="J20"/>
    </sheetView>
  </sheetViews>
  <sheetFormatPr defaultColWidth="9.109375" defaultRowHeight="13.2" x14ac:dyDescent="0.25"/>
  <cols>
    <col min="1" max="1" width="1.21875" style="3" customWidth="1"/>
    <col min="2" max="2" width="18" style="3" bestFit="1" customWidth="1"/>
    <col min="3" max="3" width="1.21875" style="3" customWidth="1"/>
    <col min="4" max="4" width="12.77734375" style="3" customWidth="1"/>
    <col min="5" max="5" width="1.21875" style="3" customWidth="1"/>
    <col min="6" max="6" width="12.77734375" style="3" customWidth="1"/>
    <col min="7" max="7" width="1.21875" style="3" customWidth="1"/>
    <col min="8" max="8" width="12.77734375" style="3" customWidth="1"/>
    <col min="9" max="9" width="1.21875" style="3" customWidth="1"/>
    <col min="10" max="10" width="12.77734375" style="3" customWidth="1"/>
    <col min="11" max="11" width="1.21875" style="3" customWidth="1"/>
    <col min="12" max="12" width="12.77734375" style="3" customWidth="1"/>
    <col min="13" max="13" width="1.21875" style="3" customWidth="1"/>
    <col min="14" max="14" width="32.88671875" style="3" bestFit="1" customWidth="1"/>
    <col min="15" max="15" width="1.21875" style="3" customWidth="1"/>
    <col min="16" max="16" width="12.77734375" style="3" customWidth="1"/>
    <col min="17" max="17" width="1.21875" style="3" customWidth="1"/>
    <col min="18" max="18" width="13.21875" style="3" bestFit="1" customWidth="1"/>
    <col min="19" max="19" width="1.21875" style="3" customWidth="1"/>
    <col min="20" max="20" width="12.77734375" style="3" customWidth="1"/>
    <col min="21" max="21" width="1.77734375" style="3" customWidth="1"/>
    <col min="22" max="22" width="12.77734375" style="3" customWidth="1"/>
    <col min="23" max="23" width="1.77734375" style="3" customWidth="1"/>
    <col min="24" max="24" width="12.77734375" style="3" customWidth="1"/>
    <col min="25" max="25" width="1.77734375" style="3" customWidth="1"/>
    <col min="26" max="16384" width="9.109375" style="3"/>
  </cols>
  <sheetData>
    <row r="1" spans="1:17" s="1" customFormat="1" x14ac:dyDescent="0.25">
      <c r="A1" s="1" t="s">
        <v>0</v>
      </c>
      <c r="D1" s="2" t="s">
        <v>1</v>
      </c>
    </row>
    <row r="2" spans="1:17" x14ac:dyDescent="0.25"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5"/>
      <c r="J2" s="4" t="s">
        <v>6</v>
      </c>
      <c r="K2" s="5"/>
      <c r="L2" s="4" t="s">
        <v>7</v>
      </c>
      <c r="N2" s="6" t="s">
        <v>8</v>
      </c>
    </row>
    <row r="3" spans="1:17" ht="7.05" customHeight="1" x14ac:dyDescent="0.25">
      <c r="F3" s="7"/>
      <c r="H3" s="8"/>
      <c r="J3" s="9"/>
      <c r="L3" s="10"/>
      <c r="N3" s="10"/>
      <c r="P3" s="11"/>
      <c r="Q3" s="11"/>
    </row>
    <row r="4" spans="1:17" s="1" customFormat="1" x14ac:dyDescent="0.25">
      <c r="A4" s="1" t="s">
        <v>9</v>
      </c>
      <c r="F4" s="12"/>
      <c r="H4" s="88">
        <f>Sales!R11</f>
        <v>100307</v>
      </c>
      <c r="J4" s="14"/>
      <c r="L4" s="15"/>
      <c r="N4" s="15"/>
      <c r="P4" s="16"/>
      <c r="Q4" s="16"/>
    </row>
    <row r="5" spans="1:17" s="1" customFormat="1" ht="7.05" customHeight="1" x14ac:dyDescent="0.25">
      <c r="D5" s="13"/>
      <c r="F5" s="12"/>
      <c r="H5" s="17"/>
      <c r="J5" s="14"/>
      <c r="L5" s="16"/>
      <c r="N5" s="15"/>
      <c r="P5" s="16"/>
      <c r="Q5" s="16"/>
    </row>
    <row r="6" spans="1:17" x14ac:dyDescent="0.25">
      <c r="B6" s="3" t="s">
        <v>10</v>
      </c>
      <c r="D6" s="81">
        <f>F6*H6</f>
        <v>71686.726957288876</v>
      </c>
      <c r="F6" s="82">
        <v>1.2</v>
      </c>
      <c r="H6" s="84">
        <f>Purchases!R11*Purchases!R20</f>
        <v>59738.939131074068</v>
      </c>
      <c r="J6" s="82">
        <f>7.9/F6</f>
        <v>6.5833333333333339</v>
      </c>
      <c r="L6" s="81">
        <f>J6*H6</f>
        <v>393281.34927957098</v>
      </c>
      <c r="N6" s="10" t="s">
        <v>146</v>
      </c>
      <c r="P6" s="11"/>
      <c r="Q6" s="11"/>
    </row>
    <row r="7" spans="1:17" x14ac:dyDescent="0.25">
      <c r="B7" s="3" t="s">
        <v>11</v>
      </c>
      <c r="D7" s="81">
        <f>F7*H7</f>
        <v>54484.772580588397</v>
      </c>
      <c r="F7" s="82">
        <f>F6</f>
        <v>1.2</v>
      </c>
      <c r="H7" s="84">
        <f>Purchases!R16*Purchases!R20</f>
        <v>45403.977150490333</v>
      </c>
      <c r="J7" s="82">
        <v>6.53</v>
      </c>
      <c r="L7" s="81">
        <f>J7*H7</f>
        <v>296487.97079270188</v>
      </c>
      <c r="N7" s="10" t="s">
        <v>12</v>
      </c>
      <c r="P7" s="11"/>
      <c r="Q7" s="11"/>
    </row>
    <row r="8" spans="1:17" x14ac:dyDescent="0.25">
      <c r="B8" s="3" t="s">
        <v>13</v>
      </c>
      <c r="D8" s="11"/>
      <c r="F8" s="18"/>
      <c r="H8" s="19"/>
      <c r="J8" s="18"/>
      <c r="L8" s="11"/>
      <c r="N8" s="10"/>
      <c r="P8" s="11"/>
      <c r="Q8" s="11"/>
    </row>
    <row r="9" spans="1:17" x14ac:dyDescent="0.25">
      <c r="B9" s="3" t="s">
        <v>14</v>
      </c>
      <c r="D9" s="20"/>
      <c r="F9" s="83">
        <v>1</v>
      </c>
      <c r="H9" s="85">
        <v>12</v>
      </c>
      <c r="J9" s="82">
        <v>2725</v>
      </c>
      <c r="L9" s="81">
        <f>J9*H9</f>
        <v>32700</v>
      </c>
      <c r="N9" s="10" t="s">
        <v>15</v>
      </c>
      <c r="P9" s="11"/>
      <c r="Q9" s="11"/>
    </row>
    <row r="10" spans="1:17" x14ac:dyDescent="0.25">
      <c r="B10" s="3" t="s">
        <v>16</v>
      </c>
      <c r="D10" s="21"/>
      <c r="F10" s="83">
        <v>1</v>
      </c>
      <c r="H10" s="86">
        <f>H6+H7</f>
        <v>105142.91628156439</v>
      </c>
      <c r="J10" s="82">
        <v>2.7172000000000001</v>
      </c>
      <c r="L10" s="81">
        <f>J10*H10</f>
        <v>285694.3321202668</v>
      </c>
      <c r="N10" s="10" t="s">
        <v>17</v>
      </c>
      <c r="P10" s="11"/>
      <c r="Q10" s="11"/>
    </row>
    <row r="11" spans="1:17" ht="7.05" customHeight="1" x14ac:dyDescent="0.25">
      <c r="F11" s="18"/>
      <c r="H11" s="19"/>
      <c r="J11" s="18"/>
      <c r="L11" s="11"/>
      <c r="N11" s="10"/>
      <c r="P11" s="11"/>
      <c r="Q11" s="11"/>
    </row>
    <row r="12" spans="1:17" x14ac:dyDescent="0.25">
      <c r="B12" s="5" t="s">
        <v>7</v>
      </c>
      <c r="D12" s="81">
        <f>D6+D7</f>
        <v>126171.49953787727</v>
      </c>
      <c r="F12" s="18"/>
      <c r="H12" s="19"/>
      <c r="J12" s="18"/>
      <c r="L12" s="87">
        <f>SUM(L6:L11)</f>
        <v>1008163.6521925395</v>
      </c>
      <c r="N12" s="10"/>
      <c r="P12" s="11"/>
      <c r="Q12" s="11"/>
    </row>
    <row r="13" spans="1:17" x14ac:dyDescent="0.25">
      <c r="F13" s="18"/>
      <c r="H13" s="19"/>
      <c r="J13" s="18"/>
      <c r="L13" s="11"/>
      <c r="N13" s="10"/>
      <c r="P13" s="11"/>
      <c r="Q13" s="11"/>
    </row>
    <row r="14" spans="1:17" s="1" customFormat="1" x14ac:dyDescent="0.25">
      <c r="A14" s="1" t="s">
        <v>18</v>
      </c>
      <c r="F14" s="22"/>
      <c r="H14" s="88">
        <f>Sales!R22</f>
        <v>17838.7</v>
      </c>
      <c r="J14" s="95"/>
      <c r="L14" s="16"/>
      <c r="P14" s="16"/>
      <c r="Q14" s="16"/>
    </row>
    <row r="15" spans="1:17" x14ac:dyDescent="0.25">
      <c r="B15" s="3" t="s">
        <v>19</v>
      </c>
      <c r="D15" s="81">
        <f>F15*H15</f>
        <v>13769.2076</v>
      </c>
      <c r="F15" s="82">
        <v>1.357</v>
      </c>
      <c r="H15" s="84">
        <f>Purchases!R32</f>
        <v>10146.799999999999</v>
      </c>
      <c r="J15" s="90">
        <f>'SCHEDULE III B&amp;S Oil FloydCo'!J35</f>
        <v>5.8285736830901271</v>
      </c>
      <c r="L15" s="81">
        <f>J15*H15</f>
        <v>59141.371447578895</v>
      </c>
      <c r="N15" s="3" t="s">
        <v>20</v>
      </c>
      <c r="P15" s="11"/>
      <c r="Q15" s="11"/>
    </row>
    <row r="16" spans="1:17" x14ac:dyDescent="0.25">
      <c r="B16" s="3" t="s">
        <v>21</v>
      </c>
      <c r="D16" s="81">
        <f>F16*H16</f>
        <v>14064.206399999999</v>
      </c>
      <c r="F16" s="82">
        <v>1.6312</v>
      </c>
      <c r="H16" s="84">
        <f>Purchases!R37</f>
        <v>8622</v>
      </c>
      <c r="J16" s="91">
        <f>(J$7/F$7)*F16</f>
        <v>8.8764466666666682</v>
      </c>
      <c r="L16" s="81">
        <f>J16*H16</f>
        <v>76532.723160000009</v>
      </c>
      <c r="N16" s="3" t="s">
        <v>22</v>
      </c>
      <c r="P16" s="11"/>
      <c r="Q16" s="11"/>
    </row>
    <row r="17" spans="1:18" ht="7.05" customHeight="1" x14ac:dyDescent="0.25">
      <c r="F17" s="18"/>
      <c r="H17" s="19"/>
      <c r="J17" s="18"/>
      <c r="L17" s="11"/>
    </row>
    <row r="18" spans="1:18" x14ac:dyDescent="0.25">
      <c r="B18" s="5" t="s">
        <v>7</v>
      </c>
      <c r="D18" s="81">
        <f>SUM(D15:D16)</f>
        <v>27833.413999999997</v>
      </c>
      <c r="F18" s="18"/>
      <c r="H18" s="89">
        <f>SUM(H15:H17)</f>
        <v>18768.8</v>
      </c>
      <c r="J18" s="18"/>
      <c r="L18" s="87">
        <f>SUM(L15:L17)</f>
        <v>135674.09460757891</v>
      </c>
      <c r="N18" s="10"/>
      <c r="P18" s="11"/>
      <c r="Q18" s="11"/>
    </row>
    <row r="19" spans="1:18" x14ac:dyDescent="0.25">
      <c r="F19" s="18"/>
      <c r="H19" s="19"/>
      <c r="I19" s="11"/>
      <c r="J19" s="18"/>
      <c r="L19" s="11"/>
      <c r="N19" s="11"/>
      <c r="O19" s="11"/>
      <c r="P19" s="11"/>
      <c r="Q19" s="11"/>
      <c r="R19" s="11"/>
    </row>
    <row r="20" spans="1:18" s="1" customFormat="1" x14ac:dyDescent="0.25">
      <c r="A20" s="1" t="s">
        <v>23</v>
      </c>
      <c r="F20" s="22"/>
      <c r="H20" s="88">
        <f>Sales!R33</f>
        <v>13256.9</v>
      </c>
      <c r="I20" s="16"/>
      <c r="J20" s="95"/>
      <c r="L20" s="16"/>
      <c r="N20" s="16"/>
      <c r="O20" s="16"/>
      <c r="P20" s="16"/>
      <c r="Q20" s="16"/>
      <c r="R20" s="16"/>
    </row>
    <row r="21" spans="1:18" x14ac:dyDescent="0.25">
      <c r="B21" s="3" t="s">
        <v>24</v>
      </c>
      <c r="D21" s="81">
        <f>F21*H21</f>
        <v>12675.0126</v>
      </c>
      <c r="F21" s="82">
        <f>F22</f>
        <v>1.2724</v>
      </c>
      <c r="H21" s="84">
        <f>Purchases!R45</f>
        <v>9961.5</v>
      </c>
      <c r="I21" s="11"/>
      <c r="J21" s="91">
        <f>5.841+2</f>
        <v>7.8410000000000002</v>
      </c>
      <c r="L21" s="81">
        <f t="shared" ref="L21:L22" si="0">J21*H21</f>
        <v>78108.121500000008</v>
      </c>
      <c r="N21" s="10" t="s">
        <v>145</v>
      </c>
      <c r="O21" s="11"/>
      <c r="P21" s="11"/>
      <c r="Q21" s="11"/>
      <c r="R21" s="11"/>
    </row>
    <row r="22" spans="1:18" x14ac:dyDescent="0.25">
      <c r="B22" s="3" t="s">
        <v>21</v>
      </c>
      <c r="D22" s="81">
        <f>F22*H22</f>
        <v>4916.5536000000002</v>
      </c>
      <c r="F22" s="82">
        <v>1.2724</v>
      </c>
      <c r="H22" s="84">
        <f>Purchases!R50</f>
        <v>3864</v>
      </c>
      <c r="I22" s="11"/>
      <c r="J22" s="91">
        <f>(J$7/F$7)*F22</f>
        <v>6.9239766666666673</v>
      </c>
      <c r="L22" s="81">
        <f t="shared" si="0"/>
        <v>26754.245840000003</v>
      </c>
      <c r="N22" s="3" t="s">
        <v>22</v>
      </c>
      <c r="O22" s="11"/>
      <c r="P22" s="11"/>
      <c r="Q22" s="11"/>
      <c r="R22" s="11"/>
    </row>
    <row r="23" spans="1:18" x14ac:dyDescent="0.25">
      <c r="D23" s="11"/>
      <c r="F23" s="18"/>
      <c r="H23" s="19"/>
      <c r="I23" s="11"/>
      <c r="J23" s="18"/>
      <c r="L23" s="11"/>
      <c r="O23" s="11"/>
      <c r="P23" s="11"/>
      <c r="Q23" s="11"/>
      <c r="R23" s="11"/>
    </row>
    <row r="24" spans="1:18" ht="7.05" customHeight="1" x14ac:dyDescent="0.25">
      <c r="H24" s="19"/>
      <c r="I24" s="11"/>
      <c r="J24" s="18"/>
      <c r="L24" s="11"/>
      <c r="N24" s="11"/>
      <c r="O24" s="11"/>
      <c r="P24" s="11"/>
      <c r="Q24" s="11"/>
      <c r="R24" s="11"/>
    </row>
    <row r="25" spans="1:18" x14ac:dyDescent="0.25">
      <c r="B25" s="5" t="s">
        <v>7</v>
      </c>
      <c r="D25" s="81">
        <f>SUM(D21:D23)</f>
        <v>17591.566200000001</v>
      </c>
      <c r="F25" s="18"/>
      <c r="H25" s="23">
        <f>SUM(H21:H24)</f>
        <v>13825.5</v>
      </c>
      <c r="J25" s="18"/>
      <c r="L25" s="87">
        <f>SUM(L21:L24)</f>
        <v>104862.36734000001</v>
      </c>
      <c r="N25" s="10"/>
      <c r="P25" s="11"/>
      <c r="Q25" s="11"/>
    </row>
    <row r="26" spans="1:18" ht="7.05" customHeight="1" x14ac:dyDescent="0.25">
      <c r="H26" s="19"/>
      <c r="I26" s="11"/>
      <c r="J26" s="18"/>
      <c r="N26" s="11"/>
      <c r="O26" s="11"/>
      <c r="P26" s="11"/>
      <c r="Q26" s="11"/>
      <c r="R26" s="11"/>
    </row>
    <row r="27" spans="1:18" x14ac:dyDescent="0.25">
      <c r="F27" s="3" t="s">
        <v>25</v>
      </c>
      <c r="H27" s="19">
        <f>H10+H18+H25</f>
        <v>137737.21628156438</v>
      </c>
      <c r="P27" s="5"/>
      <c r="R27" s="9"/>
    </row>
    <row r="28" spans="1:18" x14ac:dyDescent="0.25">
      <c r="F28" s="3" t="s">
        <v>26</v>
      </c>
      <c r="H28" s="24">
        <f>H4+H14+H20</f>
        <v>131402.6</v>
      </c>
      <c r="P28" s="5"/>
      <c r="R28" s="9"/>
    </row>
    <row r="29" spans="1:18" x14ac:dyDescent="0.25">
      <c r="F29" s="3" t="s">
        <v>27</v>
      </c>
      <c r="H29" s="19">
        <f>H27-H28</f>
        <v>6334.6162815643765</v>
      </c>
      <c r="P29" s="5"/>
      <c r="R29" s="9"/>
    </row>
    <row r="30" spans="1:18" x14ac:dyDescent="0.25">
      <c r="H30" s="25">
        <f>H29/H28</f>
        <v>4.8207693619185435E-2</v>
      </c>
      <c r="P30" s="5"/>
      <c r="R30" s="9"/>
    </row>
    <row r="31" spans="1:18" ht="7.05" customHeight="1" thickBot="1" x14ac:dyDescent="0.3">
      <c r="H31" s="19"/>
      <c r="I31" s="11"/>
      <c r="J31" s="18"/>
      <c r="L31" s="26"/>
      <c r="N31" s="11"/>
      <c r="O31" s="11"/>
      <c r="P31" s="11"/>
      <c r="Q31" s="11"/>
      <c r="R31" s="11"/>
    </row>
    <row r="32" spans="1:18" x14ac:dyDescent="0.25">
      <c r="H32" s="19"/>
      <c r="I32" s="11"/>
      <c r="J32" s="5" t="s">
        <v>28</v>
      </c>
      <c r="L32" s="81">
        <f>L12+L18+L25</f>
        <v>1248700.1141401185</v>
      </c>
      <c r="N32" s="11"/>
      <c r="O32" s="11"/>
      <c r="P32" s="11"/>
      <c r="Q32" s="11"/>
      <c r="R32" s="11"/>
    </row>
    <row r="33" spans="4:22" x14ac:dyDescent="0.25">
      <c r="D33" s="81">
        <f>D12+D18+D25</f>
        <v>171596.47973787726</v>
      </c>
      <c r="F33" s="3" t="s">
        <v>3</v>
      </c>
      <c r="J33" s="5" t="s">
        <v>29</v>
      </c>
      <c r="L33" s="92">
        <f>H27</f>
        <v>137737.21628156438</v>
      </c>
      <c r="M33" s="11"/>
      <c r="N33" s="11"/>
      <c r="O33" s="11"/>
      <c r="P33" s="11"/>
      <c r="Q33" s="11"/>
      <c r="R33" s="11"/>
      <c r="V33" s="11"/>
    </row>
    <row r="34" spans="4:22" x14ac:dyDescent="0.25">
      <c r="J34" s="5" t="s">
        <v>30</v>
      </c>
      <c r="L34" s="93">
        <f>L32/L33</f>
        <v>9.0658149471200868</v>
      </c>
      <c r="M34" s="11"/>
      <c r="N34" s="11"/>
      <c r="O34" s="11"/>
      <c r="P34" s="11"/>
      <c r="Q34" s="11"/>
      <c r="R34" s="11"/>
    </row>
    <row r="35" spans="4:22" x14ac:dyDescent="0.25">
      <c r="J35" s="5" t="s">
        <v>25</v>
      </c>
      <c r="L35" s="92">
        <f>L33</f>
        <v>137737.21628156438</v>
      </c>
      <c r="P35" s="5"/>
      <c r="R35" s="9"/>
    </row>
    <row r="36" spans="4:22" x14ac:dyDescent="0.25">
      <c r="J36" s="5" t="s">
        <v>31</v>
      </c>
      <c r="L36" s="94">
        <f>L34*L35</f>
        <v>1248700.1141401185</v>
      </c>
      <c r="N36" s="5"/>
      <c r="P36" s="5"/>
      <c r="R36" s="27"/>
    </row>
    <row r="37" spans="4:22" x14ac:dyDescent="0.25">
      <c r="P37" s="5"/>
      <c r="R37" s="9"/>
    </row>
    <row r="38" spans="4:22" x14ac:dyDescent="0.25">
      <c r="P38" s="28"/>
      <c r="R38" s="29"/>
    </row>
  </sheetData>
  <pageMargins left="0.5" right="0.5" top="1" bottom="1" header="0.5" footer="0.5"/>
  <pageSetup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2B5B-CB16-4DDA-A089-B92209ADD690}">
  <dimension ref="A1:K35"/>
  <sheetViews>
    <sheetView topLeftCell="A10" workbookViewId="0">
      <selection activeCell="J29" sqref="J29"/>
    </sheetView>
  </sheetViews>
  <sheetFormatPr defaultRowHeight="13.2" x14ac:dyDescent="0.25"/>
  <cols>
    <col min="1" max="1" width="1.77734375" customWidth="1"/>
    <col min="2" max="2" width="3.77734375" style="38" customWidth="1"/>
    <col min="3" max="3" width="24.77734375" customWidth="1"/>
    <col min="4" max="5" width="1.77734375" customWidth="1"/>
    <col min="6" max="6" width="12.77734375" customWidth="1"/>
    <col min="7" max="7" width="1.77734375" customWidth="1"/>
    <col min="8" max="8" width="12.77734375" style="38" customWidth="1"/>
    <col min="9" max="9" width="1.77734375" customWidth="1"/>
    <col min="10" max="10" width="12.77734375" style="39" customWidth="1"/>
    <col min="11" max="11" width="1.77734375" customWidth="1"/>
    <col min="12" max="12" width="12.77734375" customWidth="1"/>
    <col min="13" max="13" width="1.77734375" customWidth="1"/>
    <col min="14" max="14" width="12.77734375" customWidth="1"/>
    <col min="15" max="15" width="1.77734375" customWidth="1"/>
    <col min="16" max="16" width="12.77734375" customWidth="1"/>
    <col min="17" max="17" width="1.77734375" customWidth="1"/>
    <col min="18" max="18" width="12.77734375" customWidth="1"/>
    <col min="19" max="19" width="1.77734375" customWidth="1"/>
    <col min="20" max="20" width="12.77734375" customWidth="1"/>
    <col min="21" max="21" width="1.77734375" customWidth="1"/>
    <col min="22" max="22" width="12.77734375" customWidth="1"/>
    <col min="23" max="23" width="1.77734375" customWidth="1"/>
    <col min="24" max="24" width="12.77734375" customWidth="1"/>
    <col min="25" max="25" width="1.77734375" customWidth="1"/>
    <col min="26" max="26" width="12.77734375" customWidth="1"/>
    <col min="27" max="27" width="1.77734375" customWidth="1"/>
    <col min="28" max="28" width="12.77734375" customWidth="1"/>
  </cols>
  <sheetData>
    <row r="1" spans="1:11" x14ac:dyDescent="0.25">
      <c r="A1" s="3" t="s">
        <v>40</v>
      </c>
    </row>
    <row r="3" spans="1:11" x14ac:dyDescent="0.25">
      <c r="A3" s="3" t="s">
        <v>41</v>
      </c>
    </row>
    <row r="6" spans="1:11" x14ac:dyDescent="0.25">
      <c r="A6" s="3" t="s">
        <v>42</v>
      </c>
    </row>
    <row r="7" spans="1:11" x14ac:dyDescent="0.25">
      <c r="A7" s="40"/>
      <c r="B7" s="41"/>
      <c r="C7" s="40"/>
      <c r="D7" s="40"/>
      <c r="E7" s="40"/>
      <c r="F7" s="40"/>
      <c r="G7" s="40"/>
      <c r="H7" s="41"/>
      <c r="I7" s="40"/>
      <c r="J7" s="42"/>
      <c r="K7" s="40"/>
    </row>
    <row r="9" spans="1:11" x14ac:dyDescent="0.25">
      <c r="B9" s="21" t="s">
        <v>43</v>
      </c>
      <c r="C9" s="3" t="s">
        <v>44</v>
      </c>
      <c r="J9" s="39">
        <v>1.357</v>
      </c>
    </row>
    <row r="10" spans="1:11" x14ac:dyDescent="0.25">
      <c r="A10" s="40"/>
      <c r="B10" s="41"/>
      <c r="C10" s="40"/>
      <c r="D10" s="40"/>
      <c r="E10" s="40"/>
      <c r="F10" s="40"/>
      <c r="G10" s="40"/>
      <c r="H10" s="41"/>
      <c r="I10" s="40"/>
      <c r="J10" s="42"/>
      <c r="K10" s="40"/>
    </row>
    <row r="12" spans="1:11" x14ac:dyDescent="0.25">
      <c r="A12" s="3" t="s">
        <v>45</v>
      </c>
      <c r="F12" s="3" t="s">
        <v>143</v>
      </c>
    </row>
    <row r="14" spans="1:11" x14ac:dyDescent="0.25">
      <c r="B14" s="21" t="s">
        <v>46</v>
      </c>
      <c r="C14" s="3" t="s">
        <v>47</v>
      </c>
      <c r="J14" s="43">
        <v>6.5572999999999997</v>
      </c>
    </row>
    <row r="15" spans="1:11" x14ac:dyDescent="0.25">
      <c r="B15" s="44" t="s">
        <v>48</v>
      </c>
      <c r="C15" s="3" t="s">
        <v>49</v>
      </c>
      <c r="J15" s="39">
        <v>1.101</v>
      </c>
    </row>
    <row r="17" spans="1:11" x14ac:dyDescent="0.25">
      <c r="B17" s="21" t="s">
        <v>50</v>
      </c>
      <c r="C17" s="3" t="s">
        <v>51</v>
      </c>
      <c r="H17" s="21" t="s">
        <v>52</v>
      </c>
      <c r="J17" s="39">
        <f>J9/J15</f>
        <v>1.2325158946412353</v>
      </c>
    </row>
    <row r="18" spans="1:11" x14ac:dyDescent="0.25">
      <c r="B18" s="21" t="s">
        <v>53</v>
      </c>
      <c r="C18" s="3" t="s">
        <v>54</v>
      </c>
      <c r="H18" s="21" t="s">
        <v>55</v>
      </c>
      <c r="J18" s="43">
        <f>J14*J17</f>
        <v>8.081976475930972</v>
      </c>
    </row>
    <row r="19" spans="1:11" x14ac:dyDescent="0.25">
      <c r="A19" s="40"/>
      <c r="B19" s="41"/>
      <c r="C19" s="40"/>
      <c r="D19" s="40"/>
      <c r="E19" s="40"/>
      <c r="F19" s="40"/>
      <c r="G19" s="40"/>
      <c r="H19" s="41"/>
      <c r="I19" s="40"/>
      <c r="J19" s="42"/>
      <c r="K19" s="40"/>
    </row>
    <row r="21" spans="1:11" x14ac:dyDescent="0.25">
      <c r="A21" s="3" t="s">
        <v>56</v>
      </c>
      <c r="F21" s="3" t="s">
        <v>144</v>
      </c>
    </row>
    <row r="23" spans="1:11" x14ac:dyDescent="0.25">
      <c r="B23" s="21" t="s">
        <v>57</v>
      </c>
      <c r="C23" s="3" t="s">
        <v>58</v>
      </c>
      <c r="F23" s="3" t="s">
        <v>59</v>
      </c>
      <c r="J23" s="43">
        <v>4.2445000000000004</v>
      </c>
    </row>
    <row r="24" spans="1:11" x14ac:dyDescent="0.25">
      <c r="B24" s="21" t="s">
        <v>60</v>
      </c>
      <c r="C24" s="3" t="s">
        <v>61</v>
      </c>
      <c r="F24" s="3" t="s">
        <v>62</v>
      </c>
      <c r="J24" s="45">
        <v>265478</v>
      </c>
    </row>
    <row r="25" spans="1:11" x14ac:dyDescent="0.25">
      <c r="B25" s="21" t="s">
        <v>63</v>
      </c>
      <c r="C25" s="3" t="s">
        <v>64</v>
      </c>
      <c r="F25" s="3" t="s">
        <v>62</v>
      </c>
      <c r="J25" s="45">
        <v>216717</v>
      </c>
    </row>
    <row r="27" spans="1:11" x14ac:dyDescent="0.25">
      <c r="B27" s="21" t="s">
        <v>65</v>
      </c>
      <c r="C27" s="3" t="s">
        <v>66</v>
      </c>
      <c r="H27" s="21" t="s">
        <v>67</v>
      </c>
      <c r="J27" s="39">
        <f>J24/J25</f>
        <v>1.2249985003483805</v>
      </c>
    </row>
    <row r="28" spans="1:11" x14ac:dyDescent="0.25">
      <c r="B28" s="21" t="s">
        <v>68</v>
      </c>
      <c r="C28" s="3" t="s">
        <v>69</v>
      </c>
      <c r="H28" s="21" t="s">
        <v>70</v>
      </c>
      <c r="J28" s="39">
        <f>J9/J27</f>
        <v>1.1077564581622583</v>
      </c>
    </row>
    <row r="29" spans="1:11" x14ac:dyDescent="0.25">
      <c r="B29" s="21" t="s">
        <v>71</v>
      </c>
      <c r="C29" s="3" t="s">
        <v>72</v>
      </c>
      <c r="H29" s="21" t="s">
        <v>73</v>
      </c>
      <c r="J29" s="43">
        <f>J23*J28</f>
        <v>4.7018722866697056</v>
      </c>
    </row>
    <row r="30" spans="1:11" x14ac:dyDescent="0.25">
      <c r="A30" s="40"/>
      <c r="B30" s="41"/>
      <c r="C30" s="40"/>
      <c r="D30" s="40"/>
      <c r="E30" s="40"/>
      <c r="F30" s="40"/>
      <c r="G30" s="40"/>
      <c r="H30" s="41"/>
      <c r="I30" s="40"/>
      <c r="J30" s="42"/>
      <c r="K30" s="40"/>
    </row>
    <row r="32" spans="1:11" x14ac:dyDescent="0.25">
      <c r="C32" s="3" t="s">
        <v>72</v>
      </c>
      <c r="J32" s="39">
        <f>J29</f>
        <v>4.7018722866697056</v>
      </c>
    </row>
    <row r="33" spans="3:10" x14ac:dyDescent="0.25">
      <c r="C33" s="3" t="s">
        <v>72</v>
      </c>
      <c r="J33" s="39">
        <f>J32</f>
        <v>4.7018722866697056</v>
      </c>
    </row>
    <row r="34" spans="3:10" x14ac:dyDescent="0.25">
      <c r="C34" s="3" t="s">
        <v>54</v>
      </c>
      <c r="J34" s="39">
        <f>J18</f>
        <v>8.081976475930972</v>
      </c>
    </row>
    <row r="35" spans="3:10" x14ac:dyDescent="0.25">
      <c r="C35" s="5" t="s">
        <v>74</v>
      </c>
      <c r="J35" s="46">
        <f>AVERAGE(J32:J34)</f>
        <v>5.8285736830901271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6F4B-DEB1-402C-A670-EBE54CD66680}">
  <sheetPr>
    <pageSetUpPr fitToPage="1"/>
  </sheetPr>
  <dimension ref="A1:AD67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T11" sqref="T11"/>
    </sheetView>
  </sheetViews>
  <sheetFormatPr defaultColWidth="9.109375" defaultRowHeight="13.2" x14ac:dyDescent="0.25"/>
  <cols>
    <col min="1" max="2" width="1.21875" customWidth="1"/>
    <col min="3" max="3" width="10.6640625" customWidth="1"/>
    <col min="4" max="5" width="1.21875" customWidth="1"/>
    <col min="6" max="6" width="9.6640625" customWidth="1"/>
    <col min="7" max="7" width="1.21875" customWidth="1"/>
    <col min="8" max="8" width="9.6640625" customWidth="1"/>
    <col min="9" max="9" width="1.21875" customWidth="1"/>
    <col min="10" max="10" width="9.6640625" customWidth="1"/>
    <col min="11" max="11" width="1.21875" customWidth="1"/>
    <col min="12" max="12" width="9.6640625" customWidth="1"/>
    <col min="13" max="13" width="1.21875" customWidth="1"/>
    <col min="14" max="14" width="9.6640625" customWidth="1"/>
    <col min="15" max="15" width="1.21875" customWidth="1"/>
    <col min="16" max="16" width="9.6640625" customWidth="1"/>
    <col min="17" max="17" width="1.21875" customWidth="1"/>
    <col min="18" max="18" width="9.6640625" customWidth="1"/>
    <col min="19" max="19" width="1.21875" customWidth="1"/>
    <col min="20" max="20" width="9.6640625" customWidth="1"/>
    <col min="21" max="21" width="1.21875" customWidth="1"/>
    <col min="22" max="22" width="9.6640625" customWidth="1"/>
    <col min="23" max="23" width="1.21875" customWidth="1"/>
    <col min="24" max="24" width="9.6640625" customWidth="1"/>
    <col min="25" max="25" width="1.21875" customWidth="1"/>
    <col min="26" max="26" width="9.6640625" customWidth="1"/>
    <col min="27" max="27" width="1.21875" customWidth="1"/>
    <col min="28" max="28" width="9.6640625" customWidth="1"/>
    <col min="29" max="29" width="1.21875" customWidth="1"/>
    <col min="30" max="30" width="10.6640625" customWidth="1"/>
    <col min="32" max="32" width="15.88671875" customWidth="1"/>
    <col min="33" max="33" width="9.6640625" customWidth="1"/>
  </cols>
  <sheetData>
    <row r="1" spans="1:30" x14ac:dyDescent="0.25">
      <c r="A1" s="3" t="s">
        <v>32</v>
      </c>
    </row>
    <row r="2" spans="1:30" s="31" customFormat="1" x14ac:dyDescent="0.25">
      <c r="A2" s="30"/>
      <c r="F2" s="32">
        <v>39478</v>
      </c>
      <c r="G2" s="32"/>
      <c r="H2" s="32">
        <v>39506</v>
      </c>
      <c r="I2" s="32"/>
      <c r="J2" s="32">
        <v>39538</v>
      </c>
      <c r="K2" s="32"/>
      <c r="L2" s="32">
        <v>39568</v>
      </c>
      <c r="M2" s="32"/>
      <c r="N2" s="32">
        <v>39599</v>
      </c>
      <c r="O2" s="32"/>
      <c r="P2" s="32">
        <v>39629</v>
      </c>
      <c r="Q2" s="32"/>
      <c r="R2" s="32">
        <v>39660</v>
      </c>
      <c r="S2" s="32"/>
      <c r="T2" s="32">
        <v>39691</v>
      </c>
      <c r="U2" s="32"/>
      <c r="V2" s="32">
        <v>39721</v>
      </c>
      <c r="W2" s="32"/>
      <c r="X2" s="32">
        <v>39752</v>
      </c>
      <c r="Y2" s="32"/>
      <c r="Z2" s="32">
        <v>39782</v>
      </c>
      <c r="AA2" s="32"/>
      <c r="AB2" s="32">
        <v>39813</v>
      </c>
      <c r="AC2" s="32"/>
      <c r="AD2" s="33"/>
    </row>
    <row r="3" spans="1:30" x14ac:dyDescent="0.25">
      <c r="B3" t="s">
        <v>9</v>
      </c>
    </row>
    <row r="4" spans="1:30" x14ac:dyDescent="0.25">
      <c r="C4" t="s">
        <v>10</v>
      </c>
      <c r="F4" s="19" t="s">
        <v>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D4" s="34"/>
    </row>
    <row r="5" spans="1:30" x14ac:dyDescent="0.25">
      <c r="C5">
        <v>2020</v>
      </c>
      <c r="F5" s="34"/>
      <c r="G5" s="34"/>
      <c r="H5" s="34"/>
      <c r="I5" s="34"/>
      <c r="J5" s="34"/>
      <c r="K5" s="19"/>
      <c r="L5" s="34"/>
      <c r="M5" s="19"/>
      <c r="N5" s="34">
        <v>2602</v>
      </c>
      <c r="O5" s="34"/>
      <c r="P5" s="19">
        <v>2986</v>
      </c>
      <c r="Q5" s="19"/>
      <c r="R5" s="34">
        <v>3294</v>
      </c>
      <c r="S5" s="34"/>
      <c r="T5" s="34">
        <v>2248</v>
      </c>
      <c r="U5" s="34"/>
      <c r="V5" s="34">
        <v>3641</v>
      </c>
      <c r="W5" s="34"/>
      <c r="X5" s="34">
        <v>4076</v>
      </c>
      <c r="Y5" s="34"/>
      <c r="Z5" s="34">
        <v>7543</v>
      </c>
      <c r="AA5" s="34"/>
      <c r="AB5" s="34">
        <v>15801</v>
      </c>
      <c r="AD5" s="34"/>
    </row>
    <row r="6" spans="1:30" x14ac:dyDescent="0.25">
      <c r="C6">
        <v>2021</v>
      </c>
      <c r="F6" s="34">
        <v>8062</v>
      </c>
      <c r="G6" s="34"/>
      <c r="H6" s="34">
        <v>9011</v>
      </c>
      <c r="I6" s="34"/>
      <c r="J6" s="34">
        <v>8648</v>
      </c>
      <c r="K6" s="19"/>
      <c r="L6" s="34">
        <v>6721</v>
      </c>
      <c r="M6" s="19"/>
      <c r="N6" s="34">
        <v>4576</v>
      </c>
      <c r="O6" s="34"/>
      <c r="P6" s="19">
        <v>3920</v>
      </c>
      <c r="Q6" s="19"/>
      <c r="R6" s="34">
        <v>1949</v>
      </c>
      <c r="S6" s="34"/>
      <c r="T6" s="34">
        <v>930</v>
      </c>
      <c r="U6" s="34"/>
      <c r="V6" s="34"/>
      <c r="W6" s="34"/>
      <c r="X6" s="34"/>
      <c r="Y6" s="34"/>
      <c r="Z6" s="34"/>
      <c r="AA6" s="34"/>
      <c r="AB6" s="34"/>
      <c r="AD6" s="34"/>
    </row>
    <row r="7" spans="1:30" x14ac:dyDescent="0.25">
      <c r="F7" s="34"/>
      <c r="G7" s="34"/>
      <c r="H7" s="34"/>
      <c r="I7" s="34"/>
      <c r="J7" s="19"/>
      <c r="K7" s="19"/>
      <c r="L7" s="19"/>
      <c r="M7" s="19"/>
      <c r="N7" s="19"/>
      <c r="O7" s="34"/>
      <c r="P7" s="19"/>
      <c r="Q7" s="19"/>
      <c r="R7" s="19"/>
      <c r="S7" s="34"/>
      <c r="T7" s="34"/>
      <c r="U7" s="34"/>
      <c r="V7" s="34"/>
      <c r="W7" s="34"/>
      <c r="X7" s="34"/>
      <c r="Y7" s="34"/>
      <c r="Z7" s="34"/>
      <c r="AA7" s="34"/>
      <c r="AB7" s="34"/>
      <c r="AD7" s="34"/>
    </row>
    <row r="8" spans="1:30" x14ac:dyDescent="0.25">
      <c r="C8" t="s">
        <v>10</v>
      </c>
      <c r="F8" s="19" t="s">
        <v>5</v>
      </c>
      <c r="G8" s="19"/>
      <c r="H8" s="74">
        <f>'[1]EGC (SII)'!F6</f>
        <v>1.2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D8" s="34"/>
    </row>
    <row r="9" spans="1:30" x14ac:dyDescent="0.25">
      <c r="C9">
        <v>2020</v>
      </c>
      <c r="F9" s="34"/>
      <c r="G9" s="34"/>
      <c r="H9" s="34"/>
      <c r="I9" s="34"/>
      <c r="J9" s="34"/>
      <c r="K9" s="19"/>
      <c r="L9" s="34"/>
      <c r="M9" s="19"/>
      <c r="N9" s="34">
        <f>N5/$H$8</f>
        <v>2168.3333333333335</v>
      </c>
      <c r="O9" s="34"/>
      <c r="P9" s="34">
        <f>P5/$H$8</f>
        <v>2488.3333333333335</v>
      </c>
      <c r="Q9" s="19"/>
      <c r="R9" s="34">
        <f>R5/$H$8</f>
        <v>2745</v>
      </c>
      <c r="S9" s="34"/>
      <c r="T9" s="34">
        <f>T5/$H$8</f>
        <v>1873.3333333333335</v>
      </c>
      <c r="U9" s="34"/>
      <c r="V9" s="34">
        <f>V5/$H$8</f>
        <v>3034.166666666667</v>
      </c>
      <c r="W9" s="34"/>
      <c r="X9" s="34">
        <f>X5/$H$8</f>
        <v>3396.666666666667</v>
      </c>
      <c r="Y9" s="34"/>
      <c r="Z9" s="34">
        <f>Z5/$H$8</f>
        <v>6285.8333333333339</v>
      </c>
      <c r="AA9" s="34"/>
      <c r="AB9" s="34">
        <f>AB5/$H$8</f>
        <v>13167.5</v>
      </c>
      <c r="AD9" s="34"/>
    </row>
    <row r="10" spans="1:30" x14ac:dyDescent="0.25">
      <c r="C10">
        <v>2021</v>
      </c>
      <c r="F10" s="34">
        <f>F6/$H$8</f>
        <v>6718.3333333333339</v>
      </c>
      <c r="G10" s="34"/>
      <c r="H10" s="34">
        <f>H6/$H$8</f>
        <v>7509.166666666667</v>
      </c>
      <c r="I10" s="34"/>
      <c r="J10" s="34">
        <f>J6/$H$8</f>
        <v>7206.666666666667</v>
      </c>
      <c r="K10" s="19"/>
      <c r="L10" s="34">
        <f>L6/$H$8</f>
        <v>5600.8333333333339</v>
      </c>
      <c r="M10" s="19"/>
      <c r="N10" s="34">
        <f>N6/$H$8</f>
        <v>3813.3333333333335</v>
      </c>
      <c r="O10" s="34"/>
      <c r="P10" s="34">
        <f>P6/$H$8</f>
        <v>3266.666666666667</v>
      </c>
      <c r="Q10" s="19"/>
      <c r="R10" s="34">
        <f>R6/$H$8</f>
        <v>1624.1666666666667</v>
      </c>
      <c r="S10" s="34"/>
      <c r="T10" s="34">
        <f>T6/$H$8</f>
        <v>775</v>
      </c>
      <c r="U10" s="34"/>
      <c r="V10" s="34"/>
      <c r="W10" s="34"/>
      <c r="X10" s="34"/>
      <c r="Y10" s="34"/>
      <c r="Z10" s="34"/>
      <c r="AA10" s="34"/>
      <c r="AB10" s="34"/>
      <c r="AD10" s="34"/>
    </row>
    <row r="11" spans="1:30" x14ac:dyDescent="0.25">
      <c r="F11" s="34"/>
      <c r="G11" s="34"/>
      <c r="H11" s="34"/>
      <c r="I11" s="34"/>
      <c r="J11" s="19"/>
      <c r="K11" s="19"/>
      <c r="L11" s="19"/>
      <c r="M11" s="19"/>
      <c r="N11" s="19"/>
      <c r="O11" s="34"/>
      <c r="P11" s="19"/>
      <c r="Q11" s="19"/>
      <c r="R11" s="19">
        <f>SUM($F10:R10)+SUM(T9:$AB9)</f>
        <v>63496.666666666664</v>
      </c>
      <c r="S11" s="34"/>
      <c r="T11" s="19"/>
      <c r="U11" s="34"/>
      <c r="V11" s="34"/>
      <c r="W11" s="34"/>
      <c r="X11" s="34"/>
      <c r="Y11" s="34"/>
      <c r="Z11" s="34"/>
      <c r="AA11" s="34"/>
      <c r="AB11" s="34"/>
      <c r="AD11" s="34"/>
    </row>
    <row r="12" spans="1:30" x14ac:dyDescent="0.25">
      <c r="F12" s="34"/>
      <c r="G12" s="34"/>
      <c r="H12" s="34"/>
      <c r="I12" s="34"/>
      <c r="J12" s="19"/>
      <c r="K12" s="19"/>
      <c r="L12" s="19"/>
      <c r="M12" s="19"/>
      <c r="N12" s="19"/>
      <c r="O12" s="34"/>
      <c r="P12" s="19"/>
      <c r="Q12" s="19"/>
      <c r="R12" s="1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D12" s="34"/>
    </row>
    <row r="13" spans="1:30" x14ac:dyDescent="0.25">
      <c r="C13" t="s">
        <v>11</v>
      </c>
      <c r="F13" s="19" t="s">
        <v>5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D13" s="34"/>
    </row>
    <row r="14" spans="1:30" x14ac:dyDescent="0.25">
      <c r="C14">
        <v>2020</v>
      </c>
      <c r="F14" s="34"/>
      <c r="G14" s="34"/>
      <c r="H14" s="34"/>
      <c r="I14" s="34"/>
      <c r="J14" s="34"/>
      <c r="K14" s="19"/>
      <c r="L14" s="34"/>
      <c r="M14" s="19"/>
      <c r="N14" s="34">
        <v>5353</v>
      </c>
      <c r="O14" s="34"/>
      <c r="P14" s="19">
        <v>4112</v>
      </c>
      <c r="Q14" s="19"/>
      <c r="R14" s="34">
        <v>3477</v>
      </c>
      <c r="S14" s="34"/>
      <c r="T14" s="34">
        <v>4107</v>
      </c>
      <c r="U14" s="34"/>
      <c r="V14" s="34">
        <v>3683</v>
      </c>
      <c r="W14" s="34"/>
      <c r="X14" s="34">
        <v>5476</v>
      </c>
      <c r="Y14" s="34"/>
      <c r="Z14" s="34">
        <v>5128</v>
      </c>
      <c r="AA14" s="34"/>
      <c r="AB14" s="34">
        <v>2275</v>
      </c>
      <c r="AD14" s="34"/>
    </row>
    <row r="15" spans="1:30" x14ac:dyDescent="0.25">
      <c r="C15">
        <v>2021</v>
      </c>
      <c r="F15" s="34">
        <v>4628</v>
      </c>
      <c r="G15" s="34"/>
      <c r="H15" s="34">
        <v>4320</v>
      </c>
      <c r="I15" s="34"/>
      <c r="J15" s="34">
        <v>4627</v>
      </c>
      <c r="K15" s="19"/>
      <c r="L15" s="34">
        <v>4162</v>
      </c>
      <c r="M15" s="19"/>
      <c r="N15" s="34">
        <v>4508</v>
      </c>
      <c r="O15" s="34"/>
      <c r="P15" s="19">
        <v>3506</v>
      </c>
      <c r="Q15" s="19"/>
      <c r="R15" s="34">
        <v>1840</v>
      </c>
      <c r="S15" s="34"/>
      <c r="T15" s="34">
        <v>1327</v>
      </c>
      <c r="U15" s="34"/>
      <c r="V15" s="34"/>
      <c r="W15" s="34"/>
      <c r="X15" s="34"/>
      <c r="Y15" s="34"/>
      <c r="Z15" s="34"/>
      <c r="AA15" s="34"/>
      <c r="AB15" s="34"/>
      <c r="AD15" s="34"/>
    </row>
    <row r="16" spans="1:30" x14ac:dyDescent="0.25">
      <c r="F16" s="34"/>
      <c r="G16" s="34"/>
      <c r="H16" s="34"/>
      <c r="I16" s="34"/>
      <c r="J16" s="19"/>
      <c r="K16" s="19"/>
      <c r="L16" s="19"/>
      <c r="M16" s="19"/>
      <c r="N16" s="19"/>
      <c r="O16" s="34"/>
      <c r="P16" s="19"/>
      <c r="Q16" s="19"/>
      <c r="R16" s="19">
        <f>SUM($F15:R15)+SUM(T14:$AB14)</f>
        <v>48260</v>
      </c>
      <c r="S16" s="34"/>
      <c r="T16" s="19"/>
      <c r="U16" s="34"/>
      <c r="V16" s="34"/>
      <c r="W16" s="34"/>
      <c r="X16" s="34"/>
      <c r="Y16" s="34"/>
      <c r="Z16" s="34"/>
      <c r="AA16" s="34"/>
      <c r="AB16" s="34"/>
      <c r="AD16" s="34"/>
    </row>
    <row r="17" spans="2:30" x14ac:dyDescent="0.25">
      <c r="C17" t="s">
        <v>135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D17" s="34"/>
    </row>
    <row r="18" spans="2:30" x14ac:dyDescent="0.25">
      <c r="C18">
        <v>2020</v>
      </c>
      <c r="F18" s="34"/>
      <c r="G18" s="34"/>
      <c r="H18" s="34"/>
      <c r="I18" s="34"/>
      <c r="J18" s="34"/>
      <c r="K18" s="19"/>
      <c r="L18" s="34"/>
      <c r="M18" s="19"/>
      <c r="N18" s="75">
        <v>0.92374141040011692</v>
      </c>
      <c r="O18" s="36"/>
      <c r="P18" s="25">
        <v>0.98412406008741815</v>
      </c>
      <c r="Q18" s="25"/>
      <c r="R18" s="75">
        <v>0.98578976134086349</v>
      </c>
      <c r="S18" s="36"/>
      <c r="T18" s="76">
        <v>0.98336382346215412</v>
      </c>
      <c r="U18" s="36"/>
      <c r="V18" s="36">
        <v>0.98474955694431487</v>
      </c>
      <c r="W18" s="36"/>
      <c r="X18" s="36">
        <v>0.977122283981809</v>
      </c>
      <c r="Y18" s="36"/>
      <c r="Z18" s="36">
        <v>0.94188011429390739</v>
      </c>
      <c r="AA18" s="36"/>
      <c r="AB18" s="36">
        <v>0.86897474409622744</v>
      </c>
      <c r="AD18" s="34"/>
    </row>
    <row r="19" spans="2:30" x14ac:dyDescent="0.25">
      <c r="C19">
        <v>2021</v>
      </c>
      <c r="F19" s="36">
        <v>0.8244498467008945</v>
      </c>
      <c r="G19" s="36"/>
      <c r="H19" s="36">
        <v>0.80864379016338361</v>
      </c>
      <c r="I19" s="36"/>
      <c r="J19" s="75">
        <v>0.93746554120689263</v>
      </c>
      <c r="K19" s="77"/>
      <c r="L19" s="75">
        <v>0.95346585775138759</v>
      </c>
      <c r="M19" s="19"/>
      <c r="N19" s="76">
        <v>0.97623035028216787</v>
      </c>
      <c r="O19" s="76"/>
      <c r="P19" s="80">
        <v>0.98571513335508942</v>
      </c>
      <c r="Q19" s="80"/>
      <c r="R19" s="76">
        <v>0.98087352873297939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D19" s="34"/>
    </row>
    <row r="20" spans="2:30" x14ac:dyDescent="0.25">
      <c r="C20" s="3"/>
      <c r="F20" s="34"/>
      <c r="G20" s="34"/>
      <c r="H20" s="34"/>
      <c r="I20" s="34"/>
      <c r="J20" s="19"/>
      <c r="K20" s="19"/>
      <c r="L20" s="25"/>
      <c r="M20" s="19"/>
      <c r="N20" s="19"/>
      <c r="O20" s="34"/>
      <c r="P20" s="19"/>
      <c r="Q20" s="19"/>
      <c r="R20" s="25">
        <f>R25/(R11+R16)</f>
        <v>0.94082008185848187</v>
      </c>
      <c r="S20" s="34"/>
      <c r="T20" s="25"/>
      <c r="U20" s="34"/>
      <c r="V20" s="34"/>
      <c r="W20" s="34"/>
      <c r="X20" s="34"/>
      <c r="Y20" s="34"/>
      <c r="Z20" s="34"/>
      <c r="AA20" s="34"/>
      <c r="AB20" s="34"/>
      <c r="AD20" s="34"/>
    </row>
    <row r="21" spans="2:30" x14ac:dyDescent="0.25">
      <c r="C21" s="78" t="s">
        <v>33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D21" s="34"/>
    </row>
    <row r="22" spans="2:30" x14ac:dyDescent="0.25">
      <c r="C22">
        <v>2020</v>
      </c>
      <c r="F22" s="34"/>
      <c r="G22" s="34"/>
      <c r="H22" s="34"/>
      <c r="I22" s="34"/>
      <c r="J22" s="34"/>
      <c r="K22" s="19"/>
      <c r="L22" s="34"/>
      <c r="M22" s="19"/>
      <c r="N22" s="34">
        <f>(N14+N9)*N18</f>
        <v>6947.7670614227463</v>
      </c>
      <c r="O22" s="34"/>
      <c r="P22" s="34">
        <f>(P14+P9)*P18</f>
        <v>6495.5468379303229</v>
      </c>
      <c r="Q22" s="19"/>
      <c r="R22" s="34">
        <f>(R14+R9)*R18</f>
        <v>6133.5838950628522</v>
      </c>
      <c r="S22" s="34"/>
      <c r="T22" s="34">
        <f>(T14+T9)*T18</f>
        <v>5880.843452244836</v>
      </c>
      <c r="U22" s="34"/>
      <c r="V22" s="34">
        <f>(V14+V9)*V18</f>
        <v>6614.7268989211207</v>
      </c>
      <c r="W22" s="34"/>
      <c r="X22" s="34">
        <f>(X14+X9)*X18</f>
        <v>8669.6803183425982</v>
      </c>
      <c r="Y22" s="34"/>
      <c r="Z22" s="34">
        <f>(Z14+Z9)*Z18</f>
        <v>10750.46264453161</v>
      </c>
      <c r="AA22" s="34"/>
      <c r="AB22" s="34">
        <f>(AB14+AB5)*AB18</f>
        <v>15707.587474283408</v>
      </c>
      <c r="AD22" s="34"/>
    </row>
    <row r="23" spans="2:30" x14ac:dyDescent="0.25">
      <c r="C23">
        <v>2021</v>
      </c>
      <c r="F23" s="34">
        <f>(F15+F10)*F19</f>
        <v>9354.4827772839162</v>
      </c>
      <c r="G23" s="34"/>
      <c r="H23" s="34">
        <f>(H15+H10)*H19</f>
        <v>9565.5821678076936</v>
      </c>
      <c r="I23" s="34"/>
      <c r="J23" s="34">
        <f>(J15+J10)*J19</f>
        <v>11093.654726128632</v>
      </c>
      <c r="K23" s="19"/>
      <c r="L23" s="34">
        <f>(L15+L10)*L19</f>
        <v>9308.528258250506</v>
      </c>
      <c r="M23" s="19"/>
      <c r="N23" s="34">
        <f>(N15+N10)*N19</f>
        <v>8123.5381548146797</v>
      </c>
      <c r="O23" s="34"/>
      <c r="P23" s="34">
        <f>(P15+P10)*P19</f>
        <v>6675.9200265029021</v>
      </c>
      <c r="Q23" s="19"/>
      <c r="R23" s="34">
        <f>(R15+R10)*R19</f>
        <v>3397.9093824524966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D23" s="34"/>
    </row>
    <row r="24" spans="2:30" x14ac:dyDescent="0.25">
      <c r="C24" s="3"/>
      <c r="F24" s="34"/>
      <c r="G24" s="34"/>
      <c r="H24" s="34"/>
      <c r="I24" s="34"/>
      <c r="J24" s="19"/>
      <c r="K24" s="19"/>
      <c r="L24" s="19"/>
      <c r="M24" s="19"/>
      <c r="N24" s="19"/>
      <c r="O24" s="34"/>
      <c r="P24" s="19"/>
      <c r="Q24" s="19"/>
      <c r="R24" s="1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D24" s="34"/>
    </row>
    <row r="25" spans="2:30" x14ac:dyDescent="0.25">
      <c r="C25" s="78" t="s">
        <v>34</v>
      </c>
      <c r="F25" s="34"/>
      <c r="G25" s="34"/>
      <c r="H25" s="34"/>
      <c r="I25" s="34"/>
      <c r="J25" s="19"/>
      <c r="K25" s="19"/>
      <c r="L25" s="34"/>
      <c r="M25" s="19"/>
      <c r="N25" s="19"/>
      <c r="O25" s="34"/>
      <c r="P25" s="19"/>
      <c r="Q25" s="19"/>
      <c r="R25" s="34">
        <f>SUM($F23:R23)+SUM(T22:$AB22)</f>
        <v>105142.91628156439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D25" s="34"/>
    </row>
    <row r="26" spans="2:30" x14ac:dyDescent="0.25">
      <c r="F26" s="34"/>
      <c r="G26" s="34"/>
      <c r="H26" s="34"/>
      <c r="I26" s="34"/>
      <c r="J26" s="34"/>
      <c r="K26" s="19"/>
      <c r="L26" s="34"/>
      <c r="M26" s="19"/>
      <c r="N26" s="34"/>
      <c r="O26" s="34"/>
      <c r="P26" s="34"/>
      <c r="Q26" s="19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D26" s="34"/>
    </row>
    <row r="27" spans="2:30" x14ac:dyDescent="0.25">
      <c r="F27" s="34"/>
      <c r="G27" s="34"/>
      <c r="H27" s="34"/>
      <c r="I27" s="34"/>
      <c r="J27" s="19"/>
      <c r="K27" s="19"/>
      <c r="L27" s="19"/>
      <c r="M27" s="19"/>
      <c r="N27" s="19"/>
      <c r="O27" s="34"/>
      <c r="P27" s="19"/>
      <c r="Q27" s="19"/>
      <c r="R27" s="19"/>
      <c r="S27" s="34"/>
      <c r="T27" s="34"/>
      <c r="U27" s="34"/>
      <c r="V27" s="34"/>
      <c r="W27" s="34"/>
      <c r="X27" s="34"/>
      <c r="Y27" s="34"/>
      <c r="Z27" s="34"/>
      <c r="AA27" s="34"/>
      <c r="AB27" s="34"/>
      <c r="AD27" s="34"/>
    </row>
    <row r="28" spans="2:30" x14ac:dyDescent="0.25">
      <c r="B28" t="s">
        <v>18</v>
      </c>
    </row>
    <row r="29" spans="2:30" x14ac:dyDescent="0.25">
      <c r="C29" t="s">
        <v>136</v>
      </c>
      <c r="F29" s="19" t="s">
        <v>5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D29" s="34"/>
    </row>
    <row r="30" spans="2:30" x14ac:dyDescent="0.25">
      <c r="C30">
        <v>2020</v>
      </c>
      <c r="F30" s="34"/>
      <c r="G30" s="34"/>
      <c r="H30" s="34"/>
      <c r="I30" s="34"/>
      <c r="J30" s="34"/>
      <c r="K30" s="19"/>
      <c r="L30" s="34"/>
      <c r="M30" s="19"/>
      <c r="N30" s="34">
        <v>806</v>
      </c>
      <c r="O30" s="34"/>
      <c r="P30" s="19">
        <v>448</v>
      </c>
      <c r="Q30" s="19"/>
      <c r="R30" s="34">
        <v>413</v>
      </c>
      <c r="S30" s="34"/>
      <c r="T30" s="34">
        <v>329</v>
      </c>
      <c r="U30" s="34"/>
      <c r="V30" s="34">
        <v>450</v>
      </c>
      <c r="W30" s="34"/>
      <c r="X30" s="34">
        <v>639</v>
      </c>
      <c r="Y30" s="34"/>
      <c r="Z30" s="34">
        <v>1194</v>
      </c>
      <c r="AA30" s="34"/>
      <c r="AB30" s="34">
        <v>1521</v>
      </c>
      <c r="AD30" s="34"/>
    </row>
    <row r="31" spans="2:30" x14ac:dyDescent="0.25">
      <c r="C31">
        <v>2021</v>
      </c>
      <c r="F31" s="34">
        <v>747</v>
      </c>
      <c r="G31" s="34"/>
      <c r="H31" s="34">
        <v>1261</v>
      </c>
      <c r="I31" s="34"/>
      <c r="J31" s="34">
        <v>1048</v>
      </c>
      <c r="K31" s="19"/>
      <c r="L31" s="34">
        <v>1025</v>
      </c>
      <c r="M31" s="19"/>
      <c r="N31" s="34">
        <v>1349.4</v>
      </c>
      <c r="O31" s="34"/>
      <c r="P31" s="19">
        <v>413.7</v>
      </c>
      <c r="Q31" s="19"/>
      <c r="R31" s="34">
        <v>169.7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D31" s="34"/>
    </row>
    <row r="32" spans="2:30" x14ac:dyDescent="0.25">
      <c r="L32" s="34"/>
      <c r="R32" s="34">
        <f>SUM($F31:R31)+SUM(T30:$AB30)</f>
        <v>10146.799999999999</v>
      </c>
    </row>
    <row r="33" spans="2:30" x14ac:dyDescent="0.25">
      <c r="L33" s="34"/>
    </row>
    <row r="34" spans="2:30" x14ac:dyDescent="0.25">
      <c r="C34" t="s">
        <v>137</v>
      </c>
      <c r="F34" s="19" t="s">
        <v>5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D34" s="34"/>
    </row>
    <row r="35" spans="2:30" x14ac:dyDescent="0.25">
      <c r="C35">
        <v>2020</v>
      </c>
      <c r="F35" s="34"/>
      <c r="G35" s="34"/>
      <c r="H35" s="34"/>
      <c r="I35" s="34"/>
      <c r="J35" s="34"/>
      <c r="K35" s="19"/>
      <c r="L35" s="34"/>
      <c r="M35" s="19"/>
      <c r="N35" s="34">
        <v>0</v>
      </c>
      <c r="O35" s="34"/>
      <c r="P35" s="19">
        <v>101</v>
      </c>
      <c r="Q35" s="19"/>
      <c r="R35" s="34">
        <v>1</v>
      </c>
      <c r="S35" s="34"/>
      <c r="T35" s="34">
        <v>0</v>
      </c>
      <c r="U35" s="34"/>
      <c r="V35" s="34">
        <v>0</v>
      </c>
      <c r="W35" s="34"/>
      <c r="X35" s="34">
        <v>11</v>
      </c>
      <c r="Y35" s="34"/>
      <c r="Z35" s="34">
        <v>715</v>
      </c>
      <c r="AA35" s="34"/>
      <c r="AB35" s="34">
        <f>95+1616</f>
        <v>1711</v>
      </c>
      <c r="AD35" s="34"/>
    </row>
    <row r="36" spans="2:30" x14ac:dyDescent="0.25">
      <c r="C36">
        <v>2021</v>
      </c>
      <c r="F36" s="34">
        <f>1022+1424</f>
        <v>2446</v>
      </c>
      <c r="G36" s="34"/>
      <c r="H36" s="34">
        <f>1020+1181</f>
        <v>2201</v>
      </c>
      <c r="I36" s="34"/>
      <c r="J36" s="34">
        <f>576+445</f>
        <v>1021</v>
      </c>
      <c r="K36" s="19"/>
      <c r="L36" s="34">
        <f>127+145</f>
        <v>272</v>
      </c>
      <c r="M36" s="19"/>
      <c r="N36" s="34">
        <v>35</v>
      </c>
      <c r="O36" s="34"/>
      <c r="P36" s="19">
        <v>0</v>
      </c>
      <c r="Q36" s="19"/>
      <c r="R36" s="34">
        <v>210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D36" s="34"/>
    </row>
    <row r="37" spans="2:30" x14ac:dyDescent="0.25">
      <c r="F37" s="34"/>
      <c r="G37" s="34"/>
      <c r="H37" s="34"/>
      <c r="I37" s="34"/>
      <c r="J37" s="34"/>
      <c r="K37" s="19"/>
      <c r="L37" s="34"/>
      <c r="M37" s="19"/>
      <c r="N37" s="34"/>
      <c r="O37" s="34"/>
      <c r="P37" s="34"/>
      <c r="Q37" s="19"/>
      <c r="R37" s="34">
        <f>SUM($F36:R36)+SUM(T35:$AB35)</f>
        <v>8622</v>
      </c>
      <c r="S37" s="34"/>
      <c r="T37" s="34"/>
      <c r="U37" s="34"/>
      <c r="V37" s="34"/>
      <c r="W37" s="34"/>
      <c r="X37" s="34"/>
      <c r="Y37" s="34"/>
      <c r="Z37" s="34"/>
      <c r="AA37" s="34"/>
      <c r="AB37" s="34"/>
      <c r="AD37" s="34"/>
    </row>
    <row r="38" spans="2:30" x14ac:dyDescent="0.25">
      <c r="F38" s="34"/>
      <c r="G38" s="34"/>
      <c r="H38" s="34"/>
      <c r="I38" s="34"/>
      <c r="J38" s="34"/>
      <c r="K38" s="19"/>
      <c r="L38" s="34"/>
      <c r="M38" s="19"/>
      <c r="N38" s="34"/>
      <c r="O38" s="34"/>
      <c r="P38" s="34"/>
      <c r="Q38" s="19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D38" s="34"/>
    </row>
    <row r="39" spans="2:30" x14ac:dyDescent="0.25">
      <c r="C39" s="78" t="s">
        <v>138</v>
      </c>
      <c r="F39" s="34"/>
      <c r="G39" s="34"/>
      <c r="H39" s="34"/>
      <c r="I39" s="34"/>
      <c r="J39" s="34"/>
      <c r="K39" s="19"/>
      <c r="L39" s="34"/>
      <c r="M39" s="19"/>
      <c r="N39" s="34"/>
      <c r="O39" s="34"/>
      <c r="P39" s="34"/>
      <c r="Q39" s="19"/>
      <c r="R39" s="34">
        <f>R32+R37</f>
        <v>18768.8</v>
      </c>
      <c r="S39" s="19"/>
      <c r="T39" s="34" t="s">
        <v>5</v>
      </c>
      <c r="U39" s="34"/>
      <c r="V39" s="34"/>
      <c r="W39" s="34"/>
      <c r="X39" s="34"/>
      <c r="Y39" s="34"/>
      <c r="Z39" s="34"/>
      <c r="AA39" s="34"/>
      <c r="AB39" s="34"/>
      <c r="AD39" s="34"/>
    </row>
    <row r="40" spans="2:30" x14ac:dyDescent="0.25">
      <c r="F40" s="34"/>
      <c r="G40" s="34"/>
      <c r="H40" s="34"/>
      <c r="I40" s="34"/>
      <c r="J40" s="34"/>
      <c r="K40" s="19"/>
      <c r="L40" s="34"/>
      <c r="M40" s="19"/>
      <c r="N40" s="34"/>
      <c r="O40" s="34"/>
      <c r="P40" s="34"/>
      <c r="Q40" s="19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D40" s="34"/>
    </row>
    <row r="41" spans="2:30" x14ac:dyDescent="0.25">
      <c r="B41" t="s">
        <v>23</v>
      </c>
    </row>
    <row r="42" spans="2:30" x14ac:dyDescent="0.25">
      <c r="C42" t="s">
        <v>139</v>
      </c>
      <c r="F42" s="19" t="s">
        <v>5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D42" s="34"/>
    </row>
    <row r="43" spans="2:30" x14ac:dyDescent="0.25">
      <c r="C43">
        <v>2020</v>
      </c>
      <c r="F43" s="34"/>
      <c r="G43" s="34"/>
      <c r="H43" s="34"/>
      <c r="I43" s="34"/>
      <c r="J43" s="34"/>
      <c r="K43" s="19"/>
      <c r="L43" s="34"/>
      <c r="M43" s="19"/>
      <c r="N43" s="34">
        <v>341</v>
      </c>
      <c r="O43" s="34"/>
      <c r="P43" s="19">
        <v>43</v>
      </c>
      <c r="Q43" s="19"/>
      <c r="R43" s="34">
        <v>9</v>
      </c>
      <c r="S43" s="34"/>
      <c r="T43" s="34">
        <v>17</v>
      </c>
      <c r="U43" s="34"/>
      <c r="V43" s="34">
        <v>151</v>
      </c>
      <c r="W43" s="34"/>
      <c r="X43" s="34">
        <v>271</v>
      </c>
      <c r="Y43" s="34"/>
      <c r="Z43" s="34">
        <v>922</v>
      </c>
      <c r="AA43" s="34"/>
      <c r="AB43" s="34">
        <v>1631</v>
      </c>
      <c r="AD43" s="34"/>
    </row>
    <row r="44" spans="2:30" x14ac:dyDescent="0.25">
      <c r="C44">
        <v>2021</v>
      </c>
      <c r="F44" s="34">
        <v>1771</v>
      </c>
      <c r="G44" s="34"/>
      <c r="H44" s="34">
        <v>2445</v>
      </c>
      <c r="I44" s="34"/>
      <c r="J44" s="34">
        <v>1533</v>
      </c>
      <c r="K44" s="19"/>
      <c r="L44" s="34">
        <v>497</v>
      </c>
      <c r="M44" s="19"/>
      <c r="N44" s="34">
        <v>500.9</v>
      </c>
      <c r="O44" s="34"/>
      <c r="P44" s="19">
        <v>120.2</v>
      </c>
      <c r="Q44" s="19"/>
      <c r="R44" s="34">
        <v>102.4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D44" s="34"/>
    </row>
    <row r="45" spans="2:30" x14ac:dyDescent="0.25">
      <c r="L45" s="34"/>
      <c r="R45" s="34">
        <f>SUM($F44:R44)+SUM(T43:$AB43)</f>
        <v>9961.5</v>
      </c>
    </row>
    <row r="46" spans="2:30" x14ac:dyDescent="0.25">
      <c r="L46" s="34"/>
    </row>
    <row r="47" spans="2:30" x14ac:dyDescent="0.25">
      <c r="C47" t="s">
        <v>137</v>
      </c>
      <c r="F47" s="19" t="s">
        <v>5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D47" s="34"/>
    </row>
    <row r="48" spans="2:30" x14ac:dyDescent="0.25">
      <c r="C48">
        <v>2020</v>
      </c>
      <c r="F48" s="34"/>
      <c r="G48" s="34"/>
      <c r="H48" s="34"/>
      <c r="I48" s="34"/>
      <c r="J48" s="34"/>
      <c r="K48" s="19"/>
      <c r="L48" s="34"/>
      <c r="M48" s="19"/>
      <c r="N48" s="34">
        <v>234</v>
      </c>
      <c r="O48" s="34"/>
      <c r="P48" s="19">
        <v>133</v>
      </c>
      <c r="Q48" s="19"/>
      <c r="R48" s="34">
        <v>111</v>
      </c>
      <c r="S48" s="34"/>
      <c r="T48" s="34">
        <v>120</v>
      </c>
      <c r="U48" s="34"/>
      <c r="V48" s="34">
        <v>135</v>
      </c>
      <c r="W48" s="34"/>
      <c r="X48" s="34">
        <v>187</v>
      </c>
      <c r="Y48" s="34"/>
      <c r="Z48" s="34">
        <v>387</v>
      </c>
      <c r="AA48" s="34"/>
      <c r="AB48" s="34">
        <v>745</v>
      </c>
      <c r="AD48" s="34"/>
    </row>
    <row r="49" spans="3:30" x14ac:dyDescent="0.25">
      <c r="C49">
        <v>2021</v>
      </c>
      <c r="F49" s="34">
        <v>789</v>
      </c>
      <c r="G49" s="34"/>
      <c r="H49" s="34">
        <v>461</v>
      </c>
      <c r="I49" s="34"/>
      <c r="J49" s="34">
        <v>164</v>
      </c>
      <c r="K49" s="19"/>
      <c r="L49" s="34">
        <v>353</v>
      </c>
      <c r="M49" s="19"/>
      <c r="N49" s="34">
        <v>225</v>
      </c>
      <c r="O49" s="34"/>
      <c r="P49" s="19">
        <v>150</v>
      </c>
      <c r="Q49" s="19"/>
      <c r="R49" s="34">
        <v>148</v>
      </c>
      <c r="S49" s="34"/>
      <c r="T49" s="34"/>
      <c r="U49" s="34"/>
      <c r="V49" s="34"/>
      <c r="W49" s="34"/>
      <c r="X49" s="34"/>
      <c r="Y49" s="34"/>
      <c r="Z49" s="34"/>
      <c r="AA49" s="34"/>
      <c r="AB49" s="34"/>
      <c r="AD49" s="34"/>
    </row>
    <row r="50" spans="3:30" x14ac:dyDescent="0.25">
      <c r="F50" s="34"/>
      <c r="G50" s="34"/>
      <c r="H50" s="34"/>
      <c r="I50" s="34"/>
      <c r="J50" s="34"/>
      <c r="K50" s="19"/>
      <c r="L50" s="34"/>
      <c r="M50" s="19"/>
      <c r="N50" s="34"/>
      <c r="O50" s="34"/>
      <c r="P50" s="34"/>
      <c r="Q50" s="19"/>
      <c r="R50" s="34">
        <f>SUM($F49:R49)+SUM(T48:$AB48)</f>
        <v>3864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D50" s="34"/>
    </row>
    <row r="51" spans="3:30" x14ac:dyDescent="0.25">
      <c r="F51" s="34"/>
      <c r="G51" s="34"/>
      <c r="H51" s="34"/>
      <c r="I51" s="34"/>
      <c r="J51" s="34"/>
      <c r="K51" s="19"/>
      <c r="L51" s="34"/>
      <c r="M51" s="19"/>
      <c r="N51" s="34"/>
      <c r="O51" s="34"/>
      <c r="P51" s="34"/>
      <c r="Q51" s="19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D51" s="34"/>
    </row>
    <row r="52" spans="3:30" x14ac:dyDescent="0.25">
      <c r="C52" s="78" t="s">
        <v>140</v>
      </c>
      <c r="F52" s="34"/>
      <c r="G52" s="34"/>
      <c r="H52" s="34"/>
      <c r="I52" s="34"/>
      <c r="J52" s="34"/>
      <c r="K52" s="19"/>
      <c r="L52" s="34"/>
      <c r="M52" s="19"/>
      <c r="N52" s="34"/>
      <c r="O52" s="34"/>
      <c r="P52" s="34"/>
      <c r="Q52" s="19"/>
      <c r="R52" s="34">
        <f>R45+R50</f>
        <v>13825.5</v>
      </c>
      <c r="S52" s="19"/>
      <c r="T52" s="34" t="s">
        <v>5</v>
      </c>
      <c r="U52" s="34"/>
      <c r="V52" s="34"/>
      <c r="W52" s="34"/>
      <c r="X52" s="34"/>
      <c r="Y52" s="34"/>
      <c r="Z52" s="34"/>
      <c r="AA52" s="34"/>
      <c r="AB52" s="34"/>
      <c r="AD52" s="34"/>
    </row>
    <row r="53" spans="3:30" x14ac:dyDescent="0.25">
      <c r="F53" s="34"/>
      <c r="G53" s="34"/>
      <c r="H53" s="34"/>
      <c r="I53" s="34"/>
      <c r="J53" s="19"/>
      <c r="K53" s="19"/>
      <c r="L53" s="19"/>
      <c r="M53" s="19"/>
      <c r="N53" s="19"/>
      <c r="O53" s="34"/>
      <c r="P53" s="19"/>
      <c r="Q53" s="19"/>
      <c r="R53" s="1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D53" s="34"/>
    </row>
    <row r="54" spans="3:30" x14ac:dyDescent="0.25">
      <c r="F54" s="34"/>
      <c r="G54" s="34"/>
      <c r="H54" s="34"/>
      <c r="I54" s="34"/>
      <c r="J54" s="34"/>
      <c r="K54" s="19"/>
      <c r="L54" s="34"/>
      <c r="M54" s="19"/>
      <c r="N54" s="34"/>
      <c r="O54" s="34"/>
      <c r="P54" s="19"/>
      <c r="Q54" s="19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D54" s="34"/>
    </row>
    <row r="55" spans="3:30" x14ac:dyDescent="0.25">
      <c r="F55" s="34"/>
      <c r="G55" s="34"/>
      <c r="H55" s="34"/>
      <c r="I55" s="34"/>
      <c r="J55" s="34"/>
      <c r="K55" s="19"/>
      <c r="L55" s="34"/>
      <c r="M55" s="19"/>
      <c r="N55" s="34"/>
      <c r="O55" s="34"/>
      <c r="P55" s="19"/>
      <c r="Q55" s="19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D55" s="34"/>
    </row>
    <row r="56" spans="3:30" x14ac:dyDescent="0.25">
      <c r="L56" s="19"/>
    </row>
    <row r="57" spans="3:30" x14ac:dyDescent="0.25">
      <c r="C57" s="3"/>
      <c r="L57" s="19"/>
      <c r="N57" s="19"/>
    </row>
    <row r="58" spans="3:30" x14ac:dyDescent="0.25">
      <c r="F58" s="34"/>
      <c r="G58" s="34"/>
      <c r="H58" s="34"/>
      <c r="I58" s="34"/>
      <c r="J58" s="34"/>
      <c r="K58" s="19"/>
      <c r="L58" s="34"/>
      <c r="M58" s="19"/>
      <c r="N58" s="34"/>
      <c r="O58" s="34"/>
      <c r="P58" s="34"/>
      <c r="Q58" s="19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D58" s="34"/>
    </row>
    <row r="60" spans="3:30" x14ac:dyDescent="0.25">
      <c r="F60" s="34"/>
      <c r="H60" s="34"/>
      <c r="J60" s="34"/>
      <c r="L60" s="34"/>
      <c r="N60" s="34"/>
      <c r="P60" s="34"/>
      <c r="R60" s="34"/>
      <c r="T60" s="34"/>
      <c r="V60" s="34"/>
      <c r="X60" s="34"/>
      <c r="Z60" s="34"/>
      <c r="AB60" s="34"/>
      <c r="AD60" s="34"/>
    </row>
    <row r="61" spans="3:30" x14ac:dyDescent="0.25">
      <c r="F61" s="35"/>
      <c r="H61" s="35"/>
      <c r="J61" s="35"/>
      <c r="L61" s="35"/>
      <c r="N61" s="35"/>
      <c r="P61" s="35"/>
      <c r="R61" s="35"/>
      <c r="T61" s="35"/>
      <c r="V61" s="35"/>
      <c r="X61" s="35"/>
      <c r="Z61" s="35"/>
      <c r="AB61" s="35"/>
      <c r="AD61" s="36"/>
    </row>
    <row r="62" spans="3:30" x14ac:dyDescent="0.25">
      <c r="F62" s="35"/>
      <c r="H62" s="35"/>
      <c r="J62" s="35"/>
      <c r="L62" s="35"/>
      <c r="N62" s="35"/>
      <c r="P62" s="35"/>
      <c r="R62" s="35"/>
      <c r="T62" s="35"/>
      <c r="V62" s="35"/>
      <c r="X62" s="35"/>
      <c r="Z62" s="35"/>
      <c r="AB62" s="35"/>
      <c r="AD62" s="36"/>
    </row>
    <row r="63" spans="3:30" x14ac:dyDescent="0.25">
      <c r="F63" s="35"/>
      <c r="H63" s="35"/>
      <c r="J63" s="35"/>
      <c r="L63" s="35"/>
      <c r="N63" s="35"/>
      <c r="P63" s="35"/>
      <c r="R63" s="35"/>
      <c r="T63" s="35"/>
      <c r="V63" s="35"/>
      <c r="X63" s="35"/>
      <c r="Z63" s="35"/>
      <c r="AB63" s="35"/>
      <c r="AD63" s="36"/>
    </row>
    <row r="66" spans="6:30" x14ac:dyDescent="0.25">
      <c r="P66" s="34"/>
      <c r="R66" s="34"/>
      <c r="T66" s="34"/>
      <c r="V66" s="34"/>
      <c r="X66" s="34"/>
      <c r="Z66" s="34"/>
      <c r="AB66" s="34"/>
    </row>
    <row r="67" spans="6:30" x14ac:dyDescent="0.25">
      <c r="F67" s="34"/>
      <c r="H67" s="34"/>
      <c r="J67" s="34"/>
      <c r="L67" s="34"/>
      <c r="N67" s="34"/>
      <c r="AD67" s="37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8499-999A-459B-8386-3603BE50C18A}">
  <sheetPr>
    <pageSetUpPr fitToPage="1"/>
  </sheetPr>
  <dimension ref="A1:AD43"/>
  <sheetViews>
    <sheetView topLeftCell="A16" zoomScaleNormal="100" workbookViewId="0">
      <selection activeCell="R42" sqref="R42"/>
    </sheetView>
  </sheetViews>
  <sheetFormatPr defaultColWidth="9.109375" defaultRowHeight="13.2" x14ac:dyDescent="0.25"/>
  <cols>
    <col min="1" max="2" width="1.21875" customWidth="1"/>
    <col min="3" max="3" width="10.6640625" customWidth="1"/>
    <col min="4" max="5" width="1.21875" customWidth="1"/>
    <col min="6" max="6" width="9.6640625" customWidth="1"/>
    <col min="7" max="7" width="1.21875" customWidth="1"/>
    <col min="8" max="8" width="9.6640625" customWidth="1"/>
    <col min="9" max="9" width="1.21875" customWidth="1"/>
    <col min="10" max="10" width="9.6640625" customWidth="1"/>
    <col min="11" max="11" width="1.21875" customWidth="1"/>
    <col min="12" max="12" width="9.6640625" customWidth="1"/>
    <col min="13" max="13" width="1.21875" customWidth="1"/>
    <col min="14" max="14" width="9.6640625" customWidth="1"/>
    <col min="15" max="15" width="1.21875" customWidth="1"/>
    <col min="16" max="16" width="9.6640625" customWidth="1"/>
    <col min="17" max="17" width="1.21875" customWidth="1"/>
    <col min="18" max="18" width="9.6640625" customWidth="1"/>
    <col min="19" max="19" width="1.21875" customWidth="1"/>
    <col min="20" max="20" width="9.6640625" customWidth="1"/>
    <col min="21" max="21" width="1.21875" customWidth="1"/>
    <col min="22" max="22" width="9.6640625" customWidth="1"/>
    <col min="23" max="23" width="1.21875" customWidth="1"/>
    <col min="24" max="24" width="9.6640625" customWidth="1"/>
    <col min="25" max="25" width="1.21875" customWidth="1"/>
    <col min="26" max="26" width="9.6640625" customWidth="1"/>
    <col min="27" max="27" width="1.21875" customWidth="1"/>
    <col min="28" max="28" width="9.6640625" customWidth="1"/>
    <col min="29" max="29" width="1.21875" customWidth="1"/>
    <col min="30" max="30" width="10.6640625" customWidth="1"/>
    <col min="32" max="32" width="15.88671875" customWidth="1"/>
    <col min="33" max="33" width="9.6640625" customWidth="1"/>
  </cols>
  <sheetData>
    <row r="1" spans="1:30" x14ac:dyDescent="0.25">
      <c r="A1" s="3" t="s">
        <v>32</v>
      </c>
    </row>
    <row r="2" spans="1:30" s="31" customFormat="1" x14ac:dyDescent="0.25">
      <c r="A2" s="30"/>
      <c r="F2" s="32">
        <v>39478</v>
      </c>
      <c r="G2" s="32"/>
      <c r="H2" s="32">
        <v>39506</v>
      </c>
      <c r="I2" s="32"/>
      <c r="J2" s="32">
        <v>39538</v>
      </c>
      <c r="K2" s="32"/>
      <c r="L2" s="32">
        <v>39568</v>
      </c>
      <c r="M2" s="32"/>
      <c r="N2" s="32">
        <v>39599</v>
      </c>
      <c r="O2" s="32"/>
      <c r="P2" s="32">
        <v>39629</v>
      </c>
      <c r="Q2" s="32"/>
      <c r="R2" s="32">
        <v>39660</v>
      </c>
      <c r="S2" s="32"/>
      <c r="T2" s="32">
        <v>39691</v>
      </c>
      <c r="U2" s="32"/>
      <c r="V2" s="32">
        <v>39721</v>
      </c>
      <c r="W2" s="32"/>
      <c r="X2" s="32">
        <v>39752</v>
      </c>
      <c r="Y2" s="32"/>
      <c r="Z2" s="32">
        <v>39782</v>
      </c>
      <c r="AA2" s="32"/>
      <c r="AB2" s="32">
        <v>39813</v>
      </c>
      <c r="AC2" s="32"/>
      <c r="AD2" s="33" t="s">
        <v>33</v>
      </c>
    </row>
    <row r="3" spans="1:30" x14ac:dyDescent="0.25">
      <c r="B3" t="s">
        <v>9</v>
      </c>
    </row>
    <row r="4" spans="1:30" x14ac:dyDescent="0.25">
      <c r="C4">
        <v>2016</v>
      </c>
      <c r="F4" s="19">
        <v>11015</v>
      </c>
      <c r="G4" s="19"/>
      <c r="H4" s="19">
        <v>10109</v>
      </c>
      <c r="I4" s="19"/>
      <c r="J4" s="19">
        <v>9340</v>
      </c>
      <c r="K4" s="19"/>
      <c r="L4" s="19">
        <v>7794</v>
      </c>
      <c r="M4" s="19"/>
      <c r="N4" s="19">
        <v>5474</v>
      </c>
      <c r="O4" s="19"/>
      <c r="P4" s="19">
        <v>4778</v>
      </c>
      <c r="Q4" s="19"/>
      <c r="R4" s="19">
        <v>4594</v>
      </c>
      <c r="S4" s="19"/>
      <c r="T4" s="19">
        <v>4462</v>
      </c>
      <c r="U4" s="19"/>
      <c r="V4" s="19">
        <v>5505</v>
      </c>
      <c r="W4" s="19"/>
      <c r="X4" s="19">
        <v>5465</v>
      </c>
      <c r="Y4" s="19"/>
      <c r="Z4" s="19">
        <v>7363</v>
      </c>
      <c r="AA4" s="19"/>
      <c r="AB4" s="19">
        <v>8826</v>
      </c>
      <c r="AD4" s="34">
        <f t="shared" ref="AD4:AD8" si="0">SUM(F4:AB4)</f>
        <v>84725</v>
      </c>
    </row>
    <row r="5" spans="1:30" x14ac:dyDescent="0.25">
      <c r="C5">
        <v>2017</v>
      </c>
      <c r="F5" s="19">
        <v>7634</v>
      </c>
      <c r="G5" s="19"/>
      <c r="H5" s="19">
        <v>6393</v>
      </c>
      <c r="I5" s="19"/>
      <c r="J5" s="19">
        <v>7774</v>
      </c>
      <c r="K5" s="19"/>
      <c r="L5" s="19">
        <v>6650</v>
      </c>
      <c r="M5" s="19"/>
      <c r="N5" s="19">
        <v>3981</v>
      </c>
      <c r="O5" s="19"/>
      <c r="P5" s="19">
        <v>3459</v>
      </c>
      <c r="Q5" s="19"/>
      <c r="R5" s="19">
        <v>2704</v>
      </c>
      <c r="S5" s="19"/>
      <c r="T5" s="19">
        <v>4983</v>
      </c>
      <c r="U5" s="19"/>
      <c r="V5" s="19">
        <v>6437</v>
      </c>
      <c r="W5" s="19"/>
      <c r="X5" s="19">
        <v>6306</v>
      </c>
      <c r="Y5" s="19"/>
      <c r="Z5" s="19">
        <v>10869</v>
      </c>
      <c r="AA5" s="19"/>
      <c r="AB5" s="19">
        <v>12716</v>
      </c>
      <c r="AD5" s="34">
        <f t="shared" si="0"/>
        <v>79906</v>
      </c>
    </row>
    <row r="6" spans="1:30" x14ac:dyDescent="0.25">
      <c r="C6">
        <v>2018</v>
      </c>
      <c r="F6" s="34">
        <v>12306</v>
      </c>
      <c r="G6" s="34"/>
      <c r="H6" s="34">
        <v>12391</v>
      </c>
      <c r="I6" s="34"/>
      <c r="J6" s="19">
        <v>13164</v>
      </c>
      <c r="K6" s="19"/>
      <c r="L6" s="19">
        <v>10761</v>
      </c>
      <c r="M6" s="19"/>
      <c r="N6" s="19">
        <v>6961</v>
      </c>
      <c r="O6" s="34"/>
      <c r="P6" s="19">
        <v>6678</v>
      </c>
      <c r="Q6" s="19"/>
      <c r="R6" s="19">
        <v>5672</v>
      </c>
      <c r="S6" s="34"/>
      <c r="T6" s="34">
        <v>6855</v>
      </c>
      <c r="U6" s="34"/>
      <c r="V6" s="34">
        <v>6082.8</v>
      </c>
      <c r="W6" s="34"/>
      <c r="X6" s="34">
        <v>7301.3</v>
      </c>
      <c r="Y6" s="34"/>
      <c r="Z6" s="34">
        <v>13375.6</v>
      </c>
      <c r="AA6" s="34"/>
      <c r="AB6" s="34">
        <v>13910</v>
      </c>
      <c r="AD6" s="34">
        <f t="shared" si="0"/>
        <v>115457.70000000001</v>
      </c>
    </row>
    <row r="7" spans="1:30" x14ac:dyDescent="0.25">
      <c r="C7">
        <v>2019</v>
      </c>
      <c r="F7" s="34">
        <v>12228</v>
      </c>
      <c r="G7" s="34"/>
      <c r="H7" s="34">
        <v>14660</v>
      </c>
      <c r="I7" s="34"/>
      <c r="J7" s="19">
        <v>12783</v>
      </c>
      <c r="K7" s="19"/>
      <c r="L7" s="19">
        <v>9302</v>
      </c>
      <c r="M7" s="19"/>
      <c r="N7" s="19">
        <v>9488</v>
      </c>
      <c r="O7" s="34"/>
      <c r="P7" s="19">
        <v>6501</v>
      </c>
      <c r="Q7" s="19"/>
      <c r="R7" s="19">
        <v>6289</v>
      </c>
      <c r="S7" s="34"/>
      <c r="T7" s="34">
        <v>6925</v>
      </c>
      <c r="U7" s="34"/>
      <c r="V7" s="34">
        <v>4629</v>
      </c>
      <c r="W7" s="34"/>
      <c r="X7" s="34">
        <v>5670</v>
      </c>
      <c r="Y7" s="34"/>
      <c r="Z7" s="34">
        <f>(8157+25419+79254+1932)/10</f>
        <v>11476.2</v>
      </c>
      <c r="AA7" s="34"/>
      <c r="AB7" s="34">
        <f>110608/10</f>
        <v>11060.8</v>
      </c>
      <c r="AD7" s="34">
        <f t="shared" si="0"/>
        <v>111012</v>
      </c>
    </row>
    <row r="8" spans="1:30" x14ac:dyDescent="0.25">
      <c r="C8">
        <v>2020</v>
      </c>
      <c r="F8" s="34">
        <f>126026/10</f>
        <v>12602.6</v>
      </c>
      <c r="G8" s="34"/>
      <c r="H8" s="34">
        <f>121576/10</f>
        <v>12157.6</v>
      </c>
      <c r="I8" s="34"/>
      <c r="J8" s="34">
        <f>127017/10</f>
        <v>12701.7</v>
      </c>
      <c r="K8" s="19"/>
      <c r="L8" s="34">
        <f>103242/10</f>
        <v>10324.200000000001</v>
      </c>
      <c r="M8" s="19"/>
      <c r="N8" s="34">
        <f>75817/10</f>
        <v>7581.7</v>
      </c>
      <c r="O8" s="34"/>
      <c r="P8" s="19">
        <f>58765/10</f>
        <v>5876.5</v>
      </c>
      <c r="Q8" s="19"/>
      <c r="R8" s="34">
        <f>59521/10</f>
        <v>5952.1</v>
      </c>
      <c r="S8" s="34"/>
      <c r="T8" s="34">
        <f>51603/10</f>
        <v>5160.3</v>
      </c>
      <c r="U8" s="34"/>
      <c r="V8" s="34">
        <f>63345/10</f>
        <v>6334.5</v>
      </c>
      <c r="W8" s="34"/>
      <c r="X8" s="34">
        <f>77349/10</f>
        <v>7734.9</v>
      </c>
      <c r="Y8" s="34"/>
      <c r="Z8" s="34">
        <f>91968/10</f>
        <v>9196.7999999999993</v>
      </c>
      <c r="AA8" s="34"/>
      <c r="AB8" s="34">
        <f>137696/10</f>
        <v>13769.6</v>
      </c>
      <c r="AD8" s="34">
        <f t="shared" si="0"/>
        <v>109392.50000000001</v>
      </c>
    </row>
    <row r="9" spans="1:30" x14ac:dyDescent="0.25">
      <c r="C9">
        <v>2021</v>
      </c>
      <c r="F9" s="34">
        <f>90889/10</f>
        <v>9088.9</v>
      </c>
      <c r="G9" s="34"/>
      <c r="H9" s="34">
        <f>96265/10</f>
        <v>9626.5</v>
      </c>
      <c r="I9" s="34"/>
      <c r="J9" s="34">
        <f>120724/10</f>
        <v>12072.4</v>
      </c>
      <c r="K9" s="19"/>
      <c r="L9" s="34">
        <f>103411/10</f>
        <v>10341.1</v>
      </c>
      <c r="M9" s="19"/>
      <c r="N9" s="34">
        <f>(780+7910+57187+3491)/10</f>
        <v>6936.8</v>
      </c>
      <c r="O9" s="34"/>
      <c r="P9" s="19">
        <f>(338+9258+56577+278)/10</f>
        <v>6645.1</v>
      </c>
      <c r="Q9" s="19"/>
      <c r="R9" s="34">
        <f>(179+6383+26737+702)/10</f>
        <v>3400.1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D9" s="34"/>
    </row>
    <row r="10" spans="1:30" x14ac:dyDescent="0.25">
      <c r="F10" s="34"/>
      <c r="G10" s="34"/>
      <c r="H10" s="34"/>
      <c r="I10" s="34"/>
      <c r="J10" s="19"/>
      <c r="K10" s="19"/>
      <c r="L10" s="19"/>
      <c r="M10" s="19"/>
      <c r="N10" s="19"/>
      <c r="O10" s="34"/>
      <c r="P10" s="19"/>
      <c r="Q10" s="19"/>
      <c r="R10" s="1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D10" s="34"/>
    </row>
    <row r="11" spans="1:30" x14ac:dyDescent="0.25">
      <c r="C11" s="3" t="s">
        <v>34</v>
      </c>
      <c r="F11" s="34"/>
      <c r="G11" s="34"/>
      <c r="H11" s="34"/>
      <c r="I11" s="34"/>
      <c r="J11" s="19"/>
      <c r="K11" s="19"/>
      <c r="L11" s="19"/>
      <c r="M11" s="19"/>
      <c r="N11" s="19"/>
      <c r="O11" s="34"/>
      <c r="P11" s="19"/>
      <c r="Q11" s="19"/>
      <c r="R11" s="19">
        <f>SUM(T8:$AB8)+SUM($F9:R9)</f>
        <v>100307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D11" s="34"/>
    </row>
    <row r="12" spans="1:30" x14ac:dyDescent="0.25">
      <c r="C12" t="s">
        <v>35</v>
      </c>
      <c r="F12" s="34">
        <f>AVERAGE(F4:F8)</f>
        <v>11157.119999999999</v>
      </c>
      <c r="G12" s="34"/>
      <c r="H12" s="34">
        <f>AVERAGE(H4:H8)</f>
        <v>11142.119999999999</v>
      </c>
      <c r="I12" s="34"/>
      <c r="J12" s="34">
        <f>AVERAGE(J4:J8)</f>
        <v>11152.539999999999</v>
      </c>
      <c r="K12" s="19"/>
      <c r="L12" s="34">
        <f>AVERAGE(L4:L8)</f>
        <v>8966.24</v>
      </c>
      <c r="M12" s="19"/>
      <c r="N12" s="34">
        <f>AVERAGE(N4:N8)</f>
        <v>6697.1399999999994</v>
      </c>
      <c r="O12" s="34"/>
      <c r="P12" s="34">
        <f>AVERAGE(P4:P8)</f>
        <v>5458.5</v>
      </c>
      <c r="Q12" s="19"/>
      <c r="R12" s="34">
        <f>AVERAGE(R4:R8)</f>
        <v>5042.2199999999993</v>
      </c>
      <c r="S12" s="34"/>
      <c r="T12" s="34">
        <f>AVERAGE(T4:T8)</f>
        <v>5677.0599999999995</v>
      </c>
      <c r="U12" s="34"/>
      <c r="V12" s="34">
        <f>AVERAGE(V4:V8)</f>
        <v>5797.66</v>
      </c>
      <c r="W12" s="34"/>
      <c r="X12" s="34">
        <f>AVERAGE(X4:X8)</f>
        <v>6495.44</v>
      </c>
      <c r="Y12" s="34"/>
      <c r="Z12" s="34">
        <f>AVERAGE(Z4:Z8)</f>
        <v>10456.120000000001</v>
      </c>
      <c r="AA12" s="34"/>
      <c r="AB12" s="34">
        <f>AVERAGE(AB4:AB8)</f>
        <v>12056.48</v>
      </c>
      <c r="AD12" s="34">
        <f t="shared" ref="AD12" si="1">SUM(F12:AB12)</f>
        <v>100098.63999999998</v>
      </c>
    </row>
    <row r="13" spans="1:30" x14ac:dyDescent="0.25">
      <c r="F13" s="34"/>
      <c r="G13" s="34"/>
      <c r="H13" s="34"/>
      <c r="I13" s="34"/>
      <c r="J13" s="19"/>
      <c r="K13" s="19"/>
      <c r="L13" s="19"/>
      <c r="M13" s="19"/>
      <c r="N13" s="19"/>
      <c r="O13" s="34"/>
      <c r="P13" s="19"/>
      <c r="Q13" s="19"/>
      <c r="R13" s="1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D13" s="34"/>
    </row>
    <row r="14" spans="1:30" x14ac:dyDescent="0.25">
      <c r="B14" t="s">
        <v>18</v>
      </c>
    </row>
    <row r="15" spans="1:30" x14ac:dyDescent="0.25">
      <c r="C15">
        <v>2016</v>
      </c>
      <c r="F15" s="19">
        <v>3400</v>
      </c>
      <c r="G15" s="19"/>
      <c r="H15" s="19">
        <v>2723</v>
      </c>
      <c r="I15" s="19"/>
      <c r="J15" s="19">
        <v>1376</v>
      </c>
      <c r="K15" s="19"/>
      <c r="L15" s="19">
        <v>913</v>
      </c>
      <c r="M15" s="19"/>
      <c r="N15" s="19">
        <v>406</v>
      </c>
      <c r="O15" s="19"/>
      <c r="P15" s="19">
        <v>247</v>
      </c>
      <c r="Q15" s="19"/>
      <c r="R15" s="19">
        <v>223</v>
      </c>
      <c r="S15" s="19"/>
      <c r="T15" s="19">
        <v>221</v>
      </c>
      <c r="U15" s="19"/>
      <c r="V15" s="19">
        <v>235</v>
      </c>
      <c r="W15" s="19"/>
      <c r="X15" s="19">
        <v>443</v>
      </c>
      <c r="Y15" s="19"/>
      <c r="Z15" s="19">
        <v>1501</v>
      </c>
      <c r="AA15" s="19"/>
      <c r="AB15" s="19">
        <v>2532</v>
      </c>
      <c r="AD15" s="34">
        <f t="shared" ref="AD15:AD20" si="2">SUM(F15:AB15)</f>
        <v>14220</v>
      </c>
    </row>
    <row r="16" spans="1:30" x14ac:dyDescent="0.25">
      <c r="C16">
        <v>2017</v>
      </c>
      <c r="F16" s="19">
        <v>2547</v>
      </c>
      <c r="G16" s="19"/>
      <c r="H16" s="19">
        <v>1912</v>
      </c>
      <c r="I16" s="19"/>
      <c r="J16" s="19">
        <v>1990</v>
      </c>
      <c r="K16" s="19"/>
      <c r="L16" s="19">
        <v>659</v>
      </c>
      <c r="M16" s="19"/>
      <c r="N16" s="19">
        <v>481</v>
      </c>
      <c r="O16" s="19"/>
      <c r="P16" s="19">
        <v>285</v>
      </c>
      <c r="Q16" s="19"/>
      <c r="R16" s="19">
        <v>284</v>
      </c>
      <c r="S16" s="19"/>
      <c r="T16" s="19">
        <v>298</v>
      </c>
      <c r="U16" s="19"/>
      <c r="V16" s="19">
        <v>289</v>
      </c>
      <c r="W16" s="19"/>
      <c r="X16" s="19">
        <v>754</v>
      </c>
      <c r="Y16" s="19"/>
      <c r="Z16" s="19">
        <v>1828</v>
      </c>
      <c r="AA16" s="19"/>
      <c r="AB16" s="19">
        <v>2501</v>
      </c>
      <c r="AD16" s="34">
        <f t="shared" si="2"/>
        <v>13828</v>
      </c>
    </row>
    <row r="17" spans="2:30" x14ac:dyDescent="0.25">
      <c r="C17">
        <v>2018</v>
      </c>
      <c r="F17" s="34">
        <v>4102</v>
      </c>
      <c r="G17" s="34"/>
      <c r="H17" s="34">
        <v>2020</v>
      </c>
      <c r="I17" s="34"/>
      <c r="J17" s="19">
        <v>2241</v>
      </c>
      <c r="K17" s="19"/>
      <c r="L17" s="19">
        <v>1481</v>
      </c>
      <c r="M17" s="19"/>
      <c r="N17" s="19">
        <v>392</v>
      </c>
      <c r="O17" s="34"/>
      <c r="P17" s="19">
        <v>303</v>
      </c>
      <c r="Q17" s="19"/>
      <c r="R17" s="19">
        <v>298</v>
      </c>
      <c r="S17" s="34"/>
      <c r="T17" s="34">
        <v>316</v>
      </c>
      <c r="U17" s="34"/>
      <c r="V17" s="34">
        <v>260</v>
      </c>
      <c r="W17" s="34"/>
      <c r="X17" s="34">
        <v>812</v>
      </c>
      <c r="Y17" s="34"/>
      <c r="Z17" s="34">
        <v>2151</v>
      </c>
      <c r="AA17" s="34"/>
      <c r="AB17" s="34">
        <v>2602</v>
      </c>
      <c r="AD17" s="34">
        <f t="shared" si="2"/>
        <v>16978</v>
      </c>
    </row>
    <row r="18" spans="2:30" x14ac:dyDescent="0.25">
      <c r="C18">
        <v>2019</v>
      </c>
      <c r="F18" s="34">
        <v>2898</v>
      </c>
      <c r="G18" s="34"/>
      <c r="H18" s="34">
        <v>2333</v>
      </c>
      <c r="I18" s="34"/>
      <c r="J18" s="19">
        <v>2073</v>
      </c>
      <c r="K18" s="19"/>
      <c r="L18" s="19">
        <v>912</v>
      </c>
      <c r="M18" s="19"/>
      <c r="N18" s="19">
        <v>369</v>
      </c>
      <c r="O18" s="34"/>
      <c r="P18" s="19">
        <v>320</v>
      </c>
      <c r="Q18" s="19"/>
      <c r="R18" s="19">
        <v>335</v>
      </c>
      <c r="S18" s="34"/>
      <c r="T18" s="34">
        <v>289</v>
      </c>
      <c r="U18" s="34"/>
      <c r="V18" s="34">
        <v>365</v>
      </c>
      <c r="W18" s="34"/>
      <c r="X18" s="34">
        <v>628</v>
      </c>
      <c r="Y18" s="34"/>
      <c r="Z18" s="34">
        <v>2233</v>
      </c>
      <c r="AA18" s="34"/>
      <c r="AB18" s="34">
        <v>2655</v>
      </c>
      <c r="AD18" s="34">
        <f t="shared" si="2"/>
        <v>15410</v>
      </c>
    </row>
    <row r="19" spans="2:30" x14ac:dyDescent="0.25">
      <c r="C19">
        <v>2020</v>
      </c>
      <c r="F19" s="34">
        <v>2719</v>
      </c>
      <c r="G19" s="34"/>
      <c r="H19" s="34">
        <v>2400</v>
      </c>
      <c r="I19" s="34"/>
      <c r="J19" s="34">
        <v>1653</v>
      </c>
      <c r="K19" s="19"/>
      <c r="L19" s="34">
        <v>1142</v>
      </c>
      <c r="M19" s="19"/>
      <c r="N19" s="34">
        <v>847</v>
      </c>
      <c r="O19" s="34"/>
      <c r="P19" s="19">
        <v>448</v>
      </c>
      <c r="Q19" s="19"/>
      <c r="R19" s="34">
        <v>413</v>
      </c>
      <c r="S19" s="34"/>
      <c r="T19" s="34">
        <v>312</v>
      </c>
      <c r="U19" s="34"/>
      <c r="V19" s="34">
        <v>441</v>
      </c>
      <c r="W19" s="34"/>
      <c r="X19" s="34">
        <v>639</v>
      </c>
      <c r="Y19" s="34"/>
      <c r="Z19" s="34">
        <v>1890</v>
      </c>
      <c r="AA19" s="34"/>
      <c r="AB19" s="34">
        <v>2795</v>
      </c>
      <c r="AD19" s="34">
        <f t="shared" si="2"/>
        <v>15699</v>
      </c>
    </row>
    <row r="20" spans="2:30" x14ac:dyDescent="0.25">
      <c r="C20">
        <v>2021</v>
      </c>
      <c r="F20" s="34">
        <v>3070</v>
      </c>
      <c r="G20" s="34"/>
      <c r="H20" s="34">
        <v>3329</v>
      </c>
      <c r="I20" s="34"/>
      <c r="J20" s="34">
        <v>1992</v>
      </c>
      <c r="K20" s="19"/>
      <c r="L20" s="34">
        <v>1247</v>
      </c>
      <c r="M20" s="19"/>
      <c r="N20" s="34">
        <f>(9615+3840)/10</f>
        <v>1345.5</v>
      </c>
      <c r="O20" s="34"/>
      <c r="P20" s="19">
        <v>413.7</v>
      </c>
      <c r="Q20" s="19"/>
      <c r="R20" s="34">
        <v>364.5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D20" s="34">
        <f t="shared" si="2"/>
        <v>11761.7</v>
      </c>
    </row>
    <row r="21" spans="2:30" x14ac:dyDescent="0.25">
      <c r="L21" s="34"/>
    </row>
    <row r="22" spans="2:30" x14ac:dyDescent="0.25">
      <c r="C22" s="3" t="s">
        <v>34</v>
      </c>
      <c r="L22" s="19"/>
      <c r="N22" s="19"/>
      <c r="R22" s="19">
        <f>SUM(T19:$AB19)+SUM($F20:R20)</f>
        <v>17838.7</v>
      </c>
    </row>
    <row r="23" spans="2:30" x14ac:dyDescent="0.25">
      <c r="C23" t="s">
        <v>35</v>
      </c>
      <c r="F23" s="34">
        <f>AVERAGE(F15:F19)</f>
        <v>3133.2</v>
      </c>
      <c r="G23" s="34"/>
      <c r="H23" s="34">
        <f>AVERAGE(H15:H19)</f>
        <v>2277.6</v>
      </c>
      <c r="I23" s="34"/>
      <c r="J23" s="34">
        <f>AVERAGE(J15:J19)</f>
        <v>1866.6</v>
      </c>
      <c r="K23" s="19"/>
      <c r="L23" s="34">
        <f>AVERAGE(L15:L19)</f>
        <v>1021.4</v>
      </c>
      <c r="M23" s="19"/>
      <c r="N23" s="34">
        <f>AVERAGE(N15:N19)</f>
        <v>499</v>
      </c>
      <c r="O23" s="34"/>
      <c r="P23" s="34">
        <f>AVERAGE(P15:P20)</f>
        <v>336.11666666666667</v>
      </c>
      <c r="Q23" s="19"/>
      <c r="R23" s="34">
        <f>AVERAGE(R15:R20)</f>
        <v>319.58333333333331</v>
      </c>
      <c r="S23" s="34"/>
      <c r="T23" s="34">
        <f>AVERAGE(T15:T19)</f>
        <v>287.2</v>
      </c>
      <c r="U23" s="34"/>
      <c r="V23" s="34">
        <f>AVERAGE(V15:V19)</f>
        <v>318</v>
      </c>
      <c r="W23" s="34"/>
      <c r="X23" s="34">
        <f>AVERAGE(X15:X19)</f>
        <v>655.20000000000005</v>
      </c>
      <c r="Y23" s="34"/>
      <c r="Z23" s="34">
        <f>AVERAGE(Z15:Z19)</f>
        <v>1920.6</v>
      </c>
      <c r="AA23" s="34"/>
      <c r="AB23" s="34">
        <f>AVERAGE(AB15:AB19)</f>
        <v>2617</v>
      </c>
      <c r="AD23" s="34">
        <f t="shared" ref="AD23" si="3">SUM(F23:AB23)</f>
        <v>15251.500000000002</v>
      </c>
    </row>
    <row r="24" spans="2:30" x14ac:dyDescent="0.25">
      <c r="L24" s="34"/>
    </row>
    <row r="25" spans="2:30" x14ac:dyDescent="0.25">
      <c r="B25" t="s">
        <v>23</v>
      </c>
    </row>
    <row r="26" spans="2:30" x14ac:dyDescent="0.25">
      <c r="C26">
        <v>2016</v>
      </c>
      <c r="F26" s="19">
        <v>2914</v>
      </c>
      <c r="G26" s="19"/>
      <c r="H26" s="19">
        <v>2325</v>
      </c>
      <c r="I26" s="19"/>
      <c r="J26" s="19">
        <v>1385</v>
      </c>
      <c r="K26" s="19"/>
      <c r="L26" s="19">
        <v>663</v>
      </c>
      <c r="M26" s="19"/>
      <c r="N26" s="19">
        <v>362</v>
      </c>
      <c r="O26" s="19"/>
      <c r="P26" s="19">
        <v>103</v>
      </c>
      <c r="Q26" s="19"/>
      <c r="R26" s="19">
        <v>105</v>
      </c>
      <c r="S26" s="19"/>
      <c r="T26" s="19">
        <v>74</v>
      </c>
      <c r="U26" s="19"/>
      <c r="V26" s="19">
        <v>175</v>
      </c>
      <c r="W26" s="19"/>
      <c r="X26" s="19">
        <v>313</v>
      </c>
      <c r="Y26" s="19"/>
      <c r="Z26" s="19">
        <v>1361</v>
      </c>
      <c r="AA26" s="19"/>
      <c r="AB26" s="19">
        <v>1998</v>
      </c>
      <c r="AD26" s="34">
        <f t="shared" ref="AD26:AD31" si="4">SUM(F26:AB26)</f>
        <v>11778</v>
      </c>
    </row>
    <row r="27" spans="2:30" x14ac:dyDescent="0.25">
      <c r="C27">
        <v>2017</v>
      </c>
      <c r="F27" s="19">
        <v>2132</v>
      </c>
      <c r="G27" s="19"/>
      <c r="H27" s="19">
        <v>1591</v>
      </c>
      <c r="I27" s="19"/>
      <c r="J27" s="19">
        <v>1662</v>
      </c>
      <c r="K27" s="19"/>
      <c r="L27" s="19">
        <v>498</v>
      </c>
      <c r="M27" s="19"/>
      <c r="N27" s="19">
        <v>272</v>
      </c>
      <c r="O27" s="19"/>
      <c r="P27" s="19">
        <v>137</v>
      </c>
      <c r="Q27" s="19"/>
      <c r="R27" s="19">
        <v>125</v>
      </c>
      <c r="S27" s="19"/>
      <c r="T27" s="19">
        <v>112</v>
      </c>
      <c r="U27" s="19"/>
      <c r="V27" s="19">
        <v>146</v>
      </c>
      <c r="W27" s="19"/>
      <c r="X27" s="19">
        <v>503</v>
      </c>
      <c r="Y27" s="19"/>
      <c r="Z27" s="19">
        <v>1424</v>
      </c>
      <c r="AA27" s="19"/>
      <c r="AB27" s="19">
        <v>2076</v>
      </c>
      <c r="AD27" s="34">
        <f t="shared" si="4"/>
        <v>10678</v>
      </c>
    </row>
    <row r="28" spans="2:30" x14ac:dyDescent="0.25">
      <c r="C28">
        <v>2018</v>
      </c>
      <c r="F28" s="34">
        <v>3491</v>
      </c>
      <c r="G28" s="34"/>
      <c r="H28" s="34">
        <v>1682</v>
      </c>
      <c r="I28" s="34"/>
      <c r="J28" s="19">
        <v>1932</v>
      </c>
      <c r="K28" s="19"/>
      <c r="L28" s="19">
        <v>1238</v>
      </c>
      <c r="M28" s="19"/>
      <c r="N28" s="19">
        <v>169</v>
      </c>
      <c r="O28" s="34"/>
      <c r="P28" s="19">
        <v>108</v>
      </c>
      <c r="Q28" s="19"/>
      <c r="R28" s="19">
        <v>114</v>
      </c>
      <c r="S28" s="34"/>
      <c r="T28" s="34">
        <v>120</v>
      </c>
      <c r="U28" s="34"/>
      <c r="V28" s="34">
        <v>76</v>
      </c>
      <c r="W28" s="34"/>
      <c r="X28" s="34">
        <v>670</v>
      </c>
      <c r="Y28" s="34"/>
      <c r="Z28" s="34">
        <v>1713</v>
      </c>
      <c r="AA28" s="34"/>
      <c r="AB28" s="34">
        <v>2044</v>
      </c>
      <c r="AD28" s="34">
        <f t="shared" si="4"/>
        <v>13357</v>
      </c>
    </row>
    <row r="29" spans="2:30" x14ac:dyDescent="0.25">
      <c r="C29">
        <v>2019</v>
      </c>
      <c r="F29" s="34">
        <v>2854</v>
      </c>
      <c r="G29" s="34"/>
      <c r="H29" s="34">
        <v>1720</v>
      </c>
      <c r="I29" s="34"/>
      <c r="J29" s="19">
        <v>1809</v>
      </c>
      <c r="K29" s="19"/>
      <c r="L29" s="19">
        <v>703</v>
      </c>
      <c r="M29" s="19"/>
      <c r="N29" s="19">
        <v>191</v>
      </c>
      <c r="O29" s="34"/>
      <c r="P29" s="19">
        <v>138</v>
      </c>
      <c r="Q29" s="19"/>
      <c r="R29" s="19">
        <v>123</v>
      </c>
      <c r="S29" s="34"/>
      <c r="T29" s="34">
        <v>128</v>
      </c>
      <c r="U29" s="34"/>
      <c r="V29" s="34">
        <v>151</v>
      </c>
      <c r="W29" s="34"/>
      <c r="X29" s="34">
        <v>439</v>
      </c>
      <c r="Y29" s="34"/>
      <c r="Z29" s="34">
        <v>1651</v>
      </c>
      <c r="AA29" s="34"/>
      <c r="AB29" s="34">
        <v>2141</v>
      </c>
      <c r="AD29" s="34">
        <f t="shared" si="4"/>
        <v>12048</v>
      </c>
    </row>
    <row r="30" spans="2:30" x14ac:dyDescent="0.25">
      <c r="C30">
        <v>2020</v>
      </c>
      <c r="F30" s="34">
        <v>2131</v>
      </c>
      <c r="G30" s="34"/>
      <c r="H30" s="34">
        <v>1951</v>
      </c>
      <c r="I30" s="34"/>
      <c r="J30" s="34">
        <v>1327</v>
      </c>
      <c r="K30" s="19"/>
      <c r="L30" s="34">
        <v>957</v>
      </c>
      <c r="M30" s="19"/>
      <c r="N30" s="34">
        <v>530</v>
      </c>
      <c r="O30" s="34"/>
      <c r="P30" s="19">
        <v>170</v>
      </c>
      <c r="Q30" s="19"/>
      <c r="R30" s="34">
        <v>118</v>
      </c>
      <c r="S30" s="34"/>
      <c r="T30" s="34">
        <v>132</v>
      </c>
      <c r="U30" s="34"/>
      <c r="V30" s="34">
        <v>280</v>
      </c>
      <c r="W30" s="34"/>
      <c r="X30" s="34">
        <v>453</v>
      </c>
      <c r="Y30" s="34"/>
      <c r="Z30" s="34">
        <v>1296</v>
      </c>
      <c r="AA30" s="34"/>
      <c r="AB30" s="34">
        <v>2369</v>
      </c>
      <c r="AD30" s="34">
        <f t="shared" si="4"/>
        <v>11714</v>
      </c>
    </row>
    <row r="31" spans="2:30" x14ac:dyDescent="0.25">
      <c r="C31">
        <v>2021</v>
      </c>
      <c r="F31" s="34">
        <v>2462</v>
      </c>
      <c r="G31" s="34"/>
      <c r="H31" s="34">
        <v>2794</v>
      </c>
      <c r="I31" s="34"/>
      <c r="J31" s="34">
        <v>1632</v>
      </c>
      <c r="K31" s="19"/>
      <c r="L31" s="34">
        <v>817</v>
      </c>
      <c r="M31" s="19"/>
      <c r="N31" s="34">
        <f>(6568+419)/10</f>
        <v>698.7</v>
      </c>
      <c r="O31" s="34"/>
      <c r="P31" s="34">
        <v>144.30000000000001</v>
      </c>
      <c r="Q31" s="34"/>
      <c r="R31" s="34">
        <v>178.9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D31" s="34">
        <f t="shared" si="4"/>
        <v>8726.9</v>
      </c>
    </row>
    <row r="32" spans="2:30" x14ac:dyDescent="0.25">
      <c r="L32" s="19"/>
    </row>
    <row r="33" spans="1:30" x14ac:dyDescent="0.25">
      <c r="C33" s="3" t="s">
        <v>34</v>
      </c>
      <c r="L33" s="19"/>
      <c r="N33" s="19"/>
      <c r="R33" s="19">
        <f>SUM(T30:$AB30)+SUM($F31:R31)</f>
        <v>13256.9</v>
      </c>
    </row>
    <row r="34" spans="1:30" x14ac:dyDescent="0.25">
      <c r="C34" t="s">
        <v>35</v>
      </c>
      <c r="F34" s="34">
        <f>AVERAGE(F26:F30)</f>
        <v>2704.4</v>
      </c>
      <c r="G34" s="34"/>
      <c r="H34" s="34">
        <f>AVERAGE(H26:H30)</f>
        <v>1853.8</v>
      </c>
      <c r="I34" s="34"/>
      <c r="J34" s="34">
        <f>AVERAGE(J26:J30)</f>
        <v>1623</v>
      </c>
      <c r="K34" s="19"/>
      <c r="L34" s="34">
        <f>AVERAGE(L26:L30)</f>
        <v>811.8</v>
      </c>
      <c r="M34" s="19"/>
      <c r="N34" s="34">
        <f>AVERAGE(N26:N30)</f>
        <v>304.8</v>
      </c>
      <c r="O34" s="34"/>
      <c r="P34" s="34">
        <f>AVERAGE(P26:P30)</f>
        <v>131.19999999999999</v>
      </c>
      <c r="Q34" s="19"/>
      <c r="R34" s="34">
        <f>AVERAGE(R26:R30)</f>
        <v>117</v>
      </c>
      <c r="S34" s="34"/>
      <c r="T34" s="34">
        <f>AVERAGE(T26:T30)</f>
        <v>113.2</v>
      </c>
      <c r="U34" s="34"/>
      <c r="V34" s="34">
        <f>AVERAGE(V26:V30)</f>
        <v>165.6</v>
      </c>
      <c r="W34" s="34"/>
      <c r="X34" s="34">
        <f>AVERAGE(X26:X30)</f>
        <v>475.6</v>
      </c>
      <c r="Y34" s="34"/>
      <c r="Z34" s="34">
        <f>AVERAGE(Z26:Z30)</f>
        <v>1489</v>
      </c>
      <c r="AA34" s="34"/>
      <c r="AB34" s="34">
        <f>AVERAGE(AB26:AB30)</f>
        <v>2125.6</v>
      </c>
      <c r="AD34" s="34">
        <f t="shared" ref="AD34:AD36" si="5">SUM(F34:AB34)</f>
        <v>11915</v>
      </c>
    </row>
    <row r="36" spans="1:30" x14ac:dyDescent="0.25">
      <c r="A36" t="s">
        <v>36</v>
      </c>
      <c r="F36" s="34">
        <f>F12+F23+F34</f>
        <v>16994.72</v>
      </c>
      <c r="H36" s="34">
        <f>H12+H23+H34</f>
        <v>15273.519999999999</v>
      </c>
      <c r="J36" s="34">
        <f>J12+J23+J34</f>
        <v>14642.14</v>
      </c>
      <c r="L36" s="34">
        <f>L12+L23+L34</f>
        <v>10799.439999999999</v>
      </c>
      <c r="N36" s="34">
        <f>N12+N23+N34</f>
        <v>7500.94</v>
      </c>
      <c r="P36" s="34">
        <f>P12+P23+P34</f>
        <v>5925.8166666666666</v>
      </c>
      <c r="R36" s="34">
        <f>R12+R23+R34</f>
        <v>5478.8033333333324</v>
      </c>
      <c r="T36" s="34">
        <f>T12+T23+T34</f>
        <v>6077.4599999999991</v>
      </c>
      <c r="V36" s="34">
        <f>V12+V23+V34</f>
        <v>6281.26</v>
      </c>
      <c r="X36" s="34">
        <f>X12+X23+X34</f>
        <v>7626.24</v>
      </c>
      <c r="Z36" s="34">
        <f>Z12+Z23+Z34</f>
        <v>13865.720000000001</v>
      </c>
      <c r="AB36" s="34">
        <f>AB12+AB23+AB34</f>
        <v>16799.079999999998</v>
      </c>
      <c r="AD36" s="34">
        <f t="shared" si="5"/>
        <v>127265.14</v>
      </c>
    </row>
    <row r="37" spans="1:30" x14ac:dyDescent="0.25">
      <c r="B37" t="s">
        <v>37</v>
      </c>
      <c r="F37" s="35">
        <f>F12/F$36</f>
        <v>0.6565050792246061</v>
      </c>
      <c r="H37" s="35">
        <f>H12/H$36</f>
        <v>0.72950570660856173</v>
      </c>
      <c r="J37" s="35">
        <f>J12/J$36</f>
        <v>0.76167418150625521</v>
      </c>
      <c r="L37" s="35">
        <f>L12/L$36</f>
        <v>0.83025045743112613</v>
      </c>
      <c r="N37" s="35">
        <f>N12/N$36</f>
        <v>0.89284009737446235</v>
      </c>
      <c r="P37" s="35">
        <f>P12/P$36</f>
        <v>0.92113885849770361</v>
      </c>
      <c r="R37" s="35">
        <f>R12/R$36</f>
        <v>0.92031410752104625</v>
      </c>
      <c r="T37" s="35">
        <f>T12/T$36</f>
        <v>0.93411721344114163</v>
      </c>
      <c r="V37" s="35">
        <f>V12/V$36</f>
        <v>0.92300907779649299</v>
      </c>
      <c r="X37" s="35">
        <f>X12/X$36</f>
        <v>0.85172247398455858</v>
      </c>
      <c r="Z37" s="35">
        <f>Z12/Z$36</f>
        <v>0.75409859711576466</v>
      </c>
      <c r="AB37" s="35">
        <f>AB12/AB$36</f>
        <v>0.71768692095043307</v>
      </c>
      <c r="AD37" s="36">
        <f>AD12/AD$36</f>
        <v>0.78653620307964922</v>
      </c>
    </row>
    <row r="38" spans="1:30" x14ac:dyDescent="0.25">
      <c r="B38" t="s">
        <v>38</v>
      </c>
      <c r="F38" s="35">
        <f>F23/F$36</f>
        <v>0.18436314337629567</v>
      </c>
      <c r="H38" s="35">
        <f>H23/H$36</f>
        <v>0.14912083134732532</v>
      </c>
      <c r="J38" s="35">
        <f>J23/J$36</f>
        <v>0.12748136542882393</v>
      </c>
      <c r="L38" s="35">
        <f>L23/L$36</f>
        <v>9.4578978169238409E-2</v>
      </c>
      <c r="N38" s="35">
        <f>N23/N$36</f>
        <v>6.6524995533893086E-2</v>
      </c>
      <c r="P38" s="35">
        <f>P23/P$36</f>
        <v>5.6720733288520009E-2</v>
      </c>
      <c r="R38" s="35">
        <f>R23/R$36</f>
        <v>5.8330864221566636E-2</v>
      </c>
      <c r="T38" s="35">
        <f>T23/T$36</f>
        <v>4.7256584165095289E-2</v>
      </c>
      <c r="V38" s="35">
        <f>V23/V$36</f>
        <v>5.062678507178496E-2</v>
      </c>
      <c r="X38" s="35">
        <f>X23/X$36</f>
        <v>8.5913897280966781E-2</v>
      </c>
      <c r="Z38" s="35">
        <f>Z23/Z$36</f>
        <v>0.13851426395455843</v>
      </c>
      <c r="AB38" s="35">
        <f>AB23/AB$36</f>
        <v>0.15578234046150147</v>
      </c>
      <c r="AD38" s="36">
        <f>AD23/AD$36</f>
        <v>0.11984035848308501</v>
      </c>
    </row>
    <row r="39" spans="1:30" x14ac:dyDescent="0.25">
      <c r="B39" t="s">
        <v>39</v>
      </c>
      <c r="F39" s="35">
        <f>F34/F$36</f>
        <v>0.15913177739909806</v>
      </c>
      <c r="H39" s="35">
        <f>H34/H$36</f>
        <v>0.12137346204411295</v>
      </c>
      <c r="J39" s="35">
        <f>J34/J$36</f>
        <v>0.11084445306492084</v>
      </c>
      <c r="L39" s="35">
        <f>L34/L$36</f>
        <v>7.5170564399635542E-2</v>
      </c>
      <c r="N39" s="35">
        <f>N34/N$36</f>
        <v>4.0634907091644516E-2</v>
      </c>
      <c r="P39" s="35">
        <f>P34/P$36</f>
        <v>2.2140408213776441E-2</v>
      </c>
      <c r="R39" s="35">
        <f>R34/R$36</f>
        <v>2.135502825738711E-2</v>
      </c>
      <c r="T39" s="35">
        <f>T34/T$36</f>
        <v>1.8626202393763187E-2</v>
      </c>
      <c r="V39" s="35">
        <f>V34/V$36</f>
        <v>2.6364137131721976E-2</v>
      </c>
      <c r="X39" s="35">
        <f>X34/X$36</f>
        <v>6.2363628734474659E-2</v>
      </c>
      <c r="Z39" s="35">
        <f>Z34/Z$36</f>
        <v>0.10738713892967693</v>
      </c>
      <c r="AB39" s="35">
        <f>AB34/AB$36</f>
        <v>0.12653073858806554</v>
      </c>
      <c r="AD39" s="36">
        <f>AD34/AD$36</f>
        <v>9.3623438437265699E-2</v>
      </c>
    </row>
    <row r="41" spans="1:30" x14ac:dyDescent="0.25">
      <c r="A41" t="s">
        <v>34</v>
      </c>
    </row>
    <row r="42" spans="1:30" x14ac:dyDescent="0.25">
      <c r="C42">
        <v>2020</v>
      </c>
      <c r="P42" s="34"/>
      <c r="R42" s="34"/>
      <c r="T42" s="34">
        <f>T30+T19+T8</f>
        <v>5604.3</v>
      </c>
      <c r="V42" s="34">
        <f>V30+V19+V8</f>
        <v>7055.5</v>
      </c>
      <c r="X42" s="34">
        <f>X30+X19+X8</f>
        <v>8826.9</v>
      </c>
      <c r="Z42" s="34">
        <f>Z30+Z19+Z8</f>
        <v>12382.8</v>
      </c>
      <c r="AB42" s="34">
        <f>AB30+AB19+AB8</f>
        <v>18933.599999999999</v>
      </c>
    </row>
    <row r="43" spans="1:30" x14ac:dyDescent="0.25">
      <c r="C43">
        <v>2021</v>
      </c>
      <c r="F43" s="34">
        <f>F31+F20+F9</f>
        <v>14620.9</v>
      </c>
      <c r="H43" s="34">
        <f>H31+H20+H9</f>
        <v>15749.5</v>
      </c>
      <c r="J43" s="34">
        <f>J31+J20+J9</f>
        <v>15696.4</v>
      </c>
      <c r="L43" s="34">
        <f>L31+L20+L9</f>
        <v>12405.1</v>
      </c>
      <c r="N43" s="34">
        <f>N31+N20+N9</f>
        <v>8981</v>
      </c>
      <c r="P43" s="34">
        <f>P31+P20+P9</f>
        <v>7203.1</v>
      </c>
      <c r="R43" s="34">
        <f>R31+R20+R9</f>
        <v>3943.5</v>
      </c>
      <c r="AD43" s="37">
        <f>SUM(F42:AB43)</f>
        <v>131402.6</v>
      </c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 page</vt:lpstr>
      <vt:lpstr>Summary (SI)</vt:lpstr>
      <vt:lpstr>EGC (SII)</vt:lpstr>
      <vt:lpstr>SCHEDULE III B&amp;S Oil FloydCo</vt:lpstr>
      <vt:lpstr>Purchases</vt:lpstr>
      <vt:lpstr>Sales</vt:lpstr>
      <vt:lpstr>Purchases!Print_Area</vt:lpstr>
      <vt:lpstr>Sales!Print_Area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Thomas Hartline</cp:lastModifiedBy>
  <cp:lastPrinted>2021-10-01T03:12:15Z</cp:lastPrinted>
  <dcterms:created xsi:type="dcterms:W3CDTF">2021-10-01T01:52:29Z</dcterms:created>
  <dcterms:modified xsi:type="dcterms:W3CDTF">2021-10-01T03:12:28Z</dcterms:modified>
</cp:coreProperties>
</file>