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Christian County WD/"/>
    </mc:Choice>
  </mc:AlternateContent>
  <xr:revisionPtr revIDLastSave="0" documentId="8_{5BE736C3-C30C-4157-B510-6662A7E98A5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AO" sheetId="6" r:id="rId1"/>
    <sheet name="Wages" sheetId="49" r:id="rId2"/>
    <sheet name="Medical" sheetId="40" r:id="rId3"/>
    <sheet name="Depreciation" sheetId="52" r:id="rId4"/>
    <sheet name="Debt Service" sheetId="53" r:id="rId5"/>
    <sheet name="Capital" sheetId="54" r:id="rId6"/>
    <sheet name="Water Loss" sheetId="55" r:id="rId7"/>
    <sheet name="Rates" sheetId="2" r:id="rId8"/>
    <sheet name="Bills" sheetId="42" r:id="rId9"/>
    <sheet name="BA Input" sheetId="56" r:id="rId10"/>
    <sheet name="ExBA" sheetId="51" r:id="rId11"/>
    <sheet name="PrBA" sheetId="43" r:id="rId12"/>
    <sheet name="Notice_R" sheetId="36" r:id="rId13"/>
  </sheets>
  <definedNames>
    <definedName name="AHV">#REF!</definedName>
    <definedName name="_xlnm.Print_Area" localSheetId="8">Bills!$B$1:$I$27</definedName>
    <definedName name="_xlnm.Print_Area" localSheetId="4">'Debt Service'!$A$1:$O$26</definedName>
    <definedName name="_xlnm.Print_Area" localSheetId="11">PrBA!$A$1:$G$43</definedName>
    <definedName name="_xlnm.Print_Area" localSheetId="7">Rates!$B$4:$G$18</definedName>
    <definedName name="_xlnm.Print_Area" localSheetId="0">SAO!$A$1:$J$61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56" l="1"/>
  <c r="I25" i="56"/>
  <c r="F25" i="56"/>
  <c r="G53" i="6"/>
  <c r="G9" i="6"/>
  <c r="D14" i="6"/>
  <c r="G13" i="6"/>
  <c r="G12" i="6"/>
  <c r="G11" i="6"/>
  <c r="G29" i="6"/>
  <c r="I7" i="40"/>
  <c r="E28" i="6"/>
  <c r="I13" i="40"/>
  <c r="I12" i="40"/>
  <c r="D39" i="51"/>
  <c r="C32" i="51"/>
  <c r="D33" i="51"/>
  <c r="D32" i="51"/>
  <c r="C46" i="51"/>
  <c r="C25" i="51"/>
  <c r="C18" i="51"/>
  <c r="L23" i="56"/>
  <c r="K23" i="56"/>
  <c r="J23" i="56"/>
  <c r="I23" i="56"/>
  <c r="H23" i="56"/>
  <c r="D47" i="51" s="1"/>
  <c r="G23" i="56"/>
  <c r="D46" i="51" s="1"/>
  <c r="F23" i="56"/>
  <c r="E23" i="56"/>
  <c r="D23" i="56"/>
  <c r="L22" i="56"/>
  <c r="I22" i="56"/>
  <c r="F22" i="56"/>
  <c r="K20" i="56"/>
  <c r="J20" i="56"/>
  <c r="I20" i="56"/>
  <c r="H20" i="56"/>
  <c r="D40" i="51" s="1"/>
  <c r="G20" i="56"/>
  <c r="E20" i="56"/>
  <c r="D20" i="56"/>
  <c r="L19" i="56"/>
  <c r="I19" i="56"/>
  <c r="F19" i="56"/>
  <c r="L18" i="56"/>
  <c r="L20" i="56" s="1"/>
  <c r="I18" i="56"/>
  <c r="F18" i="56"/>
  <c r="L17" i="56"/>
  <c r="I17" i="56"/>
  <c r="F17" i="56"/>
  <c r="F20" i="56" s="1"/>
  <c r="C39" i="51" s="1"/>
  <c r="K15" i="56"/>
  <c r="J15" i="56"/>
  <c r="H15" i="56"/>
  <c r="G15" i="56"/>
  <c r="F15" i="56"/>
  <c r="E15" i="56"/>
  <c r="D15" i="56"/>
  <c r="L14" i="56"/>
  <c r="L15" i="56" s="1"/>
  <c r="I14" i="56"/>
  <c r="I15" i="56" s="1"/>
  <c r="F14" i="56"/>
  <c r="K12" i="56"/>
  <c r="J12" i="56"/>
  <c r="I12" i="56"/>
  <c r="H12" i="56"/>
  <c r="D26" i="51" s="1"/>
  <c r="G12" i="56"/>
  <c r="D25" i="51" s="1"/>
  <c r="E12" i="56"/>
  <c r="D12" i="56"/>
  <c r="L11" i="56"/>
  <c r="L12" i="56" s="1"/>
  <c r="I11" i="56"/>
  <c r="F11" i="56"/>
  <c r="F12" i="56" s="1"/>
  <c r="F8" i="56"/>
  <c r="F7" i="56"/>
  <c r="F6" i="56"/>
  <c r="F5" i="56"/>
  <c r="F4" i="56"/>
  <c r="D9" i="56"/>
  <c r="K9" i="56"/>
  <c r="J9" i="56"/>
  <c r="H9" i="56"/>
  <c r="D19" i="51" s="1"/>
  <c r="G9" i="56"/>
  <c r="D18" i="51" s="1"/>
  <c r="E9" i="56"/>
  <c r="L8" i="56"/>
  <c r="L7" i="56"/>
  <c r="L6" i="56"/>
  <c r="I8" i="56"/>
  <c r="I7" i="56"/>
  <c r="I6" i="56"/>
  <c r="L5" i="56"/>
  <c r="I5" i="56"/>
  <c r="L4" i="56"/>
  <c r="I4" i="56"/>
  <c r="E27" i="6"/>
  <c r="E26" i="6"/>
  <c r="L9" i="56" l="1"/>
  <c r="F9" i="56"/>
  <c r="E8" i="51"/>
  <c r="I9" i="56"/>
  <c r="H39" i="49"/>
  <c r="H13" i="49"/>
  <c r="F14" i="49"/>
  <c r="H14" i="49" s="1"/>
  <c r="G14" i="49"/>
  <c r="C14" i="55" l="1"/>
  <c r="D14" i="55" s="1"/>
  <c r="D16" i="55" s="1"/>
  <c r="C9" i="55"/>
  <c r="E30" i="6"/>
  <c r="E19" i="6"/>
  <c r="C6" i="54"/>
  <c r="C5" i="54"/>
  <c r="C17" i="49"/>
  <c r="G5" i="49"/>
  <c r="C5" i="49"/>
  <c r="F5" i="49" s="1"/>
  <c r="H5" i="49" s="1"/>
  <c r="G13" i="40"/>
  <c r="G12" i="40"/>
  <c r="G11" i="40"/>
  <c r="E11" i="40"/>
  <c r="D11" i="40"/>
  <c r="D6" i="40"/>
  <c r="C13" i="40"/>
  <c r="D13" i="40" s="1"/>
  <c r="C12" i="40"/>
  <c r="E12" i="40" s="1"/>
  <c r="E13" i="40" l="1"/>
  <c r="G14" i="40"/>
  <c r="I11" i="40"/>
  <c r="I14" i="40" s="1"/>
  <c r="D12" i="40"/>
  <c r="H27" i="49" l="1"/>
  <c r="G51" i="6"/>
  <c r="G50" i="6"/>
  <c r="E42" i="6" l="1"/>
  <c r="K19" i="53"/>
  <c r="I19" i="53"/>
  <c r="G19" i="53"/>
  <c r="E19" i="53"/>
  <c r="C19" i="53"/>
  <c r="L17" i="53"/>
  <c r="J17" i="53"/>
  <c r="H17" i="53"/>
  <c r="M17" i="53" s="1"/>
  <c r="F17" i="53"/>
  <c r="D17" i="53"/>
  <c r="L16" i="53"/>
  <c r="J16" i="53"/>
  <c r="H16" i="53"/>
  <c r="F16" i="53"/>
  <c r="D16" i="53"/>
  <c r="M16" i="53" s="1"/>
  <c r="L15" i="53"/>
  <c r="J15" i="53"/>
  <c r="H15" i="53"/>
  <c r="F15" i="53"/>
  <c r="D15" i="53"/>
  <c r="M15" i="53" s="1"/>
  <c r="L14" i="53"/>
  <c r="M14" i="53" s="1"/>
  <c r="J14" i="53"/>
  <c r="H14" i="53"/>
  <c r="F14" i="53"/>
  <c r="D14" i="53"/>
  <c r="L13" i="53"/>
  <c r="L19" i="53" s="1"/>
  <c r="J13" i="53"/>
  <c r="H13" i="53"/>
  <c r="M13" i="53" s="1"/>
  <c r="F13" i="53"/>
  <c r="D13" i="53"/>
  <c r="L12" i="53"/>
  <c r="J12" i="53"/>
  <c r="J19" i="53" s="1"/>
  <c r="H12" i="53"/>
  <c r="F12" i="53"/>
  <c r="F19" i="53" s="1"/>
  <c r="D12" i="53"/>
  <c r="M12" i="53" s="1"/>
  <c r="M19" i="53" s="1"/>
  <c r="M22" i="53" s="1"/>
  <c r="M24" i="53" s="1"/>
  <c r="P24" i="53" s="1"/>
  <c r="H40" i="52"/>
  <c r="F38" i="52"/>
  <c r="J38" i="52" s="1"/>
  <c r="K38" i="52" s="1"/>
  <c r="J35" i="52"/>
  <c r="K35" i="52" s="1"/>
  <c r="J32" i="52"/>
  <c r="K32" i="52" s="1"/>
  <c r="K31" i="52"/>
  <c r="J31" i="52"/>
  <c r="J30" i="52"/>
  <c r="K30" i="52" s="1"/>
  <c r="J29" i="52"/>
  <c r="K29" i="52" s="1"/>
  <c r="J28" i="52"/>
  <c r="K28" i="52" s="1"/>
  <c r="K27" i="52"/>
  <c r="J27" i="52"/>
  <c r="J26" i="52"/>
  <c r="K26" i="52" s="1"/>
  <c r="J25" i="52"/>
  <c r="K25" i="52" s="1"/>
  <c r="J24" i="52"/>
  <c r="K24" i="52" s="1"/>
  <c r="K21" i="52"/>
  <c r="J21" i="52"/>
  <c r="J20" i="52"/>
  <c r="K20" i="52" s="1"/>
  <c r="J19" i="52"/>
  <c r="K19" i="52" s="1"/>
  <c r="J16" i="52"/>
  <c r="K16" i="52" s="1"/>
  <c r="K15" i="52"/>
  <c r="J15" i="52"/>
  <c r="J14" i="52"/>
  <c r="K14" i="52" s="1"/>
  <c r="J13" i="52"/>
  <c r="K13" i="52" s="1"/>
  <c r="J12" i="52"/>
  <c r="K12" i="52" s="1"/>
  <c r="K11" i="52"/>
  <c r="J11" i="52"/>
  <c r="H19" i="53" l="1"/>
  <c r="D19" i="53"/>
  <c r="P19" i="53" s="1"/>
  <c r="K40" i="52"/>
  <c r="J40" i="52"/>
  <c r="E7" i="40" l="1"/>
  <c r="A3" i="36"/>
  <c r="A2" i="43"/>
  <c r="A2" i="51"/>
  <c r="C4" i="42"/>
  <c r="B7" i="2"/>
  <c r="D45" i="43"/>
  <c r="C45" i="43"/>
  <c r="B45" i="43"/>
  <c r="D44" i="43"/>
  <c r="C44" i="43"/>
  <c r="B44" i="43"/>
  <c r="C38" i="43"/>
  <c r="B38" i="43"/>
  <c r="B37" i="43"/>
  <c r="D31" i="43"/>
  <c r="C31" i="43"/>
  <c r="B31" i="43"/>
  <c r="D30" i="43"/>
  <c r="C30" i="43"/>
  <c r="B30" i="43"/>
  <c r="D24" i="43"/>
  <c r="C24" i="43"/>
  <c r="B24" i="43"/>
  <c r="D23" i="43"/>
  <c r="C23" i="43"/>
  <c r="B23" i="43"/>
  <c r="C17" i="43"/>
  <c r="B17" i="43"/>
  <c r="D16" i="43"/>
  <c r="B16" i="43"/>
  <c r="E47" i="51"/>
  <c r="E46" i="51"/>
  <c r="E40" i="51"/>
  <c r="E39" i="51"/>
  <c r="E32" i="51"/>
  <c r="E26" i="51"/>
  <c r="E33" i="51"/>
  <c r="E25" i="51"/>
  <c r="E19" i="51"/>
  <c r="E18" i="51"/>
  <c r="C32" i="43" l="1"/>
  <c r="C25" i="43"/>
  <c r="D46" i="43"/>
  <c r="D25" i="43"/>
  <c r="D32" i="43"/>
  <c r="C46" i="43"/>
  <c r="D8" i="43"/>
  <c r="C16" i="49"/>
  <c r="C7" i="49"/>
  <c r="C19" i="49"/>
  <c r="C18" i="49"/>
  <c r="C13" i="49"/>
  <c r="C12" i="49"/>
  <c r="C11" i="49"/>
  <c r="C10" i="49"/>
  <c r="C9" i="49"/>
  <c r="C8" i="49"/>
  <c r="C6" i="49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D8" i="51"/>
  <c r="F47" i="51"/>
  <c r="F46" i="51"/>
  <c r="D48" i="51"/>
  <c r="C48" i="51"/>
  <c r="C41" i="51"/>
  <c r="D34" i="51"/>
  <c r="C34" i="51"/>
  <c r="F33" i="51"/>
  <c r="F32" i="51"/>
  <c r="D27" i="51"/>
  <c r="C27" i="51"/>
  <c r="F39" i="51" l="1"/>
  <c r="C37" i="43"/>
  <c r="C39" i="43" s="1"/>
  <c r="E7" i="51"/>
  <c r="D37" i="43"/>
  <c r="F18" i="51"/>
  <c r="C16" i="43"/>
  <c r="D17" i="43"/>
  <c r="F40" i="51"/>
  <c r="D38" i="43"/>
  <c r="D20" i="51"/>
  <c r="F19" i="51"/>
  <c r="D7" i="51"/>
  <c r="F48" i="51"/>
  <c r="D41" i="51"/>
  <c r="F34" i="51"/>
  <c r="F25" i="51"/>
  <c r="F26" i="51"/>
  <c r="C20" i="51"/>
  <c r="D9" i="51" s="1"/>
  <c r="F19" i="49"/>
  <c r="F12" i="49"/>
  <c r="G18" i="49"/>
  <c r="F17" i="49"/>
  <c r="G16" i="49"/>
  <c r="G15" i="49"/>
  <c r="F13" i="49"/>
  <c r="F11" i="49"/>
  <c r="F10" i="49"/>
  <c r="F9" i="49"/>
  <c r="F8" i="49"/>
  <c r="F7" i="49"/>
  <c r="B25" i="36"/>
  <c r="B24" i="36"/>
  <c r="B21" i="36"/>
  <c r="B20" i="36"/>
  <c r="B17" i="36"/>
  <c r="B16" i="36"/>
  <c r="B13" i="36"/>
  <c r="B12" i="36"/>
  <c r="B9" i="36"/>
  <c r="B8" i="36"/>
  <c r="G32" i="6"/>
  <c r="G35" i="6"/>
  <c r="G28" i="6"/>
  <c r="D39" i="6"/>
  <c r="D36" i="6"/>
  <c r="D31" i="6"/>
  <c r="F20" i="51" l="1"/>
  <c r="F7" i="51"/>
  <c r="F41" i="51"/>
  <c r="E8" i="43"/>
  <c r="D18" i="43"/>
  <c r="D7" i="43"/>
  <c r="C18" i="43"/>
  <c r="D9" i="43" s="1"/>
  <c r="E7" i="43"/>
  <c r="D39" i="43"/>
  <c r="F8" i="51"/>
  <c r="E9" i="51"/>
  <c r="F27" i="51"/>
  <c r="G19" i="49"/>
  <c r="H19" i="49" s="1"/>
  <c r="G17" i="49"/>
  <c r="H17" i="49" s="1"/>
  <c r="F15" i="49"/>
  <c r="H15" i="49" s="1"/>
  <c r="F16" i="49"/>
  <c r="H16" i="49" s="1"/>
  <c r="F18" i="49"/>
  <c r="H18" i="49" s="1"/>
  <c r="G13" i="49"/>
  <c r="G12" i="49"/>
  <c r="H12" i="49" s="1"/>
  <c r="E9" i="43" l="1"/>
  <c r="E11" i="51"/>
  <c r="F9" i="51"/>
  <c r="F11" i="51" s="1"/>
  <c r="G11" i="49"/>
  <c r="G10" i="49"/>
  <c r="H10" i="49" s="1"/>
  <c r="G9" i="49"/>
  <c r="G8" i="49"/>
  <c r="H8" i="49" s="1"/>
  <c r="G7" i="49"/>
  <c r="H7" i="49" s="1"/>
  <c r="G6" i="49"/>
  <c r="F6" i="49"/>
  <c r="F21" i="49" s="1"/>
  <c r="F13" i="51" l="1"/>
  <c r="H11" i="49"/>
  <c r="H6" i="49"/>
  <c r="H9" i="49"/>
  <c r="G39" i="6"/>
  <c r="G38" i="6"/>
  <c r="G36" i="6"/>
  <c r="G34" i="6"/>
  <c r="G33" i="6"/>
  <c r="G31" i="6"/>
  <c r="G30" i="6"/>
  <c r="G27" i="6"/>
  <c r="G21" i="6"/>
  <c r="G7" i="6"/>
  <c r="F14" i="51" l="1"/>
  <c r="E6" i="6"/>
  <c r="E14" i="6" s="1"/>
  <c r="H21" i="49"/>
  <c r="H23" i="49" s="1"/>
  <c r="G8" i="6"/>
  <c r="G55" i="6" s="1"/>
  <c r="G6" i="6" l="1"/>
  <c r="G58" i="6" s="1"/>
  <c r="H30" i="49"/>
  <c r="H32" i="49" s="1"/>
  <c r="H34" i="49" s="1"/>
  <c r="E43" i="6" s="1"/>
  <c r="G43" i="6" s="1"/>
  <c r="H36" i="49"/>
  <c r="H38" i="49" s="1"/>
  <c r="H40" i="49" s="1"/>
  <c r="E24" i="6" s="1"/>
  <c r="G25" i="6" s="1"/>
  <c r="H26" i="49"/>
  <c r="G7" i="40" l="1"/>
  <c r="G6" i="40"/>
  <c r="I6" i="40" s="1"/>
  <c r="G8" i="40" l="1"/>
  <c r="G16" i="40" s="1"/>
  <c r="D7" i="40"/>
  <c r="I8" i="40"/>
  <c r="I16" i="40" s="1"/>
  <c r="C18" i="40" s="1"/>
  <c r="E6" i="40"/>
  <c r="C21" i="40" l="1"/>
  <c r="E37" i="6" s="1"/>
  <c r="G54" i="6"/>
  <c r="G37" i="6" l="1"/>
  <c r="G42" i="6" l="1"/>
  <c r="D40" i="6" l="1"/>
  <c r="D44" i="6" l="1"/>
  <c r="G14" i="6" l="1"/>
  <c r="D46" i="6"/>
  <c r="G26" i="6" l="1"/>
  <c r="H28" i="49" l="1"/>
  <c r="E18" i="6" s="1"/>
  <c r="G20" i="6" s="1"/>
  <c r="G40" i="6" l="1"/>
  <c r="G44" i="6" s="1"/>
  <c r="G49" i="6" s="1"/>
  <c r="G52" i="6" s="1"/>
  <c r="G57" i="6" s="1"/>
  <c r="E40" i="6"/>
  <c r="E44" i="6" s="1"/>
  <c r="E46" i="6" s="1"/>
  <c r="G59" i="6" l="1"/>
  <c r="G61" i="6" s="1"/>
  <c r="H11" i="43"/>
  <c r="G46" i="6"/>
  <c r="E11" i="2" l="1"/>
  <c r="E12" i="2"/>
  <c r="E17" i="43" s="1"/>
  <c r="F17" i="43" s="1"/>
  <c r="F10" i="43"/>
  <c r="E20" i="2"/>
  <c r="E31" i="43" s="1"/>
  <c r="F31" i="43" s="1"/>
  <c r="E28" i="2"/>
  <c r="E45" i="43" s="1"/>
  <c r="F45" i="43" s="1"/>
  <c r="E24" i="2"/>
  <c r="E38" i="43" s="1"/>
  <c r="F38" i="43" s="1"/>
  <c r="E16" i="2"/>
  <c r="E24" i="43" s="1"/>
  <c r="F24" i="43" s="1"/>
  <c r="E15" i="2" l="1"/>
  <c r="F19" i="42" s="1"/>
  <c r="G19" i="42" s="1"/>
  <c r="H19" i="42" s="1"/>
  <c r="E16" i="43"/>
  <c r="F16" i="43" s="1"/>
  <c r="F18" i="43" s="1"/>
  <c r="D17" i="36"/>
  <c r="G17" i="36" s="1"/>
  <c r="E19" i="2"/>
  <c r="E30" i="43" s="1"/>
  <c r="F30" i="43" s="1"/>
  <c r="F32" i="43" s="1"/>
  <c r="G20" i="2"/>
  <c r="H20" i="2" s="1"/>
  <c r="F8" i="43"/>
  <c r="F13" i="42"/>
  <c r="G13" i="42" s="1"/>
  <c r="H13" i="42" s="1"/>
  <c r="G11" i="2"/>
  <c r="H11" i="2" s="1"/>
  <c r="F14" i="42"/>
  <c r="G14" i="42" s="1"/>
  <c r="H14" i="42" s="1"/>
  <c r="F11" i="42"/>
  <c r="G11" i="42" s="1"/>
  <c r="H11" i="42" s="1"/>
  <c r="F9" i="42"/>
  <c r="G9" i="42" s="1"/>
  <c r="H9" i="42" s="1"/>
  <c r="F16" i="42"/>
  <c r="G16" i="42" s="1"/>
  <c r="H16" i="42" s="1"/>
  <c r="F12" i="42"/>
  <c r="G12" i="42" s="1"/>
  <c r="H12" i="42" s="1"/>
  <c r="G28" i="2"/>
  <c r="H28" i="2" s="1"/>
  <c r="D9" i="36"/>
  <c r="G9" i="36" s="1"/>
  <c r="D8" i="36"/>
  <c r="G8" i="36" s="1"/>
  <c r="G12" i="2"/>
  <c r="H12" i="2" s="1"/>
  <c r="F15" i="42"/>
  <c r="G15" i="42" s="1"/>
  <c r="H15" i="42" s="1"/>
  <c r="G16" i="2"/>
  <c r="H16" i="2" s="1"/>
  <c r="D13" i="36"/>
  <c r="G13" i="36" s="1"/>
  <c r="E23" i="2"/>
  <c r="E37" i="43" s="1"/>
  <c r="F37" i="43" s="1"/>
  <c r="F39" i="43" s="1"/>
  <c r="D25" i="36"/>
  <c r="G25" i="36" s="1"/>
  <c r="G24" i="2"/>
  <c r="H24" i="2" s="1"/>
  <c r="E27" i="2"/>
  <c r="G27" i="2" s="1"/>
  <c r="H27" i="2" s="1"/>
  <c r="F10" i="42"/>
  <c r="G10" i="42" s="1"/>
  <c r="H10" i="42" s="1"/>
  <c r="D21" i="36"/>
  <c r="G21" i="36" s="1"/>
  <c r="F22" i="42" l="1"/>
  <c r="G22" i="42" s="1"/>
  <c r="H22" i="42" s="1"/>
  <c r="D16" i="36"/>
  <c r="G16" i="36" s="1"/>
  <c r="F21" i="42"/>
  <c r="G21" i="42" s="1"/>
  <c r="H21" i="42" s="1"/>
  <c r="D20" i="36"/>
  <c r="G20" i="36" s="1"/>
  <c r="F23" i="42"/>
  <c r="G23" i="42" s="1"/>
  <c r="H23" i="42" s="1"/>
  <c r="G19" i="2"/>
  <c r="H19" i="2" s="1"/>
  <c r="G23" i="2"/>
  <c r="H23" i="2" s="1"/>
  <c r="D12" i="36"/>
  <c r="G12" i="36" s="1"/>
  <c r="E44" i="43"/>
  <c r="F44" i="43" s="1"/>
  <c r="F46" i="43" s="1"/>
  <c r="D24" i="36"/>
  <c r="G24" i="36" s="1"/>
  <c r="F24" i="42"/>
  <c r="G24" i="42" s="1"/>
  <c r="H24" i="42" s="1"/>
  <c r="E23" i="43"/>
  <c r="F23" i="43" s="1"/>
  <c r="F18" i="42"/>
  <c r="G18" i="42" s="1"/>
  <c r="H18" i="42" s="1"/>
  <c r="G15" i="2"/>
  <c r="H15" i="2" s="1"/>
  <c r="F20" i="42"/>
  <c r="G20" i="42" s="1"/>
  <c r="H20" i="42" s="1"/>
  <c r="F17" i="42"/>
  <c r="G17" i="42" s="1"/>
  <c r="H17" i="42" s="1"/>
  <c r="F25" i="43" l="1"/>
  <c r="F9" i="43" s="1"/>
  <c r="F11" i="43" s="1"/>
  <c r="I11" i="43" s="1"/>
  <c r="J11" i="43" s="1"/>
  <c r="F7" i="43"/>
</calcChain>
</file>

<file path=xl/sharedStrings.xml><?xml version="1.0" encoding="utf-8"?>
<sst xmlns="http://schemas.openxmlformats.org/spreadsheetml/2006/main" count="579" uniqueCount="340">
  <si>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</si>
  <si>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</si>
  <si>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</si>
  <si>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</si>
  <si>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</si>
  <si>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</si>
  <si>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</si>
  <si>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</si>
  <si>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</si>
  <si>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</si>
  <si>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</si>
  <si>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</si>
  <si>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</si>
  <si>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</si>
  <si>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</si>
  <si>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</si>
  <si>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</si>
  <si>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</si>
  <si>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</si>
  <si>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</si>
  <si>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</si>
  <si>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</si>
  <si>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</si>
  <si>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</si>
  <si>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</si>
  <si>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</si>
  <si>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</si>
  <si>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</si>
  <si>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</si>
  <si>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</si>
  <si>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</si>
  <si>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</si>
  <si>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</si>
  <si>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</si>
  <si>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</si>
  <si>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</si>
  <si>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</si>
  <si>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</si>
  <si>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</si>
  <si>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</si>
  <si>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</si>
  <si>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</si>
  <si>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</si>
  <si>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</si>
  <si>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</si>
  <si>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</si>
  <si>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</si>
  <si>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</si>
  <si>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</si>
  <si>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</si>
  <si>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</si>
  <si>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SUMMARY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</si>
  <si>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</si>
  <si>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</si>
  <si>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</si>
  <si>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</si>
  <si>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</si>
  <si>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</si>
  <si>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</si>
  <si>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</si>
  <si>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CURRENT AND PROPOSED RATES</t>
  </si>
  <si>
    <t>Private Fire Protection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</si>
  <si>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</si>
  <si>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</si>
  <si>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</si>
  <si>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</si>
  <si>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</si>
  <si>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</si>
  <si>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</si>
  <si>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</si>
  <si>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various</t>
  </si>
  <si>
    <t>Meter</t>
  </si>
  <si>
    <t>Difference</t>
  </si>
  <si>
    <t>Bill</t>
  </si>
  <si>
    <t>Percentage</t>
  </si>
  <si>
    <t>Size</t>
  </si>
  <si>
    <t>5/8 x 3/4"</t>
  </si>
  <si>
    <t>EXISTING AND PROPOSED BILLS</t>
  </si>
  <si>
    <t>MONTHLY</t>
  </si>
  <si>
    <t>EMPLOYEE</t>
  </si>
  <si>
    <t xml:space="preserve">WATER DIST </t>
  </si>
  <si>
    <t>PREMIUM</t>
  </si>
  <si>
    <t>EE ONLY</t>
  </si>
  <si>
    <t>EE AND SPOUSE</t>
  </si>
  <si>
    <t>No. in</t>
  </si>
  <si>
    <t>ANNUAL</t>
  </si>
  <si>
    <t>Employer</t>
  </si>
  <si>
    <t>Ea. Teir</t>
  </si>
  <si>
    <t>Share</t>
  </si>
  <si>
    <t>Premium</t>
  </si>
  <si>
    <t>Medical Insurance Adjustment</t>
  </si>
  <si>
    <t>CONTRIB</t>
  </si>
  <si>
    <t>CONTRIB %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</si>
  <si>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</si>
  <si>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</si>
  <si>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</si>
  <si>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</si>
  <si>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</si>
  <si>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</si>
  <si>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</si>
  <si>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</si>
  <si>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</si>
  <si>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</si>
  <si>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</si>
  <si>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</si>
  <si>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</si>
  <si>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</si>
  <si>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</si>
  <si>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</si>
  <si>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</si>
  <si>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</si>
  <si>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</si>
  <si>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</si>
  <si>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</si>
  <si>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</si>
  <si>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</si>
  <si>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</si>
  <si>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</si>
  <si>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</si>
  <si>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</si>
  <si>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</si>
  <si>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</si>
  <si>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Rental of Equipment</t>
  </si>
  <si>
    <t>Insurance - Vehicle</t>
  </si>
  <si>
    <t xml:space="preserve"> Dollar </t>
  </si>
  <si>
    <t xml:space="preserve"> Percent </t>
  </si>
  <si>
    <t xml:space="preserve"> Current </t>
  </si>
  <si>
    <t xml:space="preserve"> Proposed </t>
  </si>
  <si>
    <t xml:space="preserve"> Increase </t>
  </si>
  <si>
    <t>First 0 gallons</t>
  </si>
  <si>
    <t>per month</t>
  </si>
  <si>
    <t>per thousand gallons</t>
  </si>
  <si>
    <t>5/8 Inch X 3/4 Inch Meter</t>
  </si>
  <si>
    <t>1 Inch Meter</t>
  </si>
  <si>
    <t>First 5,000 gallons</t>
  </si>
  <si>
    <t>All Over 5,000 gallons</t>
  </si>
  <si>
    <t>All Over 0 gallons</t>
  </si>
  <si>
    <t>1 1/2 Inch Meter</t>
  </si>
  <si>
    <t>First 10,000 gallons</t>
  </si>
  <si>
    <t>All Over 10,000 gallons</t>
  </si>
  <si>
    <t>2 Inch Meter</t>
  </si>
  <si>
    <t>First 50,000 gallons</t>
  </si>
  <si>
    <t xml:space="preserve"> Monthly Water Rates</t>
  </si>
  <si>
    <t>4 Inch Meter</t>
  </si>
  <si>
    <t>First 100,000 gallons</t>
  </si>
  <si>
    <t>All Over 50,000 gallons</t>
  </si>
  <si>
    <t>All Over 100,000 gallons</t>
  </si>
  <si>
    <t>Bourland, Ricky L</t>
  </si>
  <si>
    <t>Berman, Destin J</t>
  </si>
  <si>
    <t>Blane, Mathew A</t>
  </si>
  <si>
    <t>Burgess, Calvin W</t>
  </si>
  <si>
    <t>Clark, William B</t>
  </si>
  <si>
    <t>Culler, Cardonna D</t>
  </si>
  <si>
    <t>Gates, Michael T</t>
  </si>
  <si>
    <t>Hammonds, Charles Z</t>
  </si>
  <si>
    <t>Howell, Heath R</t>
  </si>
  <si>
    <t>McPeek, Colby M</t>
  </si>
  <si>
    <t>Owen, James R</t>
  </si>
  <si>
    <t>Phelps, Amy E</t>
  </si>
  <si>
    <t>Rader, Thomas A</t>
  </si>
  <si>
    <t>CURRENT BILLING ANALYSIS WITH 2020 USAGE &amp; EXISTING RATES</t>
  </si>
  <si>
    <t>Minimum Bill</t>
  </si>
  <si>
    <t>All Over Minimum</t>
  </si>
  <si>
    <t>COMPONENT</t>
  </si>
  <si>
    <t>5/8 INCH X 3/4 INCH METER</t>
  </si>
  <si>
    <t>1 INCH METER</t>
  </si>
  <si>
    <t>1 1/2 INCH METER</t>
  </si>
  <si>
    <t>2 INCH METER</t>
  </si>
  <si>
    <t>4 INCH METER</t>
  </si>
  <si>
    <t>Less Adjustments</t>
  </si>
  <si>
    <t xml:space="preserve">Total  </t>
  </si>
  <si>
    <t>From PSC Annual Report</t>
  </si>
  <si>
    <t>C</t>
  </si>
  <si>
    <t>B</t>
  </si>
  <si>
    <t>Pension Contribution</t>
  </si>
  <si>
    <t>D</t>
  </si>
  <si>
    <t>CHRISTIAN COUNTY WATER DISTRICT</t>
  </si>
  <si>
    <t xml:space="preserve">ANTHEM B/C &amp; B/S </t>
  </si>
  <si>
    <t>Medical Adjustment</t>
  </si>
  <si>
    <t>E</t>
  </si>
  <si>
    <t>Telephone Utility Increase</t>
  </si>
  <si>
    <t>Christian County Water District</t>
  </si>
  <si>
    <t>Reported</t>
  </si>
  <si>
    <t>Asset</t>
  </si>
  <si>
    <t>Cost *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</si>
  <si>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</si>
  <si>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</si>
  <si>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</si>
  <si>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</si>
  <si>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</si>
  <si>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</si>
  <si>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</si>
  <si>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</si>
  <si>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</si>
  <si>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</si>
  <si>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</si>
  <si>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</si>
  <si>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</si>
  <si>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</si>
  <si>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</si>
  <si>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</si>
  <si>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</si>
  <si>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</si>
  <si>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</si>
  <si>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</si>
  <si>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</si>
  <si>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</si>
  <si>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</si>
  <si>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</si>
  <si>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 xml:space="preserve">              *  Includes only costs associated with assets that contributed to depreciation expense in the test year.</t>
  </si>
  <si>
    <t>Table B</t>
  </si>
  <si>
    <t>DEBT SERVICE SCHDULE</t>
  </si>
  <si>
    <t>CY 2022 - 2026</t>
  </si>
  <si>
    <t>CY 2022</t>
  </si>
  <si>
    <t>CY 2023</t>
  </si>
  <si>
    <t>CY 2024</t>
  </si>
  <si>
    <t>CY 2025</t>
  </si>
  <si>
    <t>CY 2026</t>
  </si>
  <si>
    <t>Interest</t>
  </si>
  <si>
    <t>Principal</t>
  </si>
  <si>
    <t>&amp; Fees</t>
  </si>
  <si>
    <t>KRWFC Series 2012C</t>
  </si>
  <si>
    <t>KRWFC Series 2013B</t>
  </si>
  <si>
    <t>KRWFC Series 2016B</t>
  </si>
  <si>
    <t>Series 2018 Phase VIII</t>
  </si>
  <si>
    <t>KRWFC Series 2020G</t>
  </si>
  <si>
    <t>Average Annual Principal &amp; Interest</t>
  </si>
  <si>
    <t>Average Annual Coverage</t>
  </si>
  <si>
    <t>Average Annual Principal and Interest Payments</t>
  </si>
  <si>
    <t>Additional Working Capital</t>
  </si>
  <si>
    <t>F</t>
  </si>
  <si>
    <t>Depreciation Adjustment</t>
  </si>
  <si>
    <t>Salaries and Wages Adjustment</t>
  </si>
  <si>
    <t>DISTRICT'S</t>
  </si>
  <si>
    <t>Full year of late fees</t>
  </si>
  <si>
    <t>DELTA DENTAL</t>
  </si>
  <si>
    <t>Allowable</t>
  </si>
  <si>
    <t>EE AND CHILD</t>
  </si>
  <si>
    <t>One part-time employee receives Dental Insurance but not Medical Insurance</t>
  </si>
  <si>
    <t>TOTAL MEDICAL AND DENTAL INSURANCE</t>
  </si>
  <si>
    <t>Allowable Employer Premium</t>
  </si>
  <si>
    <t>Part Time Employee</t>
  </si>
  <si>
    <t>Total Gross Wages</t>
  </si>
  <si>
    <t>Gross Wages for Full Time Employees CERS Eligible</t>
  </si>
  <si>
    <t>Labor and Materials Adjustment for New Service Installations</t>
  </si>
  <si>
    <t>New Tapping Fees Collected</t>
  </si>
  <si>
    <t>G</t>
  </si>
  <si>
    <t xml:space="preserve">Labor </t>
  </si>
  <si>
    <t xml:space="preserve">Materials </t>
  </si>
  <si>
    <t>H</t>
  </si>
  <si>
    <t>`</t>
  </si>
  <si>
    <t>Water Loss Adjustment</t>
  </si>
  <si>
    <t>Produced &amp; Purchased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</si>
  <si>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</si>
  <si>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</si>
  <si>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</si>
  <si>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</si>
  <si>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</si>
  <si>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</t>
  </si>
  <si>
    <t>Tank O.F.</t>
  </si>
  <si>
    <t>Line Brks.</t>
  </si>
  <si>
    <t>Line Leaks</t>
  </si>
  <si>
    <t xml:space="preserve">  water loss percentage</t>
  </si>
  <si>
    <t xml:space="preserve">  allowable in rates</t>
  </si>
  <si>
    <t xml:space="preserve">  adjustment percentage</t>
  </si>
  <si>
    <t>Other</t>
  </si>
  <si>
    <t>I</t>
  </si>
  <si>
    <t>Barrett, Haley N (wage rate) / Long, Angela J (hours)</t>
  </si>
  <si>
    <t>Madison, Clinton</t>
  </si>
  <si>
    <t>Capital Enditures from Tapping Fees</t>
  </si>
  <si>
    <t>Retirement Liability</t>
  </si>
  <si>
    <t>OPEB Liability</t>
  </si>
  <si>
    <t>Less Annual Medical Premium</t>
  </si>
  <si>
    <t>Less Annual Dental Premium</t>
  </si>
  <si>
    <t>Rate Code</t>
  </si>
  <si>
    <t>Billing Analysis Source Data</t>
  </si>
  <si>
    <t>Usage Below Minimum</t>
  </si>
  <si>
    <t>Usage Above Minimum</t>
  </si>
  <si>
    <t>Revenue Below Minimum Usage</t>
  </si>
  <si>
    <t>Revenue Above Minimum Usage</t>
  </si>
  <si>
    <t>Total Usage</t>
  </si>
  <si>
    <t>Total Revenue</t>
  </si>
  <si>
    <t>Meter Size</t>
  </si>
  <si>
    <t>5/8 Inch</t>
  </si>
  <si>
    <t>01</t>
  </si>
  <si>
    <t>08</t>
  </si>
  <si>
    <t>09</t>
  </si>
  <si>
    <t>10</t>
  </si>
  <si>
    <t>11</t>
  </si>
  <si>
    <t>Total 5/8 Inch</t>
  </si>
  <si>
    <t>1 Inch</t>
  </si>
  <si>
    <t>02</t>
  </si>
  <si>
    <t>Bills Below Minimum</t>
  </si>
  <si>
    <t>Bills Above Minimum</t>
  </si>
  <si>
    <t>Total Bills</t>
  </si>
  <si>
    <t>Total 1 Inch</t>
  </si>
  <si>
    <t>Minimum Usage</t>
  </si>
  <si>
    <t>1 1/2 Inch</t>
  </si>
  <si>
    <t>03</t>
  </si>
  <si>
    <t>Total 1 1/2 Inch</t>
  </si>
  <si>
    <t>2 Inch</t>
  </si>
  <si>
    <t>04</t>
  </si>
  <si>
    <t>06</t>
  </si>
  <si>
    <t>07</t>
  </si>
  <si>
    <t>Total 2 Inch</t>
  </si>
  <si>
    <t>4 Inch</t>
  </si>
  <si>
    <t>05</t>
  </si>
  <si>
    <t>Total 4 Inch</t>
  </si>
  <si>
    <t>Fully Allowed</t>
  </si>
  <si>
    <t>J</t>
  </si>
  <si>
    <t>A</t>
  </si>
  <si>
    <t>Fuel for Power Production / Office Utilities</t>
  </si>
  <si>
    <t>Adjustment to SAO Billed Revenues</t>
  </si>
  <si>
    <t>Billing Analysis</t>
  </si>
  <si>
    <t>PROPOSED BILLING ANALYSIS WITH 2020 USAGE &amp; PROPOSED RATES</t>
  </si>
  <si>
    <t>Revenue Requirement</t>
  </si>
  <si>
    <t>K</t>
  </si>
  <si>
    <t>L</t>
  </si>
  <si>
    <t>M</t>
  </si>
  <si>
    <t>TABLE D</t>
  </si>
  <si>
    <t>Miscellaneous Service Revenues</t>
  </si>
  <si>
    <t>Interdepartments Rents</t>
  </si>
  <si>
    <t>Interdepartmental Sales</t>
  </si>
  <si>
    <t>Current</t>
  </si>
  <si>
    <t>2004 RD Loan Phase VI</t>
  </si>
  <si>
    <t xml:space="preserve">2019 PSC Annual Report Acct 470 page 49 </t>
  </si>
  <si>
    <t>Location</t>
  </si>
  <si>
    <t>CCWD Employee Pensions and Benefits Email</t>
  </si>
  <si>
    <t>CCWD Telephone Expense Increase Email</t>
  </si>
  <si>
    <t>Tab ExBA Cell F13</t>
  </si>
  <si>
    <t>Tab Wages Cell H48</t>
  </si>
  <si>
    <t>Tab Capital Cell C5</t>
  </si>
  <si>
    <t>Tab Wages CellH40</t>
  </si>
  <si>
    <t>Tab Water Loss Cell D16</t>
  </si>
  <si>
    <t>Tab Capital Cell C6</t>
  </si>
  <si>
    <t>Tab Medical Cell C21</t>
  </si>
  <si>
    <t>Tab Depreciation Cell K40</t>
  </si>
  <si>
    <t>Tab Wages Cell H34</t>
  </si>
  <si>
    <t>Tab Debt Service Cell M22</t>
  </si>
  <si>
    <t>Tab Debt Service Cell 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</si>
</sst>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  <numFmt numFmtId="172" formatCode="_(* #,##0.0000_);_(* \(#,##0.0000\);_(* &quot;-&quot;??_);_(@_)"/>
    <numFmt numFmtId="173" formatCode="0.000%"/>
  </numFmts>
  <fonts count="2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33">
    <xf numFmtId="0" fontId="0" fillId="0" borderId="0" xfId="0"/>
    <xf numFmtId="0" fontId="3" fillId="0" borderId="0" xfId="0" applyFont="1"/>
    <xf numFmtId="0" fontId="0" fillId="0" borderId="6" xfId="0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43" fontId="3" fillId="0" borderId="0" xfId="1" applyFont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165" fontId="3" fillId="0" borderId="0" xfId="5" applyNumberFormat="1" applyFont="1"/>
    <xf numFmtId="165" fontId="3" fillId="0" borderId="7" xfId="5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0" xfId="5" applyNumberFormat="1" applyFont="1" applyBorder="1"/>
    <xf numFmtId="164" fontId="3" fillId="0" borderId="0" xfId="0" applyNumberFormat="1" applyFont="1"/>
    <xf numFmtId="168" fontId="3" fillId="0" borderId="0" xfId="5" applyNumberFormat="1" applyFont="1" applyBorder="1"/>
    <xf numFmtId="168" fontId="8" fillId="0" borderId="0" xfId="5" applyNumberFormat="1" applyFont="1" applyBorder="1" applyAlignment="1">
      <alignment horizontal="center"/>
    </xf>
    <xf numFmtId="43" fontId="3" fillId="0" borderId="0" xfId="1" applyFont="1" applyBorder="1" applyAlignment="1"/>
    <xf numFmtId="43" fontId="9" fillId="0" borderId="0" xfId="1" applyFont="1" applyBorder="1" applyAlignment="1">
      <alignment horizontal="center"/>
    </xf>
    <xf numFmtId="44" fontId="3" fillId="0" borderId="0" xfId="2" applyFont="1" applyBorder="1" applyAlignment="1"/>
    <xf numFmtId="165" fontId="9" fillId="0" borderId="0" xfId="5" applyNumberFormat="1" applyFont="1"/>
    <xf numFmtId="164" fontId="3" fillId="0" borderId="0" xfId="6" applyNumberFormat="1" applyFont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43" fontId="3" fillId="0" borderId="8" xfId="1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7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8" xfId="1" quotePrefix="1" applyFont="1" applyFill="1" applyBorder="1" applyAlignment="1">
      <alignment horizontal="center"/>
    </xf>
    <xf numFmtId="167" fontId="3" fillId="2" borderId="8" xfId="3" applyNumberFormat="1" applyFont="1" applyFill="1" applyBorder="1"/>
    <xf numFmtId="164" fontId="3" fillId="0" borderId="0" xfId="6" applyNumberFormat="1" applyFont="1" applyBorder="1"/>
    <xf numFmtId="0" fontId="6" fillId="0" borderId="0" xfId="0" applyFont="1"/>
    <xf numFmtId="165" fontId="13" fillId="0" borderId="0" xfId="1" applyNumberFormat="1" applyFont="1"/>
    <xf numFmtId="44" fontId="3" fillId="0" borderId="0" xfId="10" applyFont="1"/>
    <xf numFmtId="165" fontId="9" fillId="0" borderId="0" xfId="1" applyNumberFormat="1" applyFont="1" applyBorder="1"/>
    <xf numFmtId="0" fontId="16" fillId="0" borderId="0" xfId="0" applyFont="1"/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0" fontId="3" fillId="0" borderId="0" xfId="3" applyNumberFormat="1" applyFont="1" applyAlignment="1">
      <alignment horizontal="center"/>
    </xf>
    <xf numFmtId="44" fontId="3" fillId="0" borderId="0" xfId="0" applyNumberFormat="1" applyFont="1"/>
    <xf numFmtId="165" fontId="3" fillId="0" borderId="0" xfId="5" quotePrefix="1" applyNumberFormat="1" applyFont="1"/>
    <xf numFmtId="43" fontId="8" fillId="0" borderId="0" xfId="1" applyFont="1" applyBorder="1" applyAlignment="1">
      <alignment horizontal="center"/>
    </xf>
    <xf numFmtId="167" fontId="3" fillId="0" borderId="0" xfId="3" applyNumberFormat="1" applyFont="1" applyBorder="1" applyAlignment="1"/>
    <xf numFmtId="166" fontId="3" fillId="0" borderId="0" xfId="1" applyNumberFormat="1" applyFont="1" applyBorder="1" applyAlignment="1"/>
    <xf numFmtId="2" fontId="3" fillId="0" borderId="0" xfId="1" applyNumberFormat="1" applyFont="1" applyBorder="1"/>
    <xf numFmtId="2" fontId="3" fillId="0" borderId="0" xfId="1" applyNumberFormat="1" applyFont="1" applyBorder="1" applyAlignment="1"/>
    <xf numFmtId="0" fontId="3" fillId="0" borderId="7" xfId="0" applyFont="1" applyBorder="1"/>
    <xf numFmtId="165" fontId="17" fillId="0" borderId="0" xfId="1" applyNumberFormat="1" applyFont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Continuous" vertical="center"/>
    </xf>
    <xf numFmtId="165" fontId="8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17" fillId="0" borderId="0" xfId="1" quotePrefix="1" applyNumberFormat="1" applyFont="1" applyAlignment="1">
      <alignment horizontal="center" vertical="center"/>
    </xf>
    <xf numFmtId="165" fontId="18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center"/>
    </xf>
    <xf numFmtId="165" fontId="10" fillId="0" borderId="0" xfId="1" quotePrefix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0" fontId="3" fillId="0" borderId="0" xfId="3" applyNumberFormat="1" applyFont="1" applyAlignment="1">
      <alignment vertical="center"/>
    </xf>
    <xf numFmtId="165" fontId="3" fillId="0" borderId="0" xfId="5" applyNumberFormat="1" applyFont="1" applyBorder="1" applyAlignment="1">
      <alignment horizontal="center"/>
    </xf>
    <xf numFmtId="10" fontId="3" fillId="0" borderId="0" xfId="3" applyNumberFormat="1" applyFont="1" applyBorder="1" applyAlignment="1">
      <alignment vertical="center"/>
    </xf>
    <xf numFmtId="10" fontId="3" fillId="0" borderId="0" xfId="3" applyNumberFormat="1" applyFont="1" applyBorder="1"/>
    <xf numFmtId="43" fontId="3" fillId="0" borderId="0" xfId="5" applyFont="1"/>
    <xf numFmtId="43" fontId="3" fillId="0" borderId="0" xfId="5" applyFont="1" applyBorder="1"/>
    <xf numFmtId="165" fontId="3" fillId="0" borderId="8" xfId="5" applyNumberFormat="1" applyFont="1" applyBorder="1"/>
    <xf numFmtId="0" fontId="22" fillId="0" borderId="0" xfId="0" applyFont="1" applyAlignment="1">
      <alignment horizontal="center"/>
    </xf>
    <xf numFmtId="165" fontId="21" fillId="0" borderId="0" xfId="5" applyNumberFormat="1" applyFont="1"/>
    <xf numFmtId="170" fontId="3" fillId="0" borderId="0" xfId="0" applyNumberFormat="1" applyFont="1"/>
    <xf numFmtId="164" fontId="16" fillId="0" borderId="9" xfId="6" applyNumberFormat="1" applyFont="1" applyBorder="1"/>
    <xf numFmtId="10" fontId="3" fillId="0" borderId="1" xfId="0" applyNumberFormat="1" applyFont="1" applyBorder="1"/>
    <xf numFmtId="164" fontId="3" fillId="0" borderId="1" xfId="6" applyNumberFormat="1" applyFont="1" applyBorder="1"/>
    <xf numFmtId="0" fontId="3" fillId="0" borderId="0" xfId="0" applyFont="1" applyBorder="1"/>
    <xf numFmtId="0" fontId="3" fillId="0" borderId="0" xfId="0" applyFont="1" applyFill="1"/>
    <xf numFmtId="43" fontId="3" fillId="0" borderId="0" xfId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166" fontId="3" fillId="0" borderId="0" xfId="0" applyNumberFormat="1" applyFont="1"/>
    <xf numFmtId="166" fontId="3" fillId="0" borderId="0" xfId="1" applyNumberFormat="1" applyFont="1" applyBorder="1" applyAlignment="1">
      <alignment horizontal="center"/>
    </xf>
    <xf numFmtId="166" fontId="3" fillId="0" borderId="0" xfId="2" applyNumberFormat="1" applyFont="1" applyBorder="1"/>
    <xf numFmtId="166" fontId="3" fillId="0" borderId="0" xfId="1" applyNumberFormat="1" applyFont="1" applyBorder="1"/>
    <xf numFmtId="0" fontId="6" fillId="0" borderId="0" xfId="0" applyFont="1" applyBorder="1"/>
    <xf numFmtId="166" fontId="6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3" xfId="0" applyFont="1" applyBorder="1"/>
    <xf numFmtId="166" fontId="3" fillId="0" borderId="0" xfId="0" applyNumberFormat="1" applyFont="1" applyBorder="1"/>
    <xf numFmtId="0" fontId="3" fillId="0" borderId="5" xfId="0" applyFont="1" applyBorder="1"/>
    <xf numFmtId="0" fontId="3" fillId="0" borderId="0" xfId="0" applyNumberFormat="1" applyFont="1" applyBorder="1"/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/>
    <xf numFmtId="43" fontId="3" fillId="0" borderId="0" xfId="5" applyFont="1" applyFill="1"/>
    <xf numFmtId="43" fontId="3" fillId="0" borderId="0" xfId="5" applyFont="1" applyFill="1" applyBorder="1"/>
    <xf numFmtId="165" fontId="3" fillId="0" borderId="0" xfId="5" applyNumberFormat="1" applyFont="1" applyFill="1"/>
    <xf numFmtId="165" fontId="3" fillId="0" borderId="0" xfId="5" applyNumberFormat="1" applyFont="1" applyFill="1" applyBorder="1"/>
    <xf numFmtId="0" fontId="3" fillId="0" borderId="0" xfId="0" applyFon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/>
    <xf numFmtId="164" fontId="3" fillId="0" borderId="0" xfId="0" applyNumberFormat="1" applyFont="1" applyBorder="1"/>
    <xf numFmtId="37" fontId="3" fillId="0" borderId="0" xfId="0" applyNumberFormat="1" applyFont="1" applyBorder="1"/>
    <xf numFmtId="165" fontId="3" fillId="0" borderId="0" xfId="0" applyNumberFormat="1" applyFont="1" applyBorder="1"/>
    <xf numFmtId="165" fontId="9" fillId="0" borderId="0" xfId="5" applyNumberFormat="1" applyFont="1" applyBorder="1"/>
    <xf numFmtId="165" fontId="9" fillId="0" borderId="0" xfId="0" applyNumberFormat="1" applyFont="1" applyBorder="1"/>
    <xf numFmtId="0" fontId="0" fillId="0" borderId="0" xfId="0" applyBorder="1"/>
    <xf numFmtId="0" fontId="1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3" fontId="3" fillId="0" borderId="0" xfId="0" applyNumberFormat="1" applyFont="1" applyBorder="1" applyAlignment="1">
      <alignment horizontal="right"/>
    </xf>
    <xf numFmtId="0" fontId="3" fillId="0" borderId="0" xfId="0" quotePrefix="1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7" fontId="3" fillId="0" borderId="0" xfId="2" applyNumberFormat="1" applyFont="1" applyBorder="1"/>
    <xf numFmtId="166" fontId="3" fillId="0" borderId="0" xfId="5" applyNumberFormat="1" applyFont="1" applyBorder="1"/>
    <xf numFmtId="37" fontId="3" fillId="0" borderId="0" xfId="0" applyNumberFormat="1" applyFont="1" applyBorder="1" applyAlignment="1"/>
    <xf numFmtId="0" fontId="3" fillId="0" borderId="0" xfId="0" applyFont="1" applyBorder="1" applyAlignment="1"/>
    <xf numFmtId="165" fontId="3" fillId="0" borderId="0" xfId="1" applyNumberFormat="1" applyFont="1" applyBorder="1" applyAlignment="1"/>
    <xf numFmtId="43" fontId="3" fillId="0" borderId="0" xfId="1" applyNumberFormat="1" applyFont="1" applyBorder="1" applyAlignment="1"/>
    <xf numFmtId="44" fontId="3" fillId="0" borderId="0" xfId="0" applyNumberFormat="1" applyFont="1" applyBorder="1" applyAlignment="1"/>
    <xf numFmtId="165" fontId="4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Continuous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4" fontId="9" fillId="0" borderId="0" xfId="6" applyNumberFormat="1" applyFont="1" applyBorder="1"/>
    <xf numFmtId="44" fontId="9" fillId="0" borderId="0" xfId="0" applyNumberFormat="1" applyFont="1" applyBorder="1"/>
    <xf numFmtId="44" fontId="4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Continuous"/>
    </xf>
    <xf numFmtId="44" fontId="3" fillId="0" borderId="0" xfId="0" applyNumberFormat="1" applyFont="1" applyBorder="1" applyAlignment="1" applyProtection="1">
      <alignment horizontal="center"/>
    </xf>
    <xf numFmtId="44" fontId="3" fillId="0" borderId="0" xfId="6" applyNumberFormat="1" applyFont="1" applyBorder="1"/>
    <xf numFmtId="44" fontId="9" fillId="0" borderId="0" xfId="6" applyNumberFormat="1" applyFont="1" applyBorder="1"/>
    <xf numFmtId="44" fontId="3" fillId="0" borderId="0" xfId="0" applyNumberFormat="1" applyFont="1" applyBorder="1" applyAlignment="1">
      <alignment horizontal="center"/>
    </xf>
    <xf numFmtId="44" fontId="3" fillId="0" borderId="0" xfId="5" applyNumberFormat="1" applyFont="1" applyBorder="1"/>
    <xf numFmtId="44" fontId="9" fillId="0" borderId="0" xfId="5" applyNumberFormat="1" applyFont="1" applyBorder="1"/>
    <xf numFmtId="44" fontId="0" fillId="0" borderId="0" xfId="0" applyNumberFormat="1" applyBorder="1"/>
    <xf numFmtId="44" fontId="3" fillId="0" borderId="2" xfId="1" applyNumberFormat="1" applyFont="1" applyBorder="1"/>
    <xf numFmtId="44" fontId="3" fillId="0" borderId="1" xfId="1" applyNumberFormat="1" applyFont="1" applyBorder="1"/>
    <xf numFmtId="44" fontId="11" fillId="0" borderId="7" xfId="0" applyNumberFormat="1" applyFont="1" applyBorder="1" applyAlignment="1">
      <alignment horizontal="center" vertical="center"/>
    </xf>
    <xf numFmtId="44" fontId="9" fillId="0" borderId="7" xfId="1" applyNumberFormat="1" applyFont="1" applyBorder="1" applyAlignment="1">
      <alignment horizontal="center"/>
    </xf>
    <xf numFmtId="44" fontId="3" fillId="0" borderId="7" xfId="1" applyNumberFormat="1" applyFont="1" applyBorder="1"/>
    <xf numFmtId="44" fontId="3" fillId="0" borderId="5" xfId="1" applyNumberFormat="1" applyFont="1" applyBorder="1"/>
    <xf numFmtId="44" fontId="3" fillId="0" borderId="0" xfId="1" applyNumberFormat="1" applyFont="1"/>
    <xf numFmtId="44" fontId="11" fillId="0" borderId="0" xfId="0" applyNumberFormat="1" applyFont="1" applyBorder="1" applyAlignment="1">
      <alignment horizontal="center" vertical="center"/>
    </xf>
    <xf numFmtId="44" fontId="9" fillId="0" borderId="0" xfId="1" applyNumberFormat="1" applyFont="1" applyBorder="1" applyAlignment="1">
      <alignment horizontal="center"/>
    </xf>
    <xf numFmtId="44" fontId="3" fillId="0" borderId="0" xfId="1" applyNumberFormat="1" applyFont="1" applyBorder="1"/>
    <xf numFmtId="44" fontId="3" fillId="0" borderId="0" xfId="2" applyNumberFormat="1" applyFont="1" applyBorder="1"/>
    <xf numFmtId="3" fontId="4" fillId="0" borderId="0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Border="1"/>
    <xf numFmtId="165" fontId="3" fillId="0" borderId="0" xfId="9" applyNumberFormat="1" applyFont="1" applyFill="1" applyBorder="1"/>
    <xf numFmtId="165" fontId="9" fillId="0" borderId="0" xfId="9" applyNumberFormat="1" applyFont="1" applyFill="1" applyBorder="1"/>
    <xf numFmtId="0" fontId="3" fillId="0" borderId="0" xfId="0" applyFont="1" applyFill="1" applyBorder="1"/>
    <xf numFmtId="44" fontId="3" fillId="0" borderId="0" xfId="0" applyNumberFormat="1" applyFont="1" applyFill="1" applyBorder="1"/>
    <xf numFmtId="0" fontId="1" fillId="0" borderId="0" xfId="4" applyFill="1" applyBorder="1"/>
    <xf numFmtId="0" fontId="19" fillId="0" borderId="0" xfId="4" applyFont="1" applyFill="1" applyBorder="1" applyAlignment="1">
      <alignment horizontal="center"/>
    </xf>
    <xf numFmtId="167" fontId="3" fillId="0" borderId="0" xfId="3" applyNumberFormat="1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Fill="1" applyBorder="1"/>
    <xf numFmtId="44" fontId="3" fillId="0" borderId="0" xfId="9" applyNumberFormat="1" applyFont="1"/>
    <xf numFmtId="165" fontId="3" fillId="0" borderId="0" xfId="9" applyNumberFormat="1" applyFont="1" applyFill="1" applyBorder="1" applyAlignment="1">
      <alignment horizontal="center"/>
    </xf>
    <xf numFmtId="165" fontId="7" fillId="0" borderId="7" xfId="5" applyNumberFormat="1" applyFont="1" applyBorder="1" applyAlignment="1">
      <alignment horizontal="center"/>
    </xf>
    <xf numFmtId="3" fontId="3" fillId="0" borderId="0" xfId="0" applyNumberFormat="1" applyFont="1"/>
    <xf numFmtId="168" fontId="3" fillId="0" borderId="0" xfId="5" applyNumberFormat="1" applyFont="1" applyAlignment="1"/>
    <xf numFmtId="3" fontId="3" fillId="0" borderId="2" xfId="0" applyNumberFormat="1" applyFont="1" applyBorder="1"/>
    <xf numFmtId="168" fontId="3" fillId="0" borderId="2" xfId="5" applyNumberFormat="1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168" fontId="3" fillId="0" borderId="0" xfId="5" applyNumberFormat="1" applyFont="1" applyBorder="1" applyAlignme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8" fontId="8" fillId="0" borderId="0" xfId="5" applyNumberFormat="1" applyFont="1" applyBorder="1" applyAlignment="1">
      <alignment horizontal="centerContinuous"/>
    </xf>
    <xf numFmtId="3" fontId="8" fillId="0" borderId="0" xfId="0" applyNumberFormat="1" applyFont="1" applyAlignment="1">
      <alignment horizontal="centerContinuous"/>
    </xf>
    <xf numFmtId="44" fontId="10" fillId="0" borderId="0" xfId="0" applyNumberFormat="1" applyFont="1" applyAlignment="1">
      <alignment horizontal="center"/>
    </xf>
    <xf numFmtId="3" fontId="8" fillId="0" borderId="0" xfId="0" applyNumberFormat="1" applyFont="1"/>
    <xf numFmtId="169" fontId="3" fillId="0" borderId="0" xfId="0" applyNumberFormat="1" applyFont="1" applyAlignment="1">
      <alignment horizontal="center"/>
    </xf>
    <xf numFmtId="165" fontId="3" fillId="0" borderId="0" xfId="0" applyNumberFormat="1" applyFont="1"/>
    <xf numFmtId="168" fontId="3" fillId="0" borderId="0" xfId="5" applyNumberFormat="1" applyFont="1" applyBorder="1" applyAlignment="1">
      <alignment horizontal="center"/>
    </xf>
    <xf numFmtId="168" fontId="3" fillId="0" borderId="0" xfId="5" quotePrefix="1" applyNumberFormat="1" applyFont="1" applyBorder="1" applyAlignment="1">
      <alignment horizontal="center"/>
    </xf>
    <xf numFmtId="168" fontId="13" fillId="0" borderId="0" xfId="5" applyNumberFormat="1" applyFont="1" applyBorder="1" applyAlignment="1"/>
    <xf numFmtId="165" fontId="3" fillId="0" borderId="0" xfId="5" applyNumberFormat="1" applyFont="1" applyBorder="1" applyAlignment="1"/>
    <xf numFmtId="3" fontId="7" fillId="0" borderId="0" xfId="0" applyNumberFormat="1" applyFont="1"/>
    <xf numFmtId="171" fontId="3" fillId="0" borderId="0" xfId="0" applyNumberFormat="1" applyFont="1"/>
    <xf numFmtId="170" fontId="7" fillId="0" borderId="0" xfId="0" applyNumberFormat="1" applyFont="1"/>
    <xf numFmtId="3" fontId="3" fillId="0" borderId="1" xfId="0" applyNumberFormat="1" applyFont="1" applyBorder="1"/>
    <xf numFmtId="168" fontId="3" fillId="0" borderId="1" xfId="5" applyNumberFormat="1" applyFont="1" applyBorder="1" applyAlignment="1"/>
    <xf numFmtId="3" fontId="3" fillId="0" borderId="6" xfId="0" applyNumberFormat="1" applyFont="1" applyBorder="1"/>
    <xf numFmtId="4" fontId="3" fillId="0" borderId="7" xfId="0" applyNumberFormat="1" applyFont="1" applyBorder="1"/>
    <xf numFmtId="165" fontId="3" fillId="0" borderId="3" xfId="5" applyNumberFormat="1" applyFont="1" applyBorder="1"/>
    <xf numFmtId="165" fontId="3" fillId="0" borderId="2" xfId="5" applyNumberFormat="1" applyFont="1" applyBorder="1"/>
    <xf numFmtId="165" fontId="3" fillId="0" borderId="4" xfId="5" applyNumberFormat="1" applyFont="1" applyBorder="1"/>
    <xf numFmtId="165" fontId="4" fillId="0" borderId="7" xfId="5" applyNumberFormat="1" applyFont="1" applyBorder="1" applyAlignment="1">
      <alignment horizontal="centerContinuous"/>
    </xf>
    <xf numFmtId="165" fontId="7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3" fontId="11" fillId="0" borderId="7" xfId="0" applyNumberFormat="1" applyFont="1" applyBorder="1" applyAlignment="1">
      <alignment horizontal="centerContinuous" vertical="center"/>
    </xf>
    <xf numFmtId="165" fontId="23" fillId="0" borderId="7" xfId="5" applyNumberFormat="1" applyFont="1" applyBorder="1" applyAlignment="1">
      <alignment horizontal="centerContinuous"/>
    </xf>
    <xf numFmtId="165" fontId="3" fillId="0" borderId="0" xfId="5" applyNumberFormat="1" applyFont="1" applyAlignment="1">
      <alignment horizontal="centerContinuous"/>
    </xf>
    <xf numFmtId="165" fontId="3" fillId="0" borderId="7" xfId="5" applyNumberFormat="1" applyFont="1" applyBorder="1" applyAlignment="1">
      <alignment horizontal="centerContinuous"/>
    </xf>
    <xf numFmtId="165" fontId="3" fillId="0" borderId="10" xfId="5" applyNumberFormat="1" applyFont="1" applyBorder="1" applyAlignment="1">
      <alignment horizontal="left"/>
    </xf>
    <xf numFmtId="165" fontId="3" fillId="0" borderId="3" xfId="5" applyNumberFormat="1" applyFont="1" applyBorder="1" applyAlignment="1">
      <alignment horizontal="left"/>
    </xf>
    <xf numFmtId="165" fontId="3" fillId="0" borderId="2" xfId="5" applyNumberFormat="1" applyFont="1" applyBorder="1" applyAlignment="1">
      <alignment horizontal="left"/>
    </xf>
    <xf numFmtId="165" fontId="3" fillId="0" borderId="4" xfId="5" applyNumberFormat="1" applyFont="1" applyBorder="1" applyAlignment="1">
      <alignment horizontal="left"/>
    </xf>
    <xf numFmtId="165" fontId="3" fillId="0" borderId="11" xfId="5" applyNumberFormat="1" applyFont="1" applyBorder="1"/>
    <xf numFmtId="165" fontId="10" fillId="0" borderId="0" xfId="5" applyNumberFormat="1" applyFont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0" xfId="5" applyNumberFormat="1" applyFont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3" fillId="0" borderId="11" xfId="5" applyNumberFormat="1" applyFont="1" applyBorder="1" applyAlignment="1">
      <alignment horizontal="left"/>
    </xf>
    <xf numFmtId="165" fontId="3" fillId="0" borderId="7" xfId="5" applyNumberFormat="1" applyFont="1" applyBorder="1" applyAlignment="1">
      <alignment horizontal="center"/>
    </xf>
    <xf numFmtId="165" fontId="3" fillId="0" borderId="0" xfId="5" applyNumberFormat="1" applyFont="1" applyAlignment="1">
      <alignment horizontal="center"/>
    </xf>
    <xf numFmtId="165" fontId="3" fillId="0" borderId="8" xfId="5" applyNumberFormat="1" applyFont="1" applyBorder="1" applyAlignment="1">
      <alignment horizontal="center"/>
    </xf>
    <xf numFmtId="164" fontId="3" fillId="0" borderId="0" xfId="6" quotePrefix="1" applyNumberFormat="1" applyFont="1" applyBorder="1" applyAlignment="1">
      <alignment horizontal="center"/>
    </xf>
    <xf numFmtId="165" fontId="3" fillId="0" borderId="0" xfId="5" quotePrefix="1" applyNumberFormat="1" applyFont="1" applyBorder="1" applyAlignment="1">
      <alignment horizontal="center"/>
    </xf>
    <xf numFmtId="165" fontId="3" fillId="0" borderId="11" xfId="5" quotePrefix="1" applyNumberFormat="1" applyFont="1" applyBorder="1" applyAlignment="1">
      <alignment horizontal="center"/>
    </xf>
    <xf numFmtId="165" fontId="3" fillId="0" borderId="7" xfId="5" quotePrefix="1" applyNumberFormat="1" applyFont="1" applyBorder="1" applyAlignment="1">
      <alignment horizontal="left"/>
    </xf>
    <xf numFmtId="165" fontId="3" fillId="0" borderId="0" xfId="5" quotePrefix="1" applyNumberFormat="1" applyFont="1" applyAlignment="1">
      <alignment horizontal="left"/>
    </xf>
    <xf numFmtId="165" fontId="3" fillId="0" borderId="8" xfId="5" quotePrefix="1" applyNumberFormat="1" applyFont="1" applyBorder="1" applyAlignment="1">
      <alignment horizontal="left"/>
    </xf>
    <xf numFmtId="165" fontId="7" fillId="0" borderId="7" xfId="5" quotePrefix="1" applyNumberFormat="1" applyFont="1" applyBorder="1" applyAlignment="1">
      <alignment horizontal="left"/>
    </xf>
    <xf numFmtId="165" fontId="7" fillId="0" borderId="0" xfId="5" quotePrefix="1" applyNumberFormat="1" applyFont="1" applyAlignment="1">
      <alignment horizontal="left"/>
    </xf>
    <xf numFmtId="165" fontId="7" fillId="0" borderId="8" xfId="5" quotePrefix="1" applyNumberFormat="1" applyFont="1" applyBorder="1" applyAlignment="1">
      <alignment horizontal="left"/>
    </xf>
    <xf numFmtId="164" fontId="7" fillId="0" borderId="0" xfId="6" quotePrefix="1" applyNumberFormat="1" applyFont="1" applyBorder="1" applyAlignment="1">
      <alignment horizontal="left"/>
    </xf>
    <xf numFmtId="165" fontId="7" fillId="0" borderId="12" xfId="5" applyNumberFormat="1" applyFont="1" applyBorder="1" applyAlignment="1">
      <alignment horizontal="right"/>
    </xf>
    <xf numFmtId="165" fontId="7" fillId="0" borderId="5" xfId="5" applyNumberFormat="1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165" fontId="7" fillId="0" borderId="6" xfId="5" applyNumberFormat="1" applyFont="1" applyBorder="1" applyAlignment="1">
      <alignment horizontal="right"/>
    </xf>
    <xf numFmtId="165" fontId="7" fillId="0" borderId="8" xfId="5" applyNumberFormat="1" applyFont="1" applyBorder="1" applyAlignment="1">
      <alignment horizontal="right"/>
    </xf>
    <xf numFmtId="165" fontId="3" fillId="0" borderId="6" xfId="5" applyNumberFormat="1" applyFont="1" applyBorder="1"/>
    <xf numFmtId="165" fontId="7" fillId="0" borderId="7" xfId="5" applyNumberFormat="1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65" fontId="7" fillId="0" borderId="2" xfId="5" applyNumberFormat="1" applyFont="1" applyBorder="1" applyAlignment="1">
      <alignment horizontal="right"/>
    </xf>
    <xf numFmtId="165" fontId="7" fillId="0" borderId="7" xfId="5" applyNumberFormat="1" applyFont="1" applyBorder="1"/>
    <xf numFmtId="164" fontId="7" fillId="0" borderId="0" xfId="6" applyNumberFormat="1" applyFont="1"/>
    <xf numFmtId="165" fontId="7" fillId="0" borderId="0" xfId="5" applyNumberFormat="1" applyFont="1"/>
    <xf numFmtId="165" fontId="7" fillId="0" borderId="0" xfId="5" applyNumberFormat="1" applyFont="1" applyBorder="1"/>
    <xf numFmtId="164" fontId="7" fillId="0" borderId="0" xfId="6" applyNumberFormat="1" applyFont="1" applyBorder="1"/>
    <xf numFmtId="165" fontId="3" fillId="0" borderId="5" xfId="5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165" fontId="21" fillId="0" borderId="0" xfId="1" applyNumberFormat="1" applyFont="1" applyAlignment="1">
      <alignment vertical="center"/>
    </xf>
    <xf numFmtId="9" fontId="3" fillId="0" borderId="0" xfId="0" applyNumberFormat="1" applyFont="1" applyAlignment="1">
      <alignment horizontal="center"/>
    </xf>
    <xf numFmtId="9" fontId="19" fillId="0" borderId="0" xfId="0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5" applyNumberFormat="1" applyFont="1" applyBorder="1"/>
    <xf numFmtId="164" fontId="3" fillId="0" borderId="0" xfId="2" applyNumberFormat="1" applyFont="1" applyBorder="1"/>
    <xf numFmtId="9" fontId="3" fillId="0" borderId="0" xfId="3" applyFont="1"/>
    <xf numFmtId="42" fontId="3" fillId="0" borderId="0" xfId="0" applyNumberFormat="1" applyFont="1"/>
    <xf numFmtId="165" fontId="3" fillId="0" borderId="0" xfId="1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/>
    <xf numFmtId="165" fontId="3" fillId="0" borderId="1" xfId="5" applyNumberFormat="1" applyFont="1" applyBorder="1"/>
    <xf numFmtId="164" fontId="7" fillId="0" borderId="9" xfId="6" applyNumberFormat="1" applyFont="1" applyBorder="1"/>
    <xf numFmtId="9" fontId="3" fillId="0" borderId="0" xfId="0" applyNumberFormat="1" applyFont="1" applyFill="1" applyBorder="1" applyAlignment="1">
      <alignment horizontal="center"/>
    </xf>
    <xf numFmtId="9" fontId="3" fillId="0" borderId="0" xfId="9" applyNumberFormat="1" applyFont="1" applyFill="1" applyBorder="1" applyAlignment="1">
      <alignment horizontal="center"/>
    </xf>
    <xf numFmtId="9" fontId="9" fillId="0" borderId="0" xfId="9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 indent="1"/>
    </xf>
    <xf numFmtId="164" fontId="7" fillId="0" borderId="0" xfId="4" applyNumberFormat="1" applyFont="1" applyFill="1" applyBorder="1" applyAlignment="1">
      <alignment horizontal="left" indent="1"/>
    </xf>
    <xf numFmtId="10" fontId="7" fillId="0" borderId="0" xfId="0" applyNumberFormat="1" applyFont="1"/>
    <xf numFmtId="164" fontId="3" fillId="0" borderId="0" xfId="4" applyNumberFormat="1" applyFont="1" applyFill="1" applyBorder="1" applyAlignment="1">
      <alignment horizontal="left" indent="1"/>
    </xf>
    <xf numFmtId="164" fontId="9" fillId="0" borderId="0" xfId="4" applyNumberFormat="1" applyFont="1" applyFill="1" applyBorder="1" applyAlignment="1">
      <alignment horizontal="left" indent="1"/>
    </xf>
    <xf numFmtId="167" fontId="3" fillId="0" borderId="0" xfId="3" applyNumberFormat="1" applyFont="1" applyBorder="1"/>
    <xf numFmtId="49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right"/>
    </xf>
    <xf numFmtId="43" fontId="3" fillId="0" borderId="0" xfId="1" applyFont="1" applyAlignment="1">
      <alignment horizontal="right"/>
    </xf>
    <xf numFmtId="165" fontId="3" fillId="0" borderId="0" xfId="1" applyNumberFormat="1" applyFont="1" applyAlignment="1">
      <alignment horizontal="right" wrapText="1"/>
    </xf>
    <xf numFmtId="43" fontId="3" fillId="0" borderId="0" xfId="1" applyFont="1" applyAlignment="1">
      <alignment horizontal="right" wrapText="1"/>
    </xf>
    <xf numFmtId="49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right"/>
    </xf>
    <xf numFmtId="43" fontId="7" fillId="0" borderId="0" xfId="1" applyFont="1" applyAlignment="1">
      <alignment horizontal="right"/>
    </xf>
    <xf numFmtId="165" fontId="7" fillId="0" borderId="0" xfId="1" applyNumberFormat="1" applyFont="1" applyAlignment="1">
      <alignment horizontal="right" wrapText="1"/>
    </xf>
    <xf numFmtId="43" fontId="7" fillId="0" borderId="0" xfId="1" applyFont="1" applyAlignment="1">
      <alignment horizontal="right" wrapText="1"/>
    </xf>
    <xf numFmtId="43" fontId="7" fillId="0" borderId="0" xfId="1" applyNumberFormat="1" applyFont="1" applyAlignment="1">
      <alignment horizontal="right"/>
    </xf>
    <xf numFmtId="165" fontId="3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72" fontId="3" fillId="0" borderId="0" xfId="1" applyNumberFormat="1" applyFont="1" applyBorder="1"/>
    <xf numFmtId="172" fontId="9" fillId="0" borderId="0" xfId="1" applyNumberFormat="1" applyFont="1" applyBorder="1"/>
    <xf numFmtId="172" fontId="0" fillId="0" borderId="0" xfId="1" applyNumberFormat="1" applyFont="1" applyBorder="1"/>
    <xf numFmtId="43" fontId="3" fillId="0" borderId="0" xfId="1" applyNumberFormat="1" applyFont="1" applyBorder="1"/>
    <xf numFmtId="43" fontId="0" fillId="0" borderId="0" xfId="1" applyNumberFormat="1" applyFont="1" applyBorder="1"/>
    <xf numFmtId="165" fontId="9" fillId="0" borderId="0" xfId="1" applyNumberFormat="1" applyFont="1"/>
    <xf numFmtId="44" fontId="3" fillId="0" borderId="0" xfId="2" applyFont="1" applyBorder="1"/>
    <xf numFmtId="164" fontId="3" fillId="0" borderId="0" xfId="6" applyNumberFormat="1" applyFont="1" applyBorder="1" applyAlignment="1">
      <alignment horizontal="right"/>
    </xf>
    <xf numFmtId="44" fontId="3" fillId="2" borderId="7" xfId="1" applyNumberFormat="1" applyFont="1" applyFill="1" applyBorder="1"/>
    <xf numFmtId="44" fontId="3" fillId="2" borderId="0" xfId="1" applyNumberFormat="1" applyFont="1" applyFill="1" applyBorder="1"/>
    <xf numFmtId="10" fontId="3" fillId="2" borderId="0" xfId="3" applyNumberFormat="1" applyFont="1" applyFill="1" applyBorder="1"/>
    <xf numFmtId="173" fontId="3" fillId="0" borderId="0" xfId="3" applyNumberFormat="1" applyFont="1" applyBorder="1"/>
    <xf numFmtId="10" fontId="3" fillId="0" borderId="0" xfId="3" applyNumberFormat="1" applyFont="1" applyBorder="1" applyAlignment="1"/>
    <xf numFmtId="43" fontId="3" fillId="0" borderId="0" xfId="1" applyFont="1" applyBorder="1" applyAlignment="1">
      <alignment vertical="center"/>
    </xf>
    <xf numFmtId="172" fontId="3" fillId="0" borderId="0" xfId="1" applyNumberFormat="1" applyFont="1" applyBorder="1" applyAlignment="1">
      <alignment horizontal="center"/>
    </xf>
    <xf numFmtId="165" fontId="25" fillId="0" borderId="0" xfId="1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5" fontId="10" fillId="0" borderId="7" xfId="5" applyNumberFormat="1" applyFont="1" applyBorder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11" fillId="0" borderId="0" xfId="5" applyNumberFormat="1" applyFont="1" applyBorder="1" applyAlignment="1">
      <alignment horizontal="center" vertical="center"/>
    </xf>
    <xf numFmtId="43" fontId="8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2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Hyperlink" xfId="11" builtinId="8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showGridLines="0" tabSelected="1" workbookViewId="0">
      <selection activeCell="K52" sqref="K52"/>
    </sheetView>
  </sheetViews>
  <sheetFormatPr defaultColWidth="8.77734375" defaultRowHeight="14.25" x14ac:dyDescent="0.45"/>
  <cols>
    <col min="1" max="1" width="3.6640625" style="5" customWidth="1"/>
    <col min="2" max="2" width="2.6640625" style="5" customWidth="1"/>
    <col min="3" max="3" width="29.44140625" style="5" customWidth="1"/>
    <col min="4" max="4" width="11.33203125" style="5" customWidth="1"/>
    <col min="5" max="5" width="11.5546875" style="5" customWidth="1"/>
    <col min="6" max="6" width="5.33203125" style="5" customWidth="1"/>
    <col min="7" max="7" width="11.5546875" style="5" customWidth="1"/>
    <col min="8" max="8" width="3.609375" style="5" customWidth="1"/>
    <col min="9" max="9" width="14.5546875" style="5" customWidth="1"/>
    <col min="10" max="11" width="11.33203125" style="5" customWidth="1"/>
    <col min="12" max="12" width="10.88671875" style="5" customWidth="1"/>
    <col min="13" max="16384" width="8.77734375" style="5"/>
  </cols>
  <sheetData>
    <row r="1" spans="1:12" ht="18" x14ac:dyDescent="0.45">
      <c r="A1" s="312" t="s">
        <v>30</v>
      </c>
      <c r="B1" s="312"/>
      <c r="C1" s="312"/>
      <c r="D1" s="312"/>
      <c r="E1" s="312"/>
      <c r="F1" s="312"/>
      <c r="G1" s="312"/>
      <c r="H1" s="60"/>
      <c r="I1" s="60"/>
      <c r="J1" s="60"/>
      <c r="K1" s="60"/>
    </row>
    <row r="2" spans="1:12" ht="15.75" x14ac:dyDescent="0.45">
      <c r="A2" s="61" t="s">
        <v>176</v>
      </c>
      <c r="B2" s="59"/>
      <c r="C2" s="59"/>
      <c r="D2" s="59"/>
      <c r="E2" s="59"/>
      <c r="F2" s="59"/>
      <c r="G2" s="59"/>
      <c r="H2" s="60"/>
      <c r="I2" s="60"/>
      <c r="J2" s="60"/>
      <c r="K2" s="60"/>
      <c r="L2" s="60"/>
    </row>
    <row r="3" spans="1:12" x14ac:dyDescent="0.45">
      <c r="A3" s="42"/>
      <c r="B3" s="59"/>
      <c r="C3" s="59"/>
      <c r="D3" s="59"/>
      <c r="E3" s="59"/>
      <c r="F3" s="59"/>
      <c r="G3" s="59"/>
      <c r="H3" s="60"/>
      <c r="I3" s="60"/>
      <c r="J3" s="60"/>
      <c r="K3" s="60"/>
    </row>
    <row r="4" spans="1:12" ht="16.5" x14ac:dyDescent="0.45">
      <c r="A4" s="60"/>
      <c r="B4" s="60"/>
      <c r="C4" s="60"/>
      <c r="D4" s="62" t="s">
        <v>31</v>
      </c>
      <c r="E4" s="62" t="s">
        <v>32</v>
      </c>
      <c r="F4" s="62" t="s">
        <v>33</v>
      </c>
      <c r="G4" s="62" t="s">
        <v>34</v>
      </c>
      <c r="H4" s="60"/>
      <c r="I4" s="74" t="s">
        <v>40</v>
      </c>
      <c r="J4" s="60"/>
      <c r="K4" s="311" t="s">
        <v>326</v>
      </c>
    </row>
    <row r="5" spans="1:12" x14ac:dyDescent="0.45">
      <c r="A5" s="63" t="s">
        <v>15</v>
      </c>
      <c r="B5" s="60"/>
      <c r="C5" s="60"/>
      <c r="D5" s="60"/>
      <c r="F5" s="60"/>
      <c r="G5" s="60"/>
      <c r="H5" s="60"/>
      <c r="J5" s="60"/>
      <c r="K5" s="60"/>
    </row>
    <row r="6" spans="1:12" x14ac:dyDescent="0.45">
      <c r="A6" s="60"/>
      <c r="B6" s="60" t="s">
        <v>42</v>
      </c>
      <c r="C6" s="60"/>
      <c r="D6" s="60">
        <v>3601759</v>
      </c>
      <c r="E6" s="60">
        <f>ExBA!F13</f>
        <v>139188.18671999965</v>
      </c>
      <c r="F6" s="64" t="s">
        <v>310</v>
      </c>
      <c r="G6" s="60">
        <f>D6+E6</f>
        <v>3740947.1867199996</v>
      </c>
      <c r="H6" s="65"/>
      <c r="I6" s="60" t="s">
        <v>313</v>
      </c>
      <c r="J6" s="60"/>
      <c r="K6" s="310" t="s">
        <v>329</v>
      </c>
    </row>
    <row r="7" spans="1:12" x14ac:dyDescent="0.45">
      <c r="A7" s="60"/>
      <c r="B7" s="60" t="s">
        <v>61</v>
      </c>
      <c r="C7" s="60"/>
      <c r="D7" s="60">
        <v>2641</v>
      </c>
      <c r="E7" s="60"/>
      <c r="F7" s="64"/>
      <c r="G7" s="60">
        <f>D7+E7</f>
        <v>2641</v>
      </c>
      <c r="H7" s="66"/>
      <c r="I7" s="58"/>
      <c r="J7" s="60"/>
      <c r="K7" s="60"/>
    </row>
    <row r="8" spans="1:12" x14ac:dyDescent="0.45">
      <c r="A8" s="60"/>
      <c r="B8" s="60" t="s">
        <v>16</v>
      </c>
      <c r="C8" s="60"/>
      <c r="D8" s="60">
        <v>15288</v>
      </c>
      <c r="E8" s="60"/>
      <c r="F8" s="64"/>
      <c r="G8" s="60">
        <f>D8+E8</f>
        <v>15288</v>
      </c>
      <c r="H8" s="65"/>
      <c r="I8" s="67"/>
      <c r="J8" s="60"/>
    </row>
    <row r="9" spans="1:12" x14ac:dyDescent="0.45">
      <c r="A9" s="60"/>
      <c r="B9" s="60" t="s">
        <v>322</v>
      </c>
      <c r="C9" s="60"/>
      <c r="D9" s="60">
        <v>-181</v>
      </c>
      <c r="E9" s="60"/>
      <c r="F9" s="64"/>
      <c r="G9" s="60">
        <f t="shared" ref="G9" si="0">D9+E9</f>
        <v>-181</v>
      </c>
      <c r="H9" s="65"/>
      <c r="I9" s="67"/>
      <c r="J9" s="60"/>
    </row>
    <row r="10" spans="1:12" x14ac:dyDescent="0.45">
      <c r="A10" s="60"/>
      <c r="B10" s="60" t="s">
        <v>17</v>
      </c>
      <c r="C10" s="60"/>
      <c r="D10" s="60"/>
      <c r="E10" s="60"/>
      <c r="F10" s="64"/>
      <c r="G10" s="60"/>
      <c r="H10" s="68"/>
      <c r="I10" s="60"/>
      <c r="J10" s="60"/>
      <c r="K10" s="60"/>
    </row>
    <row r="11" spans="1:12" x14ac:dyDescent="0.45">
      <c r="A11" s="60"/>
      <c r="B11" s="60"/>
      <c r="C11" s="60" t="s">
        <v>41</v>
      </c>
      <c r="D11" s="60">
        <v>11331</v>
      </c>
      <c r="E11" s="60">
        <v>42516</v>
      </c>
      <c r="F11" s="64" t="s">
        <v>173</v>
      </c>
      <c r="G11" s="60">
        <f>D11+E11</f>
        <v>53847</v>
      </c>
      <c r="H11" s="65"/>
      <c r="I11" s="60" t="s">
        <v>234</v>
      </c>
      <c r="J11" s="60"/>
      <c r="K11" s="60" t="s">
        <v>325</v>
      </c>
    </row>
    <row r="12" spans="1:12" x14ac:dyDescent="0.45">
      <c r="A12" s="60"/>
      <c r="B12" s="60"/>
      <c r="C12" s="60" t="s">
        <v>320</v>
      </c>
      <c r="D12" s="60">
        <v>9966</v>
      </c>
      <c r="E12" s="60"/>
      <c r="F12" s="64"/>
      <c r="G12" s="60">
        <f>D12+E12</f>
        <v>9966</v>
      </c>
      <c r="H12" s="65"/>
      <c r="I12" s="60"/>
      <c r="J12" s="60"/>
      <c r="K12" s="60"/>
    </row>
    <row r="13" spans="1:12" x14ac:dyDescent="0.45">
      <c r="A13" s="60"/>
      <c r="B13" s="60"/>
      <c r="C13" s="60" t="s">
        <v>321</v>
      </c>
      <c r="D13" s="60">
        <v>2088</v>
      </c>
      <c r="E13" s="60"/>
      <c r="F13" s="64"/>
      <c r="G13" s="60">
        <f>D13+E13</f>
        <v>2088</v>
      </c>
      <c r="H13" s="65"/>
      <c r="I13" s="60"/>
      <c r="J13" s="60"/>
      <c r="K13" s="60"/>
    </row>
    <row r="14" spans="1:12" x14ac:dyDescent="0.45">
      <c r="A14" s="69" t="s">
        <v>18</v>
      </c>
      <c r="B14" s="60"/>
      <c r="C14" s="60"/>
      <c r="D14" s="60">
        <f>SUM(D6:D13)</f>
        <v>3642892</v>
      </c>
      <c r="E14" s="60">
        <f>SUM(E6:E11)</f>
        <v>181704.18671999965</v>
      </c>
      <c r="F14" s="64"/>
      <c r="G14" s="60">
        <f>SUM(G6:G11)</f>
        <v>3812542.1867199996</v>
      </c>
      <c r="H14" s="68"/>
      <c r="J14" s="60"/>
      <c r="K14" s="60"/>
    </row>
    <row r="15" spans="1:12" x14ac:dyDescent="0.45">
      <c r="A15" s="60"/>
      <c r="B15" s="60"/>
      <c r="C15" s="60"/>
      <c r="D15" s="60"/>
      <c r="E15" s="60"/>
      <c r="F15" s="64"/>
      <c r="G15" s="60"/>
      <c r="H15" s="68"/>
      <c r="I15" s="60"/>
      <c r="J15" s="60"/>
      <c r="K15" s="60"/>
    </row>
    <row r="16" spans="1:12" x14ac:dyDescent="0.45">
      <c r="A16" s="63" t="s">
        <v>19</v>
      </c>
      <c r="B16" s="60"/>
      <c r="C16" s="60"/>
      <c r="D16" s="60"/>
      <c r="E16" s="60"/>
      <c r="F16" s="64"/>
      <c r="G16" s="60"/>
      <c r="H16" s="68"/>
      <c r="I16" s="60"/>
      <c r="J16" s="60"/>
      <c r="K16" s="60"/>
    </row>
    <row r="17" spans="1:11" x14ac:dyDescent="0.45">
      <c r="A17" s="60"/>
      <c r="B17" s="60" t="s">
        <v>35</v>
      </c>
      <c r="C17" s="60"/>
      <c r="D17" s="60"/>
      <c r="E17" s="60"/>
      <c r="F17" s="64"/>
      <c r="G17" s="60"/>
      <c r="H17" s="68"/>
      <c r="I17" s="60"/>
      <c r="J17" s="60"/>
      <c r="K17" s="60"/>
    </row>
    <row r="18" spans="1:11" x14ac:dyDescent="0.45">
      <c r="A18" s="60"/>
      <c r="B18" s="60"/>
      <c r="C18" s="60" t="s">
        <v>2</v>
      </c>
      <c r="D18" s="60">
        <v>613563</v>
      </c>
      <c r="E18" s="60">
        <f>Wages!H28</f>
        <v>-14502.846249999944</v>
      </c>
      <c r="F18" s="70" t="s">
        <v>172</v>
      </c>
      <c r="G18" s="60"/>
      <c r="H18" s="65"/>
      <c r="I18" s="60" t="s">
        <v>232</v>
      </c>
      <c r="J18" s="60"/>
      <c r="K18" s="60" t="s">
        <v>330</v>
      </c>
    </row>
    <row r="19" spans="1:11" x14ac:dyDescent="0.45">
      <c r="A19" s="60"/>
      <c r="B19" s="60"/>
      <c r="C19" s="60"/>
      <c r="D19" s="60"/>
      <c r="E19" s="266">
        <f>-Capital!C5</f>
        <v>-19485</v>
      </c>
      <c r="F19" s="70" t="s">
        <v>249</v>
      </c>
      <c r="G19" s="60"/>
      <c r="H19" s="65"/>
      <c r="I19" s="60" t="s">
        <v>269</v>
      </c>
      <c r="J19" s="60"/>
      <c r="K19" s="60" t="s">
        <v>331</v>
      </c>
    </row>
    <row r="20" spans="1:11" x14ac:dyDescent="0.45">
      <c r="A20" s="60"/>
      <c r="B20" s="60"/>
      <c r="C20" s="60"/>
      <c r="D20" s="60"/>
      <c r="E20" s="266"/>
      <c r="F20" s="70"/>
      <c r="G20" s="60">
        <f>D18+E18+E19</f>
        <v>579575.15375000006</v>
      </c>
      <c r="H20" s="65"/>
      <c r="I20" s="60"/>
      <c r="J20" s="60"/>
      <c r="K20" s="60"/>
    </row>
    <row r="21" spans="1:11" x14ac:dyDescent="0.45">
      <c r="A21" s="60"/>
      <c r="B21" s="60"/>
      <c r="C21" s="60" t="s">
        <v>3</v>
      </c>
      <c r="D21" s="60">
        <v>30000</v>
      </c>
      <c r="E21" s="60"/>
      <c r="F21" s="64"/>
      <c r="G21" s="60">
        <f t="shared" ref="G21:G39" si="1">D21+E21</f>
        <v>30000</v>
      </c>
      <c r="H21" s="65"/>
    </row>
    <row r="22" spans="1:11" x14ac:dyDescent="0.45">
      <c r="A22" s="60"/>
      <c r="B22" s="60"/>
      <c r="C22" s="60" t="s">
        <v>4</v>
      </c>
      <c r="D22" s="60">
        <v>355731</v>
      </c>
      <c r="E22" s="60">
        <v>-171559</v>
      </c>
      <c r="F22" s="70" t="s">
        <v>309</v>
      </c>
      <c r="G22" s="60"/>
      <c r="H22" s="65"/>
      <c r="I22" s="60" t="s">
        <v>270</v>
      </c>
      <c r="J22" s="60"/>
      <c r="K22" s="60" t="s">
        <v>327</v>
      </c>
    </row>
    <row r="23" spans="1:11" x14ac:dyDescent="0.45">
      <c r="A23" s="60"/>
      <c r="B23" s="60"/>
      <c r="C23" s="60"/>
      <c r="D23" s="60"/>
      <c r="E23" s="266">
        <v>-39673</v>
      </c>
      <c r="F23" s="70" t="s">
        <v>309</v>
      </c>
      <c r="G23" s="60"/>
      <c r="H23" s="65"/>
      <c r="I23" s="60" t="s">
        <v>271</v>
      </c>
      <c r="J23" s="60"/>
      <c r="K23" s="60" t="s">
        <v>327</v>
      </c>
    </row>
    <row r="24" spans="1:11" x14ac:dyDescent="0.45">
      <c r="A24" s="60"/>
      <c r="B24" s="60"/>
      <c r="C24" s="60"/>
      <c r="D24" s="60"/>
      <c r="E24" s="60">
        <f>Wages!H40</f>
        <v>6121.6773731250141</v>
      </c>
      <c r="F24" s="70" t="s">
        <v>179</v>
      </c>
      <c r="G24" s="60"/>
      <c r="H24" s="65"/>
      <c r="I24" s="60" t="s">
        <v>174</v>
      </c>
      <c r="J24" s="60"/>
      <c r="K24" s="60" t="s">
        <v>332</v>
      </c>
    </row>
    <row r="25" spans="1:11" x14ac:dyDescent="0.45">
      <c r="A25" s="60"/>
      <c r="B25" s="60"/>
      <c r="C25" s="60"/>
      <c r="D25" s="60"/>
      <c r="E25" s="256"/>
      <c r="F25" s="70"/>
      <c r="G25" s="291">
        <f>D22+E22+E23+E24</f>
        <v>150620.67737312501</v>
      </c>
      <c r="H25" s="65"/>
      <c r="I25" s="256"/>
      <c r="J25" s="60"/>
      <c r="K25" s="60"/>
    </row>
    <row r="26" spans="1:11" x14ac:dyDescent="0.45">
      <c r="A26" s="60"/>
      <c r="B26" s="60"/>
      <c r="C26" s="60" t="s">
        <v>5</v>
      </c>
      <c r="D26" s="60">
        <v>1219214</v>
      </c>
      <c r="E26" s="266">
        <f>-D26*'Water Loss'!D16</f>
        <v>-9092.1639384315167</v>
      </c>
      <c r="F26" s="70" t="s">
        <v>266</v>
      </c>
      <c r="G26" s="60">
        <f t="shared" si="1"/>
        <v>1210121.8360615685</v>
      </c>
      <c r="H26" s="71"/>
      <c r="I26" s="5" t="s">
        <v>251</v>
      </c>
      <c r="K26" s="5" t="s">
        <v>333</v>
      </c>
    </row>
    <row r="27" spans="1:11" x14ac:dyDescent="0.45">
      <c r="A27" s="60"/>
      <c r="B27" s="60"/>
      <c r="C27" s="60" t="s">
        <v>6</v>
      </c>
      <c r="D27" s="60">
        <v>84400</v>
      </c>
      <c r="E27" s="266">
        <f>-D27*'Water Loss'!D16</f>
        <v>-629.40438381089791</v>
      </c>
      <c r="F27" s="70" t="s">
        <v>266</v>
      </c>
      <c r="G27" s="60">
        <f t="shared" si="1"/>
        <v>83770.595616189108</v>
      </c>
      <c r="H27" s="72"/>
      <c r="I27" s="5" t="s">
        <v>251</v>
      </c>
      <c r="J27" s="60"/>
      <c r="K27" s="60" t="s">
        <v>333</v>
      </c>
    </row>
    <row r="28" spans="1:11" x14ac:dyDescent="0.45">
      <c r="A28" s="60"/>
      <c r="B28" s="60"/>
      <c r="C28" s="60" t="s">
        <v>311</v>
      </c>
      <c r="D28" s="60">
        <v>23336</v>
      </c>
      <c r="E28" s="60">
        <f>101*12</f>
        <v>1212</v>
      </c>
      <c r="F28" s="70" t="s">
        <v>316</v>
      </c>
      <c r="G28" s="60">
        <f t="shared" si="1"/>
        <v>24548</v>
      </c>
      <c r="H28" s="72"/>
      <c r="I28" s="5" t="s">
        <v>180</v>
      </c>
      <c r="J28" s="60"/>
      <c r="K28" s="60" t="s">
        <v>328</v>
      </c>
    </row>
    <row r="29" spans="1:11" x14ac:dyDescent="0.45">
      <c r="A29" s="60"/>
      <c r="B29" s="60"/>
      <c r="C29" s="60" t="s">
        <v>97</v>
      </c>
      <c r="D29" s="60">
        <v>962</v>
      </c>
      <c r="E29" s="60"/>
      <c r="F29" s="70"/>
      <c r="G29" s="60">
        <f t="shared" si="1"/>
        <v>962</v>
      </c>
      <c r="H29" s="72"/>
      <c r="J29" s="60"/>
      <c r="K29" s="60"/>
    </row>
    <row r="30" spans="1:11" x14ac:dyDescent="0.45">
      <c r="A30" s="60"/>
      <c r="B30" s="60"/>
      <c r="C30" s="60" t="s">
        <v>7</v>
      </c>
      <c r="D30" s="60">
        <v>226548</v>
      </c>
      <c r="E30" s="60">
        <f>-Capital!C6</f>
        <v>-45465</v>
      </c>
      <c r="F30" s="70" t="s">
        <v>249</v>
      </c>
      <c r="G30" s="60">
        <f t="shared" si="1"/>
        <v>181083</v>
      </c>
      <c r="H30" s="65"/>
      <c r="I30" s="60" t="s">
        <v>269</v>
      </c>
      <c r="J30" s="60"/>
      <c r="K30" s="60" t="s">
        <v>334</v>
      </c>
    </row>
    <row r="31" spans="1:11" x14ac:dyDescent="0.45">
      <c r="A31" s="60"/>
      <c r="B31" s="60"/>
      <c r="C31" s="60" t="s">
        <v>8</v>
      </c>
      <c r="D31" s="60">
        <f>19500+1335+16641+5355</f>
        <v>42831</v>
      </c>
      <c r="E31" s="60"/>
      <c r="F31" s="70"/>
      <c r="G31" s="60">
        <f t="shared" si="1"/>
        <v>42831</v>
      </c>
      <c r="H31" s="65"/>
      <c r="I31" s="60"/>
      <c r="J31" s="60"/>
      <c r="K31" s="60"/>
    </row>
    <row r="32" spans="1:11" x14ac:dyDescent="0.45">
      <c r="A32" s="60"/>
      <c r="B32" s="60"/>
      <c r="C32" s="60" t="s">
        <v>122</v>
      </c>
      <c r="D32" s="60">
        <v>1085</v>
      </c>
      <c r="E32" s="60"/>
      <c r="F32" s="70"/>
      <c r="G32" s="60">
        <f t="shared" si="1"/>
        <v>1085</v>
      </c>
      <c r="H32" s="65"/>
      <c r="J32" s="60"/>
      <c r="K32" s="60"/>
    </row>
    <row r="33" spans="1:11" x14ac:dyDescent="0.45">
      <c r="A33" s="60"/>
      <c r="B33" s="60"/>
      <c r="C33" s="60" t="s">
        <v>62</v>
      </c>
      <c r="D33" s="60">
        <v>0</v>
      </c>
      <c r="E33" s="60"/>
      <c r="F33" s="70"/>
      <c r="G33" s="60">
        <f t="shared" si="1"/>
        <v>0</v>
      </c>
      <c r="H33" s="65"/>
      <c r="I33" s="60"/>
      <c r="J33" s="60"/>
      <c r="K33" s="60"/>
    </row>
    <row r="34" spans="1:11" x14ac:dyDescent="0.45">
      <c r="A34" s="60"/>
      <c r="B34" s="60"/>
      <c r="C34" s="60" t="s">
        <v>10</v>
      </c>
      <c r="D34" s="60">
        <v>19531</v>
      </c>
      <c r="E34" s="60"/>
      <c r="F34" s="70"/>
      <c r="G34" s="60">
        <f t="shared" si="1"/>
        <v>19531</v>
      </c>
      <c r="H34" s="68"/>
      <c r="I34" s="60"/>
      <c r="J34" s="60"/>
      <c r="K34" s="60"/>
    </row>
    <row r="35" spans="1:11" x14ac:dyDescent="0.45">
      <c r="A35" s="60"/>
      <c r="B35" s="60"/>
      <c r="C35" s="60" t="s">
        <v>123</v>
      </c>
      <c r="D35" s="60">
        <v>64848</v>
      </c>
      <c r="E35" s="60"/>
      <c r="F35" s="70"/>
      <c r="G35" s="60">
        <f t="shared" si="1"/>
        <v>64848</v>
      </c>
      <c r="H35" s="68"/>
      <c r="I35" s="60"/>
      <c r="J35" s="60"/>
      <c r="K35" s="60"/>
    </row>
    <row r="36" spans="1:11" x14ac:dyDescent="0.45">
      <c r="A36" s="60"/>
      <c r="B36" s="60"/>
      <c r="C36" s="60" t="s">
        <v>36</v>
      </c>
      <c r="D36" s="60">
        <f>2187+8910</f>
        <v>11097</v>
      </c>
      <c r="E36" s="60"/>
      <c r="F36" s="70"/>
      <c r="G36" s="60">
        <f t="shared" si="1"/>
        <v>11097</v>
      </c>
      <c r="H36" s="68"/>
      <c r="I36" s="60"/>
      <c r="J36" s="60"/>
      <c r="K36" s="60"/>
    </row>
    <row r="37" spans="1:11" x14ac:dyDescent="0.45">
      <c r="A37" s="60"/>
      <c r="B37" s="60"/>
      <c r="C37" s="60" t="s">
        <v>63</v>
      </c>
      <c r="D37" s="60">
        <v>120141</v>
      </c>
      <c r="E37" s="60">
        <f>Medical!C21</f>
        <v>-21807.535600000003</v>
      </c>
      <c r="F37" s="70" t="s">
        <v>230</v>
      </c>
      <c r="G37" s="60">
        <f t="shared" si="1"/>
        <v>98333.464399999997</v>
      </c>
      <c r="H37" s="68"/>
      <c r="I37" s="60" t="s">
        <v>90</v>
      </c>
      <c r="J37" s="60"/>
      <c r="K37" s="60" t="s">
        <v>335</v>
      </c>
    </row>
    <row r="38" spans="1:11" x14ac:dyDescent="0.45">
      <c r="A38" s="60"/>
      <c r="B38" s="60"/>
      <c r="C38" s="60" t="s">
        <v>64</v>
      </c>
      <c r="D38" s="60">
        <v>-26</v>
      </c>
      <c r="E38" s="60"/>
      <c r="F38" s="64"/>
      <c r="G38" s="60">
        <f t="shared" si="1"/>
        <v>-26</v>
      </c>
      <c r="H38" s="68"/>
      <c r="I38" s="60"/>
      <c r="J38" s="60"/>
      <c r="K38" s="60"/>
    </row>
    <row r="39" spans="1:11" ht="16.5" x14ac:dyDescent="0.45">
      <c r="A39" s="60"/>
      <c r="B39" s="60"/>
      <c r="C39" s="60" t="s">
        <v>9</v>
      </c>
      <c r="D39" s="292">
        <f>112119+240</f>
        <v>112359</v>
      </c>
      <c r="E39" s="292"/>
      <c r="F39" s="70"/>
      <c r="G39" s="292">
        <f t="shared" si="1"/>
        <v>112359</v>
      </c>
      <c r="H39" s="68"/>
      <c r="I39" s="60"/>
      <c r="J39" s="60"/>
      <c r="K39" s="60"/>
    </row>
    <row r="40" spans="1:11" x14ac:dyDescent="0.45">
      <c r="A40" s="60"/>
      <c r="B40" s="60" t="s">
        <v>37</v>
      </c>
      <c r="C40" s="60"/>
      <c r="D40" s="60">
        <f>SUM(D18:D39)</f>
        <v>2925620</v>
      </c>
      <c r="E40" s="60">
        <f>SUM(E18:E39)</f>
        <v>-314880.27279911732</v>
      </c>
      <c r="F40" s="64"/>
      <c r="G40" s="60">
        <f>SUM(G18:G39)</f>
        <v>2610739.7272008825</v>
      </c>
      <c r="H40" s="68"/>
      <c r="I40" s="60"/>
      <c r="J40" s="60"/>
      <c r="K40" s="60"/>
    </row>
    <row r="41" spans="1:11" ht="4.1500000000000004" customHeight="1" x14ac:dyDescent="0.45">
      <c r="A41" s="60"/>
      <c r="B41" s="60"/>
      <c r="C41" s="60"/>
      <c r="D41" s="60"/>
      <c r="E41" s="60"/>
      <c r="F41" s="64"/>
      <c r="G41" s="60"/>
      <c r="H41" s="68"/>
      <c r="I41" s="60"/>
      <c r="J41" s="60"/>
      <c r="K41" s="60"/>
    </row>
    <row r="42" spans="1:11" x14ac:dyDescent="0.45">
      <c r="A42" s="60"/>
      <c r="B42" s="60" t="s">
        <v>20</v>
      </c>
      <c r="C42" s="60"/>
      <c r="D42" s="60">
        <v>589269</v>
      </c>
      <c r="E42" s="60">
        <f>Depreciation!K40</f>
        <v>-61483.040337619044</v>
      </c>
      <c r="F42" s="64" t="s">
        <v>246</v>
      </c>
      <c r="G42" s="60">
        <f t="shared" ref="G42:G43" si="2">D42+E42</f>
        <v>527785.95966238098</v>
      </c>
      <c r="H42" s="68"/>
      <c r="I42" s="60" t="s">
        <v>231</v>
      </c>
      <c r="J42" s="60"/>
      <c r="K42" s="5" t="s">
        <v>336</v>
      </c>
    </row>
    <row r="43" spans="1:11" ht="16.5" x14ac:dyDescent="0.45">
      <c r="A43" s="60"/>
      <c r="B43" s="60" t="s">
        <v>1</v>
      </c>
      <c r="C43" s="60"/>
      <c r="D43" s="292">
        <v>57351</v>
      </c>
      <c r="E43" s="292">
        <f>Wages!H34</f>
        <v>-4135.6882381249961</v>
      </c>
      <c r="F43" s="293" t="s">
        <v>175</v>
      </c>
      <c r="G43" s="292">
        <f t="shared" si="2"/>
        <v>53215.311761875004</v>
      </c>
      <c r="H43" s="68"/>
      <c r="I43" s="60" t="s">
        <v>116</v>
      </c>
      <c r="J43" s="60"/>
      <c r="K43" s="5" t="s">
        <v>337</v>
      </c>
    </row>
    <row r="44" spans="1:11" ht="16.5" x14ac:dyDescent="0.45">
      <c r="A44" s="69" t="s">
        <v>0</v>
      </c>
      <c r="B44" s="60"/>
      <c r="C44" s="60"/>
      <c r="D44" s="292">
        <f>SUM(D40:D43)</f>
        <v>3572240</v>
      </c>
      <c r="E44" s="292">
        <f>SUM(E40:E43)</f>
        <v>-380499.00137486134</v>
      </c>
      <c r="F44" s="294"/>
      <c r="G44" s="292">
        <f>SUM(G40:G43)</f>
        <v>3191740.9986251388</v>
      </c>
      <c r="H44" s="68"/>
      <c r="I44" s="60"/>
      <c r="J44" s="60"/>
      <c r="K44" s="60"/>
    </row>
    <row r="45" spans="1:11" ht="4.1500000000000004" customHeight="1" x14ac:dyDescent="0.45">
      <c r="A45" s="69"/>
      <c r="B45" s="60"/>
      <c r="C45" s="60"/>
      <c r="D45" s="60"/>
      <c r="E45" s="60"/>
      <c r="F45" s="64"/>
      <c r="G45" s="60"/>
      <c r="H45" s="60"/>
      <c r="I45" s="60"/>
      <c r="J45" s="60"/>
      <c r="K45" s="60"/>
    </row>
    <row r="46" spans="1:11" x14ac:dyDescent="0.45">
      <c r="A46" s="69" t="s">
        <v>38</v>
      </c>
      <c r="B46" s="60"/>
      <c r="C46" s="60"/>
      <c r="D46" s="60">
        <f>D14-D44</f>
        <v>70652</v>
      </c>
      <c r="E46" s="60">
        <f>E14-E44</f>
        <v>562203.18809486099</v>
      </c>
      <c r="F46" s="64"/>
      <c r="G46" s="60">
        <f>G14-G44</f>
        <v>620801.18809486087</v>
      </c>
      <c r="H46" s="60"/>
      <c r="I46" s="60"/>
      <c r="K46" s="60"/>
    </row>
    <row r="47" spans="1:11" x14ac:dyDescent="0.45">
      <c r="A47" s="60"/>
      <c r="B47" s="60"/>
      <c r="C47" s="60"/>
      <c r="D47" s="60"/>
      <c r="E47" s="60"/>
      <c r="F47" s="64"/>
      <c r="G47" s="60"/>
      <c r="H47" s="60"/>
      <c r="I47" s="60"/>
      <c r="J47" s="60"/>
      <c r="K47" s="60"/>
    </row>
    <row r="48" spans="1:11" ht="18" x14ac:dyDescent="0.45">
      <c r="A48" s="312" t="s">
        <v>21</v>
      </c>
      <c r="B48" s="312"/>
      <c r="C48" s="312"/>
      <c r="D48" s="312"/>
      <c r="E48" s="312"/>
      <c r="F48" s="312"/>
      <c r="G48" s="312"/>
      <c r="H48" s="60"/>
      <c r="I48" s="73"/>
      <c r="J48" s="74"/>
      <c r="K48" s="60"/>
    </row>
    <row r="49" spans="1:11" x14ac:dyDescent="0.45">
      <c r="A49" s="69" t="s">
        <v>39</v>
      </c>
      <c r="B49" s="60"/>
      <c r="C49" s="60"/>
      <c r="D49" s="75"/>
      <c r="E49" s="60"/>
      <c r="F49" s="70"/>
      <c r="G49" s="5">
        <f>G44</f>
        <v>3191740.9986251388</v>
      </c>
      <c r="H49" s="60"/>
      <c r="J49" s="60"/>
      <c r="K49" s="60"/>
    </row>
    <row r="50" spans="1:11" x14ac:dyDescent="0.45">
      <c r="A50" s="60" t="s">
        <v>22</v>
      </c>
      <c r="B50" s="60"/>
      <c r="C50" s="60" t="s">
        <v>228</v>
      </c>
      <c r="D50" s="75"/>
      <c r="E50" s="60"/>
      <c r="F50" s="70" t="s">
        <v>317</v>
      </c>
      <c r="G50" s="5">
        <f>'Debt Service'!M22</f>
        <v>714655.402</v>
      </c>
      <c r="H50" s="60"/>
      <c r="J50" s="60"/>
      <c r="K50" s="60" t="s">
        <v>338</v>
      </c>
    </row>
    <row r="51" spans="1:11" ht="16.5" x14ac:dyDescent="0.75">
      <c r="A51" s="60"/>
      <c r="B51" s="75"/>
      <c r="C51" s="75" t="s">
        <v>229</v>
      </c>
      <c r="D51" s="75"/>
      <c r="E51" s="60"/>
      <c r="F51" s="70" t="s">
        <v>318</v>
      </c>
      <c r="G51" s="300">
        <f>'Debt Service'!M24</f>
        <v>142931.08040000001</v>
      </c>
      <c r="H51" s="60"/>
      <c r="J51" s="60"/>
      <c r="K51" s="60" t="s">
        <v>339</v>
      </c>
    </row>
    <row r="52" spans="1:11" x14ac:dyDescent="0.45">
      <c r="A52" s="69" t="s">
        <v>67</v>
      </c>
      <c r="B52" s="60"/>
      <c r="C52" s="60"/>
      <c r="D52" s="75"/>
      <c r="E52" s="60"/>
      <c r="F52" s="70"/>
      <c r="G52" s="5">
        <f>G49+G50+G51</f>
        <v>4049327.4810251384</v>
      </c>
      <c r="H52" s="60"/>
      <c r="J52" s="60"/>
      <c r="K52" s="60"/>
    </row>
    <row r="53" spans="1:11" x14ac:dyDescent="0.45">
      <c r="A53" s="60" t="s">
        <v>23</v>
      </c>
      <c r="B53" s="60"/>
      <c r="C53" s="60" t="s">
        <v>24</v>
      </c>
      <c r="D53" s="75"/>
      <c r="E53" s="60"/>
      <c r="F53" s="70"/>
      <c r="G53" s="5">
        <f>SUM(G11:G13)</f>
        <v>65901</v>
      </c>
      <c r="H53" s="60"/>
      <c r="J53" s="60"/>
      <c r="K53" s="60"/>
    </row>
    <row r="54" spans="1:11" x14ac:dyDescent="0.45">
      <c r="A54" s="60"/>
      <c r="B54" s="60"/>
      <c r="C54" s="60" t="s">
        <v>61</v>
      </c>
      <c r="D54" s="75"/>
      <c r="E54" s="60"/>
      <c r="F54" s="70"/>
      <c r="G54" s="5">
        <f>G7</f>
        <v>2641</v>
      </c>
      <c r="H54" s="60"/>
      <c r="J54" s="60"/>
      <c r="K54" s="60"/>
    </row>
    <row r="55" spans="1:11" x14ac:dyDescent="0.45">
      <c r="A55" s="60"/>
      <c r="B55" s="60"/>
      <c r="C55" s="60" t="s">
        <v>16</v>
      </c>
      <c r="D55" s="75"/>
      <c r="E55" s="60"/>
      <c r="F55" s="70"/>
      <c r="G55" s="5">
        <f>G8</f>
        <v>15288</v>
      </c>
      <c r="H55" s="60"/>
      <c r="J55" s="60"/>
      <c r="K55" s="60"/>
    </row>
    <row r="56" spans="1:11" x14ac:dyDescent="0.45">
      <c r="A56" s="60"/>
      <c r="B56" s="60"/>
      <c r="C56" s="60" t="s">
        <v>12</v>
      </c>
      <c r="D56" s="75"/>
      <c r="E56" s="60"/>
      <c r="F56" s="70"/>
      <c r="G56" s="3">
        <v>39070</v>
      </c>
      <c r="H56" s="60"/>
      <c r="I56" s="29"/>
      <c r="J56" s="60"/>
      <c r="K56" s="60"/>
    </row>
    <row r="57" spans="1:11" x14ac:dyDescent="0.45">
      <c r="A57" s="69" t="s">
        <v>65</v>
      </c>
      <c r="B57" s="60"/>
      <c r="C57" s="60"/>
      <c r="D57" s="75"/>
      <c r="E57" s="60"/>
      <c r="F57" s="70"/>
      <c r="G57" s="5">
        <f>G52-G53-G54-G56</f>
        <v>3941715.4810251384</v>
      </c>
      <c r="H57" s="60"/>
      <c r="J57" s="60"/>
      <c r="K57" s="60"/>
    </row>
    <row r="58" spans="1:11" x14ac:dyDescent="0.45">
      <c r="A58" s="60" t="s">
        <v>23</v>
      </c>
      <c r="B58" s="60"/>
      <c r="C58" s="60" t="s">
        <v>66</v>
      </c>
      <c r="D58" s="75"/>
      <c r="E58" s="60"/>
      <c r="F58" s="70"/>
      <c r="G58" s="3">
        <f>G6</f>
        <v>3740947.1867199996</v>
      </c>
      <c r="H58" s="60"/>
      <c r="I58" s="29"/>
      <c r="J58" s="60"/>
      <c r="K58" s="60"/>
    </row>
    <row r="59" spans="1:11" x14ac:dyDescent="0.45">
      <c r="A59" s="69" t="s">
        <v>68</v>
      </c>
      <c r="B59" s="60"/>
      <c r="C59" s="60"/>
      <c r="D59" s="75"/>
      <c r="E59" s="60"/>
      <c r="F59" s="70"/>
      <c r="G59" s="60">
        <f>G57-G58</f>
        <v>200768.29430513876</v>
      </c>
      <c r="H59" s="60"/>
      <c r="I59" s="60"/>
      <c r="J59" s="60"/>
      <c r="K59" s="60"/>
    </row>
    <row r="60" spans="1:11" ht="4.1500000000000004" customHeight="1" x14ac:dyDescent="0.45">
      <c r="A60" s="60"/>
      <c r="B60" s="60"/>
      <c r="C60" s="60"/>
      <c r="D60" s="75"/>
      <c r="E60" s="60"/>
      <c r="F60" s="70"/>
      <c r="G60" s="60"/>
      <c r="H60" s="60"/>
      <c r="I60" s="60"/>
      <c r="J60" s="60"/>
      <c r="K60" s="60"/>
    </row>
    <row r="61" spans="1:11" x14ac:dyDescent="0.45">
      <c r="A61" s="69" t="s">
        <v>69</v>
      </c>
      <c r="B61" s="60"/>
      <c r="C61" s="60"/>
      <c r="D61" s="75"/>
      <c r="E61" s="60"/>
      <c r="F61" s="70"/>
      <c r="G61" s="76">
        <f>ROUND(G59/G58,3)</f>
        <v>5.3999999999999999E-2</v>
      </c>
      <c r="H61" s="60"/>
      <c r="I61" s="60"/>
      <c r="K61" s="60"/>
    </row>
    <row r="63" spans="1:11" x14ac:dyDescent="0.45">
      <c r="G63" s="76"/>
    </row>
    <row r="64" spans="1:11" x14ac:dyDescent="0.45">
      <c r="A64" s="69"/>
      <c r="B64" s="60"/>
      <c r="C64" s="60"/>
      <c r="D64" s="75"/>
      <c r="E64" s="60"/>
      <c r="F64" s="70"/>
      <c r="G64" s="60"/>
    </row>
    <row r="65" spans="1:7" x14ac:dyDescent="0.45">
      <c r="A65" s="60"/>
      <c r="B65" s="60"/>
      <c r="C65" s="60"/>
      <c r="D65" s="75"/>
      <c r="E65" s="60"/>
      <c r="F65" s="70"/>
      <c r="G65" s="60"/>
    </row>
    <row r="66" spans="1:7" x14ac:dyDescent="0.45">
      <c r="A66" s="69"/>
      <c r="B66" s="60"/>
      <c r="C66" s="60"/>
      <c r="D66" s="75"/>
      <c r="E66" s="60"/>
      <c r="F66" s="70"/>
      <c r="G66" s="60"/>
    </row>
  </sheetData>
  <mergeCells count="2">
    <mergeCell ref="A48:G48"/>
    <mergeCell ref="A1:G1"/>
  </mergeCells>
  <printOptions horizontalCentered="1"/>
  <pageMargins left="0.45" right="0.25" top="0.5" bottom="0.5" header="0.3" footer="0.3"/>
  <pageSetup scale="79" orientation="portrait" horizontalDpi="4294967293" r:id="rId1"/>
  <rowBreaks count="2" manualBreakCount="2">
    <brk id="46" max="16383" man="1"/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C846-DC12-4988-900C-56C1C9D3A510}">
  <dimension ref="A1:L25"/>
  <sheetViews>
    <sheetView workbookViewId="0">
      <selection activeCell="F15" sqref="F15"/>
    </sheetView>
  </sheetViews>
  <sheetFormatPr defaultRowHeight="14.25" x14ac:dyDescent="0.45"/>
  <cols>
    <col min="1" max="1" width="12.27734375" style="1" customWidth="1"/>
    <col min="2" max="2" width="8.88671875" style="280"/>
    <col min="3" max="4" width="8.88671875" style="281"/>
    <col min="5" max="5" width="9" style="281" bestFit="1" customWidth="1"/>
    <col min="6" max="6" width="9.0546875" style="281" bestFit="1" customWidth="1"/>
    <col min="7" max="7" width="11.94140625" style="281" bestFit="1" customWidth="1"/>
    <col min="8" max="8" width="12.109375" style="281" bestFit="1" customWidth="1"/>
    <col min="9" max="9" width="12.0546875" style="281" bestFit="1" customWidth="1"/>
    <col min="10" max="10" width="8.88671875" style="282"/>
    <col min="11" max="12" width="10.27734375" style="282" bestFit="1" customWidth="1"/>
    <col min="13" max="16384" width="8.88671875" style="1"/>
  </cols>
  <sheetData>
    <row r="1" spans="1:12" x14ac:dyDescent="0.45">
      <c r="A1" s="163" t="s">
        <v>275</v>
      </c>
    </row>
    <row r="2" spans="1:12" s="163" customFormat="1" ht="57" x14ac:dyDescent="0.45">
      <c r="A2" s="163" t="s">
        <v>282</v>
      </c>
      <c r="B2" s="285" t="s">
        <v>274</v>
      </c>
      <c r="C2" s="288" t="s">
        <v>296</v>
      </c>
      <c r="D2" s="288" t="s">
        <v>292</v>
      </c>
      <c r="E2" s="288" t="s">
        <v>293</v>
      </c>
      <c r="F2" s="288" t="s">
        <v>294</v>
      </c>
      <c r="G2" s="288" t="s">
        <v>276</v>
      </c>
      <c r="H2" s="288" t="s">
        <v>277</v>
      </c>
      <c r="I2" s="288" t="s">
        <v>280</v>
      </c>
      <c r="J2" s="289" t="s">
        <v>278</v>
      </c>
      <c r="K2" s="289" t="s">
        <v>279</v>
      </c>
      <c r="L2" s="289" t="s">
        <v>281</v>
      </c>
    </row>
    <row r="3" spans="1:12" x14ac:dyDescent="0.45">
      <c r="G3" s="283"/>
      <c r="H3" s="283"/>
      <c r="I3" s="283"/>
      <c r="J3" s="284"/>
      <c r="K3" s="284"/>
      <c r="L3" s="284"/>
    </row>
    <row r="4" spans="1:12" x14ac:dyDescent="0.45">
      <c r="A4" s="1" t="s">
        <v>283</v>
      </c>
      <c r="B4" s="280" t="s">
        <v>284</v>
      </c>
      <c r="C4" s="281">
        <v>0</v>
      </c>
      <c r="D4" s="281">
        <v>0</v>
      </c>
      <c r="E4" s="281">
        <v>76800</v>
      </c>
      <c r="F4" s="281">
        <f>D4+E4</f>
        <v>76800</v>
      </c>
      <c r="G4" s="281">
        <v>0</v>
      </c>
      <c r="H4" s="281">
        <v>321760536</v>
      </c>
      <c r="I4" s="281">
        <f>G4+H4</f>
        <v>321760536</v>
      </c>
      <c r="J4" s="282">
        <v>0</v>
      </c>
      <c r="K4" s="282">
        <v>3613433.91</v>
      </c>
      <c r="L4" s="282">
        <f>J4+K4</f>
        <v>3613433.91</v>
      </c>
    </row>
    <row r="5" spans="1:12" x14ac:dyDescent="0.45">
      <c r="B5" s="280" t="s">
        <v>285</v>
      </c>
      <c r="C5" s="281">
        <v>0</v>
      </c>
      <c r="D5" s="281">
        <v>0</v>
      </c>
      <c r="E5" s="281">
        <v>86</v>
      </c>
      <c r="F5" s="281">
        <f t="shared" ref="F5:F8" si="0">D5+E5</f>
        <v>86</v>
      </c>
      <c r="G5" s="281">
        <v>0</v>
      </c>
      <c r="H5" s="281">
        <v>438665</v>
      </c>
      <c r="I5" s="281">
        <f>G5+H5</f>
        <v>438665</v>
      </c>
      <c r="J5" s="282">
        <v>0</v>
      </c>
      <c r="K5" s="282">
        <v>4558.7700000000004</v>
      </c>
      <c r="L5" s="282">
        <f>J5+K5</f>
        <v>4558.7700000000004</v>
      </c>
    </row>
    <row r="6" spans="1:12" x14ac:dyDescent="0.45">
      <c r="B6" s="280" t="s">
        <v>286</v>
      </c>
      <c r="C6" s="281">
        <v>0</v>
      </c>
      <c r="D6" s="281">
        <v>0</v>
      </c>
      <c r="E6" s="281">
        <v>840</v>
      </c>
      <c r="F6" s="281">
        <f t="shared" si="0"/>
        <v>840</v>
      </c>
      <c r="G6" s="281">
        <v>0</v>
      </c>
      <c r="H6" s="281">
        <v>999134</v>
      </c>
      <c r="I6" s="281">
        <f t="shared" ref="I6:I8" si="1">G6+H6</f>
        <v>999134</v>
      </c>
      <c r="J6" s="282">
        <v>0</v>
      </c>
      <c r="K6" s="282">
        <v>23040.34</v>
      </c>
      <c r="L6" s="282">
        <f t="shared" ref="L6:L8" si="2">J6+K6</f>
        <v>23040.34</v>
      </c>
    </row>
    <row r="7" spans="1:12" x14ac:dyDescent="0.45">
      <c r="B7" s="280" t="s">
        <v>287</v>
      </c>
      <c r="C7" s="281">
        <v>0</v>
      </c>
      <c r="D7" s="281">
        <v>0</v>
      </c>
      <c r="E7" s="281">
        <v>121</v>
      </c>
      <c r="F7" s="281">
        <f t="shared" si="0"/>
        <v>121</v>
      </c>
      <c r="G7" s="281">
        <v>0</v>
      </c>
      <c r="H7" s="281">
        <v>43830</v>
      </c>
      <c r="I7" s="281">
        <f t="shared" si="1"/>
        <v>43830</v>
      </c>
      <c r="J7" s="282">
        <v>0</v>
      </c>
      <c r="K7" s="282">
        <v>2664.3</v>
      </c>
      <c r="L7" s="282">
        <f t="shared" si="2"/>
        <v>2664.3</v>
      </c>
    </row>
    <row r="8" spans="1:12" x14ac:dyDescent="0.45">
      <c r="B8" s="280" t="s">
        <v>288</v>
      </c>
      <c r="C8" s="281">
        <v>0</v>
      </c>
      <c r="D8" s="281">
        <v>0</v>
      </c>
      <c r="E8" s="281">
        <v>97</v>
      </c>
      <c r="F8" s="281">
        <f t="shared" si="0"/>
        <v>97</v>
      </c>
      <c r="G8" s="281">
        <v>0</v>
      </c>
      <c r="H8" s="281">
        <v>490950</v>
      </c>
      <c r="I8" s="281">
        <f t="shared" si="1"/>
        <v>490950</v>
      </c>
      <c r="J8" s="282">
        <v>0</v>
      </c>
      <c r="K8" s="282">
        <v>5116.8599999999997</v>
      </c>
      <c r="L8" s="282">
        <f t="shared" si="2"/>
        <v>5116.8599999999997</v>
      </c>
    </row>
    <row r="9" spans="1:12" x14ac:dyDescent="0.45">
      <c r="A9" s="163" t="s">
        <v>289</v>
      </c>
      <c r="B9" s="285"/>
      <c r="C9" s="286"/>
      <c r="D9" s="286">
        <f>SUM(D4:D8)</f>
        <v>0</v>
      </c>
      <c r="E9" s="286">
        <f>SUM(E4:E8)</f>
        <v>77944</v>
      </c>
      <c r="F9" s="286">
        <f>SUM(F4:F8)</f>
        <v>77944</v>
      </c>
      <c r="G9" s="286">
        <f t="shared" ref="G9:L9" si="3">SUM(G4:G8)</f>
        <v>0</v>
      </c>
      <c r="H9" s="286">
        <f t="shared" si="3"/>
        <v>323733115</v>
      </c>
      <c r="I9" s="286">
        <f t="shared" si="3"/>
        <v>323733115</v>
      </c>
      <c r="J9" s="287">
        <f t="shared" si="3"/>
        <v>0</v>
      </c>
      <c r="K9" s="287">
        <f t="shared" si="3"/>
        <v>3648814.1799999997</v>
      </c>
      <c r="L9" s="287">
        <f t="shared" si="3"/>
        <v>3648814.1799999997</v>
      </c>
    </row>
    <row r="11" spans="1:12" x14ac:dyDescent="0.45">
      <c r="A11" s="1" t="s">
        <v>290</v>
      </c>
      <c r="B11" s="280" t="s">
        <v>291</v>
      </c>
      <c r="C11" s="281">
        <v>5000</v>
      </c>
      <c r="D11" s="281">
        <v>729</v>
      </c>
      <c r="E11" s="281">
        <v>624</v>
      </c>
      <c r="F11" s="281">
        <f>D11+E11</f>
        <v>1353</v>
      </c>
      <c r="G11" s="281">
        <v>4367457</v>
      </c>
      <c r="H11" s="281">
        <v>18031918</v>
      </c>
      <c r="I11" s="281">
        <f t="shared" ref="I11" si="4">G11+H11</f>
        <v>22399375</v>
      </c>
      <c r="J11" s="282">
        <v>71235.45</v>
      </c>
      <c r="K11" s="282">
        <v>117928.74</v>
      </c>
      <c r="L11" s="282">
        <f t="shared" ref="L11" si="5">J11+K11</f>
        <v>189164.19</v>
      </c>
    </row>
    <row r="12" spans="1:12" x14ac:dyDescent="0.45">
      <c r="A12" s="163" t="s">
        <v>295</v>
      </c>
      <c r="B12" s="285"/>
      <c r="C12" s="286"/>
      <c r="D12" s="286">
        <f>D11</f>
        <v>729</v>
      </c>
      <c r="E12" s="286">
        <f t="shared" ref="E12:L12" si="6">E11</f>
        <v>624</v>
      </c>
      <c r="F12" s="286">
        <f t="shared" si="6"/>
        <v>1353</v>
      </c>
      <c r="G12" s="286">
        <f t="shared" si="6"/>
        <v>4367457</v>
      </c>
      <c r="H12" s="286">
        <f t="shared" si="6"/>
        <v>18031918</v>
      </c>
      <c r="I12" s="286">
        <f t="shared" si="6"/>
        <v>22399375</v>
      </c>
      <c r="J12" s="287">
        <f t="shared" si="6"/>
        <v>71235.45</v>
      </c>
      <c r="K12" s="287">
        <f t="shared" si="6"/>
        <v>117928.74</v>
      </c>
      <c r="L12" s="287">
        <f t="shared" si="6"/>
        <v>189164.19</v>
      </c>
    </row>
    <row r="14" spans="1:12" x14ac:dyDescent="0.45">
      <c r="A14" s="1" t="s">
        <v>297</v>
      </c>
      <c r="B14" s="280" t="s">
        <v>298</v>
      </c>
      <c r="C14" s="281">
        <v>10000</v>
      </c>
      <c r="D14" s="281">
        <v>97</v>
      </c>
      <c r="E14" s="281">
        <v>119</v>
      </c>
      <c r="F14" s="281">
        <f>D14+E14</f>
        <v>216</v>
      </c>
      <c r="G14" s="281">
        <v>1356202</v>
      </c>
      <c r="H14" s="281">
        <v>8249765</v>
      </c>
      <c r="I14" s="281">
        <f>G14+H14</f>
        <v>9605967</v>
      </c>
      <c r="J14" s="282">
        <v>18435.599999999999</v>
      </c>
      <c r="K14" s="282">
        <v>53953.46</v>
      </c>
      <c r="L14" s="282">
        <f>J14+K14</f>
        <v>72389.06</v>
      </c>
    </row>
    <row r="15" spans="1:12" x14ac:dyDescent="0.45">
      <c r="A15" s="163" t="s">
        <v>299</v>
      </c>
      <c r="B15" s="285"/>
      <c r="C15" s="286"/>
      <c r="D15" s="286">
        <f>D14</f>
        <v>97</v>
      </c>
      <c r="E15" s="286">
        <f t="shared" ref="E15:L15" si="7">E14</f>
        <v>119</v>
      </c>
      <c r="F15" s="286">
        <f t="shared" si="7"/>
        <v>216</v>
      </c>
      <c r="G15" s="286">
        <f t="shared" si="7"/>
        <v>1356202</v>
      </c>
      <c r="H15" s="286">
        <f t="shared" si="7"/>
        <v>8249765</v>
      </c>
      <c r="I15" s="286">
        <f t="shared" si="7"/>
        <v>9605967</v>
      </c>
      <c r="J15" s="287">
        <f t="shared" si="7"/>
        <v>18435.599999999999</v>
      </c>
      <c r="K15" s="287">
        <f t="shared" si="7"/>
        <v>53953.46</v>
      </c>
      <c r="L15" s="287">
        <f t="shared" si="7"/>
        <v>72389.06</v>
      </c>
    </row>
    <row r="17" spans="1:12" x14ac:dyDescent="0.45">
      <c r="A17" s="1" t="s">
        <v>300</v>
      </c>
      <c r="B17" s="280" t="s">
        <v>301</v>
      </c>
      <c r="C17" s="281">
        <v>50000</v>
      </c>
      <c r="D17" s="281">
        <v>13</v>
      </c>
      <c r="E17" s="281">
        <v>12</v>
      </c>
      <c r="F17" s="281">
        <f>D17+E17</f>
        <v>25</v>
      </c>
      <c r="G17" s="281">
        <v>705630</v>
      </c>
      <c r="H17" s="281">
        <v>3264170</v>
      </c>
      <c r="I17" s="281">
        <f>G17+H17</f>
        <v>3969800</v>
      </c>
      <c r="J17" s="282">
        <v>8673.75</v>
      </c>
      <c r="K17" s="282">
        <v>21347.67</v>
      </c>
      <c r="L17" s="282">
        <f>J17+K17</f>
        <v>30021.42</v>
      </c>
    </row>
    <row r="18" spans="1:12" x14ac:dyDescent="0.45">
      <c r="B18" s="280" t="s">
        <v>302</v>
      </c>
      <c r="C18" s="281">
        <v>50000</v>
      </c>
      <c r="D18" s="281">
        <v>29</v>
      </c>
      <c r="E18" s="281">
        <v>16</v>
      </c>
      <c r="F18" s="281">
        <f>D18+E18</f>
        <v>45</v>
      </c>
      <c r="G18" s="281">
        <v>800000</v>
      </c>
      <c r="H18" s="281">
        <v>1583380</v>
      </c>
      <c r="I18" s="281">
        <f>G18+H18</f>
        <v>2383380</v>
      </c>
      <c r="J18" s="282">
        <v>15612.75</v>
      </c>
      <c r="K18" s="282">
        <v>10355.31</v>
      </c>
      <c r="L18" s="282">
        <f>J18+K18</f>
        <v>25968.059999999998</v>
      </c>
    </row>
    <row r="19" spans="1:12" x14ac:dyDescent="0.45">
      <c r="B19" s="280" t="s">
        <v>303</v>
      </c>
      <c r="C19" s="281">
        <v>50000</v>
      </c>
      <c r="D19" s="281">
        <v>0</v>
      </c>
      <c r="E19" s="281">
        <v>12</v>
      </c>
      <c r="F19" s="281">
        <f>D19+E19</f>
        <v>12</v>
      </c>
      <c r="G19" s="281">
        <v>600000</v>
      </c>
      <c r="H19" s="281">
        <v>2412520</v>
      </c>
      <c r="I19" s="281">
        <f>G19+H19</f>
        <v>3012520</v>
      </c>
      <c r="J19" s="282">
        <v>4163.3999999999996</v>
      </c>
      <c r="K19" s="282">
        <v>15777.88</v>
      </c>
      <c r="L19" s="282">
        <f>J19+K19</f>
        <v>19941.28</v>
      </c>
    </row>
    <row r="20" spans="1:12" s="163" customFormat="1" x14ac:dyDescent="0.45">
      <c r="A20" s="163" t="s">
        <v>304</v>
      </c>
      <c r="B20" s="285"/>
      <c r="C20" s="286"/>
      <c r="D20" s="286">
        <f>SUM(D17:D19)</f>
        <v>42</v>
      </c>
      <c r="E20" s="286">
        <f t="shared" ref="E20:L20" si="8">SUM(E17:E19)</f>
        <v>40</v>
      </c>
      <c r="F20" s="286">
        <f t="shared" si="8"/>
        <v>82</v>
      </c>
      <c r="G20" s="286">
        <f t="shared" si="8"/>
        <v>2105630</v>
      </c>
      <c r="H20" s="286">
        <f t="shared" si="8"/>
        <v>7260070</v>
      </c>
      <c r="I20" s="286">
        <f t="shared" si="8"/>
        <v>9365700</v>
      </c>
      <c r="J20" s="290">
        <f t="shared" si="8"/>
        <v>28449.9</v>
      </c>
      <c r="K20" s="290">
        <f t="shared" si="8"/>
        <v>47480.859999999993</v>
      </c>
      <c r="L20" s="290">
        <f t="shared" si="8"/>
        <v>75930.759999999995</v>
      </c>
    </row>
    <row r="22" spans="1:12" x14ac:dyDescent="0.45">
      <c r="A22" s="1" t="s">
        <v>305</v>
      </c>
      <c r="B22" s="280" t="s">
        <v>306</v>
      </c>
      <c r="C22" s="281">
        <v>100000</v>
      </c>
      <c r="D22" s="281">
        <v>0</v>
      </c>
      <c r="E22" s="281">
        <v>0</v>
      </c>
      <c r="F22" s="281">
        <f>D22+E22</f>
        <v>0</v>
      </c>
      <c r="G22" s="281">
        <v>0</v>
      </c>
      <c r="H22" s="281">
        <v>0</v>
      </c>
      <c r="I22" s="281">
        <f>G22+H22</f>
        <v>0</v>
      </c>
      <c r="J22" s="282">
        <v>0</v>
      </c>
      <c r="K22" s="282">
        <v>0</v>
      </c>
      <c r="L22" s="282">
        <f>J22+K22</f>
        <v>0</v>
      </c>
    </row>
    <row r="23" spans="1:12" s="163" customFormat="1" x14ac:dyDescent="0.45">
      <c r="A23" s="163" t="s">
        <v>307</v>
      </c>
      <c r="B23" s="285"/>
      <c r="C23" s="286"/>
      <c r="D23" s="286">
        <f>D22</f>
        <v>0</v>
      </c>
      <c r="E23" s="286">
        <f t="shared" ref="E23:L23" si="9">E22</f>
        <v>0</v>
      </c>
      <c r="F23" s="286">
        <f t="shared" si="9"/>
        <v>0</v>
      </c>
      <c r="G23" s="286">
        <f t="shared" si="9"/>
        <v>0</v>
      </c>
      <c r="H23" s="286">
        <f t="shared" si="9"/>
        <v>0</v>
      </c>
      <c r="I23" s="286">
        <f t="shared" si="9"/>
        <v>0</v>
      </c>
      <c r="J23" s="286">
        <f t="shared" si="9"/>
        <v>0</v>
      </c>
      <c r="K23" s="286">
        <f t="shared" si="9"/>
        <v>0</v>
      </c>
      <c r="L23" s="286">
        <f t="shared" si="9"/>
        <v>0</v>
      </c>
    </row>
    <row r="25" spans="1:12" x14ac:dyDescent="0.45">
      <c r="F25" s="281">
        <f>F9+F12+F15+F20</f>
        <v>79595</v>
      </c>
      <c r="I25" s="281">
        <f>I9+I12+I15+I20</f>
        <v>365104157</v>
      </c>
      <c r="L25" s="282">
        <f>L9+L12+L15+L20</f>
        <v>3986298.1899999995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B43C-08DA-4F35-AF2D-4D6BA18A1447}">
  <sheetPr>
    <pageSetUpPr fitToPage="1"/>
  </sheetPr>
  <dimension ref="A1:Q48"/>
  <sheetViews>
    <sheetView showGridLines="0" workbookViewId="0">
      <selection activeCell="F13" sqref="F13"/>
    </sheetView>
  </sheetViews>
  <sheetFormatPr defaultRowHeight="15" x14ac:dyDescent="0.4"/>
  <cols>
    <col min="1" max="1" width="7.77734375" style="121" customWidth="1"/>
    <col min="2" max="2" width="8" style="139" customWidth="1"/>
    <col min="3" max="5" width="10.5546875" style="121" customWidth="1"/>
    <col min="6" max="6" width="11.77734375" style="150" customWidth="1"/>
    <col min="7" max="7" width="11.77734375" style="121" customWidth="1"/>
    <col min="8" max="8" width="12.83203125" style="299" bestFit="1" customWidth="1"/>
    <col min="9" max="9" width="11.33203125" style="297" bestFit="1" customWidth="1"/>
    <col min="10" max="13" width="11.21875" style="121"/>
    <col min="14" max="15" width="8.77734375" style="121" customWidth="1"/>
    <col min="16" max="16384" width="8.88671875" style="121"/>
  </cols>
  <sheetData>
    <row r="1" spans="1:17" ht="21" x14ac:dyDescent="0.65">
      <c r="A1" s="327" t="s">
        <v>160</v>
      </c>
      <c r="B1" s="327"/>
      <c r="C1" s="327"/>
      <c r="D1" s="327"/>
      <c r="E1" s="327"/>
      <c r="F1" s="327"/>
      <c r="G1" s="327"/>
      <c r="H1" s="298"/>
      <c r="I1" s="295"/>
      <c r="J1" s="89"/>
      <c r="K1" s="89"/>
      <c r="L1" s="89"/>
      <c r="M1" s="89"/>
      <c r="N1" s="89"/>
      <c r="O1" s="89"/>
      <c r="P1" s="89"/>
      <c r="Q1" s="89"/>
    </row>
    <row r="2" spans="1:17" ht="18" x14ac:dyDescent="0.45">
      <c r="A2" s="328" t="str">
        <f>SAO!A2</f>
        <v>CHRISTIAN COUNTY WATER DISTRICT</v>
      </c>
      <c r="B2" s="328"/>
      <c r="C2" s="328"/>
      <c r="D2" s="328"/>
      <c r="E2" s="328"/>
      <c r="F2" s="328"/>
      <c r="G2" s="328"/>
      <c r="H2" s="298"/>
      <c r="I2" s="295"/>
      <c r="J2" s="89"/>
      <c r="K2" s="89"/>
      <c r="L2" s="89"/>
      <c r="M2" s="89"/>
      <c r="N2" s="89"/>
      <c r="O2" s="89"/>
      <c r="P2" s="89"/>
      <c r="Q2" s="89"/>
    </row>
    <row r="3" spans="1:17" ht="18" x14ac:dyDescent="0.45">
      <c r="A3" s="101"/>
      <c r="B3" s="135"/>
      <c r="C3" s="101"/>
      <c r="D3" s="101"/>
      <c r="E3" s="101"/>
      <c r="F3" s="142"/>
      <c r="G3" s="101"/>
      <c r="H3" s="298"/>
      <c r="I3" s="295"/>
      <c r="J3" s="89"/>
      <c r="K3" s="89"/>
      <c r="L3" s="89"/>
      <c r="M3" s="89"/>
      <c r="N3" s="89"/>
      <c r="O3" s="89"/>
      <c r="P3" s="89"/>
      <c r="Q3" s="89"/>
    </row>
    <row r="4" spans="1:17" ht="15.4" x14ac:dyDescent="0.45">
      <c r="A4" s="122"/>
      <c r="B4" s="136"/>
      <c r="C4" s="123"/>
      <c r="D4" s="123"/>
      <c r="E4" s="123"/>
      <c r="F4" s="143"/>
      <c r="G4" s="123"/>
      <c r="H4" s="298"/>
      <c r="I4" s="295"/>
      <c r="J4" s="89"/>
      <c r="K4" s="89"/>
      <c r="L4" s="89"/>
      <c r="M4" s="89"/>
      <c r="N4" s="89"/>
      <c r="O4" s="89"/>
      <c r="P4" s="89"/>
      <c r="Q4" s="89"/>
    </row>
    <row r="5" spans="1:17" ht="15.75" x14ac:dyDescent="0.45">
      <c r="A5" s="89"/>
      <c r="B5" s="330" t="s">
        <v>51</v>
      </c>
      <c r="C5" s="330"/>
      <c r="D5" s="330"/>
      <c r="E5" s="330"/>
      <c r="F5" s="330"/>
      <c r="G5" s="89"/>
      <c r="H5" s="298"/>
      <c r="I5" s="295"/>
      <c r="J5" s="89"/>
      <c r="K5" s="89"/>
      <c r="L5" s="89"/>
      <c r="M5" s="89"/>
      <c r="N5" s="89"/>
      <c r="O5" s="89"/>
      <c r="P5" s="89"/>
      <c r="Q5" s="89"/>
    </row>
    <row r="6" spans="1:17" ht="15.4" x14ac:dyDescent="0.45">
      <c r="A6" s="89"/>
      <c r="B6" s="4" t="s">
        <v>163</v>
      </c>
      <c r="C6" s="127"/>
      <c r="D6" s="114" t="s">
        <v>55</v>
      </c>
      <c r="E6" s="114" t="s">
        <v>56</v>
      </c>
      <c r="F6" s="144" t="s">
        <v>59</v>
      </c>
      <c r="G6" s="89"/>
      <c r="H6" s="298"/>
      <c r="I6" s="295"/>
      <c r="J6" s="89"/>
      <c r="K6" s="89"/>
      <c r="L6" s="89"/>
      <c r="M6" s="89"/>
      <c r="N6" s="89"/>
      <c r="O6" s="89"/>
      <c r="P6" s="89"/>
      <c r="Q6" s="89"/>
    </row>
    <row r="7" spans="1:17" ht="17.649999999999999" x14ac:dyDescent="0.75">
      <c r="A7" s="89"/>
      <c r="B7" s="137" t="s">
        <v>161</v>
      </c>
      <c r="D7" s="118">
        <f>C18+C25+C32+C39+C46</f>
        <v>79595</v>
      </c>
      <c r="E7" s="118">
        <f t="shared" ref="E7:E9" si="0">D18+D25+D32+D39+D46</f>
        <v>7829289</v>
      </c>
      <c r="F7" s="145">
        <f>F18+F25+F32+F39+F46</f>
        <v>1649720.5499999998</v>
      </c>
      <c r="G7" s="89"/>
      <c r="H7" s="298"/>
      <c r="I7" s="295"/>
      <c r="J7" s="98"/>
      <c r="K7" s="89"/>
      <c r="L7" s="89"/>
      <c r="M7" s="89"/>
      <c r="N7" s="25"/>
      <c r="O7" s="25"/>
      <c r="P7" s="89"/>
      <c r="Q7" s="89"/>
    </row>
    <row r="8" spans="1:17" ht="17.649999999999999" x14ac:dyDescent="0.75">
      <c r="A8" s="89"/>
      <c r="B8" s="137" t="s">
        <v>162</v>
      </c>
      <c r="D8" s="120">
        <f>C19+C26+C33+C40+C47</f>
        <v>0</v>
      </c>
      <c r="E8" s="120">
        <f t="shared" si="0"/>
        <v>357274868</v>
      </c>
      <c r="F8" s="146">
        <f>F19+F26+F33+F40+F47</f>
        <v>2336577.6367199998</v>
      </c>
      <c r="G8" s="89"/>
      <c r="H8" s="298"/>
      <c r="I8" s="295"/>
      <c r="J8" s="89"/>
      <c r="K8" s="89"/>
      <c r="L8" s="89"/>
      <c r="M8" s="89"/>
      <c r="N8" s="15"/>
      <c r="O8" s="15"/>
      <c r="P8" s="89"/>
      <c r="Q8" s="89"/>
    </row>
    <row r="9" spans="1:17" ht="15.4" x14ac:dyDescent="0.45">
      <c r="A9" s="89"/>
      <c r="B9" s="4" t="s">
        <v>42</v>
      </c>
      <c r="D9" s="118">
        <f>C20+C27+C34+C41+C48</f>
        <v>79595</v>
      </c>
      <c r="E9" s="118">
        <f t="shared" si="0"/>
        <v>365104157</v>
      </c>
      <c r="F9" s="145">
        <f>F20+F27+F34+F41+F48</f>
        <v>3986298.1867199996</v>
      </c>
      <c r="G9" s="89"/>
      <c r="H9" s="298"/>
      <c r="I9" s="295"/>
      <c r="J9" s="4"/>
      <c r="K9" s="89"/>
      <c r="L9" s="89"/>
      <c r="M9" s="89"/>
      <c r="N9" s="89"/>
      <c r="O9" s="89"/>
      <c r="P9" s="89"/>
      <c r="Q9" s="89"/>
    </row>
    <row r="10" spans="1:17" ht="17.649999999999999" x14ac:dyDescent="0.75">
      <c r="A10" s="89"/>
      <c r="B10" s="4" t="s">
        <v>169</v>
      </c>
      <c r="C10" s="124"/>
      <c r="D10" s="140"/>
      <c r="E10" s="44"/>
      <c r="F10" s="115">
        <v>-245351</v>
      </c>
      <c r="G10" s="89"/>
      <c r="H10" s="298"/>
      <c r="I10" s="295"/>
      <c r="J10" s="120"/>
      <c r="K10" s="125"/>
      <c r="L10" s="89"/>
      <c r="M10" s="89"/>
      <c r="N10" s="89"/>
      <c r="O10" s="89"/>
      <c r="P10" s="89"/>
      <c r="Q10" s="89"/>
    </row>
    <row r="11" spans="1:17" ht="17.649999999999999" x14ac:dyDescent="0.75">
      <c r="A11" s="89"/>
      <c r="B11" s="4" t="s">
        <v>170</v>
      </c>
      <c r="C11" s="124"/>
      <c r="D11" s="40"/>
      <c r="E11" s="118">
        <f>E9+E10</f>
        <v>365104157</v>
      </c>
      <c r="F11" s="115">
        <f>F9+F10</f>
        <v>3740947.1867199996</v>
      </c>
      <c r="G11" s="89"/>
      <c r="H11" s="298"/>
      <c r="I11" s="295"/>
      <c r="J11" s="120"/>
      <c r="K11" s="125"/>
      <c r="L11" s="89"/>
      <c r="M11" s="89"/>
      <c r="N11" s="89"/>
      <c r="O11" s="89"/>
      <c r="P11" s="89"/>
      <c r="Q11" s="89"/>
    </row>
    <row r="12" spans="1:17" ht="17.649999999999999" x14ac:dyDescent="0.75">
      <c r="A12" s="89"/>
      <c r="B12" s="4" t="s">
        <v>171</v>
      </c>
      <c r="C12" s="124"/>
      <c r="D12" s="40"/>
      <c r="E12" s="120"/>
      <c r="F12" s="141">
        <v>3601759</v>
      </c>
      <c r="G12" s="89"/>
      <c r="H12" s="298"/>
      <c r="I12" s="295"/>
      <c r="J12" s="120"/>
      <c r="K12" s="125"/>
      <c r="L12" s="89"/>
      <c r="M12" s="89"/>
      <c r="N12" s="89"/>
      <c r="O12" s="89"/>
      <c r="P12" s="89"/>
      <c r="Q12" s="89"/>
    </row>
    <row r="13" spans="1:17" ht="17.649999999999999" x14ac:dyDescent="0.75">
      <c r="A13" s="89"/>
      <c r="B13" s="4" t="s">
        <v>72</v>
      </c>
      <c r="C13" s="124"/>
      <c r="D13" s="40"/>
      <c r="E13" s="118"/>
      <c r="F13" s="115">
        <f>F11-F12</f>
        <v>139188.18671999965</v>
      </c>
      <c r="G13" s="89" t="s">
        <v>312</v>
      </c>
      <c r="H13" s="298"/>
      <c r="I13" s="309" t="s">
        <v>310</v>
      </c>
      <c r="J13" s="120"/>
      <c r="K13" s="125"/>
      <c r="L13" s="89"/>
      <c r="M13" s="89"/>
      <c r="N13" s="89"/>
      <c r="O13" s="89"/>
      <c r="P13" s="89"/>
      <c r="Q13" s="89"/>
    </row>
    <row r="14" spans="1:17" ht="17.649999999999999" x14ac:dyDescent="0.75">
      <c r="A14" s="89"/>
      <c r="B14" s="4"/>
      <c r="C14" s="124"/>
      <c r="D14" s="40"/>
      <c r="E14" s="279"/>
      <c r="F14" s="279">
        <f>F13/F12</f>
        <v>3.8644503066418284E-2</v>
      </c>
      <c r="G14" s="89"/>
      <c r="H14" s="298"/>
      <c r="I14" s="295"/>
      <c r="J14" s="120"/>
      <c r="K14" s="125"/>
      <c r="L14" s="89"/>
      <c r="M14" s="89"/>
      <c r="N14" s="89"/>
      <c r="O14" s="89"/>
      <c r="P14" s="89"/>
      <c r="Q14" s="89"/>
    </row>
    <row r="15" spans="1:17" ht="15.4" x14ac:dyDescent="0.45">
      <c r="A15" s="89"/>
      <c r="B15" s="4"/>
      <c r="C15" s="124"/>
      <c r="D15" s="40"/>
      <c r="E15" s="89"/>
      <c r="F15" s="115"/>
      <c r="G15" s="89"/>
      <c r="H15" s="298"/>
      <c r="I15" s="295"/>
      <c r="J15" s="4"/>
      <c r="K15" s="89"/>
      <c r="L15" s="89"/>
      <c r="M15" s="89"/>
      <c r="N15" s="89"/>
      <c r="O15" s="89"/>
      <c r="P15" s="89"/>
      <c r="Q15" s="89"/>
    </row>
    <row r="16" spans="1:17" ht="15.4" x14ac:dyDescent="0.45">
      <c r="A16" s="89"/>
      <c r="B16" s="329" t="s">
        <v>164</v>
      </c>
      <c r="C16" s="329"/>
      <c r="D16" s="329"/>
      <c r="E16" s="329"/>
      <c r="F16" s="329"/>
      <c r="G16" s="89"/>
      <c r="H16" s="298"/>
      <c r="I16" s="295"/>
      <c r="J16" s="4"/>
      <c r="K16" s="89"/>
      <c r="L16" s="4"/>
      <c r="M16" s="125"/>
      <c r="N16" s="89"/>
      <c r="O16" s="89"/>
      <c r="P16" s="89"/>
      <c r="Q16" s="89"/>
    </row>
    <row r="17" spans="1:17" ht="15.4" x14ac:dyDescent="0.45">
      <c r="A17" s="89"/>
      <c r="B17" s="138" t="s">
        <v>54</v>
      </c>
      <c r="C17" s="114" t="s">
        <v>55</v>
      </c>
      <c r="D17" s="114" t="s">
        <v>56</v>
      </c>
      <c r="E17" s="114" t="s">
        <v>58</v>
      </c>
      <c r="F17" s="147" t="s">
        <v>59</v>
      </c>
      <c r="G17" s="113"/>
      <c r="H17" s="298"/>
      <c r="I17" s="295"/>
      <c r="J17" s="89"/>
      <c r="K17" s="89"/>
      <c r="L17" s="89"/>
      <c r="M17" s="89"/>
      <c r="N17" s="89"/>
      <c r="O17" s="89"/>
      <c r="P17" s="89"/>
      <c r="Q17" s="89"/>
    </row>
    <row r="18" spans="1:17" ht="15.4" x14ac:dyDescent="0.45">
      <c r="A18" s="126" t="s">
        <v>52</v>
      </c>
      <c r="B18" s="4">
        <v>0</v>
      </c>
      <c r="C18" s="20">
        <f>'BA Input'!E9</f>
        <v>77944</v>
      </c>
      <c r="D18" s="20">
        <f>'BA Input'!G9</f>
        <v>0</v>
      </c>
      <c r="E18" s="128">
        <f>Rates!C11</f>
        <v>19.649999999999999</v>
      </c>
      <c r="F18" s="148">
        <f>C18*E18</f>
        <v>1531599.5999999999</v>
      </c>
      <c r="G18" s="20"/>
      <c r="H18" s="298"/>
      <c r="I18" s="295"/>
      <c r="J18" s="89"/>
      <c r="L18" s="89"/>
      <c r="M18" s="89"/>
      <c r="N18" s="89"/>
      <c r="O18" s="89"/>
      <c r="P18" s="89"/>
      <c r="Q18" s="89"/>
    </row>
    <row r="19" spans="1:17" ht="17.649999999999999" x14ac:dyDescent="0.75">
      <c r="A19" s="126" t="s">
        <v>53</v>
      </c>
      <c r="B19" s="4">
        <v>0</v>
      </c>
      <c r="C19" s="119">
        <v>0</v>
      </c>
      <c r="D19" s="119">
        <f>'BA Input'!H9</f>
        <v>323733115</v>
      </c>
      <c r="E19" s="129">
        <f>Rates!C12</f>
        <v>6.54</v>
      </c>
      <c r="F19" s="149">
        <f>(D19/1000)*E19</f>
        <v>2117214.5721</v>
      </c>
      <c r="G19" s="119"/>
      <c r="H19" s="298"/>
      <c r="I19" s="295"/>
      <c r="J19" s="89"/>
      <c r="K19" s="89"/>
      <c r="L19" s="89"/>
      <c r="M19" s="89"/>
      <c r="N19" s="89"/>
      <c r="O19" s="89"/>
      <c r="P19" s="89"/>
      <c r="Q19" s="89"/>
    </row>
    <row r="20" spans="1:17" ht="15.4" x14ac:dyDescent="0.45">
      <c r="A20" s="126"/>
      <c r="B20" s="4"/>
      <c r="C20" s="20">
        <f>SUM(C18:C19)</f>
        <v>77944</v>
      </c>
      <c r="D20" s="20">
        <f>D18+D19</f>
        <v>323733115</v>
      </c>
      <c r="E20" s="20"/>
      <c r="F20" s="148">
        <f>F18+F19</f>
        <v>3648814.1721000001</v>
      </c>
      <c r="G20" s="20"/>
      <c r="H20" s="298"/>
      <c r="I20" s="295"/>
      <c r="J20" s="89"/>
      <c r="K20" s="89"/>
      <c r="L20" s="89"/>
      <c r="M20" s="89"/>
      <c r="N20" s="89"/>
      <c r="O20" s="89"/>
      <c r="P20" s="89"/>
      <c r="Q20" s="89"/>
    </row>
    <row r="21" spans="1:17" ht="15.4" x14ac:dyDescent="0.45">
      <c r="A21" s="126"/>
      <c r="B21" s="4"/>
      <c r="C21" s="20"/>
      <c r="D21" s="20"/>
      <c r="E21" s="20"/>
      <c r="F21" s="148"/>
      <c r="G21" s="20"/>
      <c r="H21" s="298"/>
      <c r="I21" s="295"/>
      <c r="J21" s="89"/>
      <c r="K21" s="89"/>
      <c r="L21" s="89"/>
      <c r="M21" s="89"/>
      <c r="N21" s="89"/>
      <c r="O21" s="89"/>
      <c r="P21" s="89"/>
      <c r="Q21" s="89"/>
    </row>
    <row r="22" spans="1:17" ht="15.4" x14ac:dyDescent="0.45">
      <c r="A22" s="126"/>
      <c r="B22" s="4"/>
      <c r="C22" s="89"/>
      <c r="D22" s="117"/>
      <c r="E22" s="117"/>
      <c r="F22" s="115"/>
      <c r="G22" s="117"/>
      <c r="H22" s="298"/>
      <c r="I22" s="295"/>
      <c r="J22" s="89"/>
      <c r="K22" s="89"/>
      <c r="L22" s="89"/>
      <c r="M22" s="89"/>
      <c r="N22" s="89"/>
      <c r="O22" s="89"/>
      <c r="P22" s="89"/>
      <c r="Q22" s="89"/>
    </row>
    <row r="23" spans="1:17" ht="15.4" x14ac:dyDescent="0.45">
      <c r="A23" s="89"/>
      <c r="B23" s="329" t="s">
        <v>165</v>
      </c>
      <c r="C23" s="329"/>
      <c r="D23" s="329"/>
      <c r="E23" s="329"/>
      <c r="F23" s="329"/>
      <c r="G23" s="130"/>
      <c r="H23" s="298"/>
      <c r="I23" s="295"/>
      <c r="J23" s="89"/>
      <c r="K23" s="89"/>
      <c r="L23" s="89"/>
      <c r="M23" s="89"/>
      <c r="N23" s="89"/>
      <c r="O23" s="89"/>
      <c r="P23" s="89"/>
      <c r="Q23" s="89"/>
    </row>
    <row r="24" spans="1:17" ht="15.4" x14ac:dyDescent="0.45">
      <c r="A24" s="89"/>
      <c r="B24" s="138" t="s">
        <v>54</v>
      </c>
      <c r="C24" s="114" t="s">
        <v>55</v>
      </c>
      <c r="D24" s="114" t="s">
        <v>56</v>
      </c>
      <c r="E24" s="114" t="s">
        <v>58</v>
      </c>
      <c r="F24" s="147" t="s">
        <v>59</v>
      </c>
      <c r="G24" s="131"/>
      <c r="H24" s="298"/>
      <c r="I24" s="295"/>
      <c r="J24" s="89"/>
      <c r="K24" s="89"/>
      <c r="L24" s="89"/>
      <c r="M24" s="89"/>
      <c r="N24" s="89"/>
      <c r="O24" s="89"/>
      <c r="P24" s="89"/>
      <c r="Q24" s="89"/>
    </row>
    <row r="25" spans="1:17" ht="15.4" x14ac:dyDescent="0.45">
      <c r="A25" s="126" t="s">
        <v>52</v>
      </c>
      <c r="B25" s="4">
        <v>5000</v>
      </c>
      <c r="C25" s="20">
        <f>'BA Input'!F12</f>
        <v>1353</v>
      </c>
      <c r="D25" s="20">
        <f>'BA Input'!G12</f>
        <v>4367457</v>
      </c>
      <c r="E25" s="128">
        <f>Rates!C15</f>
        <v>52.65</v>
      </c>
      <c r="F25" s="148">
        <f>C25*E25</f>
        <v>71235.45</v>
      </c>
      <c r="G25" s="131"/>
      <c r="H25" s="298"/>
      <c r="I25" s="295"/>
      <c r="J25" s="89"/>
      <c r="K25" s="89"/>
      <c r="L25" s="89"/>
      <c r="M25" s="89"/>
      <c r="N25" s="89"/>
      <c r="O25" s="89"/>
      <c r="P25" s="89"/>
      <c r="Q25" s="89"/>
    </row>
    <row r="26" spans="1:17" ht="17.649999999999999" x14ac:dyDescent="0.75">
      <c r="A26" s="126" t="s">
        <v>53</v>
      </c>
      <c r="B26" s="4">
        <v>5000</v>
      </c>
      <c r="C26" s="119">
        <v>0</v>
      </c>
      <c r="D26" s="119">
        <f>'BA Input'!H12</f>
        <v>18031918</v>
      </c>
      <c r="E26" s="129">
        <f>Rates!C16</f>
        <v>6.54</v>
      </c>
      <c r="F26" s="149">
        <f>(D26/1000)*E26</f>
        <v>117928.74372000001</v>
      </c>
      <c r="G26" s="131"/>
      <c r="H26" s="298"/>
      <c r="I26" s="295"/>
      <c r="J26" s="89"/>
      <c r="K26" s="89"/>
      <c r="L26" s="89"/>
      <c r="M26" s="89"/>
      <c r="N26" s="89"/>
      <c r="O26" s="89"/>
      <c r="P26" s="89"/>
      <c r="Q26" s="89"/>
    </row>
    <row r="27" spans="1:17" ht="15.4" x14ac:dyDescent="0.45">
      <c r="A27" s="126"/>
      <c r="B27" s="4"/>
      <c r="C27" s="20">
        <f>SUM(C25:C26)</f>
        <v>1353</v>
      </c>
      <c r="D27" s="20">
        <f>D25+D26</f>
        <v>22399375</v>
      </c>
      <c r="E27" s="20"/>
      <c r="F27" s="148">
        <f>F25+F26</f>
        <v>189164.19372000001</v>
      </c>
      <c r="G27" s="131"/>
      <c r="H27" s="298"/>
      <c r="I27" s="295"/>
      <c r="J27" s="89"/>
      <c r="K27" s="89"/>
      <c r="L27" s="89"/>
      <c r="M27" s="89"/>
      <c r="N27" s="89"/>
      <c r="O27" s="89"/>
      <c r="P27" s="89"/>
      <c r="Q27" s="89"/>
    </row>
    <row r="28" spans="1:17" ht="15.4" x14ac:dyDescent="0.45">
      <c r="A28" s="126"/>
      <c r="B28" s="4"/>
      <c r="C28" s="20"/>
      <c r="D28" s="20"/>
      <c r="E28" s="20"/>
      <c r="F28" s="148"/>
      <c r="G28" s="131"/>
      <c r="H28" s="298"/>
      <c r="I28" s="295"/>
      <c r="J28" s="89"/>
      <c r="K28" s="89"/>
      <c r="L28" s="89"/>
      <c r="M28" s="89"/>
      <c r="N28" s="89"/>
      <c r="O28" s="89"/>
      <c r="P28" s="89"/>
      <c r="Q28" s="89"/>
    </row>
    <row r="29" spans="1:17" ht="15.4" x14ac:dyDescent="0.45">
      <c r="A29" s="131"/>
      <c r="B29" s="132"/>
      <c r="C29" s="131"/>
      <c r="D29" s="131"/>
      <c r="E29" s="131"/>
      <c r="F29" s="134"/>
      <c r="G29" s="131"/>
      <c r="H29" s="298"/>
      <c r="I29" s="295"/>
      <c r="J29" s="89"/>
      <c r="K29" s="89"/>
      <c r="L29" s="89"/>
      <c r="M29" s="89"/>
      <c r="N29" s="89"/>
      <c r="O29" s="89"/>
      <c r="P29" s="89"/>
      <c r="Q29" s="89"/>
    </row>
    <row r="30" spans="1:17" ht="17.649999999999999" customHeight="1" x14ac:dyDescent="0.45">
      <c r="A30" s="89"/>
      <c r="B30" s="329" t="s">
        <v>166</v>
      </c>
      <c r="C30" s="329"/>
      <c r="D30" s="329"/>
      <c r="E30" s="329"/>
      <c r="F30" s="329"/>
      <c r="G30" s="131"/>
      <c r="H30" s="298"/>
      <c r="I30" s="295"/>
      <c r="J30" s="89"/>
      <c r="K30" s="89"/>
      <c r="L30" s="89"/>
      <c r="M30" s="89"/>
      <c r="N30" s="89"/>
      <c r="O30" s="89"/>
      <c r="P30" s="89"/>
      <c r="Q30" s="89"/>
    </row>
    <row r="31" spans="1:17" ht="15.4" x14ac:dyDescent="0.45">
      <c r="A31" s="89"/>
      <c r="B31" s="138" t="s">
        <v>54</v>
      </c>
      <c r="C31" s="114" t="s">
        <v>55</v>
      </c>
      <c r="D31" s="114" t="s">
        <v>56</v>
      </c>
      <c r="E31" s="114" t="s">
        <v>58</v>
      </c>
      <c r="F31" s="147" t="s">
        <v>59</v>
      </c>
      <c r="G31" s="131"/>
      <c r="H31" s="298"/>
      <c r="I31" s="295"/>
      <c r="J31" s="89"/>
      <c r="K31" s="89"/>
      <c r="L31" s="89"/>
      <c r="M31" s="89"/>
      <c r="N31" s="89"/>
      <c r="O31" s="89"/>
      <c r="P31" s="89"/>
      <c r="Q31" s="89"/>
    </row>
    <row r="32" spans="1:17" ht="15.4" x14ac:dyDescent="0.45">
      <c r="A32" s="126" t="s">
        <v>52</v>
      </c>
      <c r="B32" s="4">
        <v>10000</v>
      </c>
      <c r="C32" s="20">
        <f>'BA Input'!F15</f>
        <v>216</v>
      </c>
      <c r="D32" s="20">
        <f>'BA Input'!G14</f>
        <v>1356202</v>
      </c>
      <c r="E32" s="128">
        <f>Rates!C19</f>
        <v>85.35</v>
      </c>
      <c r="F32" s="148">
        <f>C32*E32</f>
        <v>18435.599999999999</v>
      </c>
      <c r="G32" s="131"/>
      <c r="H32" s="298"/>
      <c r="I32" s="295"/>
      <c r="J32" s="89"/>
      <c r="K32" s="89"/>
      <c r="L32" s="89"/>
      <c r="M32" s="89"/>
      <c r="N32" s="89"/>
      <c r="O32" s="89"/>
      <c r="P32" s="89"/>
      <c r="Q32" s="89"/>
    </row>
    <row r="33" spans="1:17" ht="17.649999999999999" x14ac:dyDescent="0.75">
      <c r="A33" s="126" t="s">
        <v>53</v>
      </c>
      <c r="B33" s="4">
        <v>10000</v>
      </c>
      <c r="C33" s="119">
        <v>0</v>
      </c>
      <c r="D33" s="119">
        <f>'BA Input'!H14</f>
        <v>8249765</v>
      </c>
      <c r="E33" s="129">
        <f>Rates!C20</f>
        <v>6.54</v>
      </c>
      <c r="F33" s="149">
        <f>(D33/1000)*E33</f>
        <v>53953.463099999994</v>
      </c>
      <c r="G33" s="131"/>
      <c r="H33" s="298"/>
      <c r="I33" s="295"/>
      <c r="J33" s="89"/>
      <c r="K33" s="89"/>
      <c r="L33" s="89"/>
      <c r="M33" s="89"/>
      <c r="N33" s="89"/>
      <c r="O33" s="89"/>
      <c r="P33" s="89"/>
      <c r="Q33" s="89"/>
    </row>
    <row r="34" spans="1:17" ht="15.4" x14ac:dyDescent="0.45">
      <c r="A34" s="126"/>
      <c r="B34" s="4"/>
      <c r="C34" s="20">
        <f>SUM(C32:C33)</f>
        <v>216</v>
      </c>
      <c r="D34" s="20">
        <f>D32+D33</f>
        <v>9605967</v>
      </c>
      <c r="E34" s="20"/>
      <c r="F34" s="148">
        <f>F32+F33</f>
        <v>72389.063099999999</v>
      </c>
      <c r="G34" s="131"/>
      <c r="H34" s="298"/>
      <c r="I34" s="295"/>
      <c r="J34" s="89"/>
      <c r="K34" s="89"/>
      <c r="L34" s="89"/>
      <c r="M34" s="89"/>
      <c r="N34" s="89"/>
      <c r="O34" s="89"/>
      <c r="P34" s="89"/>
      <c r="Q34" s="89"/>
    </row>
    <row r="35" spans="1:17" ht="15.4" x14ac:dyDescent="0.45">
      <c r="A35" s="131"/>
      <c r="B35" s="138"/>
      <c r="C35" s="132"/>
      <c r="D35" s="133"/>
      <c r="E35" s="132"/>
      <c r="F35" s="134"/>
      <c r="G35" s="131"/>
      <c r="H35" s="298"/>
      <c r="I35" s="295"/>
      <c r="J35" s="89"/>
      <c r="K35" s="89"/>
      <c r="L35" s="89"/>
      <c r="M35" s="89"/>
      <c r="N35" s="89"/>
      <c r="O35" s="89"/>
      <c r="P35" s="89"/>
      <c r="Q35" s="89"/>
    </row>
    <row r="36" spans="1:17" ht="15.4" x14ac:dyDescent="0.45">
      <c r="A36" s="131"/>
      <c r="B36" s="138"/>
      <c r="C36" s="132"/>
      <c r="D36" s="133"/>
      <c r="E36" s="132"/>
      <c r="F36" s="134"/>
      <c r="G36" s="131"/>
      <c r="H36" s="298"/>
      <c r="I36" s="295"/>
      <c r="J36" s="89"/>
      <c r="K36" s="89"/>
      <c r="L36" s="89"/>
      <c r="M36" s="89"/>
      <c r="N36" s="89"/>
      <c r="O36" s="89"/>
      <c r="P36" s="89"/>
      <c r="Q36" s="89"/>
    </row>
    <row r="37" spans="1:17" ht="15.4" x14ac:dyDescent="0.45">
      <c r="A37" s="89"/>
      <c r="B37" s="329" t="s">
        <v>167</v>
      </c>
      <c r="C37" s="329"/>
      <c r="D37" s="329"/>
      <c r="E37" s="329"/>
      <c r="F37" s="329"/>
      <c r="G37" s="131"/>
      <c r="H37" s="298"/>
      <c r="I37" s="295"/>
      <c r="J37" s="89"/>
      <c r="K37" s="89"/>
      <c r="L37" s="89"/>
      <c r="M37" s="89"/>
      <c r="N37" s="89"/>
      <c r="O37" s="89"/>
      <c r="P37" s="89"/>
      <c r="Q37" s="89"/>
    </row>
    <row r="38" spans="1:17" ht="17.649999999999999" x14ac:dyDescent="0.75">
      <c r="A38" s="89"/>
      <c r="B38" s="138" t="s">
        <v>54</v>
      </c>
      <c r="C38" s="114" t="s">
        <v>55</v>
      </c>
      <c r="D38" s="114" t="s">
        <v>56</v>
      </c>
      <c r="E38" s="114" t="s">
        <v>58</v>
      </c>
      <c r="F38" s="147" t="s">
        <v>59</v>
      </c>
      <c r="G38" s="131"/>
      <c r="H38" s="298"/>
      <c r="I38" s="296"/>
      <c r="J38" s="89"/>
      <c r="K38" s="89"/>
      <c r="L38" s="89"/>
      <c r="M38" s="89"/>
      <c r="N38" s="89"/>
      <c r="O38" s="89"/>
      <c r="P38" s="89"/>
      <c r="Q38" s="89"/>
    </row>
    <row r="39" spans="1:17" ht="15.4" x14ac:dyDescent="0.45">
      <c r="A39" s="126" t="s">
        <v>52</v>
      </c>
      <c r="B39" s="4">
        <v>50000</v>
      </c>
      <c r="C39" s="20">
        <f>'BA Input'!F20</f>
        <v>82</v>
      </c>
      <c r="D39" s="20">
        <f>'BA Input'!G20</f>
        <v>2105630</v>
      </c>
      <c r="E39" s="128">
        <f>Rates!C23</f>
        <v>346.95</v>
      </c>
      <c r="F39" s="148">
        <f>C39*E39</f>
        <v>28449.899999999998</v>
      </c>
      <c r="G39" s="131"/>
      <c r="H39" s="298"/>
      <c r="I39" s="295"/>
      <c r="J39" s="89"/>
      <c r="K39" s="89"/>
      <c r="L39" s="89"/>
      <c r="M39" s="89"/>
      <c r="N39" s="89"/>
      <c r="O39" s="89"/>
      <c r="P39" s="89"/>
      <c r="Q39" s="89"/>
    </row>
    <row r="40" spans="1:17" ht="17.649999999999999" x14ac:dyDescent="0.75">
      <c r="A40" s="126" t="s">
        <v>53</v>
      </c>
      <c r="B40" s="4">
        <v>50000</v>
      </c>
      <c r="C40" s="119">
        <v>0</v>
      </c>
      <c r="D40" s="119">
        <f>'BA Input'!H20</f>
        <v>7260070</v>
      </c>
      <c r="E40" s="129">
        <f>Rates!C24</f>
        <v>6.54</v>
      </c>
      <c r="F40" s="149">
        <f>(D40/1000)*E40</f>
        <v>47480.857799999998</v>
      </c>
      <c r="G40" s="131"/>
      <c r="H40" s="298"/>
      <c r="I40" s="295"/>
      <c r="J40" s="89"/>
      <c r="K40" s="89"/>
      <c r="L40" s="89"/>
      <c r="M40" s="89"/>
      <c r="N40" s="89"/>
      <c r="O40" s="89"/>
      <c r="P40" s="89"/>
      <c r="Q40" s="89"/>
    </row>
    <row r="41" spans="1:17" ht="15.4" x14ac:dyDescent="0.45">
      <c r="A41" s="126"/>
      <c r="B41" s="4"/>
      <c r="C41" s="20">
        <f>SUM(C39:C40)</f>
        <v>82</v>
      </c>
      <c r="D41" s="20">
        <f>D39+D40</f>
        <v>9365700</v>
      </c>
      <c r="E41" s="20"/>
      <c r="F41" s="148">
        <f>F39+F40</f>
        <v>75930.757799999992</v>
      </c>
      <c r="G41" s="131"/>
      <c r="H41" s="298"/>
      <c r="I41" s="295"/>
      <c r="J41" s="89"/>
      <c r="K41" s="89"/>
      <c r="L41" s="89"/>
      <c r="M41" s="89"/>
      <c r="N41" s="89"/>
      <c r="O41" s="89"/>
      <c r="P41" s="89"/>
      <c r="Q41" s="89"/>
    </row>
    <row r="42" spans="1:17" ht="15.4" x14ac:dyDescent="0.45">
      <c r="A42" s="131"/>
      <c r="B42" s="132"/>
      <c r="C42" s="131"/>
      <c r="D42" s="131"/>
      <c r="E42" s="131"/>
      <c r="F42" s="134"/>
      <c r="G42" s="131"/>
      <c r="H42" s="298"/>
      <c r="I42" s="295"/>
      <c r="J42" s="89"/>
      <c r="K42" s="89"/>
      <c r="L42" s="89"/>
      <c r="M42" s="89"/>
      <c r="N42" s="89"/>
      <c r="O42" s="89"/>
      <c r="P42" s="89"/>
      <c r="Q42" s="89"/>
    </row>
    <row r="43" spans="1:17" ht="15.4" x14ac:dyDescent="0.45">
      <c r="A43" s="131"/>
      <c r="B43" s="132"/>
      <c r="C43" s="113"/>
      <c r="D43" s="114"/>
      <c r="E43" s="114"/>
      <c r="F43" s="134"/>
      <c r="G43" s="131"/>
      <c r="H43" s="298"/>
      <c r="I43" s="295"/>
      <c r="J43" s="89"/>
      <c r="K43" s="89"/>
      <c r="L43" s="89"/>
      <c r="M43" s="89"/>
      <c r="N43" s="89"/>
      <c r="O43" s="89"/>
      <c r="P43" s="89"/>
      <c r="Q43" s="89"/>
    </row>
    <row r="44" spans="1:17" ht="15.4" x14ac:dyDescent="0.45">
      <c r="A44" s="89"/>
      <c r="B44" s="329" t="s">
        <v>168</v>
      </c>
      <c r="C44" s="329"/>
      <c r="D44" s="329"/>
      <c r="E44" s="329"/>
      <c r="F44" s="329"/>
      <c r="G44" s="131"/>
      <c r="H44" s="298"/>
      <c r="I44" s="295"/>
      <c r="J44" s="89"/>
      <c r="K44" s="89"/>
      <c r="L44" s="89"/>
      <c r="M44" s="89"/>
      <c r="N44" s="89"/>
      <c r="O44" s="89"/>
      <c r="P44" s="89"/>
      <c r="Q44" s="89"/>
    </row>
    <row r="45" spans="1:17" ht="15.4" x14ac:dyDescent="0.45">
      <c r="A45" s="89"/>
      <c r="B45" s="138" t="s">
        <v>54</v>
      </c>
      <c r="C45" s="114" t="s">
        <v>55</v>
      </c>
      <c r="D45" s="114" t="s">
        <v>56</v>
      </c>
      <c r="E45" s="114" t="s">
        <v>58</v>
      </c>
      <c r="F45" s="147" t="s">
        <v>59</v>
      </c>
      <c r="G45" s="131"/>
      <c r="H45" s="298"/>
      <c r="I45" s="295"/>
      <c r="J45" s="89"/>
      <c r="K45" s="89"/>
      <c r="L45" s="89"/>
      <c r="M45" s="89"/>
      <c r="N45" s="89"/>
      <c r="O45" s="89"/>
      <c r="P45" s="89"/>
      <c r="Q45" s="89"/>
    </row>
    <row r="46" spans="1:17" ht="15.4" x14ac:dyDescent="0.45">
      <c r="A46" s="126" t="s">
        <v>52</v>
      </c>
      <c r="B46" s="4">
        <v>100000</v>
      </c>
      <c r="C46" s="20">
        <f>'BA Input'!F22</f>
        <v>0</v>
      </c>
      <c r="D46" s="20">
        <f>'BA Input'!G23</f>
        <v>0</v>
      </c>
      <c r="E46" s="128">
        <f>Rates!C27</f>
        <v>673.95</v>
      </c>
      <c r="F46" s="148">
        <f>C46*E46</f>
        <v>0</v>
      </c>
      <c r="G46" s="131"/>
      <c r="H46" s="298"/>
      <c r="I46" s="295"/>
      <c r="J46" s="89"/>
      <c r="K46" s="89"/>
      <c r="L46" s="89"/>
      <c r="M46" s="89"/>
      <c r="N46" s="89"/>
      <c r="O46" s="89"/>
      <c r="P46" s="89"/>
      <c r="Q46" s="89"/>
    </row>
    <row r="47" spans="1:17" ht="17.649999999999999" x14ac:dyDescent="0.75">
      <c r="A47" s="126" t="s">
        <v>53</v>
      </c>
      <c r="B47" s="4">
        <v>100000</v>
      </c>
      <c r="C47" s="119">
        <v>0</v>
      </c>
      <c r="D47" s="119">
        <f>'BA Input'!H23</f>
        <v>0</v>
      </c>
      <c r="E47" s="129">
        <f>Rates!C28</f>
        <v>6.54</v>
      </c>
      <c r="F47" s="149">
        <f>(D47/1000)*E47</f>
        <v>0</v>
      </c>
      <c r="G47" s="131"/>
      <c r="H47" s="298"/>
      <c r="I47" s="295"/>
      <c r="J47" s="89"/>
      <c r="K47" s="89"/>
      <c r="L47" s="89"/>
      <c r="M47" s="89"/>
      <c r="N47" s="89"/>
      <c r="O47" s="89"/>
      <c r="P47" s="89"/>
      <c r="Q47" s="89"/>
    </row>
    <row r="48" spans="1:17" ht="15.4" x14ac:dyDescent="0.45">
      <c r="A48" s="126"/>
      <c r="B48" s="4"/>
      <c r="C48" s="20">
        <f>SUM(C46:C47)</f>
        <v>0</v>
      </c>
      <c r="D48" s="20">
        <f>D46+D47</f>
        <v>0</v>
      </c>
      <c r="E48" s="20"/>
      <c r="F48" s="148">
        <f>F46+F47</f>
        <v>0</v>
      </c>
      <c r="G48" s="89"/>
      <c r="H48" s="298"/>
      <c r="I48" s="295"/>
      <c r="J48" s="89"/>
      <c r="K48" s="89"/>
      <c r="L48" s="89"/>
      <c r="M48" s="89"/>
      <c r="N48" s="89"/>
      <c r="O48" s="89"/>
      <c r="P48" s="89"/>
      <c r="Q48" s="89"/>
    </row>
  </sheetData>
  <mergeCells count="8">
    <mergeCell ref="A1:G1"/>
    <mergeCell ref="A2:G2"/>
    <mergeCell ref="B37:F37"/>
    <mergeCell ref="B44:F44"/>
    <mergeCell ref="B5:F5"/>
    <mergeCell ref="B16:F16"/>
    <mergeCell ref="B23:F23"/>
    <mergeCell ref="B30:F30"/>
  </mergeCells>
  <pageMargins left="0.7" right="0.7" top="0.75" bottom="0.75" header="0.3" footer="0.3"/>
  <pageSetup scale="8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6"/>
  <sheetViews>
    <sheetView showGridLines="0" workbookViewId="0">
      <selection activeCell="G12" sqref="G12"/>
    </sheetView>
  </sheetViews>
  <sheetFormatPr defaultRowHeight="15" x14ac:dyDescent="0.4"/>
  <cols>
    <col min="1" max="1" width="7.77734375" style="121" customWidth="1"/>
    <col min="2" max="2" width="8" style="139" customWidth="1"/>
    <col min="3" max="5" width="10.5546875" style="121" customWidth="1"/>
    <col min="6" max="6" width="11.77734375" style="150" customWidth="1"/>
    <col min="7" max="7" width="11.77734375" style="121" customWidth="1"/>
    <col min="8" max="8" width="15.83203125" style="121" customWidth="1"/>
    <col min="9" max="9" width="15.88671875" style="121" customWidth="1"/>
    <col min="10" max="13" width="8.88671875" style="121"/>
    <col min="14" max="15" width="8.77734375" style="121" customWidth="1"/>
    <col min="16" max="16384" width="8.88671875" style="121"/>
  </cols>
  <sheetData>
    <row r="1" spans="1:17" ht="21" x14ac:dyDescent="0.65">
      <c r="A1" s="327" t="s">
        <v>314</v>
      </c>
      <c r="B1" s="327"/>
      <c r="C1" s="327"/>
      <c r="D1" s="327"/>
      <c r="E1" s="327"/>
      <c r="F1" s="327"/>
      <c r="G1" s="327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8" x14ac:dyDescent="0.45">
      <c r="A2" s="328" t="str">
        <f>SAO!A2</f>
        <v>CHRISTIAN COUNTY WATER DISTRICT</v>
      </c>
      <c r="B2" s="328"/>
      <c r="C2" s="328"/>
      <c r="D2" s="328"/>
      <c r="E2" s="328"/>
      <c r="F2" s="328"/>
      <c r="G2" s="328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" x14ac:dyDescent="0.45">
      <c r="A3" s="162"/>
      <c r="B3" s="135"/>
      <c r="C3" s="162"/>
      <c r="D3" s="162"/>
      <c r="E3" s="162"/>
      <c r="F3" s="142"/>
      <c r="G3" s="162"/>
      <c r="H3" s="89"/>
      <c r="I3" s="89"/>
      <c r="J3" s="89"/>
      <c r="K3" s="89"/>
      <c r="M3" s="89"/>
      <c r="N3" s="89"/>
      <c r="O3" s="89"/>
      <c r="P3" s="89"/>
      <c r="Q3" s="89"/>
    </row>
    <row r="4" spans="1:17" ht="15.4" x14ac:dyDescent="0.45">
      <c r="A4" s="122"/>
      <c r="B4" s="136"/>
      <c r="C4" s="123"/>
      <c r="D4" s="123"/>
      <c r="E4" s="123"/>
      <c r="F4" s="143"/>
      <c r="G4" s="123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5.75" x14ac:dyDescent="0.45">
      <c r="A5" s="89"/>
      <c r="B5" s="330" t="s">
        <v>51</v>
      </c>
      <c r="C5" s="330"/>
      <c r="D5" s="330"/>
      <c r="E5" s="330"/>
      <c r="F5" s="33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15.4" x14ac:dyDescent="0.45">
      <c r="A6" s="89"/>
      <c r="B6" s="4" t="s">
        <v>163</v>
      </c>
      <c r="C6" s="127"/>
      <c r="D6" s="114" t="s">
        <v>55</v>
      </c>
      <c r="E6" s="114" t="s">
        <v>56</v>
      </c>
      <c r="F6" s="144" t="s">
        <v>59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ht="17.649999999999999" x14ac:dyDescent="0.75">
      <c r="A7" s="89"/>
      <c r="B7" s="137" t="s">
        <v>161</v>
      </c>
      <c r="D7" s="118">
        <f>C16+C23+C30+C37+C44</f>
        <v>79595</v>
      </c>
      <c r="E7" s="118">
        <f t="shared" ref="E7:E9" si="0">D16+D23+D30+D37+D44</f>
        <v>7829289</v>
      </c>
      <c r="F7" s="145">
        <f>F16+F23+F30+F37+F44</f>
        <v>1738154.7</v>
      </c>
      <c r="G7" s="89"/>
      <c r="H7" s="89"/>
      <c r="I7" s="89"/>
      <c r="J7" s="98"/>
      <c r="K7" s="89"/>
      <c r="L7" s="89"/>
      <c r="M7" s="89"/>
      <c r="N7" s="25"/>
      <c r="O7" s="25"/>
      <c r="P7" s="89"/>
      <c r="Q7" s="89"/>
    </row>
    <row r="8" spans="1:17" ht="17.649999999999999" x14ac:dyDescent="0.75">
      <c r="A8" s="89"/>
      <c r="B8" s="137" t="s">
        <v>162</v>
      </c>
      <c r="D8" s="120">
        <f>C17+C24+C31+C38+C45</f>
        <v>0</v>
      </c>
      <c r="E8" s="120">
        <f t="shared" si="0"/>
        <v>357274868</v>
      </c>
      <c r="F8" s="146">
        <f>F17+F24+F31+F38+F45</f>
        <v>2461623.8405200001</v>
      </c>
      <c r="G8" s="89"/>
      <c r="H8" s="4"/>
      <c r="I8" s="89"/>
      <c r="J8" s="89"/>
      <c r="K8" s="89"/>
      <c r="L8" s="89"/>
      <c r="M8" s="89"/>
      <c r="N8" s="15"/>
      <c r="O8" s="15"/>
      <c r="P8" s="89"/>
      <c r="Q8" s="89"/>
    </row>
    <row r="9" spans="1:17" ht="15.4" x14ac:dyDescent="0.45">
      <c r="A9" s="89"/>
      <c r="B9" s="4" t="s">
        <v>42</v>
      </c>
      <c r="D9" s="118">
        <f>C18+C25+C32+C39+C46</f>
        <v>79595</v>
      </c>
      <c r="E9" s="118">
        <f t="shared" si="0"/>
        <v>365104157</v>
      </c>
      <c r="F9" s="145">
        <f>F18+F25+F32+F39+F46</f>
        <v>4199778.5405200003</v>
      </c>
      <c r="G9" s="89"/>
      <c r="H9" s="89"/>
      <c r="I9" s="89"/>
      <c r="J9" s="4"/>
      <c r="K9" s="89"/>
      <c r="L9" s="89"/>
      <c r="M9" s="89"/>
      <c r="N9" s="89"/>
      <c r="O9" s="89"/>
      <c r="P9" s="89"/>
      <c r="Q9" s="89"/>
    </row>
    <row r="10" spans="1:17" ht="17.649999999999999" x14ac:dyDescent="0.75">
      <c r="A10" s="89"/>
      <c r="B10" s="4" t="s">
        <v>169</v>
      </c>
      <c r="C10" s="124"/>
      <c r="D10" s="140"/>
      <c r="E10" s="44"/>
      <c r="F10" s="141">
        <f>-245351*(1+SAO!G61)</f>
        <v>-258599.954</v>
      </c>
      <c r="G10" s="89"/>
      <c r="H10" s="89"/>
      <c r="I10" s="40"/>
      <c r="J10" s="120"/>
      <c r="K10" s="125"/>
      <c r="L10" s="89"/>
      <c r="M10" s="89"/>
      <c r="N10" s="89"/>
      <c r="O10" s="89"/>
      <c r="P10" s="89"/>
      <c r="Q10" s="89"/>
    </row>
    <row r="11" spans="1:17" ht="15.4" x14ac:dyDescent="0.45">
      <c r="A11" s="89"/>
      <c r="B11" s="4" t="s">
        <v>170</v>
      </c>
      <c r="C11" s="124"/>
      <c r="D11" s="40"/>
      <c r="E11" s="118"/>
      <c r="F11" s="115">
        <f>F9+F10</f>
        <v>3941178.5865200004</v>
      </c>
      <c r="G11" s="89"/>
      <c r="H11" s="301">
        <f>SAO!G57</f>
        <v>3941715.4810251384</v>
      </c>
      <c r="I11" s="301">
        <f>F11-H11</f>
        <v>-536.89450513804331</v>
      </c>
      <c r="J11" s="306">
        <f>I11/H11</f>
        <v>-1.3620833561493154E-4</v>
      </c>
      <c r="K11" s="125"/>
      <c r="L11" s="89"/>
      <c r="M11" s="89"/>
      <c r="N11" s="89"/>
      <c r="O11" s="89"/>
      <c r="P11" s="89"/>
      <c r="Q11" s="89"/>
    </row>
    <row r="12" spans="1:17" ht="17.649999999999999" x14ac:dyDescent="0.75">
      <c r="A12" s="89"/>
      <c r="B12" s="4"/>
      <c r="C12" s="124"/>
      <c r="D12" s="40"/>
      <c r="E12" s="118"/>
      <c r="F12" s="115"/>
      <c r="G12" s="89"/>
      <c r="H12" s="126" t="s">
        <v>315</v>
      </c>
      <c r="I12" s="302" t="s">
        <v>72</v>
      </c>
      <c r="J12" s="120"/>
      <c r="K12" s="125"/>
      <c r="L12" s="89"/>
      <c r="M12" s="89"/>
      <c r="N12" s="89"/>
      <c r="O12" s="89"/>
      <c r="P12" s="89"/>
      <c r="Q12" s="89"/>
    </row>
    <row r="13" spans="1:17" ht="15.4" x14ac:dyDescent="0.45">
      <c r="A13" s="89"/>
      <c r="B13" s="4"/>
      <c r="C13" s="124"/>
      <c r="D13" s="40"/>
      <c r="E13" s="89"/>
      <c r="F13" s="115"/>
      <c r="G13" s="89"/>
      <c r="H13" s="89"/>
      <c r="I13" s="89"/>
      <c r="J13" s="4"/>
      <c r="K13" s="89"/>
      <c r="L13" s="89"/>
      <c r="M13" s="89"/>
      <c r="N13" s="89"/>
      <c r="O13" s="89"/>
      <c r="P13" s="89"/>
      <c r="Q13" s="89"/>
    </row>
    <row r="14" spans="1:17" ht="15.4" x14ac:dyDescent="0.45">
      <c r="A14" s="89"/>
      <c r="B14" s="329" t="s">
        <v>164</v>
      </c>
      <c r="C14" s="329"/>
      <c r="D14" s="329"/>
      <c r="E14" s="329"/>
      <c r="F14" s="329"/>
      <c r="G14" s="89"/>
      <c r="H14" s="89"/>
      <c r="I14" s="89"/>
      <c r="J14" s="4"/>
      <c r="K14" s="89"/>
      <c r="L14" s="4"/>
      <c r="M14" s="125"/>
      <c r="N14" s="89"/>
      <c r="O14" s="89"/>
      <c r="P14" s="89"/>
      <c r="Q14" s="89"/>
    </row>
    <row r="15" spans="1:17" ht="15.4" x14ac:dyDescent="0.45">
      <c r="A15" s="89"/>
      <c r="B15" s="138" t="s">
        <v>54</v>
      </c>
      <c r="C15" s="114" t="s">
        <v>55</v>
      </c>
      <c r="D15" s="114" t="s">
        <v>56</v>
      </c>
      <c r="E15" s="114" t="s">
        <v>58</v>
      </c>
      <c r="F15" s="147" t="s">
        <v>59</v>
      </c>
      <c r="G15" s="113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ht="15.4" x14ac:dyDescent="0.45">
      <c r="A16" s="126" t="s">
        <v>52</v>
      </c>
      <c r="B16" s="4">
        <f>ExBA!B18</f>
        <v>0</v>
      </c>
      <c r="C16" s="4">
        <f>ExBA!C18</f>
        <v>77944</v>
      </c>
      <c r="D16" s="4">
        <f>ExBA!D18</f>
        <v>0</v>
      </c>
      <c r="E16" s="128">
        <f>Rates!E11</f>
        <v>20.71</v>
      </c>
      <c r="F16" s="148">
        <f>C16*E16</f>
        <v>1614220.24</v>
      </c>
      <c r="G16" s="20"/>
      <c r="H16" s="89"/>
      <c r="I16" s="89"/>
      <c r="J16" s="89"/>
      <c r="K16" s="89"/>
      <c r="L16" s="89"/>
      <c r="M16" s="89"/>
      <c r="N16" s="89"/>
      <c r="O16" s="89"/>
      <c r="P16" s="89"/>
      <c r="Q16" s="89"/>
    </row>
    <row r="17" spans="1:17" ht="17.649999999999999" x14ac:dyDescent="0.75">
      <c r="A17" s="126" t="s">
        <v>53</v>
      </c>
      <c r="B17" s="4">
        <f>ExBA!B19</f>
        <v>0</v>
      </c>
      <c r="C17" s="4">
        <f>ExBA!C19</f>
        <v>0</v>
      </c>
      <c r="D17" s="4">
        <f>ExBA!D19</f>
        <v>323733115</v>
      </c>
      <c r="E17" s="129">
        <f>Rates!E12</f>
        <v>6.89</v>
      </c>
      <c r="F17" s="149">
        <f>(D17/1000)*E17</f>
        <v>2230521.1623499999</v>
      </c>
      <c r="G17" s="119"/>
      <c r="H17" s="89"/>
      <c r="I17" s="89"/>
      <c r="J17" s="89"/>
      <c r="K17" s="89"/>
      <c r="L17" s="89"/>
      <c r="M17" s="89"/>
      <c r="N17" s="89"/>
      <c r="O17" s="89"/>
      <c r="P17" s="89"/>
      <c r="Q17" s="89"/>
    </row>
    <row r="18" spans="1:17" ht="15.4" x14ac:dyDescent="0.45">
      <c r="A18" s="126"/>
      <c r="B18" s="4"/>
      <c r="C18" s="20">
        <f>SUM(C16:C17)</f>
        <v>77944</v>
      </c>
      <c r="D18" s="20">
        <f>D16+D17</f>
        <v>323733115</v>
      </c>
      <c r="E18" s="20"/>
      <c r="F18" s="148">
        <f>F16+F17</f>
        <v>3844741.4023500001</v>
      </c>
      <c r="G18" s="20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ht="15.4" x14ac:dyDescent="0.45">
      <c r="A19" s="126"/>
      <c r="B19" s="4"/>
      <c r="C19" s="20"/>
      <c r="D19" s="20"/>
      <c r="E19" s="20"/>
      <c r="F19" s="148"/>
      <c r="G19" s="20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1:17" ht="15.4" x14ac:dyDescent="0.45">
      <c r="A20" s="126"/>
      <c r="B20" s="4"/>
      <c r="C20" s="89"/>
      <c r="D20" s="117"/>
      <c r="E20" s="117"/>
      <c r="F20" s="115"/>
      <c r="G20" s="117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ht="15.4" x14ac:dyDescent="0.45">
      <c r="A21" s="89"/>
      <c r="B21" s="329" t="s">
        <v>165</v>
      </c>
      <c r="C21" s="329"/>
      <c r="D21" s="329"/>
      <c r="E21" s="329"/>
      <c r="F21" s="329"/>
      <c r="G21" s="130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ht="15.4" x14ac:dyDescent="0.45">
      <c r="A22" s="89"/>
      <c r="B22" s="138" t="s">
        <v>54</v>
      </c>
      <c r="C22" s="114" t="s">
        <v>55</v>
      </c>
      <c r="D22" s="114" t="s">
        <v>56</v>
      </c>
      <c r="E22" s="114" t="s">
        <v>58</v>
      </c>
      <c r="F22" s="147" t="s">
        <v>59</v>
      </c>
      <c r="G22" s="131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15.4" x14ac:dyDescent="0.45">
      <c r="A23" s="126" t="s">
        <v>52</v>
      </c>
      <c r="B23" s="4">
        <f>ExBA!B25</f>
        <v>5000</v>
      </c>
      <c r="C23" s="4">
        <f>ExBA!C25</f>
        <v>1353</v>
      </c>
      <c r="D23" s="4">
        <f>ExBA!D25</f>
        <v>4367457</v>
      </c>
      <c r="E23" s="128">
        <f>Rates!E15</f>
        <v>55.16</v>
      </c>
      <c r="F23" s="148">
        <f>C23*E23</f>
        <v>74631.48</v>
      </c>
      <c r="G23" s="131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17.649999999999999" x14ac:dyDescent="0.75">
      <c r="A24" s="126" t="s">
        <v>53</v>
      </c>
      <c r="B24" s="4">
        <f>ExBA!B26</f>
        <v>5000</v>
      </c>
      <c r="C24" s="4">
        <f>ExBA!C26</f>
        <v>0</v>
      </c>
      <c r="D24" s="4">
        <f>ExBA!D26</f>
        <v>18031918</v>
      </c>
      <c r="E24" s="129">
        <f>Rates!E16</f>
        <v>6.89</v>
      </c>
      <c r="F24" s="149">
        <f>(D24/1000)*E24</f>
        <v>124239.91502</v>
      </c>
      <c r="G24" s="131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15.4" x14ac:dyDescent="0.45">
      <c r="A25" s="126"/>
      <c r="B25" s="4"/>
      <c r="C25" s="20">
        <f>SUM(C23:C24)</f>
        <v>1353</v>
      </c>
      <c r="D25" s="20">
        <f>D23+D24</f>
        <v>22399375</v>
      </c>
      <c r="E25" s="20"/>
      <c r="F25" s="148">
        <f>F23+F24</f>
        <v>198871.39502</v>
      </c>
      <c r="G25" s="131"/>
      <c r="H25" s="89"/>
      <c r="I25" s="40"/>
      <c r="J25" s="89"/>
      <c r="K25" s="89"/>
      <c r="L25" s="89"/>
      <c r="M25" s="89"/>
      <c r="N25" s="89"/>
      <c r="O25" s="89"/>
      <c r="P25" s="89"/>
      <c r="Q25" s="89"/>
    </row>
    <row r="26" spans="1:17" ht="15.4" x14ac:dyDescent="0.45">
      <c r="A26" s="126"/>
      <c r="B26" s="4"/>
      <c r="C26" s="20"/>
      <c r="D26" s="20"/>
      <c r="E26" s="20"/>
      <c r="F26" s="148"/>
      <c r="G26" s="131"/>
      <c r="H26" s="89"/>
      <c r="I26" s="40"/>
      <c r="J26" s="89"/>
      <c r="K26" s="89"/>
      <c r="L26" s="89"/>
      <c r="M26" s="89"/>
      <c r="N26" s="89"/>
      <c r="O26" s="89"/>
      <c r="P26" s="89"/>
      <c r="Q26" s="89"/>
    </row>
    <row r="27" spans="1:17" ht="15.4" x14ac:dyDescent="0.45">
      <c r="A27" s="131"/>
      <c r="B27" s="132"/>
      <c r="C27" s="131"/>
      <c r="D27" s="131"/>
      <c r="E27" s="131"/>
      <c r="F27" s="134"/>
      <c r="G27" s="131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1:17" ht="17.649999999999999" customHeight="1" x14ac:dyDescent="0.45">
      <c r="A28" s="89"/>
      <c r="B28" s="329" t="s">
        <v>166</v>
      </c>
      <c r="C28" s="329"/>
      <c r="D28" s="329"/>
      <c r="E28" s="329"/>
      <c r="F28" s="329"/>
      <c r="G28" s="131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7" ht="15.4" x14ac:dyDescent="0.45">
      <c r="A29" s="89"/>
      <c r="B29" s="138" t="s">
        <v>54</v>
      </c>
      <c r="C29" s="114" t="s">
        <v>55</v>
      </c>
      <c r="D29" s="114" t="s">
        <v>56</v>
      </c>
      <c r="E29" s="114" t="s">
        <v>58</v>
      </c>
      <c r="F29" s="147" t="s">
        <v>59</v>
      </c>
      <c r="G29" s="131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ht="15.4" x14ac:dyDescent="0.45">
      <c r="A30" s="126" t="s">
        <v>52</v>
      </c>
      <c r="B30" s="4">
        <f>ExBA!B32</f>
        <v>10000</v>
      </c>
      <c r="C30" s="4">
        <f>ExBA!C32</f>
        <v>216</v>
      </c>
      <c r="D30" s="4">
        <f>ExBA!D32</f>
        <v>1356202</v>
      </c>
      <c r="E30" s="128">
        <f>Rates!E19</f>
        <v>89.609999999999985</v>
      </c>
      <c r="F30" s="148">
        <f>C30*E30</f>
        <v>19355.759999999998</v>
      </c>
      <c r="G30" s="131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ht="17.649999999999999" x14ac:dyDescent="0.75">
      <c r="A31" s="126" t="s">
        <v>53</v>
      </c>
      <c r="B31" s="4">
        <f>ExBA!B33</f>
        <v>10000</v>
      </c>
      <c r="C31" s="4">
        <f>ExBA!C33</f>
        <v>0</v>
      </c>
      <c r="D31" s="4">
        <f>ExBA!D33</f>
        <v>8249765</v>
      </c>
      <c r="E31" s="129">
        <f>Rates!E20</f>
        <v>6.89</v>
      </c>
      <c r="F31" s="149">
        <f>(D31/1000)*E31</f>
        <v>56840.880849999994</v>
      </c>
      <c r="G31" s="131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ht="15.4" x14ac:dyDescent="0.45">
      <c r="A32" s="126"/>
      <c r="B32" s="4"/>
      <c r="C32" s="20">
        <f>SUM(C30:C31)</f>
        <v>216</v>
      </c>
      <c r="D32" s="20">
        <f>D30+D31</f>
        <v>9605967</v>
      </c>
      <c r="E32" s="20"/>
      <c r="F32" s="148">
        <f>F30+F31</f>
        <v>76196.640849999996</v>
      </c>
      <c r="G32" s="131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17" ht="15.4" x14ac:dyDescent="0.45">
      <c r="A33" s="131"/>
      <c r="B33" s="138"/>
      <c r="C33" s="132"/>
      <c r="D33" s="133"/>
      <c r="E33" s="132"/>
      <c r="F33" s="134"/>
      <c r="G33" s="131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ht="15.4" x14ac:dyDescent="0.45">
      <c r="A34" s="131"/>
      <c r="B34" s="138"/>
      <c r="C34" s="132"/>
      <c r="D34" s="133"/>
      <c r="E34" s="132"/>
      <c r="F34" s="134"/>
      <c r="G34" s="131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ht="15.4" x14ac:dyDescent="0.45">
      <c r="A35" s="89"/>
      <c r="B35" s="329" t="s">
        <v>167</v>
      </c>
      <c r="C35" s="329"/>
      <c r="D35" s="329"/>
      <c r="E35" s="329"/>
      <c r="F35" s="329"/>
      <c r="G35" s="131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ht="17.649999999999999" x14ac:dyDescent="0.75">
      <c r="A36" s="89"/>
      <c r="B36" s="138" t="s">
        <v>54</v>
      </c>
      <c r="C36" s="114" t="s">
        <v>55</v>
      </c>
      <c r="D36" s="114" t="s">
        <v>56</v>
      </c>
      <c r="E36" s="114" t="s">
        <v>58</v>
      </c>
      <c r="F36" s="147" t="s">
        <v>59</v>
      </c>
      <c r="G36" s="131"/>
      <c r="H36" s="89"/>
      <c r="I36" s="44"/>
      <c r="J36" s="89"/>
      <c r="K36" s="89"/>
      <c r="L36" s="89"/>
      <c r="M36" s="89"/>
      <c r="N36" s="89"/>
      <c r="O36" s="89"/>
      <c r="P36" s="89"/>
      <c r="Q36" s="89"/>
    </row>
    <row r="37" spans="1:17" ht="15.4" x14ac:dyDescent="0.45">
      <c r="A37" s="126" t="s">
        <v>52</v>
      </c>
      <c r="B37" s="4">
        <f>ExBA!B39</f>
        <v>50000</v>
      </c>
      <c r="C37" s="4">
        <f>ExBA!C39</f>
        <v>82</v>
      </c>
      <c r="D37" s="4">
        <f>ExBA!D39</f>
        <v>2105630</v>
      </c>
      <c r="E37" s="128">
        <f>Rates!E23</f>
        <v>365.21</v>
      </c>
      <c r="F37" s="148">
        <f>C37*E37</f>
        <v>29947.219999999998</v>
      </c>
      <c r="G37" s="131"/>
      <c r="H37" s="89"/>
      <c r="I37" s="116"/>
      <c r="J37" s="89"/>
      <c r="K37" s="89"/>
      <c r="L37" s="89"/>
      <c r="M37" s="89"/>
      <c r="N37" s="89"/>
      <c r="O37" s="89"/>
      <c r="P37" s="89"/>
      <c r="Q37" s="89"/>
    </row>
    <row r="38" spans="1:17" ht="17.649999999999999" x14ac:dyDescent="0.75">
      <c r="A38" s="126" t="s">
        <v>53</v>
      </c>
      <c r="B38" s="4">
        <f>ExBA!B40</f>
        <v>50000</v>
      </c>
      <c r="C38" s="4">
        <f>ExBA!C40</f>
        <v>0</v>
      </c>
      <c r="D38" s="4">
        <f>ExBA!D40</f>
        <v>7260070</v>
      </c>
      <c r="E38" s="129">
        <f>Rates!E24</f>
        <v>6.89</v>
      </c>
      <c r="F38" s="149">
        <f>(D38/1000)*E38</f>
        <v>50021.882299999997</v>
      </c>
      <c r="G38" s="131"/>
      <c r="H38" s="89"/>
      <c r="I38" s="118"/>
      <c r="J38" s="89"/>
      <c r="K38" s="89"/>
      <c r="L38" s="89"/>
      <c r="M38" s="89"/>
      <c r="N38" s="89"/>
      <c r="O38" s="89"/>
      <c r="P38" s="89"/>
      <c r="Q38" s="89"/>
    </row>
    <row r="39" spans="1:17" ht="15.4" x14ac:dyDescent="0.45">
      <c r="A39" s="126"/>
      <c r="B39" s="4"/>
      <c r="C39" s="20">
        <f>SUM(C37:C38)</f>
        <v>82</v>
      </c>
      <c r="D39" s="20">
        <f>D37+D38</f>
        <v>9365700</v>
      </c>
      <c r="E39" s="20"/>
      <c r="F39" s="148">
        <f>F37+F38</f>
        <v>79969.102299999999</v>
      </c>
      <c r="G39" s="131"/>
      <c r="H39" s="89"/>
      <c r="I39" s="89"/>
      <c r="J39" s="89"/>
      <c r="K39" s="89"/>
      <c r="L39" s="89"/>
      <c r="M39" s="89"/>
      <c r="N39" s="89"/>
      <c r="O39" s="89"/>
      <c r="P39" s="89"/>
      <c r="Q39" s="89"/>
    </row>
    <row r="40" spans="1:17" ht="15.4" x14ac:dyDescent="0.45">
      <c r="A40" s="131"/>
      <c r="B40" s="132"/>
      <c r="C40" s="131"/>
      <c r="D40" s="131"/>
      <c r="E40" s="131"/>
      <c r="F40" s="134"/>
      <c r="G40" s="131"/>
      <c r="H40" s="89"/>
      <c r="I40" s="89"/>
      <c r="J40" s="89"/>
      <c r="K40" s="89"/>
      <c r="L40" s="89"/>
      <c r="M40" s="89"/>
      <c r="N40" s="89"/>
      <c r="O40" s="89"/>
      <c r="P40" s="89"/>
      <c r="Q40" s="89"/>
    </row>
    <row r="41" spans="1:17" ht="15.4" x14ac:dyDescent="0.45">
      <c r="A41" s="131"/>
      <c r="B41" s="132"/>
      <c r="C41" s="113"/>
      <c r="D41" s="114"/>
      <c r="E41" s="114"/>
      <c r="F41" s="134"/>
      <c r="G41" s="131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ht="15.4" x14ac:dyDescent="0.45">
      <c r="A42" s="89"/>
      <c r="B42" s="329" t="s">
        <v>168</v>
      </c>
      <c r="C42" s="329"/>
      <c r="D42" s="329"/>
      <c r="E42" s="329"/>
      <c r="F42" s="329"/>
      <c r="G42" s="131"/>
      <c r="H42" s="89"/>
      <c r="I42" s="89"/>
      <c r="J42" s="89"/>
      <c r="K42" s="89"/>
      <c r="L42" s="89"/>
      <c r="M42" s="89"/>
      <c r="N42" s="89"/>
      <c r="O42" s="89"/>
      <c r="P42" s="89"/>
      <c r="Q42" s="89"/>
    </row>
    <row r="43" spans="1:17" ht="15.4" x14ac:dyDescent="0.45">
      <c r="A43" s="89"/>
      <c r="B43" s="138" t="s">
        <v>54</v>
      </c>
      <c r="C43" s="114" t="s">
        <v>55</v>
      </c>
      <c r="D43" s="114" t="s">
        <v>56</v>
      </c>
      <c r="E43" s="114" t="s">
        <v>58</v>
      </c>
      <c r="F43" s="147" t="s">
        <v>59</v>
      </c>
      <c r="G43" s="131"/>
      <c r="H43" s="89"/>
      <c r="I43" s="89"/>
      <c r="J43" s="89"/>
      <c r="K43" s="89"/>
      <c r="L43" s="89"/>
      <c r="M43" s="89"/>
      <c r="N43" s="89"/>
      <c r="O43" s="89"/>
      <c r="P43" s="89"/>
      <c r="Q43" s="89"/>
    </row>
    <row r="44" spans="1:17" ht="15.4" x14ac:dyDescent="0.45">
      <c r="A44" s="126" t="s">
        <v>52</v>
      </c>
      <c r="B44" s="4">
        <f>ExBA!B46</f>
        <v>100000</v>
      </c>
      <c r="C44" s="4">
        <f>ExBA!C46</f>
        <v>0</v>
      </c>
      <c r="D44" s="4">
        <f>ExBA!D46</f>
        <v>0</v>
      </c>
      <c r="E44" s="128">
        <f>Rates!E27</f>
        <v>709.71</v>
      </c>
      <c r="F44" s="148">
        <f>C44*E44</f>
        <v>0</v>
      </c>
      <c r="G44" s="131"/>
      <c r="H44" s="89"/>
      <c r="I44" s="89"/>
      <c r="J44" s="89"/>
      <c r="K44" s="89"/>
      <c r="L44" s="89"/>
      <c r="M44" s="89"/>
      <c r="N44" s="89"/>
      <c r="O44" s="89"/>
      <c r="P44" s="89"/>
      <c r="Q44" s="89"/>
    </row>
    <row r="45" spans="1:17" ht="17.649999999999999" x14ac:dyDescent="0.75">
      <c r="A45" s="126" t="s">
        <v>53</v>
      </c>
      <c r="B45" s="4">
        <f>ExBA!B47</f>
        <v>100000</v>
      </c>
      <c r="C45" s="4">
        <f>ExBA!C47</f>
        <v>0</v>
      </c>
      <c r="D45" s="4">
        <f>ExBA!D47</f>
        <v>0</v>
      </c>
      <c r="E45" s="129">
        <f>Rates!E28</f>
        <v>6.89</v>
      </c>
      <c r="F45" s="149">
        <f>(D45/1000)*E45</f>
        <v>0</v>
      </c>
      <c r="G45" s="131"/>
      <c r="H45" s="89"/>
      <c r="I45" s="89"/>
      <c r="J45" s="89"/>
      <c r="K45" s="89"/>
      <c r="L45" s="89"/>
      <c r="M45" s="89"/>
      <c r="N45" s="89"/>
      <c r="O45" s="89"/>
      <c r="P45" s="89"/>
      <c r="Q45" s="89"/>
    </row>
    <row r="46" spans="1:17" ht="15.4" x14ac:dyDescent="0.45">
      <c r="A46" s="126"/>
      <c r="B46" s="4"/>
      <c r="C46" s="20">
        <f>SUM(C44:C45)</f>
        <v>0</v>
      </c>
      <c r="D46" s="20">
        <f>D44+D45</f>
        <v>0</v>
      </c>
      <c r="E46" s="20"/>
      <c r="F46" s="148">
        <f>F44+F45</f>
        <v>0</v>
      </c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</row>
  </sheetData>
  <mergeCells count="8">
    <mergeCell ref="B21:F21"/>
    <mergeCell ref="B28:F28"/>
    <mergeCell ref="B35:F35"/>
    <mergeCell ref="B42:F42"/>
    <mergeCell ref="A1:G1"/>
    <mergeCell ref="A2:G2"/>
    <mergeCell ref="B5:F5"/>
    <mergeCell ref="B14:F14"/>
  </mergeCells>
  <printOptions horizontalCentered="1"/>
  <pageMargins left="0.7" right="0.7" top="1" bottom="0.75" header="0.3" footer="0.3"/>
  <pageSetup scale="85" fitToHeight="2" orientation="portrait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I47"/>
  <sheetViews>
    <sheetView workbookViewId="0">
      <selection activeCell="A4" sqref="A4:G4"/>
    </sheetView>
  </sheetViews>
  <sheetFormatPr defaultColWidth="8.88671875" defaultRowHeight="14.25" x14ac:dyDescent="0.45"/>
  <cols>
    <col min="1" max="1" width="20.5546875" style="1" customWidth="1"/>
    <col min="2" max="2" width="8.44140625" style="94" customWidth="1"/>
    <col min="3" max="3" width="15.5546875" style="1" customWidth="1"/>
    <col min="4" max="4" width="9.6640625" style="1" customWidth="1"/>
    <col min="5" max="5" width="0" style="1" hidden="1" customWidth="1"/>
    <col min="6" max="6" width="15.5546875" style="1" customWidth="1"/>
    <col min="7" max="7" width="9.6640625" style="1" customWidth="1"/>
    <col min="8" max="8" width="10.44140625" style="1" customWidth="1"/>
    <col min="9" max="9" width="2.77734375" style="1" customWidth="1"/>
    <col min="10" max="16384" width="8.88671875" style="1"/>
  </cols>
  <sheetData>
    <row r="3" spans="1:9" x14ac:dyDescent="0.45">
      <c r="A3" s="332" t="str">
        <f>SAO!A2</f>
        <v>CHRISTIAN COUNTY WATER DISTRICT</v>
      </c>
      <c r="B3" s="332"/>
      <c r="C3" s="332"/>
      <c r="D3" s="332"/>
      <c r="E3" s="332"/>
      <c r="F3" s="332"/>
      <c r="G3" s="332"/>
    </row>
    <row r="4" spans="1:9" ht="15" customHeight="1" x14ac:dyDescent="0.45">
      <c r="A4" s="331" t="s">
        <v>142</v>
      </c>
      <c r="B4" s="331"/>
      <c r="C4" s="331"/>
      <c r="D4" s="331"/>
      <c r="E4" s="331"/>
      <c r="F4" s="331"/>
      <c r="G4" s="331"/>
      <c r="H4" s="92"/>
      <c r="I4" s="52"/>
    </row>
    <row r="5" spans="1:9" ht="15" customHeight="1" x14ac:dyDescent="0.45">
      <c r="B5" s="54"/>
      <c r="C5" s="24"/>
      <c r="D5" s="24"/>
      <c r="E5" s="24" t="s">
        <v>124</v>
      </c>
      <c r="F5" s="24"/>
      <c r="G5" s="93" t="s">
        <v>125</v>
      </c>
      <c r="H5" s="91"/>
      <c r="I5" s="24"/>
    </row>
    <row r="6" spans="1:9" ht="15" customHeight="1" x14ac:dyDescent="0.75">
      <c r="B6" s="99" t="s">
        <v>126</v>
      </c>
      <c r="C6" s="25"/>
      <c r="D6" s="25" t="s">
        <v>127</v>
      </c>
      <c r="E6" s="25" t="s">
        <v>128</v>
      </c>
      <c r="F6" s="25"/>
      <c r="G6" s="25" t="s">
        <v>128</v>
      </c>
      <c r="H6" s="25"/>
      <c r="I6" s="25"/>
    </row>
    <row r="7" spans="1:9" ht="15" customHeight="1" x14ac:dyDescent="0.45">
      <c r="A7" s="98" t="s">
        <v>132</v>
      </c>
      <c r="H7" s="53"/>
      <c r="I7" s="26"/>
    </row>
    <row r="8" spans="1:9" ht="15" customHeight="1" x14ac:dyDescent="0.45">
      <c r="A8" s="1" t="s">
        <v>129</v>
      </c>
      <c r="B8" s="54">
        <f>Rates!C11</f>
        <v>19.649999999999999</v>
      </c>
      <c r="C8" s="54" t="s">
        <v>130</v>
      </c>
      <c r="D8" s="54">
        <f>Rates!E11</f>
        <v>20.71</v>
      </c>
      <c r="E8" s="54">
        <v>0.68</v>
      </c>
      <c r="F8" s="54" t="s">
        <v>130</v>
      </c>
      <c r="G8" s="53">
        <f>(D8-B8)/B8</f>
        <v>5.3944020356234218E-2</v>
      </c>
      <c r="H8" s="53"/>
      <c r="I8" s="24"/>
    </row>
    <row r="9" spans="1:9" ht="15" customHeight="1" x14ac:dyDescent="0.45">
      <c r="A9" s="1" t="s">
        <v>136</v>
      </c>
      <c r="B9" s="54">
        <f>Rates!C12</f>
        <v>6.54</v>
      </c>
      <c r="C9" s="54" t="s">
        <v>131</v>
      </c>
      <c r="D9" s="54">
        <f>Rates!E12</f>
        <v>6.89</v>
      </c>
      <c r="E9" s="24"/>
      <c r="F9" s="24" t="s">
        <v>131</v>
      </c>
      <c r="G9" s="53">
        <f t="shared" ref="G9:G25" si="0">(D9-B9)/B9</f>
        <v>5.3516819571865389E-2</v>
      </c>
      <c r="H9" s="53"/>
      <c r="I9" s="24"/>
    </row>
    <row r="10" spans="1:9" ht="15" customHeight="1" x14ac:dyDescent="0.75">
      <c r="A10" s="93"/>
      <c r="B10" s="95"/>
      <c r="C10" s="93"/>
      <c r="D10" s="95"/>
      <c r="E10" s="93"/>
      <c r="F10" s="93"/>
      <c r="G10" s="53"/>
      <c r="H10" s="53"/>
      <c r="I10" s="25"/>
    </row>
    <row r="11" spans="1:9" ht="15" customHeight="1" x14ac:dyDescent="0.45">
      <c r="A11" s="98" t="s">
        <v>133</v>
      </c>
      <c r="B11" s="54"/>
      <c r="C11" s="54"/>
      <c r="D11" s="54"/>
      <c r="E11" s="54"/>
      <c r="F11" s="54"/>
      <c r="G11" s="53"/>
      <c r="H11" s="53"/>
      <c r="I11" s="26"/>
    </row>
    <row r="12" spans="1:9" ht="15" customHeight="1" x14ac:dyDescent="0.45">
      <c r="A12" s="1" t="s">
        <v>134</v>
      </c>
      <c r="B12" s="96">
        <f>Rates!C15</f>
        <v>52.65</v>
      </c>
      <c r="C12" s="55" t="s">
        <v>130</v>
      </c>
      <c r="D12" s="96">
        <f>Rates!E15</f>
        <v>55.16</v>
      </c>
      <c r="E12" s="56"/>
      <c r="F12" s="55" t="s">
        <v>130</v>
      </c>
      <c r="G12" s="53">
        <f t="shared" si="0"/>
        <v>4.7673314339980968E-2</v>
      </c>
      <c r="H12" s="53"/>
      <c r="I12" s="24"/>
    </row>
    <row r="13" spans="1:9" ht="15" customHeight="1" x14ac:dyDescent="0.45">
      <c r="A13" s="1" t="s">
        <v>135</v>
      </c>
      <c r="B13" s="97">
        <f>Rates!C16</f>
        <v>6.54</v>
      </c>
      <c r="C13" s="54" t="s">
        <v>131</v>
      </c>
      <c r="D13" s="97">
        <f>Rates!E16</f>
        <v>6.89</v>
      </c>
      <c r="E13" s="56"/>
      <c r="F13" s="54" t="s">
        <v>131</v>
      </c>
      <c r="G13" s="53">
        <f t="shared" si="0"/>
        <v>5.3516819571865389E-2</v>
      </c>
      <c r="H13" s="53"/>
      <c r="I13" s="24"/>
    </row>
    <row r="14" spans="1:9" ht="15" customHeight="1" x14ac:dyDescent="0.45">
      <c r="B14" s="97"/>
      <c r="C14" s="55"/>
      <c r="D14" s="97"/>
      <c r="E14" s="56"/>
      <c r="F14" s="56"/>
      <c r="G14" s="53"/>
      <c r="H14" s="53"/>
      <c r="I14" s="24"/>
    </row>
    <row r="15" spans="1:9" ht="15" customHeight="1" x14ac:dyDescent="0.45">
      <c r="A15" s="41" t="s">
        <v>137</v>
      </c>
      <c r="B15" s="97"/>
      <c r="C15" s="55"/>
      <c r="D15" s="97"/>
      <c r="E15" s="56"/>
      <c r="F15" s="56"/>
      <c r="G15" s="53"/>
      <c r="H15" s="53"/>
      <c r="I15" s="24"/>
    </row>
    <row r="16" spans="1:9" ht="15" customHeight="1" x14ac:dyDescent="0.45">
      <c r="A16" s="1" t="s">
        <v>138</v>
      </c>
      <c r="B16" s="97">
        <f>Rates!C19</f>
        <v>85.35</v>
      </c>
      <c r="C16" s="55" t="s">
        <v>130</v>
      </c>
      <c r="D16" s="97">
        <f>Rates!E19</f>
        <v>89.609999999999985</v>
      </c>
      <c r="E16" s="56"/>
      <c r="F16" s="55" t="s">
        <v>130</v>
      </c>
      <c r="G16" s="53">
        <f t="shared" si="0"/>
        <v>4.9912126537785484E-2</v>
      </c>
      <c r="H16" s="53"/>
      <c r="I16" s="24"/>
    </row>
    <row r="17" spans="1:9" ht="15" customHeight="1" x14ac:dyDescent="0.45">
      <c r="A17" s="1" t="s">
        <v>139</v>
      </c>
      <c r="B17" s="97">
        <f>Rates!C20</f>
        <v>6.54</v>
      </c>
      <c r="C17" s="54" t="s">
        <v>131</v>
      </c>
      <c r="D17" s="97">
        <f>Rates!E20</f>
        <v>6.89</v>
      </c>
      <c r="E17" s="56"/>
      <c r="F17" s="54" t="s">
        <v>131</v>
      </c>
      <c r="G17" s="53">
        <f t="shared" si="0"/>
        <v>5.3516819571865389E-2</v>
      </c>
      <c r="H17" s="53"/>
      <c r="I17" s="24"/>
    </row>
    <row r="18" spans="1:9" ht="15" customHeight="1" x14ac:dyDescent="0.45">
      <c r="B18" s="97"/>
      <c r="C18" s="55"/>
      <c r="D18" s="97"/>
      <c r="E18" s="56"/>
      <c r="F18" s="56"/>
      <c r="G18" s="53"/>
      <c r="H18" s="53"/>
      <c r="I18" s="24"/>
    </row>
    <row r="19" spans="1:9" ht="15" customHeight="1" x14ac:dyDescent="0.45">
      <c r="A19" s="98" t="s">
        <v>140</v>
      </c>
      <c r="D19" s="94"/>
      <c r="G19" s="53"/>
    </row>
    <row r="20" spans="1:9" ht="15" customHeight="1" x14ac:dyDescent="0.45">
      <c r="A20" s="1" t="s">
        <v>141</v>
      </c>
      <c r="B20" s="97">
        <f>Rates!C23</f>
        <v>346.95</v>
      </c>
      <c r="C20" s="55" t="s">
        <v>130</v>
      </c>
      <c r="D20" s="97">
        <f>Rates!E23</f>
        <v>365.21</v>
      </c>
      <c r="E20" s="56"/>
      <c r="F20" s="55" t="s">
        <v>130</v>
      </c>
      <c r="G20" s="53">
        <f t="shared" si="0"/>
        <v>5.2630061968583344E-2</v>
      </c>
    </row>
    <row r="21" spans="1:9" ht="15" customHeight="1" x14ac:dyDescent="0.45">
      <c r="A21" s="1" t="s">
        <v>145</v>
      </c>
      <c r="B21" s="97">
        <f>Rates!C24</f>
        <v>6.54</v>
      </c>
      <c r="C21" s="54" t="s">
        <v>131</v>
      </c>
      <c r="D21" s="97">
        <f>Rates!E24</f>
        <v>6.89</v>
      </c>
      <c r="E21" s="56"/>
      <c r="F21" s="54" t="s">
        <v>131</v>
      </c>
      <c r="G21" s="53">
        <f t="shared" si="0"/>
        <v>5.3516819571865389E-2</v>
      </c>
    </row>
    <row r="22" spans="1:9" ht="15" customHeight="1" x14ac:dyDescent="0.45">
      <c r="D22" s="94"/>
      <c r="G22" s="53"/>
    </row>
    <row r="23" spans="1:9" ht="15" customHeight="1" x14ac:dyDescent="0.45">
      <c r="A23" s="98" t="s">
        <v>143</v>
      </c>
      <c r="D23" s="94"/>
      <c r="G23" s="53"/>
    </row>
    <row r="24" spans="1:9" ht="15" customHeight="1" x14ac:dyDescent="0.45">
      <c r="A24" s="1" t="s">
        <v>144</v>
      </c>
      <c r="B24" s="97">
        <f>Rates!C27</f>
        <v>673.95</v>
      </c>
      <c r="C24" s="55" t="s">
        <v>130</v>
      </c>
      <c r="D24" s="97">
        <f>Rates!E27</f>
        <v>709.71</v>
      </c>
      <c r="E24" s="56"/>
      <c r="F24" s="55" t="s">
        <v>130</v>
      </c>
      <c r="G24" s="53">
        <f t="shared" si="0"/>
        <v>5.3060316047184496E-2</v>
      </c>
    </row>
    <row r="25" spans="1:9" ht="15" customHeight="1" x14ac:dyDescent="0.45">
      <c r="A25" s="1" t="s">
        <v>146</v>
      </c>
      <c r="B25" s="97">
        <f>Rates!C28</f>
        <v>6.54</v>
      </c>
      <c r="C25" s="54" t="s">
        <v>131</v>
      </c>
      <c r="D25" s="97">
        <f>Rates!E28</f>
        <v>6.89</v>
      </c>
      <c r="E25" s="56"/>
      <c r="F25" s="54" t="s">
        <v>131</v>
      </c>
      <c r="G25" s="53">
        <f t="shared" si="0"/>
        <v>5.3516819571865389E-2</v>
      </c>
    </row>
    <row r="26" spans="1:9" ht="15" customHeight="1" x14ac:dyDescent="0.45"/>
    <row r="27" spans="1:9" ht="15" customHeight="1" x14ac:dyDescent="0.45"/>
    <row r="28" spans="1:9" ht="15" customHeight="1" x14ac:dyDescent="0.45"/>
    <row r="29" spans="1:9" ht="15" customHeight="1" x14ac:dyDescent="0.45"/>
    <row r="30" spans="1:9" ht="15" customHeight="1" x14ac:dyDescent="0.45"/>
    <row r="31" spans="1:9" ht="15" customHeight="1" x14ac:dyDescent="0.45"/>
    <row r="32" spans="1:9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mergeCells count="2">
    <mergeCell ref="A4:G4"/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3153-D18D-47C6-A731-B4659C25EE06}">
  <dimension ref="A1:I42"/>
  <sheetViews>
    <sheetView workbookViewId="0">
      <selection activeCell="H40" sqref="H40"/>
    </sheetView>
  </sheetViews>
  <sheetFormatPr defaultRowHeight="14.25" x14ac:dyDescent="0.45"/>
  <cols>
    <col min="1" max="1" width="3.27734375" style="1" customWidth="1"/>
    <col min="2" max="2" width="39.609375" style="1" customWidth="1"/>
    <col min="3" max="4" width="8.88671875" style="1"/>
    <col min="5" max="5" width="9.88671875" style="1" bestFit="1" customWidth="1"/>
    <col min="6" max="7" width="8.88671875" style="1"/>
    <col min="8" max="8" width="9.88671875" style="1" bestFit="1" customWidth="1"/>
    <col min="9" max="9" width="8.88671875" style="261"/>
    <col min="10" max="16384" width="8.88671875" style="1"/>
  </cols>
  <sheetData>
    <row r="1" spans="1:9" x14ac:dyDescent="0.45">
      <c r="B1" s="197" t="s">
        <v>98</v>
      </c>
    </row>
    <row r="2" spans="1:9" x14ac:dyDescent="0.45">
      <c r="H2" s="18" t="s">
        <v>13</v>
      </c>
    </row>
    <row r="3" spans="1:9" x14ac:dyDescent="0.45">
      <c r="C3" s="18" t="s">
        <v>99</v>
      </c>
      <c r="D3" s="18" t="s">
        <v>99</v>
      </c>
      <c r="E3" s="18" t="s">
        <v>100</v>
      </c>
      <c r="F3" s="18" t="s">
        <v>99</v>
      </c>
      <c r="G3" s="18" t="s">
        <v>99</v>
      </c>
      <c r="H3" s="18" t="s">
        <v>99</v>
      </c>
    </row>
    <row r="4" spans="1:9" x14ac:dyDescent="0.45">
      <c r="B4" s="100" t="s">
        <v>101</v>
      </c>
      <c r="C4" s="19" t="s">
        <v>102</v>
      </c>
      <c r="D4" s="19" t="s">
        <v>103</v>
      </c>
      <c r="E4" s="19" t="s">
        <v>104</v>
      </c>
      <c r="F4" s="19" t="s">
        <v>105</v>
      </c>
      <c r="G4" s="19" t="s">
        <v>106</v>
      </c>
      <c r="H4" s="19" t="s">
        <v>107</v>
      </c>
    </row>
    <row r="5" spans="1:9" x14ac:dyDescent="0.45">
      <c r="A5" s="163"/>
      <c r="B5" s="90" t="s">
        <v>148</v>
      </c>
      <c r="C5" s="111">
        <f>80+16+1725+99+159.5</f>
        <v>2079.5</v>
      </c>
      <c r="D5" s="109">
        <v>254.5</v>
      </c>
      <c r="E5" s="109">
        <v>18.45</v>
      </c>
      <c r="F5" s="16">
        <f>C5*E5</f>
        <v>38366.775000000001</v>
      </c>
      <c r="G5" s="16">
        <f>D5*E5*1.5</f>
        <v>7043.2874999999995</v>
      </c>
      <c r="H5" s="16">
        <f t="shared" ref="H5" si="0">F5+G5</f>
        <v>45410.0625</v>
      </c>
    </row>
    <row r="6" spans="1:9" x14ac:dyDescent="0.45">
      <c r="A6" s="163"/>
      <c r="B6" s="90" t="s">
        <v>149</v>
      </c>
      <c r="C6" s="111">
        <f>80+16+1895+8+81</f>
        <v>2080</v>
      </c>
      <c r="D6" s="109">
        <v>260.75</v>
      </c>
      <c r="E6" s="109">
        <v>16.3</v>
      </c>
      <c r="F6" s="16">
        <f>C6*E6</f>
        <v>33904</v>
      </c>
      <c r="G6" s="16">
        <f>D6*E6*1.5</f>
        <v>6375.3375000000005</v>
      </c>
      <c r="H6" s="16">
        <f t="shared" ref="H6:H14" si="1">F6+G6</f>
        <v>40279.337500000001</v>
      </c>
    </row>
    <row r="7" spans="1:9" x14ac:dyDescent="0.45">
      <c r="A7" s="163"/>
      <c r="B7" s="90" t="s">
        <v>147</v>
      </c>
      <c r="C7" s="111">
        <f>8+80+16+1737+76+163</f>
        <v>2080</v>
      </c>
      <c r="D7" s="109">
        <v>0</v>
      </c>
      <c r="E7" s="109">
        <v>33.159999999999997</v>
      </c>
      <c r="F7" s="16">
        <f>C7*E7</f>
        <v>68972.799999999988</v>
      </c>
      <c r="G7" s="16">
        <f>D7*E7*1.5</f>
        <v>0</v>
      </c>
      <c r="H7" s="16">
        <f t="shared" si="1"/>
        <v>68972.799999999988</v>
      </c>
    </row>
    <row r="8" spans="1:9" x14ac:dyDescent="0.45">
      <c r="A8" s="163"/>
      <c r="B8" s="90" t="s">
        <v>150</v>
      </c>
      <c r="C8" s="112">
        <f>80+16+1892.25+44.5+47.25</f>
        <v>2080</v>
      </c>
      <c r="D8" s="110">
        <v>343.75</v>
      </c>
      <c r="E8" s="109">
        <v>18.649999999999999</v>
      </c>
      <c r="F8" s="16">
        <f t="shared" ref="F8:F14" si="2">C8*E8</f>
        <v>38792</v>
      </c>
      <c r="G8" s="20">
        <f t="shared" ref="G8:G14" si="3">D8*E8*1.5</f>
        <v>9616.4062499999982</v>
      </c>
      <c r="H8" s="20">
        <f t="shared" si="1"/>
        <v>48408.40625</v>
      </c>
    </row>
    <row r="9" spans="1:9" x14ac:dyDescent="0.45">
      <c r="A9" s="163"/>
      <c r="B9" s="90" t="s">
        <v>151</v>
      </c>
      <c r="C9" s="112">
        <f>80+16+1839.25+38+106.65</f>
        <v>2079.9</v>
      </c>
      <c r="D9" s="110">
        <v>194.25</v>
      </c>
      <c r="E9" s="109">
        <v>16.7</v>
      </c>
      <c r="F9" s="16">
        <f t="shared" si="2"/>
        <v>34734.33</v>
      </c>
      <c r="G9" s="20">
        <f t="shared" si="3"/>
        <v>4865.9624999999996</v>
      </c>
      <c r="H9" s="82">
        <f t="shared" si="1"/>
        <v>39600.292500000003</v>
      </c>
    </row>
    <row r="10" spans="1:9" x14ac:dyDescent="0.45">
      <c r="A10" s="163"/>
      <c r="B10" s="90" t="s">
        <v>152</v>
      </c>
      <c r="C10" s="112">
        <f>80+11.75+1801.75+122.75+63.75</f>
        <v>2080</v>
      </c>
      <c r="D10" s="110">
        <v>8.75</v>
      </c>
      <c r="E10" s="109">
        <v>15</v>
      </c>
      <c r="F10" s="16">
        <f t="shared" si="2"/>
        <v>31200</v>
      </c>
      <c r="G10" s="20">
        <f t="shared" si="3"/>
        <v>196.875</v>
      </c>
      <c r="H10" s="82">
        <f t="shared" si="1"/>
        <v>31396.875</v>
      </c>
    </row>
    <row r="11" spans="1:9" x14ac:dyDescent="0.45">
      <c r="B11" s="1" t="s">
        <v>153</v>
      </c>
      <c r="C11" s="20">
        <f>40+830.25+54.5+47.5</f>
        <v>972.25</v>
      </c>
      <c r="D11" s="81">
        <v>0</v>
      </c>
      <c r="E11" s="109">
        <v>14.3</v>
      </c>
      <c r="F11" s="16">
        <f t="shared" si="2"/>
        <v>13903.175000000001</v>
      </c>
      <c r="G11" s="20">
        <f t="shared" si="3"/>
        <v>0</v>
      </c>
      <c r="H11" s="82">
        <f t="shared" si="1"/>
        <v>13903.175000000001</v>
      </c>
      <c r="I11" s="261" t="s">
        <v>241</v>
      </c>
    </row>
    <row r="12" spans="1:9" x14ac:dyDescent="0.45">
      <c r="A12" s="163"/>
      <c r="B12" s="1" t="s">
        <v>154</v>
      </c>
      <c r="C12" s="20">
        <f>80+16+1763.5+104+10.45+75.92</f>
        <v>2049.87</v>
      </c>
      <c r="D12" s="81">
        <v>90</v>
      </c>
      <c r="E12" s="109">
        <v>13.25</v>
      </c>
      <c r="F12" s="16">
        <f t="shared" si="2"/>
        <v>27160.7775</v>
      </c>
      <c r="G12" s="20">
        <f t="shared" si="3"/>
        <v>1788.75</v>
      </c>
      <c r="H12" s="20">
        <f t="shared" si="1"/>
        <v>28949.5275</v>
      </c>
    </row>
    <row r="13" spans="1:9" x14ac:dyDescent="0.45">
      <c r="A13" s="163"/>
      <c r="B13" s="1" t="s">
        <v>155</v>
      </c>
      <c r="C13" s="20">
        <f>80+16+1792+74.5+117.5</f>
        <v>2080</v>
      </c>
      <c r="D13" s="81">
        <v>327.25</v>
      </c>
      <c r="E13" s="109">
        <v>18</v>
      </c>
      <c r="F13" s="16">
        <f t="shared" si="2"/>
        <v>37440</v>
      </c>
      <c r="G13" s="20">
        <f t="shared" si="3"/>
        <v>8835.75</v>
      </c>
      <c r="H13" s="20">
        <f t="shared" si="1"/>
        <v>46275.75</v>
      </c>
    </row>
    <row r="14" spans="1:9" x14ac:dyDescent="0.45">
      <c r="A14" s="163"/>
      <c r="B14" s="1" t="s">
        <v>268</v>
      </c>
      <c r="C14" s="20">
        <v>597.25</v>
      </c>
      <c r="D14" s="81">
        <v>0</v>
      </c>
      <c r="E14" s="109">
        <v>13.2</v>
      </c>
      <c r="F14" s="16">
        <f t="shared" si="2"/>
        <v>7883.7</v>
      </c>
      <c r="G14" s="20">
        <f t="shared" si="3"/>
        <v>0</v>
      </c>
      <c r="H14" s="20">
        <f t="shared" si="1"/>
        <v>7883.7</v>
      </c>
      <c r="I14" s="261" t="s">
        <v>241</v>
      </c>
    </row>
    <row r="15" spans="1:9" x14ac:dyDescent="0.45">
      <c r="A15" s="163"/>
      <c r="B15" s="1" t="s">
        <v>156</v>
      </c>
      <c r="C15" s="20">
        <v>2000</v>
      </c>
      <c r="D15" s="81">
        <v>704.25</v>
      </c>
      <c r="E15" s="109">
        <v>18.25</v>
      </c>
      <c r="F15" s="16">
        <f>C15*E15</f>
        <v>36500</v>
      </c>
      <c r="G15" s="20">
        <f>D15*E15*1.5</f>
        <v>19278.84375</v>
      </c>
      <c r="H15" s="20">
        <f t="shared" ref="H15:H19" si="4">F15+G15</f>
        <v>55778.84375</v>
      </c>
    </row>
    <row r="16" spans="1:9" x14ac:dyDescent="0.45">
      <c r="A16" s="163"/>
      <c r="B16" s="1" t="s">
        <v>157</v>
      </c>
      <c r="C16" s="20">
        <f>80+16+1799.25+24+160.75</f>
        <v>2080</v>
      </c>
      <c r="D16" s="81">
        <v>0</v>
      </c>
      <c r="E16" s="109">
        <v>37.332999999999998</v>
      </c>
      <c r="F16" s="16">
        <f t="shared" ref="F16:F19" si="5">C16*E16</f>
        <v>77652.639999999999</v>
      </c>
      <c r="G16" s="20">
        <f t="shared" ref="G16:G19" si="6">D16*E16*1.5</f>
        <v>0</v>
      </c>
      <c r="H16" s="20">
        <f t="shared" si="4"/>
        <v>77652.639999999999</v>
      </c>
    </row>
    <row r="17" spans="1:9" x14ac:dyDescent="0.45">
      <c r="A17" s="163"/>
      <c r="B17" s="1" t="s">
        <v>267</v>
      </c>
      <c r="C17" s="20">
        <f>80+16+1784+57.5+32+110.5</f>
        <v>2080</v>
      </c>
      <c r="D17" s="81">
        <v>20.5</v>
      </c>
      <c r="E17" s="109">
        <v>10</v>
      </c>
      <c r="F17" s="16">
        <f t="shared" si="5"/>
        <v>20800</v>
      </c>
      <c r="G17" s="20">
        <f t="shared" si="6"/>
        <v>307.5</v>
      </c>
      <c r="H17" s="20">
        <f t="shared" si="4"/>
        <v>21107.5</v>
      </c>
      <c r="I17" s="261" t="s">
        <v>241</v>
      </c>
    </row>
    <row r="18" spans="1:9" x14ac:dyDescent="0.45">
      <c r="A18" s="163"/>
      <c r="B18" s="1" t="s">
        <v>158</v>
      </c>
      <c r="C18" s="20">
        <f>8+80+16+1865.25+12.75+98</f>
        <v>2080</v>
      </c>
      <c r="D18" s="81">
        <v>24.5</v>
      </c>
      <c r="E18" s="109">
        <v>19.3</v>
      </c>
      <c r="F18" s="16">
        <f t="shared" si="5"/>
        <v>40144</v>
      </c>
      <c r="G18" s="20">
        <f t="shared" si="6"/>
        <v>709.27500000000009</v>
      </c>
      <c r="H18" s="20">
        <f t="shared" si="4"/>
        <v>40853.275000000001</v>
      </c>
    </row>
    <row r="19" spans="1:9" x14ac:dyDescent="0.45">
      <c r="A19" s="163"/>
      <c r="B19" s="1" t="s">
        <v>159</v>
      </c>
      <c r="C19" s="20">
        <f>80+16+1826.25+49+88</f>
        <v>2059.25</v>
      </c>
      <c r="D19" s="81">
        <v>151.75</v>
      </c>
      <c r="E19" s="109">
        <v>14.25</v>
      </c>
      <c r="F19" s="16">
        <f t="shared" si="5"/>
        <v>29344.3125</v>
      </c>
      <c r="G19" s="20">
        <f t="shared" si="6"/>
        <v>3243.65625</v>
      </c>
      <c r="H19" s="20">
        <f t="shared" si="4"/>
        <v>32587.96875</v>
      </c>
    </row>
    <row r="20" spans="1:9" x14ac:dyDescent="0.45">
      <c r="A20" s="163"/>
      <c r="C20" s="20"/>
      <c r="D20" s="81"/>
      <c r="E20" s="109"/>
      <c r="F20" s="16"/>
      <c r="G20" s="20"/>
      <c r="H20" s="20"/>
    </row>
    <row r="21" spans="1:9" x14ac:dyDescent="0.45">
      <c r="B21" s="1" t="s">
        <v>242</v>
      </c>
      <c r="C21" s="16"/>
      <c r="D21" s="16"/>
      <c r="E21" s="80"/>
      <c r="F21" s="20">
        <f>SUM(F5:F19)</f>
        <v>536798.51</v>
      </c>
      <c r="G21" s="20"/>
      <c r="H21" s="262">
        <f>SUM(H5:H19)</f>
        <v>599060.15375000006</v>
      </c>
    </row>
    <row r="22" spans="1:9" x14ac:dyDescent="0.45">
      <c r="C22" s="16"/>
      <c r="D22" s="16"/>
      <c r="E22" s="80"/>
      <c r="F22" s="20"/>
      <c r="G22" s="20"/>
      <c r="H22" s="20"/>
    </row>
    <row r="23" spans="1:9" x14ac:dyDescent="0.45">
      <c r="B23" s="1" t="s">
        <v>243</v>
      </c>
      <c r="C23" s="16"/>
      <c r="D23" s="16"/>
      <c r="E23" s="80"/>
      <c r="F23" s="20"/>
      <c r="G23" s="20"/>
      <c r="H23" s="263">
        <f>H21-H11-H14-H17</f>
        <v>556165.77875000006</v>
      </c>
    </row>
    <row r="24" spans="1:9" x14ac:dyDescent="0.45">
      <c r="B24" s="16"/>
      <c r="C24" s="16"/>
      <c r="D24" s="16"/>
      <c r="H24" s="83"/>
    </row>
    <row r="25" spans="1:9" x14ac:dyDescent="0.45">
      <c r="B25" s="84"/>
      <c r="C25" s="16"/>
      <c r="D25" s="16"/>
      <c r="H25" s="83" t="s">
        <v>32</v>
      </c>
    </row>
    <row r="26" spans="1:9" x14ac:dyDescent="0.45">
      <c r="B26" s="16"/>
      <c r="C26" s="16"/>
      <c r="D26" s="16"/>
      <c r="E26" s="1" t="s">
        <v>108</v>
      </c>
      <c r="H26" s="85">
        <f>H21</f>
        <v>599060.15375000006</v>
      </c>
    </row>
    <row r="27" spans="1:9" ht="16.5" x14ac:dyDescent="0.75">
      <c r="B27" s="16"/>
      <c r="C27" s="16"/>
      <c r="D27" s="16"/>
      <c r="E27" s="1" t="s">
        <v>109</v>
      </c>
      <c r="H27" s="27">
        <f>-SAO!D18</f>
        <v>-613563</v>
      </c>
    </row>
    <row r="28" spans="1:9" ht="14.65" thickBot="1" x14ac:dyDescent="0.5">
      <c r="B28" s="16"/>
      <c r="C28" s="16"/>
      <c r="D28" s="16"/>
      <c r="E28" s="45" t="s">
        <v>110</v>
      </c>
      <c r="F28" s="45"/>
      <c r="G28" s="45"/>
      <c r="H28" s="86">
        <f>H26+H27</f>
        <v>-14502.846249999944</v>
      </c>
      <c r="I28" s="18" t="s">
        <v>172</v>
      </c>
    </row>
    <row r="29" spans="1:9" ht="14.65" thickTop="1" x14ac:dyDescent="0.45">
      <c r="B29" s="16"/>
      <c r="C29" s="16"/>
      <c r="D29" s="16"/>
      <c r="H29" s="1" t="s">
        <v>111</v>
      </c>
      <c r="I29" s="18"/>
    </row>
    <row r="30" spans="1:9" x14ac:dyDescent="0.45">
      <c r="B30" s="16"/>
      <c r="C30" s="16"/>
      <c r="D30" s="16"/>
      <c r="E30" s="1" t="s">
        <v>112</v>
      </c>
      <c r="H30" s="28">
        <f>H21</f>
        <v>599060.15375000006</v>
      </c>
      <c r="I30" s="18"/>
    </row>
    <row r="31" spans="1:9" x14ac:dyDescent="0.45">
      <c r="B31" s="16"/>
      <c r="C31" s="16"/>
      <c r="D31" s="16"/>
      <c r="E31" s="1" t="s">
        <v>113</v>
      </c>
      <c r="H31" s="87">
        <v>7.6499999999999999E-2</v>
      </c>
      <c r="I31" s="18"/>
    </row>
    <row r="32" spans="1:9" x14ac:dyDescent="0.45">
      <c r="B32" s="16"/>
      <c r="C32" s="16"/>
      <c r="D32" s="16"/>
      <c r="E32" s="1" t="s">
        <v>114</v>
      </c>
      <c r="H32" s="16">
        <f>+H30*H31</f>
        <v>45828.101761875005</v>
      </c>
      <c r="I32" s="18"/>
    </row>
    <row r="33" spans="2:9" x14ac:dyDescent="0.45">
      <c r="B33" s="16"/>
      <c r="C33" s="16"/>
      <c r="D33" s="16"/>
      <c r="E33" s="1" t="s">
        <v>115</v>
      </c>
      <c r="H33" s="88">
        <v>-49963.79</v>
      </c>
      <c r="I33" s="18"/>
    </row>
    <row r="34" spans="2:9" ht="14.65" thickBot="1" x14ac:dyDescent="0.5">
      <c r="B34" s="16"/>
      <c r="C34" s="16"/>
      <c r="D34" s="16"/>
      <c r="E34" s="45" t="s">
        <v>116</v>
      </c>
      <c r="F34" s="45"/>
      <c r="G34" s="45"/>
      <c r="H34" s="86">
        <f>H32+H33</f>
        <v>-4135.6882381249961</v>
      </c>
      <c r="I34" s="18" t="s">
        <v>175</v>
      </c>
    </row>
    <row r="35" spans="2:9" ht="14.65" thickTop="1" x14ac:dyDescent="0.45">
      <c r="B35" s="16"/>
      <c r="C35" s="16"/>
      <c r="D35" s="16"/>
      <c r="I35" s="18"/>
    </row>
    <row r="36" spans="2:9" x14ac:dyDescent="0.45">
      <c r="B36" s="16"/>
      <c r="C36" s="16"/>
      <c r="D36" s="16"/>
      <c r="E36" s="1" t="s">
        <v>117</v>
      </c>
      <c r="H36" s="28">
        <f>H23</f>
        <v>556165.77875000006</v>
      </c>
      <c r="I36" s="18"/>
    </row>
    <row r="37" spans="2:9" x14ac:dyDescent="0.45">
      <c r="B37" s="16"/>
      <c r="C37" s="16"/>
      <c r="D37" s="16"/>
      <c r="E37" s="1" t="s">
        <v>118</v>
      </c>
      <c r="H37" s="87">
        <v>0.26950000000000002</v>
      </c>
      <c r="I37" s="18"/>
    </row>
    <row r="38" spans="2:9" x14ac:dyDescent="0.45">
      <c r="B38" s="16"/>
      <c r="C38" s="16"/>
      <c r="D38" s="16"/>
      <c r="E38" s="1" t="s">
        <v>119</v>
      </c>
      <c r="H38" s="16">
        <f>+H36*H37</f>
        <v>149886.67737312501</v>
      </c>
      <c r="I38" s="18"/>
    </row>
    <row r="39" spans="2:9" x14ac:dyDescent="0.45">
      <c r="B39" s="16"/>
      <c r="C39" s="16"/>
      <c r="D39" s="16"/>
      <c r="E39" s="1" t="s">
        <v>120</v>
      </c>
      <c r="H39" s="269">
        <f>-115323-28442</f>
        <v>-143765</v>
      </c>
      <c r="I39" s="18"/>
    </row>
    <row r="40" spans="2:9" ht="14.65" thickBot="1" x14ac:dyDescent="0.5">
      <c r="B40" s="16"/>
      <c r="C40" s="16"/>
      <c r="D40" s="16"/>
      <c r="E40" s="163" t="s">
        <v>121</v>
      </c>
      <c r="F40" s="163"/>
      <c r="G40" s="163"/>
      <c r="H40" s="270">
        <f>+H38+H39</f>
        <v>6121.6773731250141</v>
      </c>
      <c r="I40" s="18" t="s">
        <v>179</v>
      </c>
    </row>
    <row r="41" spans="2:9" ht="14.65" thickTop="1" x14ac:dyDescent="0.45"/>
    <row r="42" spans="2:9" x14ac:dyDescent="0.45">
      <c r="E42" s="163"/>
      <c r="H42" s="164"/>
    </row>
  </sheetData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O21" sqref="A1:O21"/>
    </sheetView>
  </sheetViews>
  <sheetFormatPr defaultColWidth="8.88671875" defaultRowHeight="14.25" x14ac:dyDescent="0.45"/>
  <cols>
    <col min="1" max="1" width="11.5546875" style="1" bestFit="1" customWidth="1"/>
    <col min="2" max="2" width="9.88671875" style="1" customWidth="1"/>
    <col min="3" max="3" width="12.44140625" style="1" customWidth="1"/>
    <col min="4" max="5" width="9.77734375" style="1" customWidth="1"/>
    <col min="6" max="6" width="8" style="18" customWidth="1"/>
    <col min="7" max="7" width="10.6640625" style="1" customWidth="1"/>
    <col min="8" max="8" width="10.109375" style="257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77734375" style="1" bestFit="1" customWidth="1"/>
    <col min="15" max="16384" width="8.88671875" style="1"/>
  </cols>
  <sheetData>
    <row r="1" spans="1:13" x14ac:dyDescent="0.45">
      <c r="A1" s="163" t="s">
        <v>90</v>
      </c>
    </row>
    <row r="3" spans="1:13" x14ac:dyDescent="0.45">
      <c r="A3" s="45" t="s">
        <v>177</v>
      </c>
      <c r="C3" s="18" t="s">
        <v>78</v>
      </c>
      <c r="G3" s="18" t="s">
        <v>233</v>
      </c>
      <c r="H3" s="257" t="s">
        <v>236</v>
      </c>
      <c r="I3" s="18" t="s">
        <v>236</v>
      </c>
      <c r="K3" s="21"/>
      <c r="L3" s="21"/>
    </row>
    <row r="4" spans="1:13" x14ac:dyDescent="0.45">
      <c r="B4" s="18" t="s">
        <v>78</v>
      </c>
      <c r="C4" s="18" t="s">
        <v>79</v>
      </c>
      <c r="D4" s="18" t="s">
        <v>79</v>
      </c>
      <c r="E4" s="18" t="s">
        <v>80</v>
      </c>
      <c r="F4" s="18" t="s">
        <v>84</v>
      </c>
      <c r="G4" s="18" t="s">
        <v>85</v>
      </c>
      <c r="H4" s="257" t="s">
        <v>86</v>
      </c>
      <c r="I4" s="18" t="s">
        <v>86</v>
      </c>
    </row>
    <row r="5" spans="1:13" x14ac:dyDescent="0.45">
      <c r="B5" s="19" t="s">
        <v>81</v>
      </c>
      <c r="C5" s="19" t="s">
        <v>91</v>
      </c>
      <c r="D5" s="19" t="s">
        <v>92</v>
      </c>
      <c r="E5" s="19" t="s">
        <v>92</v>
      </c>
      <c r="F5" s="46" t="s">
        <v>87</v>
      </c>
      <c r="G5" s="47" t="s">
        <v>81</v>
      </c>
      <c r="H5" s="258" t="s">
        <v>88</v>
      </c>
      <c r="I5" s="48" t="s">
        <v>89</v>
      </c>
    </row>
    <row r="6" spans="1:13" x14ac:dyDescent="0.45">
      <c r="A6" s="1" t="s">
        <v>82</v>
      </c>
      <c r="B6" s="43">
        <v>576.34</v>
      </c>
      <c r="C6" s="43">
        <v>0</v>
      </c>
      <c r="D6" s="49">
        <f>C6/B6</f>
        <v>0</v>
      </c>
      <c r="E6" s="49">
        <f>+(B6-C6)/B6</f>
        <v>1</v>
      </c>
      <c r="F6" s="18">
        <v>12</v>
      </c>
      <c r="G6" s="50">
        <f>B6*F6*12</f>
        <v>82992.959999999992</v>
      </c>
      <c r="H6" s="259">
        <v>0.79</v>
      </c>
      <c r="I6" s="50">
        <f>H6*G6</f>
        <v>65564.438399999999</v>
      </c>
    </row>
    <row r="7" spans="1:13" x14ac:dyDescent="0.45">
      <c r="A7" s="1" t="s">
        <v>83</v>
      </c>
      <c r="B7" s="43">
        <v>1180.4000000000001</v>
      </c>
      <c r="C7" s="157">
        <v>0</v>
      </c>
      <c r="D7" s="49">
        <f t="shared" ref="D7" si="0">+C7/B7</f>
        <v>0</v>
      </c>
      <c r="E7" s="49">
        <f>(B7-C7)/B7</f>
        <v>1</v>
      </c>
      <c r="F7" s="18">
        <v>1</v>
      </c>
      <c r="G7" s="174">
        <f>B7*E7*F7*12</f>
        <v>14164.800000000001</v>
      </c>
      <c r="H7" s="259">
        <v>0.66</v>
      </c>
      <c r="I7" s="50">
        <f>H7*G7</f>
        <v>9348.7680000000018</v>
      </c>
    </row>
    <row r="8" spans="1:13" x14ac:dyDescent="0.45">
      <c r="A8" s="1" t="s">
        <v>57</v>
      </c>
      <c r="B8" s="50"/>
      <c r="C8" s="13"/>
      <c r="D8" s="49"/>
      <c r="E8" s="49"/>
      <c r="G8" s="50">
        <f>SUM(G6:G7)</f>
        <v>97157.759999999995</v>
      </c>
      <c r="I8" s="50">
        <f>SUM(I6:I7)</f>
        <v>74913.206399999995</v>
      </c>
    </row>
    <row r="9" spans="1:13" x14ac:dyDescent="0.45">
      <c r="B9" s="50"/>
      <c r="C9" s="13"/>
      <c r="D9" s="49"/>
      <c r="E9" s="49"/>
      <c r="G9" s="50"/>
      <c r="I9" s="50"/>
    </row>
    <row r="10" spans="1:13" x14ac:dyDescent="0.45">
      <c r="A10" s="163" t="s">
        <v>235</v>
      </c>
      <c r="B10" s="50"/>
      <c r="C10" s="13"/>
      <c r="D10" s="49"/>
      <c r="E10" s="49"/>
      <c r="G10" s="50"/>
      <c r="I10" s="50"/>
    </row>
    <row r="11" spans="1:13" x14ac:dyDescent="0.45">
      <c r="A11" s="1" t="s">
        <v>82</v>
      </c>
      <c r="B11" s="50">
        <v>25.12</v>
      </c>
      <c r="C11" s="13">
        <v>0</v>
      </c>
      <c r="D11" s="49">
        <f t="shared" ref="D11:D13" si="1">C11/B11</f>
        <v>0</v>
      </c>
      <c r="E11" s="49">
        <f t="shared" ref="E11:E13" si="2">+(B11-C11)/B11</f>
        <v>1</v>
      </c>
      <c r="F11" s="18">
        <v>7</v>
      </c>
      <c r="G11" s="50">
        <f t="shared" ref="G11:G13" si="3">B11*F11*12</f>
        <v>2110.08</v>
      </c>
      <c r="H11" s="257">
        <v>0.6</v>
      </c>
      <c r="I11" s="50">
        <f t="shared" ref="I11" si="4">H11*G11</f>
        <v>1266.048</v>
      </c>
    </row>
    <row r="12" spans="1:13" x14ac:dyDescent="0.45">
      <c r="A12" s="1" t="s">
        <v>83</v>
      </c>
      <c r="B12" s="50">
        <v>48.36</v>
      </c>
      <c r="C12" s="50">
        <f>B12-B11</f>
        <v>23.24</v>
      </c>
      <c r="D12" s="49">
        <f t="shared" si="1"/>
        <v>0.48056244830438377</v>
      </c>
      <c r="E12" s="49">
        <f t="shared" si="2"/>
        <v>0.51943755169561623</v>
      </c>
      <c r="F12" s="18">
        <v>6</v>
      </c>
      <c r="G12" s="50">
        <f t="shared" si="3"/>
        <v>3481.9199999999996</v>
      </c>
      <c r="H12" s="257">
        <v>0.6</v>
      </c>
      <c r="I12" s="50">
        <f>G12</f>
        <v>3481.9199999999996</v>
      </c>
      <c r="J12" s="1" t="s">
        <v>308</v>
      </c>
    </row>
    <row r="13" spans="1:13" x14ac:dyDescent="0.45">
      <c r="A13" s="1" t="s">
        <v>237</v>
      </c>
      <c r="B13" s="168">
        <v>48.36</v>
      </c>
      <c r="C13" s="168">
        <f>B13-B11</f>
        <v>23.24</v>
      </c>
      <c r="D13" s="49">
        <f t="shared" si="1"/>
        <v>0.48056244830438377</v>
      </c>
      <c r="E13" s="49">
        <f t="shared" si="2"/>
        <v>0.51943755169561623</v>
      </c>
      <c r="F13" s="267">
        <v>1</v>
      </c>
      <c r="G13" s="50">
        <f t="shared" si="3"/>
        <v>580.31999999999994</v>
      </c>
      <c r="H13" s="271">
        <v>0.6</v>
      </c>
      <c r="I13" s="50">
        <f>G13</f>
        <v>580.31999999999994</v>
      </c>
      <c r="J13" s="167" t="s">
        <v>308</v>
      </c>
      <c r="K13" s="167"/>
      <c r="L13" s="167"/>
      <c r="M13" s="167"/>
    </row>
    <row r="14" spans="1:13" x14ac:dyDescent="0.45">
      <c r="A14" s="1" t="s">
        <v>57</v>
      </c>
      <c r="B14" s="167"/>
      <c r="C14" s="167"/>
      <c r="D14" s="167"/>
      <c r="E14" s="167"/>
      <c r="F14" s="267"/>
      <c r="G14" s="168">
        <f>G11+G12+G13</f>
        <v>6172.32</v>
      </c>
      <c r="H14" s="271"/>
      <c r="I14" s="168">
        <f>I11+I12+I13</f>
        <v>5328.2879999999996</v>
      </c>
      <c r="J14" s="167" t="s">
        <v>238</v>
      </c>
      <c r="K14" s="167"/>
      <c r="L14" s="167"/>
      <c r="M14" s="167"/>
    </row>
    <row r="15" spans="1:13" x14ac:dyDescent="0.45">
      <c r="B15" s="167"/>
      <c r="C15" s="167"/>
      <c r="D15" s="167"/>
      <c r="E15" s="167"/>
      <c r="F15" s="267"/>
      <c r="G15" s="168"/>
      <c r="H15" s="271"/>
      <c r="I15" s="168"/>
      <c r="J15" s="167"/>
      <c r="K15" s="167"/>
      <c r="L15" s="167"/>
      <c r="M15" s="167"/>
    </row>
    <row r="16" spans="1:13" x14ac:dyDescent="0.45">
      <c r="A16" s="163" t="s">
        <v>239</v>
      </c>
      <c r="B16" s="167"/>
      <c r="C16" s="167"/>
      <c r="D16" s="167"/>
      <c r="E16" s="167"/>
      <c r="F16" s="267"/>
      <c r="G16" s="168">
        <f>G8+G14</f>
        <v>103330.07999999999</v>
      </c>
      <c r="H16" s="271"/>
      <c r="I16" s="168">
        <f>I8+I14</f>
        <v>80241.494399999996</v>
      </c>
      <c r="J16" s="167"/>
      <c r="K16" s="167"/>
      <c r="L16" s="167"/>
      <c r="M16" s="167"/>
    </row>
    <row r="17" spans="1:13" x14ac:dyDescent="0.45">
      <c r="B17" s="167"/>
      <c r="C17" s="167"/>
      <c r="D17" s="167"/>
      <c r="E17" s="167"/>
      <c r="F17" s="267"/>
      <c r="G17" s="167"/>
      <c r="H17" s="271"/>
      <c r="I17" s="168"/>
      <c r="J17" s="167"/>
      <c r="K17" s="167"/>
      <c r="L17" s="167"/>
      <c r="M17" s="167"/>
    </row>
    <row r="18" spans="1:13" x14ac:dyDescent="0.45">
      <c r="A18" s="1" t="s">
        <v>240</v>
      </c>
      <c r="B18" s="167"/>
      <c r="C18" s="274">
        <f>I16</f>
        <v>80241.494399999996</v>
      </c>
      <c r="D18" s="167"/>
      <c r="E18" s="167"/>
      <c r="F18" s="267"/>
      <c r="G18" s="167"/>
      <c r="H18" s="271"/>
      <c r="I18" s="168"/>
      <c r="J18" s="167"/>
      <c r="K18" s="167"/>
      <c r="L18" s="167"/>
      <c r="M18" s="167"/>
    </row>
    <row r="19" spans="1:13" x14ac:dyDescent="0.45">
      <c r="A19" s="1" t="s">
        <v>272</v>
      </c>
      <c r="B19" s="167"/>
      <c r="C19" s="277">
        <v>-102049.03</v>
      </c>
      <c r="D19" s="170"/>
      <c r="E19" s="170"/>
      <c r="F19" s="267"/>
      <c r="G19" s="167"/>
      <c r="H19" s="260"/>
      <c r="I19" s="46"/>
      <c r="J19" s="167"/>
      <c r="K19" s="171"/>
      <c r="L19" s="171"/>
      <c r="M19" s="167"/>
    </row>
    <row r="20" spans="1:13" ht="16.5" x14ac:dyDescent="0.75">
      <c r="A20" s="1" t="s">
        <v>273</v>
      </c>
      <c r="B20" s="167"/>
      <c r="C20" s="278">
        <v>-7041.32</v>
      </c>
      <c r="D20" s="170"/>
      <c r="E20" s="170"/>
      <c r="F20" s="267"/>
      <c r="G20" s="167"/>
      <c r="H20" s="260"/>
      <c r="I20" s="46"/>
      <c r="J20" s="167"/>
      <c r="K20" s="171"/>
      <c r="L20" s="171"/>
      <c r="M20" s="167"/>
    </row>
    <row r="21" spans="1:13" x14ac:dyDescent="0.45">
      <c r="A21" s="1" t="s">
        <v>178</v>
      </c>
      <c r="B21" s="167"/>
      <c r="C21" s="275">
        <f>C18+C19</f>
        <v>-21807.535600000003</v>
      </c>
      <c r="D21" s="175" t="s">
        <v>230</v>
      </c>
      <c r="E21" s="165"/>
      <c r="F21" s="267"/>
      <c r="G21" s="172"/>
      <c r="H21" s="272"/>
      <c r="I21" s="165"/>
      <c r="J21" s="167"/>
      <c r="K21" s="173"/>
      <c r="L21" s="167"/>
      <c r="M21" s="167"/>
    </row>
    <row r="22" spans="1:13" ht="17.649999999999999" x14ac:dyDescent="0.75">
      <c r="B22" s="167"/>
      <c r="C22" s="169"/>
      <c r="D22" s="166"/>
      <c r="E22" s="166"/>
      <c r="F22" s="267"/>
      <c r="G22" s="255"/>
      <c r="H22" s="273"/>
      <c r="I22" s="166"/>
      <c r="J22" s="167"/>
      <c r="K22" s="167"/>
      <c r="L22" s="167"/>
      <c r="M22" s="167"/>
    </row>
    <row r="23" spans="1:13" ht="15.4" x14ac:dyDescent="0.45">
      <c r="B23" s="167"/>
      <c r="C23" s="169"/>
      <c r="D23" s="165"/>
      <c r="E23" s="165"/>
      <c r="F23" s="267"/>
      <c r="G23" s="255"/>
      <c r="H23" s="272"/>
      <c r="I23" s="165"/>
      <c r="J23" s="167"/>
      <c r="K23" s="167"/>
      <c r="L23" s="167"/>
      <c r="M23" s="167"/>
    </row>
    <row r="28" spans="1:13" x14ac:dyDescent="0.45">
      <c r="H28" s="257" t="s">
        <v>250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4C12-8B08-4347-8810-FE79CDF4480C}">
  <dimension ref="A1:N43"/>
  <sheetViews>
    <sheetView showGridLines="0" topLeftCell="A29" workbookViewId="0">
      <selection activeCell="K40" sqref="K40"/>
    </sheetView>
  </sheetViews>
  <sheetFormatPr defaultRowHeight="15" x14ac:dyDescent="0.4"/>
  <cols>
    <col min="1" max="1" width="2" customWidth="1"/>
    <col min="2" max="2" width="1.88671875" customWidth="1"/>
    <col min="3" max="3" width="1.77734375" customWidth="1"/>
    <col min="4" max="4" width="27.44140625" customWidth="1"/>
    <col min="5" max="5" width="8.33203125" customWidth="1"/>
    <col min="6" max="6" width="9.33203125" customWidth="1"/>
    <col min="7" max="7" width="6.109375" customWidth="1"/>
    <col min="8" max="8" width="9.33203125" customWidth="1"/>
    <col min="9" max="9" width="6.109375" customWidth="1"/>
    <col min="10" max="10" width="9.33203125" customWidth="1"/>
    <col min="11" max="11" width="10.6640625" customWidth="1"/>
    <col min="12" max="12" width="1.88671875" customWidth="1"/>
    <col min="13" max="13" width="2.44140625" customWidth="1"/>
  </cols>
  <sheetData>
    <row r="1" spans="1:13" ht="15.4" x14ac:dyDescent="0.45">
      <c r="A1" s="1"/>
      <c r="B1" s="1"/>
      <c r="C1" s="177"/>
      <c r="D1" s="177"/>
      <c r="E1" s="177"/>
      <c r="F1" s="177"/>
      <c r="G1" s="178"/>
      <c r="H1" s="177"/>
      <c r="I1" s="178"/>
      <c r="J1" s="177"/>
      <c r="K1" s="177"/>
      <c r="L1" s="177"/>
      <c r="M1" s="177"/>
    </row>
    <row r="2" spans="1:13" ht="15.4" x14ac:dyDescent="0.45">
      <c r="A2" s="1"/>
      <c r="B2" s="102"/>
      <c r="C2" s="179"/>
      <c r="D2" s="179"/>
      <c r="E2" s="179"/>
      <c r="F2" s="179"/>
      <c r="G2" s="180"/>
      <c r="H2" s="179"/>
      <c r="I2" s="180"/>
      <c r="J2" s="179"/>
      <c r="K2" s="179"/>
      <c r="L2" s="181"/>
      <c r="M2" s="182"/>
    </row>
    <row r="3" spans="1:13" ht="18" x14ac:dyDescent="0.55000000000000004">
      <c r="A3" s="1"/>
      <c r="B3" s="57"/>
      <c r="C3" s="313" t="s">
        <v>29</v>
      </c>
      <c r="D3" s="313"/>
      <c r="E3" s="313"/>
      <c r="F3" s="313"/>
      <c r="G3" s="313"/>
      <c r="H3" s="313"/>
      <c r="I3" s="313"/>
      <c r="J3" s="313"/>
      <c r="K3" s="313"/>
      <c r="L3" s="183"/>
      <c r="M3" s="182"/>
    </row>
    <row r="4" spans="1:13" ht="18" x14ac:dyDescent="0.55000000000000004">
      <c r="A4" s="1"/>
      <c r="B4" s="57"/>
      <c r="C4" s="314" t="s">
        <v>43</v>
      </c>
      <c r="D4" s="314"/>
      <c r="E4" s="314"/>
      <c r="F4" s="314"/>
      <c r="G4" s="314"/>
      <c r="H4" s="314"/>
      <c r="I4" s="314"/>
      <c r="J4" s="314"/>
      <c r="K4" s="314"/>
      <c r="L4" s="183"/>
      <c r="M4" s="182"/>
    </row>
    <row r="5" spans="1:13" ht="15.75" x14ac:dyDescent="0.45">
      <c r="A5" s="1"/>
      <c r="B5" s="57"/>
      <c r="C5" s="315" t="s">
        <v>181</v>
      </c>
      <c r="D5" s="315"/>
      <c r="E5" s="315"/>
      <c r="F5" s="315"/>
      <c r="G5" s="315"/>
      <c r="H5" s="315"/>
      <c r="I5" s="315"/>
      <c r="J5" s="315"/>
      <c r="K5" s="315"/>
      <c r="L5" s="183"/>
      <c r="M5" s="182"/>
    </row>
    <row r="6" spans="1:13" ht="15.4" x14ac:dyDescent="0.45">
      <c r="A6" s="1"/>
      <c r="B6" s="57"/>
      <c r="C6" s="177"/>
      <c r="D6" s="177"/>
      <c r="E6" s="177"/>
      <c r="F6" s="177"/>
      <c r="G6" s="184"/>
      <c r="H6" s="177"/>
      <c r="I6" s="184"/>
      <c r="J6" s="177"/>
      <c r="K6" s="185" t="s">
        <v>44</v>
      </c>
      <c r="L6" s="183"/>
      <c r="M6" s="182"/>
    </row>
    <row r="7" spans="1:13" ht="15.4" x14ac:dyDescent="0.45">
      <c r="A7" s="1"/>
      <c r="B7" s="57"/>
      <c r="C7" s="186"/>
      <c r="D7" s="186"/>
      <c r="E7" s="186" t="s">
        <v>45</v>
      </c>
      <c r="F7" s="186" t="s">
        <v>46</v>
      </c>
      <c r="G7" s="187" t="s">
        <v>182</v>
      </c>
      <c r="H7" s="188"/>
      <c r="I7" s="187" t="s">
        <v>34</v>
      </c>
      <c r="J7" s="188"/>
      <c r="K7" s="185" t="s">
        <v>47</v>
      </c>
      <c r="L7" s="183"/>
      <c r="M7" s="182"/>
    </row>
    <row r="8" spans="1:13" ht="17.649999999999999" x14ac:dyDescent="0.75">
      <c r="A8" s="1"/>
      <c r="B8" s="57"/>
      <c r="C8" s="185"/>
      <c r="D8" s="189" t="s">
        <v>183</v>
      </c>
      <c r="E8" s="185" t="s">
        <v>48</v>
      </c>
      <c r="F8" s="185" t="s">
        <v>184</v>
      </c>
      <c r="G8" s="23" t="s">
        <v>49</v>
      </c>
      <c r="H8" s="185" t="s">
        <v>50</v>
      </c>
      <c r="I8" s="23" t="s">
        <v>49</v>
      </c>
      <c r="J8" s="185" t="s">
        <v>50</v>
      </c>
      <c r="K8" s="185" t="s">
        <v>40</v>
      </c>
      <c r="L8" s="183"/>
      <c r="M8" s="182"/>
    </row>
    <row r="9" spans="1:13" ht="15.4" x14ac:dyDescent="0.45">
      <c r="A9" s="1"/>
      <c r="B9" s="57"/>
      <c r="C9" s="185"/>
      <c r="D9" s="185"/>
      <c r="E9" s="185"/>
      <c r="F9" s="185"/>
      <c r="G9" s="23"/>
      <c r="H9" s="185"/>
      <c r="I9" s="23"/>
      <c r="J9" s="185"/>
      <c r="K9" s="185"/>
      <c r="L9" s="183"/>
      <c r="M9" s="182"/>
    </row>
    <row r="10" spans="1:13" ht="15.4" x14ac:dyDescent="0.45">
      <c r="A10" s="1"/>
      <c r="B10" s="57"/>
      <c r="C10" s="190" t="s">
        <v>185</v>
      </c>
      <c r="D10" s="177"/>
      <c r="E10" s="191"/>
      <c r="F10" s="192"/>
      <c r="G10" s="184"/>
      <c r="H10" s="192"/>
      <c r="I10" s="184"/>
      <c r="J10" s="192"/>
      <c r="K10" s="192"/>
      <c r="L10" s="183"/>
      <c r="M10" s="182"/>
    </row>
    <row r="11" spans="1:13" ht="15.4" x14ac:dyDescent="0.45">
      <c r="A11" s="1"/>
      <c r="B11" s="57"/>
      <c r="C11" s="190"/>
      <c r="D11" s="177" t="s">
        <v>186</v>
      </c>
      <c r="E11" s="191" t="s">
        <v>70</v>
      </c>
      <c r="F11" s="20">
        <v>795733.69</v>
      </c>
      <c r="G11" s="77" t="s">
        <v>187</v>
      </c>
      <c r="H11" s="20">
        <v>20490.78</v>
      </c>
      <c r="I11" s="184">
        <v>37.5</v>
      </c>
      <c r="J11" s="20">
        <f>F11/I11</f>
        <v>21219.565066666666</v>
      </c>
      <c r="K11" s="20">
        <f>J11-H11</f>
        <v>728.78506666666726</v>
      </c>
      <c r="L11" s="183"/>
      <c r="M11" s="182"/>
    </row>
    <row r="12" spans="1:13" ht="15.4" x14ac:dyDescent="0.45">
      <c r="A12" s="1"/>
      <c r="B12" s="57"/>
      <c r="C12" s="190"/>
      <c r="D12" s="177" t="s">
        <v>188</v>
      </c>
      <c r="E12" s="191" t="s">
        <v>70</v>
      </c>
      <c r="F12" s="20">
        <v>28441.51</v>
      </c>
      <c r="G12" s="77" t="s">
        <v>187</v>
      </c>
      <c r="H12" s="20">
        <v>3620.36</v>
      </c>
      <c r="I12" s="184">
        <v>10</v>
      </c>
      <c r="J12" s="20">
        <f>F12/I12</f>
        <v>2844.1509999999998</v>
      </c>
      <c r="K12" s="20">
        <f>J12-H12</f>
        <v>-776.20900000000029</v>
      </c>
      <c r="L12" s="183"/>
      <c r="M12" s="182"/>
    </row>
    <row r="13" spans="1:13" ht="15.4" x14ac:dyDescent="0.45">
      <c r="A13" s="1"/>
      <c r="B13" s="57"/>
      <c r="C13" s="177"/>
      <c r="D13" s="177" t="s">
        <v>189</v>
      </c>
      <c r="E13" s="191" t="s">
        <v>70</v>
      </c>
      <c r="F13" s="20">
        <v>16112.99</v>
      </c>
      <c r="G13" s="77" t="s">
        <v>187</v>
      </c>
      <c r="H13" s="20">
        <v>1488.13</v>
      </c>
      <c r="I13" s="184">
        <v>22.5</v>
      </c>
      <c r="J13" s="20">
        <f>F13/I13</f>
        <v>716.13288888888883</v>
      </c>
      <c r="K13" s="20">
        <f>J13-H13</f>
        <v>-771.99711111111128</v>
      </c>
      <c r="L13" s="183"/>
      <c r="M13" s="182"/>
    </row>
    <row r="14" spans="1:13" ht="15.4" x14ac:dyDescent="0.45">
      <c r="A14" s="1"/>
      <c r="B14" s="57"/>
      <c r="C14" s="177"/>
      <c r="D14" s="177" t="s">
        <v>190</v>
      </c>
      <c r="E14" s="191" t="s">
        <v>70</v>
      </c>
      <c r="F14" s="20">
        <v>288225.94</v>
      </c>
      <c r="G14" s="77" t="s">
        <v>187</v>
      </c>
      <c r="H14" s="20">
        <v>24769.74</v>
      </c>
      <c r="I14" s="184">
        <v>12.5</v>
      </c>
      <c r="J14" s="20">
        <f t="shared" ref="J14:J16" si="0">F14/I14</f>
        <v>23058.075199999999</v>
      </c>
      <c r="K14" s="20">
        <f t="shared" ref="K14:K16" si="1">J14-H14</f>
        <v>-1711.6648000000023</v>
      </c>
      <c r="L14" s="183"/>
      <c r="M14" s="182"/>
    </row>
    <row r="15" spans="1:13" ht="15.4" x14ac:dyDescent="0.45">
      <c r="A15" s="1"/>
      <c r="B15" s="57"/>
      <c r="C15" s="177"/>
      <c r="D15" s="177" t="s">
        <v>191</v>
      </c>
      <c r="E15" s="191" t="s">
        <v>70</v>
      </c>
      <c r="F15" s="20">
        <v>9266.9699999999993</v>
      </c>
      <c r="G15" s="77" t="s">
        <v>187</v>
      </c>
      <c r="H15" s="20">
        <v>868.85</v>
      </c>
      <c r="I15" s="184">
        <v>17.5</v>
      </c>
      <c r="J15" s="20">
        <f t="shared" si="0"/>
        <v>529.54114285714286</v>
      </c>
      <c r="K15" s="20">
        <f t="shared" si="1"/>
        <v>-339.30885714285716</v>
      </c>
      <c r="L15" s="183"/>
      <c r="M15" s="182"/>
    </row>
    <row r="16" spans="1:13" ht="15.4" x14ac:dyDescent="0.45">
      <c r="A16" s="1"/>
      <c r="B16" s="57"/>
      <c r="C16" s="177"/>
      <c r="D16" s="177" t="s">
        <v>192</v>
      </c>
      <c r="E16" s="191" t="s">
        <v>70</v>
      </c>
      <c r="F16" s="20">
        <v>122760.9</v>
      </c>
      <c r="G16" s="77" t="s">
        <v>187</v>
      </c>
      <c r="H16" s="20">
        <v>3069.03</v>
      </c>
      <c r="I16" s="184">
        <v>15</v>
      </c>
      <c r="J16" s="20">
        <f t="shared" si="0"/>
        <v>8184.0599999999995</v>
      </c>
      <c r="K16" s="20">
        <f t="shared" si="1"/>
        <v>5115.0299999999988</v>
      </c>
      <c r="L16" s="183"/>
      <c r="M16" s="182"/>
    </row>
    <row r="17" spans="1:13" ht="15.4" x14ac:dyDescent="0.45">
      <c r="A17" s="1"/>
      <c r="B17" s="57"/>
      <c r="C17" s="185"/>
      <c r="D17" s="185"/>
      <c r="E17" s="185"/>
      <c r="F17" s="185"/>
      <c r="G17" s="23"/>
      <c r="H17" s="185"/>
      <c r="I17" s="23"/>
      <c r="J17" s="185"/>
      <c r="K17" s="185"/>
      <c r="L17" s="183"/>
      <c r="M17" s="182"/>
    </row>
    <row r="18" spans="1:13" ht="15.4" x14ac:dyDescent="0.45">
      <c r="A18" s="1"/>
      <c r="B18" s="57"/>
      <c r="C18" s="190" t="s">
        <v>193</v>
      </c>
      <c r="D18" s="177"/>
      <c r="E18" s="191"/>
      <c r="F18" s="192"/>
      <c r="G18" s="193"/>
      <c r="H18" s="192"/>
      <c r="I18" s="193"/>
      <c r="J18" s="192"/>
      <c r="K18" s="192"/>
      <c r="L18" s="183"/>
      <c r="M18" s="182"/>
    </row>
    <row r="19" spans="1:13" ht="15.4" x14ac:dyDescent="0.45">
      <c r="A19" s="1"/>
      <c r="B19" s="57"/>
      <c r="C19" s="190"/>
      <c r="D19" s="177" t="s">
        <v>186</v>
      </c>
      <c r="E19" s="191" t="s">
        <v>70</v>
      </c>
      <c r="F19" s="20">
        <v>172753.88</v>
      </c>
      <c r="G19" s="77" t="s">
        <v>187</v>
      </c>
      <c r="H19" s="20">
        <v>4335.09</v>
      </c>
      <c r="I19" s="184">
        <v>37.5</v>
      </c>
      <c r="J19" s="20">
        <f>F19/I19</f>
        <v>4606.7701333333334</v>
      </c>
      <c r="K19" s="20">
        <f>J19-H19</f>
        <v>271.68013333333329</v>
      </c>
      <c r="L19" s="183"/>
      <c r="M19" s="182"/>
    </row>
    <row r="20" spans="1:13" ht="15.4" x14ac:dyDescent="0.45">
      <c r="A20" s="1"/>
      <c r="B20" s="57"/>
      <c r="C20" s="177"/>
      <c r="D20" s="177" t="s">
        <v>194</v>
      </c>
      <c r="E20" s="191">
        <v>36971</v>
      </c>
      <c r="F20" s="192">
        <v>1200</v>
      </c>
      <c r="G20" s="193">
        <v>40</v>
      </c>
      <c r="H20" s="20">
        <v>30</v>
      </c>
      <c r="I20" s="184">
        <v>10</v>
      </c>
      <c r="J20" s="192">
        <f>F20/I20</f>
        <v>120</v>
      </c>
      <c r="K20" s="20">
        <f>J20-H20</f>
        <v>90</v>
      </c>
      <c r="L20" s="183"/>
      <c r="M20" s="182"/>
    </row>
    <row r="21" spans="1:13" ht="15.4" x14ac:dyDescent="0.45">
      <c r="A21" s="1"/>
      <c r="B21" s="57"/>
      <c r="C21" s="177"/>
      <c r="D21" s="177" t="s">
        <v>195</v>
      </c>
      <c r="E21" s="191" t="s">
        <v>70</v>
      </c>
      <c r="F21" s="192">
        <v>701661.07</v>
      </c>
      <c r="G21" s="193">
        <v>40</v>
      </c>
      <c r="H21" s="20">
        <v>17541.53</v>
      </c>
      <c r="I21" s="184">
        <v>20</v>
      </c>
      <c r="J21" s="192">
        <f>F21/I21</f>
        <v>35083.053499999995</v>
      </c>
      <c r="K21" s="20">
        <f>J21-H21</f>
        <v>17541.523499999996</v>
      </c>
      <c r="L21" s="183"/>
      <c r="M21" s="182"/>
    </row>
    <row r="22" spans="1:13" ht="15.4" x14ac:dyDescent="0.45">
      <c r="A22" s="1"/>
      <c r="B22" s="57"/>
      <c r="C22" s="185"/>
      <c r="D22" s="185"/>
      <c r="E22" s="185"/>
      <c r="F22" s="192"/>
      <c r="G22" s="193"/>
      <c r="H22" s="192"/>
      <c r="I22" s="193"/>
      <c r="J22" s="192"/>
      <c r="K22" s="192"/>
      <c r="L22" s="183"/>
      <c r="M22" s="182"/>
    </row>
    <row r="23" spans="1:13" ht="15.4" x14ac:dyDescent="0.45">
      <c r="A23" s="1"/>
      <c r="B23" s="57"/>
      <c r="C23" s="190" t="s">
        <v>196</v>
      </c>
      <c r="D23" s="177"/>
      <c r="E23" s="191"/>
      <c r="F23" s="192"/>
      <c r="G23" s="184"/>
      <c r="H23" s="192"/>
      <c r="I23" s="184"/>
      <c r="J23" s="192"/>
      <c r="K23" s="192"/>
      <c r="L23" s="183"/>
      <c r="M23" s="182"/>
    </row>
    <row r="24" spans="1:13" ht="15.4" x14ac:dyDescent="0.45">
      <c r="A24" s="1"/>
      <c r="B24" s="57"/>
      <c r="C24" s="190"/>
      <c r="D24" s="177" t="s">
        <v>197</v>
      </c>
      <c r="E24" s="191" t="s">
        <v>70</v>
      </c>
      <c r="F24" s="20">
        <v>665875.85</v>
      </c>
      <c r="G24" s="77">
        <v>50</v>
      </c>
      <c r="H24" s="20">
        <v>13317.51</v>
      </c>
      <c r="I24" s="184">
        <v>50</v>
      </c>
      <c r="J24" s="20">
        <f>H24</f>
        <v>13317.51</v>
      </c>
      <c r="K24" s="20">
        <f>J24-H24</f>
        <v>0</v>
      </c>
      <c r="L24" s="183"/>
      <c r="M24" s="182"/>
    </row>
    <row r="25" spans="1:13" ht="15.4" x14ac:dyDescent="0.45">
      <c r="A25" s="1"/>
      <c r="B25" s="57"/>
      <c r="C25" s="190"/>
      <c r="D25" s="177" t="s">
        <v>198</v>
      </c>
      <c r="E25" s="191" t="s">
        <v>70</v>
      </c>
      <c r="F25" s="20">
        <v>18141020</v>
      </c>
      <c r="G25" s="77">
        <v>50</v>
      </c>
      <c r="H25" s="20">
        <v>362188.94</v>
      </c>
      <c r="I25" s="184">
        <v>62.5</v>
      </c>
      <c r="J25" s="20">
        <f t="shared" ref="J25:J32" si="2">F25/I25</f>
        <v>290256.32</v>
      </c>
      <c r="K25" s="20">
        <f t="shared" ref="K25:K32" si="3">J25-H25</f>
        <v>-71932.62</v>
      </c>
      <c r="L25" s="183"/>
      <c r="M25" s="182"/>
    </row>
    <row r="26" spans="1:13" ht="15.4" x14ac:dyDescent="0.45">
      <c r="A26" s="1"/>
      <c r="B26" s="57"/>
      <c r="C26" s="190"/>
      <c r="D26" s="177" t="s">
        <v>199</v>
      </c>
      <c r="E26" s="191" t="s">
        <v>70</v>
      </c>
      <c r="F26" s="20">
        <v>711914.54</v>
      </c>
      <c r="G26" s="77">
        <v>15</v>
      </c>
      <c r="H26" s="20">
        <v>42994.04</v>
      </c>
      <c r="I26" s="184">
        <v>45</v>
      </c>
      <c r="J26" s="20">
        <f t="shared" si="2"/>
        <v>15820.323111111113</v>
      </c>
      <c r="K26" s="20">
        <f t="shared" si="3"/>
        <v>-27173.716888888888</v>
      </c>
      <c r="L26" s="183"/>
      <c r="M26" s="182"/>
    </row>
    <row r="27" spans="1:13" ht="15.4" x14ac:dyDescent="0.45">
      <c r="A27" s="1"/>
      <c r="B27" s="57"/>
      <c r="C27" s="190"/>
      <c r="D27" s="177" t="s">
        <v>200</v>
      </c>
      <c r="E27" s="191" t="s">
        <v>70</v>
      </c>
      <c r="F27" s="20">
        <v>697487.13</v>
      </c>
      <c r="G27" s="77" t="s">
        <v>187</v>
      </c>
      <c r="H27" s="20">
        <v>45871.77</v>
      </c>
      <c r="I27" s="184">
        <v>15</v>
      </c>
      <c r="J27" s="20">
        <f t="shared" si="2"/>
        <v>46499.142</v>
      </c>
      <c r="K27" s="20">
        <f t="shared" si="3"/>
        <v>627.37200000000303</v>
      </c>
      <c r="L27" s="183"/>
      <c r="M27" s="182"/>
    </row>
    <row r="28" spans="1:13" ht="15.4" x14ac:dyDescent="0.45">
      <c r="A28" s="1"/>
      <c r="B28" s="57"/>
      <c r="C28" s="190"/>
      <c r="D28" s="177" t="s">
        <v>201</v>
      </c>
      <c r="E28" s="191">
        <v>34455</v>
      </c>
      <c r="F28" s="20">
        <v>2968.98</v>
      </c>
      <c r="G28" s="77">
        <v>50</v>
      </c>
      <c r="H28" s="20">
        <v>59.38</v>
      </c>
      <c r="I28" s="184">
        <v>20</v>
      </c>
      <c r="J28" s="20">
        <f t="shared" si="2"/>
        <v>148.44900000000001</v>
      </c>
      <c r="K28" s="20">
        <f t="shared" si="3"/>
        <v>89.069000000000017</v>
      </c>
      <c r="L28" s="183"/>
      <c r="M28" s="182"/>
    </row>
    <row r="29" spans="1:13" ht="15.4" x14ac:dyDescent="0.45">
      <c r="A29" s="1"/>
      <c r="B29" s="57"/>
      <c r="C29" s="190"/>
      <c r="D29" s="177" t="s">
        <v>202</v>
      </c>
      <c r="E29" s="191">
        <v>33409</v>
      </c>
      <c r="F29" s="20">
        <v>3380</v>
      </c>
      <c r="G29" s="77">
        <v>50</v>
      </c>
      <c r="H29" s="20">
        <v>67.599999999999994</v>
      </c>
      <c r="I29" s="184">
        <v>37.5</v>
      </c>
      <c r="J29" s="20">
        <f t="shared" si="2"/>
        <v>90.13333333333334</v>
      </c>
      <c r="K29" s="20">
        <f t="shared" si="3"/>
        <v>22.533333333333346</v>
      </c>
      <c r="L29" s="183"/>
      <c r="M29" s="182"/>
    </row>
    <row r="30" spans="1:13" ht="15.4" x14ac:dyDescent="0.45">
      <c r="A30" s="1"/>
      <c r="B30" s="57"/>
      <c r="C30" s="190"/>
      <c r="D30" s="177" t="s">
        <v>203</v>
      </c>
      <c r="E30" s="191" t="s">
        <v>70</v>
      </c>
      <c r="F30" s="20">
        <v>214574.49</v>
      </c>
      <c r="G30" s="77">
        <v>50</v>
      </c>
      <c r="H30" s="20">
        <v>4291.5</v>
      </c>
      <c r="I30" s="184">
        <v>40</v>
      </c>
      <c r="J30" s="20">
        <f t="shared" si="2"/>
        <v>5364.3622500000001</v>
      </c>
      <c r="K30" s="20">
        <f t="shared" si="3"/>
        <v>1072.8622500000001</v>
      </c>
      <c r="L30" s="183"/>
      <c r="M30" s="182"/>
    </row>
    <row r="31" spans="1:13" ht="15.4" x14ac:dyDescent="0.45">
      <c r="A31" s="1"/>
      <c r="B31" s="57"/>
      <c r="C31" s="190"/>
      <c r="D31" s="177" t="s">
        <v>204</v>
      </c>
      <c r="E31" s="191" t="s">
        <v>70</v>
      </c>
      <c r="F31" s="20">
        <v>433307.79</v>
      </c>
      <c r="G31" s="77">
        <v>50</v>
      </c>
      <c r="H31" s="20">
        <v>8666.16</v>
      </c>
      <c r="I31" s="184">
        <v>45</v>
      </c>
      <c r="J31" s="20">
        <f t="shared" si="2"/>
        <v>9629.0619999999999</v>
      </c>
      <c r="K31" s="20">
        <f t="shared" si="3"/>
        <v>962.90200000000004</v>
      </c>
      <c r="L31" s="183"/>
      <c r="M31" s="182"/>
    </row>
    <row r="32" spans="1:13" ht="15.4" x14ac:dyDescent="0.45">
      <c r="A32" s="1"/>
      <c r="B32" s="57"/>
      <c r="C32" s="190"/>
      <c r="D32" s="177" t="s">
        <v>205</v>
      </c>
      <c r="E32" s="191" t="s">
        <v>70</v>
      </c>
      <c r="F32" s="20">
        <v>414633.23</v>
      </c>
      <c r="G32" s="77" t="s">
        <v>187</v>
      </c>
      <c r="H32" s="20">
        <v>18088.47</v>
      </c>
      <c r="I32" s="184">
        <v>15</v>
      </c>
      <c r="J32" s="20">
        <f t="shared" si="2"/>
        <v>27642.215333333334</v>
      </c>
      <c r="K32" s="20">
        <f t="shared" si="3"/>
        <v>9553.7453333333324</v>
      </c>
      <c r="L32" s="183"/>
      <c r="M32" s="182"/>
    </row>
    <row r="33" spans="1:14" ht="15.4" x14ac:dyDescent="0.45">
      <c r="A33" s="1"/>
      <c r="B33" s="57"/>
      <c r="C33" s="190"/>
      <c r="D33" s="1"/>
      <c r="E33" s="191"/>
      <c r="F33" s="192"/>
      <c r="G33" s="193"/>
      <c r="H33" s="192"/>
      <c r="I33" s="193"/>
      <c r="J33" s="192"/>
      <c r="K33" s="20"/>
      <c r="L33" s="183"/>
      <c r="M33" s="182"/>
    </row>
    <row r="34" spans="1:14" ht="15.4" x14ac:dyDescent="0.45">
      <c r="A34" s="1"/>
      <c r="B34" s="57"/>
      <c r="C34" s="190" t="s">
        <v>206</v>
      </c>
      <c r="D34" s="1"/>
      <c r="E34" s="191"/>
      <c r="F34" s="192"/>
      <c r="G34" s="184"/>
      <c r="H34" s="192"/>
      <c r="I34" s="194"/>
      <c r="J34" s="192"/>
      <c r="K34" s="192"/>
      <c r="L34" s="183"/>
      <c r="M34" s="182"/>
    </row>
    <row r="35" spans="1:14" ht="15.4" x14ac:dyDescent="0.45">
      <c r="A35" s="1"/>
      <c r="B35" s="57"/>
      <c r="C35" s="177"/>
      <c r="D35" s="1" t="s">
        <v>207</v>
      </c>
      <c r="E35" s="191" t="s">
        <v>70</v>
      </c>
      <c r="F35" s="192">
        <v>153754</v>
      </c>
      <c r="G35" s="184" t="s">
        <v>187</v>
      </c>
      <c r="H35" s="192">
        <v>16596.900000000001</v>
      </c>
      <c r="I35" s="194">
        <v>7</v>
      </c>
      <c r="J35" s="192">
        <f>F35/I35</f>
        <v>21964.857142857141</v>
      </c>
      <c r="K35" s="192">
        <f>J35-H35</f>
        <v>5367.9571428571398</v>
      </c>
      <c r="L35" s="183"/>
      <c r="M35" s="182"/>
    </row>
    <row r="36" spans="1:14" ht="15.4" x14ac:dyDescent="0.45">
      <c r="A36" s="1"/>
      <c r="B36" s="57"/>
      <c r="C36" s="185"/>
      <c r="D36" s="185"/>
      <c r="E36" s="185"/>
      <c r="F36" s="192"/>
      <c r="G36" s="193"/>
      <c r="H36" s="192"/>
      <c r="I36" s="193"/>
      <c r="J36" s="192"/>
      <c r="K36" s="192"/>
      <c r="L36" s="183"/>
      <c r="M36" s="182"/>
    </row>
    <row r="37" spans="1:14" ht="15.4" x14ac:dyDescent="0.45">
      <c r="A37" s="1"/>
      <c r="B37" s="57"/>
      <c r="C37" s="190" t="s">
        <v>208</v>
      </c>
      <c r="D37" s="177"/>
      <c r="E37" s="191"/>
      <c r="F37" s="192"/>
      <c r="G37" s="195"/>
      <c r="H37" s="192"/>
      <c r="I37" s="184"/>
      <c r="J37" s="192"/>
      <c r="K37" s="192"/>
      <c r="L37" s="183"/>
      <c r="M37" s="182"/>
    </row>
    <row r="38" spans="1:14" ht="15.4" x14ac:dyDescent="0.45">
      <c r="A38" s="1"/>
      <c r="B38" s="57"/>
      <c r="C38" s="190"/>
      <c r="D38" s="1" t="s">
        <v>198</v>
      </c>
      <c r="E38" s="191" t="s">
        <v>70</v>
      </c>
      <c r="F38" s="192">
        <f>33300+9588.49+371.92</f>
        <v>43260.409999999996</v>
      </c>
      <c r="G38" s="184" t="s">
        <v>187</v>
      </c>
      <c r="H38" s="192">
        <v>913.15</v>
      </c>
      <c r="I38" s="194">
        <v>62.5</v>
      </c>
      <c r="J38" s="192">
        <f>F38/I38</f>
        <v>692.16655999999989</v>
      </c>
      <c r="K38" s="192">
        <f>J38-H38</f>
        <v>-220.98344000000009</v>
      </c>
      <c r="L38" s="183"/>
      <c r="M38" s="182"/>
    </row>
    <row r="39" spans="1:14" ht="15.4" x14ac:dyDescent="0.45">
      <c r="A39" s="1"/>
      <c r="B39" s="57"/>
      <c r="C39" s="177"/>
      <c r="D39" s="177"/>
      <c r="E39" s="177"/>
      <c r="F39" s="191"/>
      <c r="G39" s="192"/>
      <c r="H39" s="196"/>
      <c r="I39" s="192"/>
      <c r="J39" s="184"/>
      <c r="K39" s="192"/>
      <c r="L39" s="183"/>
      <c r="M39" s="182"/>
    </row>
    <row r="40" spans="1:14" ht="15.4" x14ac:dyDescent="0.45">
      <c r="A40" s="1"/>
      <c r="B40" s="57"/>
      <c r="C40" s="197" t="s">
        <v>93</v>
      </c>
      <c r="D40" s="1"/>
      <c r="E40" s="1"/>
      <c r="F40" s="177"/>
      <c r="G40" s="198"/>
      <c r="H40" s="199">
        <f>SUM(H11:H39)</f>
        <v>589268.92999999993</v>
      </c>
      <c r="I40" s="199"/>
      <c r="J40" s="199">
        <f>SUM(J11:J39)</f>
        <v>527785.88966238103</v>
      </c>
      <c r="K40" s="199">
        <f>SUM(K11:K39)</f>
        <v>-61483.040337619044</v>
      </c>
      <c r="L40" s="183"/>
      <c r="M40" s="182"/>
      <c r="N40" s="18" t="s">
        <v>246</v>
      </c>
    </row>
    <row r="41" spans="1:14" ht="15.4" x14ac:dyDescent="0.45">
      <c r="A41" s="1"/>
      <c r="B41" s="104"/>
      <c r="C41" s="200"/>
      <c r="D41" s="200"/>
      <c r="E41" s="200"/>
      <c r="F41" s="200"/>
      <c r="G41" s="200"/>
      <c r="H41" s="201"/>
      <c r="I41" s="200"/>
      <c r="J41" s="201"/>
      <c r="K41" s="200"/>
      <c r="L41" s="202"/>
      <c r="M41" s="203"/>
    </row>
    <row r="42" spans="1:14" ht="15.4" x14ac:dyDescent="0.45">
      <c r="A42" s="1"/>
      <c r="B42" s="1"/>
      <c r="C42" s="177"/>
      <c r="D42" s="177"/>
      <c r="E42" s="177"/>
      <c r="F42" s="177"/>
      <c r="G42" s="177"/>
      <c r="H42" s="22"/>
      <c r="I42" s="177"/>
      <c r="J42" s="22"/>
      <c r="K42" s="177"/>
      <c r="L42" s="177"/>
      <c r="M42" s="177"/>
    </row>
    <row r="43" spans="1:14" ht="15.4" x14ac:dyDescent="0.45">
      <c r="D43" s="177" t="s">
        <v>209</v>
      </c>
    </row>
  </sheetData>
  <mergeCells count="3">
    <mergeCell ref="C3:K3"/>
    <mergeCell ref="C4:K4"/>
    <mergeCell ref="C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8E55-8DC2-4CD5-8872-149491EA390B}">
  <sheetPr>
    <pageSetUpPr fitToPage="1"/>
  </sheetPr>
  <dimension ref="B1:X25"/>
  <sheetViews>
    <sheetView showGridLines="0" topLeftCell="A2" workbookViewId="0">
      <selection activeCell="M24" sqref="M24"/>
    </sheetView>
  </sheetViews>
  <sheetFormatPr defaultRowHeight="15" x14ac:dyDescent="0.4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24" ht="15.4" x14ac:dyDescent="0.4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24" ht="15.4" x14ac:dyDescent="0.45">
      <c r="B2" s="204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O2" s="16"/>
      <c r="P2" s="16"/>
    </row>
    <row r="3" spans="2:24" ht="18" x14ac:dyDescent="0.55000000000000004">
      <c r="B3" s="207" t="s">
        <v>210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82"/>
      <c r="O3" s="16"/>
      <c r="P3" s="16"/>
    </row>
    <row r="4" spans="2:24" ht="18" x14ac:dyDescent="0.55000000000000004">
      <c r="B4" s="209" t="s">
        <v>211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82"/>
      <c r="O4" s="16"/>
      <c r="P4" s="16"/>
    </row>
    <row r="5" spans="2:24" ht="15.75" x14ac:dyDescent="0.45">
      <c r="B5" s="211" t="s">
        <v>181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82"/>
      <c r="O5" s="16"/>
      <c r="P5" s="16"/>
    </row>
    <row r="6" spans="2:24" ht="15.75" x14ac:dyDescent="0.5">
      <c r="B6" s="212" t="s">
        <v>212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82"/>
      <c r="O6" s="16"/>
      <c r="P6" s="16"/>
    </row>
    <row r="7" spans="2:24" ht="15.4" x14ac:dyDescent="0.45">
      <c r="B7" s="214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82"/>
      <c r="O7" s="16"/>
      <c r="P7" s="16"/>
    </row>
    <row r="8" spans="2:24" ht="15.4" x14ac:dyDescent="0.45">
      <c r="B8" s="215"/>
      <c r="C8" s="216"/>
      <c r="D8" s="217"/>
      <c r="E8" s="216"/>
      <c r="F8" s="218"/>
      <c r="G8" s="216"/>
      <c r="H8" s="218"/>
      <c r="I8" s="216"/>
      <c r="J8" s="218"/>
      <c r="K8" s="216"/>
      <c r="L8" s="218"/>
      <c r="M8" s="217"/>
      <c r="N8" s="206"/>
      <c r="O8" s="16"/>
      <c r="P8" s="16"/>
    </row>
    <row r="9" spans="2:24" ht="16.5" x14ac:dyDescent="0.45">
      <c r="B9" s="219"/>
      <c r="C9" s="316" t="s">
        <v>213</v>
      </c>
      <c r="D9" s="317"/>
      <c r="E9" s="316" t="s">
        <v>214</v>
      </c>
      <c r="F9" s="317"/>
      <c r="G9" s="316" t="s">
        <v>215</v>
      </c>
      <c r="H9" s="317"/>
      <c r="I9" s="316" t="s">
        <v>216</v>
      </c>
      <c r="J9" s="317"/>
      <c r="K9" s="316" t="s">
        <v>217</v>
      </c>
      <c r="L9" s="317"/>
      <c r="M9" s="16"/>
      <c r="N9" s="82"/>
      <c r="O9" s="16"/>
      <c r="P9" s="16"/>
    </row>
    <row r="10" spans="2:24" ht="16.5" x14ac:dyDescent="0.45">
      <c r="B10" s="219"/>
      <c r="C10" s="220"/>
      <c r="D10" s="221" t="s">
        <v>218</v>
      </c>
      <c r="E10" s="222"/>
      <c r="F10" s="221" t="s">
        <v>218</v>
      </c>
      <c r="G10" s="222"/>
      <c r="H10" s="221" t="s">
        <v>218</v>
      </c>
      <c r="I10" s="222"/>
      <c r="J10" s="221" t="s">
        <v>218</v>
      </c>
      <c r="K10" s="222"/>
      <c r="L10" s="221" t="s">
        <v>218</v>
      </c>
      <c r="M10" s="16"/>
      <c r="N10" s="82"/>
      <c r="O10" s="16"/>
      <c r="P10" s="16"/>
    </row>
    <row r="11" spans="2:24" ht="16.5" x14ac:dyDescent="0.45">
      <c r="B11" s="219"/>
      <c r="C11" s="220" t="s">
        <v>219</v>
      </c>
      <c r="D11" s="223" t="s">
        <v>220</v>
      </c>
      <c r="E11" s="220" t="s">
        <v>219</v>
      </c>
      <c r="F11" s="223" t="s">
        <v>220</v>
      </c>
      <c r="G11" s="220" t="s">
        <v>219</v>
      </c>
      <c r="H11" s="223" t="s">
        <v>220</v>
      </c>
      <c r="I11" s="220" t="s">
        <v>219</v>
      </c>
      <c r="J11" s="223" t="s">
        <v>220</v>
      </c>
      <c r="K11" s="220" t="s">
        <v>219</v>
      </c>
      <c r="L11" s="223" t="s">
        <v>220</v>
      </c>
      <c r="M11" s="224" t="s">
        <v>93</v>
      </c>
      <c r="N11" s="82"/>
      <c r="O11" s="16"/>
      <c r="P11" s="16"/>
    </row>
    <row r="12" spans="2:24" ht="15.4" x14ac:dyDescent="0.45">
      <c r="B12" s="225" t="s">
        <v>324</v>
      </c>
      <c r="C12" s="226">
        <v>8500</v>
      </c>
      <c r="D12" s="227">
        <f>21931.25-C12</f>
        <v>13431.25</v>
      </c>
      <c r="E12" s="226">
        <v>8500</v>
      </c>
      <c r="F12" s="228">
        <f>21559.38-E12</f>
        <v>13059.380000000001</v>
      </c>
      <c r="G12" s="226">
        <v>9000</v>
      </c>
      <c r="H12" s="228">
        <f>21687.5-G12</f>
        <v>12687.5</v>
      </c>
      <c r="I12" s="226">
        <v>9500</v>
      </c>
      <c r="J12" s="228">
        <f>21793.75-I12</f>
        <v>12293.75</v>
      </c>
      <c r="K12" s="226">
        <v>10000</v>
      </c>
      <c r="L12" s="228">
        <f>21878.13-K12</f>
        <v>11878.130000000001</v>
      </c>
      <c r="M12" s="229">
        <f t="shared" ref="M12:M17" si="0">SUM(C12:L12)</f>
        <v>108850.01000000001</v>
      </c>
      <c r="N12" s="82"/>
      <c r="O12" s="16"/>
      <c r="P12" s="16"/>
      <c r="R12" s="16"/>
      <c r="T12" s="16"/>
      <c r="V12" s="16"/>
      <c r="X12" s="16"/>
    </row>
    <row r="13" spans="2:24" ht="15.4" x14ac:dyDescent="0.45">
      <c r="B13" s="225" t="s">
        <v>221</v>
      </c>
      <c r="C13" s="226">
        <v>110000</v>
      </c>
      <c r="D13" s="227">
        <f>190995-C13</f>
        <v>80995</v>
      </c>
      <c r="E13" s="226">
        <v>110000</v>
      </c>
      <c r="F13" s="228">
        <f>187530-E13</f>
        <v>77530</v>
      </c>
      <c r="G13" s="226">
        <v>115000</v>
      </c>
      <c r="H13" s="228">
        <f>188914.38-G13</f>
        <v>73914.38</v>
      </c>
      <c r="I13" s="226">
        <v>120000</v>
      </c>
      <c r="J13" s="228">
        <f>189991.26-I13</f>
        <v>69991.260000000009</v>
      </c>
      <c r="K13" s="226">
        <v>125000</v>
      </c>
      <c r="L13" s="228">
        <f>190748.13-K13</f>
        <v>65748.13</v>
      </c>
      <c r="M13" s="230">
        <f t="shared" si="0"/>
        <v>948178.77</v>
      </c>
      <c r="N13" s="82"/>
      <c r="O13" s="16"/>
      <c r="P13" s="16"/>
      <c r="R13" s="16"/>
      <c r="T13" s="16"/>
      <c r="V13" s="16"/>
      <c r="X13" s="16"/>
    </row>
    <row r="14" spans="2:24" ht="15.4" x14ac:dyDescent="0.45">
      <c r="B14" s="225" t="s">
        <v>222</v>
      </c>
      <c r="C14" s="226">
        <v>115000</v>
      </c>
      <c r="D14" s="227">
        <f>142388.76-C14</f>
        <v>27388.760000000009</v>
      </c>
      <c r="E14" s="226">
        <v>120000</v>
      </c>
      <c r="F14" s="228">
        <f>144098.76-E14</f>
        <v>24098.760000000009</v>
      </c>
      <c r="G14" s="226">
        <v>125000</v>
      </c>
      <c r="H14" s="228">
        <f>145590.63-G14</f>
        <v>20590.630000000005</v>
      </c>
      <c r="I14" s="226">
        <v>130000</v>
      </c>
      <c r="J14" s="228">
        <f>146780-I14</f>
        <v>16780</v>
      </c>
      <c r="K14" s="226">
        <v>135000</v>
      </c>
      <c r="L14" s="228">
        <f>147738.75-K14</f>
        <v>12738.75</v>
      </c>
      <c r="M14" s="230">
        <f t="shared" si="0"/>
        <v>726596.9</v>
      </c>
      <c r="N14" s="82"/>
      <c r="O14" s="16"/>
      <c r="P14" s="16"/>
      <c r="R14" s="16"/>
      <c r="T14" s="16"/>
      <c r="V14" s="16"/>
      <c r="X14" s="16"/>
    </row>
    <row r="15" spans="2:24" ht="15.4" x14ac:dyDescent="0.45">
      <c r="B15" s="225" t="s">
        <v>223</v>
      </c>
      <c r="C15" s="226">
        <v>150000</v>
      </c>
      <c r="D15" s="227">
        <f>192462.5-C15</f>
        <v>42462.5</v>
      </c>
      <c r="E15" s="226">
        <v>155000</v>
      </c>
      <c r="F15" s="228">
        <f>194031.25-E15</f>
        <v>39031.25</v>
      </c>
      <c r="G15" s="226">
        <v>165000</v>
      </c>
      <c r="H15" s="228">
        <f>200431.25-G15</f>
        <v>35431.25</v>
      </c>
      <c r="I15" s="226">
        <v>165000</v>
      </c>
      <c r="J15" s="228">
        <f>195893.75-I15</f>
        <v>30893.75</v>
      </c>
      <c r="K15" s="226">
        <v>170000</v>
      </c>
      <c r="L15" s="228">
        <f>195450-K15</f>
        <v>25450</v>
      </c>
      <c r="M15" s="230">
        <f t="shared" si="0"/>
        <v>978268.75</v>
      </c>
      <c r="N15" s="82"/>
      <c r="O15" s="16"/>
      <c r="P15" s="16"/>
      <c r="R15" s="16"/>
      <c r="T15" s="16"/>
      <c r="V15" s="16"/>
      <c r="X15" s="16"/>
    </row>
    <row r="16" spans="2:24" ht="15.4" x14ac:dyDescent="0.45">
      <c r="B16" s="225" t="s">
        <v>224</v>
      </c>
      <c r="C16" s="226">
        <v>30000</v>
      </c>
      <c r="D16" s="227">
        <f>23588.13+53588.13-C16</f>
        <v>47176.259999999995</v>
      </c>
      <c r="E16" s="226">
        <v>30500</v>
      </c>
      <c r="F16" s="227">
        <f>23175.63+53675.63-E16</f>
        <v>46351.259999999995</v>
      </c>
      <c r="G16" s="226">
        <v>31500</v>
      </c>
      <c r="H16" s="227">
        <f>22756.25+54256.25-G16</f>
        <v>45512.5</v>
      </c>
      <c r="I16" s="226">
        <v>32500</v>
      </c>
      <c r="J16" s="227">
        <f>22323.13+54823.13-I16</f>
        <v>44646.259999999995</v>
      </c>
      <c r="K16" s="226">
        <v>33000</v>
      </c>
      <c r="L16" s="228">
        <f>21876.25+54876.25-K16</f>
        <v>43752.5</v>
      </c>
      <c r="M16" s="230">
        <f t="shared" si="0"/>
        <v>384938.78</v>
      </c>
      <c r="N16" s="82"/>
      <c r="O16" s="16"/>
      <c r="P16" s="16"/>
      <c r="R16" s="16"/>
      <c r="T16" s="16"/>
      <c r="V16" s="16"/>
      <c r="X16" s="16"/>
    </row>
    <row r="17" spans="2:24" ht="15.4" x14ac:dyDescent="0.45">
      <c r="B17" s="225" t="s">
        <v>225</v>
      </c>
      <c r="C17" s="226">
        <v>40000</v>
      </c>
      <c r="D17" s="227">
        <f>84156.26-C17</f>
        <v>44156.259999999995</v>
      </c>
      <c r="E17" s="226">
        <v>40000</v>
      </c>
      <c r="F17" s="227">
        <f>83256.26-E17</f>
        <v>43256.259999999995</v>
      </c>
      <c r="G17" s="226">
        <v>45000</v>
      </c>
      <c r="H17" s="227">
        <f>87356.26-G17</f>
        <v>42356.259999999995</v>
      </c>
      <c r="I17" s="226">
        <v>45000</v>
      </c>
      <c r="J17" s="227">
        <f>86343.76-I17</f>
        <v>41343.759999999995</v>
      </c>
      <c r="K17" s="226">
        <v>45000</v>
      </c>
      <c r="L17" s="228">
        <f>85331.26-K17</f>
        <v>40331.259999999995</v>
      </c>
      <c r="M17" s="230">
        <f t="shared" si="0"/>
        <v>426443.8</v>
      </c>
      <c r="N17" s="82"/>
      <c r="O17" s="16"/>
      <c r="P17" s="16"/>
      <c r="R17" s="16"/>
      <c r="T17" s="16"/>
      <c r="V17" s="16"/>
      <c r="X17" s="16"/>
    </row>
    <row r="18" spans="2:24" ht="15.4" x14ac:dyDescent="0.45">
      <c r="B18" s="231"/>
      <c r="C18" s="232"/>
      <c r="D18" s="233"/>
      <c r="E18" s="232"/>
      <c r="F18" s="233"/>
      <c r="G18" s="232"/>
      <c r="H18" s="233"/>
      <c r="I18" s="232"/>
      <c r="J18" s="233"/>
      <c r="K18" s="232"/>
      <c r="L18" s="234"/>
      <c r="M18" s="230"/>
      <c r="N18" s="82"/>
      <c r="O18" s="16"/>
      <c r="P18" s="16"/>
    </row>
    <row r="19" spans="2:24" ht="15.4" x14ac:dyDescent="0.45">
      <c r="B19" s="176" t="s">
        <v>93</v>
      </c>
      <c r="C19" s="235">
        <f t="shared" ref="C19:M19" si="1">SUM(C12:C18)</f>
        <v>453500</v>
      </c>
      <c r="D19" s="236">
        <f t="shared" si="1"/>
        <v>255610.03000000003</v>
      </c>
      <c r="E19" s="235">
        <f t="shared" si="1"/>
        <v>464000</v>
      </c>
      <c r="F19" s="237">
        <f t="shared" si="1"/>
        <v>243326.91000000003</v>
      </c>
      <c r="G19" s="235">
        <f t="shared" si="1"/>
        <v>490500</v>
      </c>
      <c r="H19" s="237">
        <f t="shared" si="1"/>
        <v>230492.52000000002</v>
      </c>
      <c r="I19" s="235">
        <f t="shared" si="1"/>
        <v>502000</v>
      </c>
      <c r="J19" s="237">
        <f t="shared" si="1"/>
        <v>215948.78000000003</v>
      </c>
      <c r="K19" s="235">
        <f t="shared" si="1"/>
        <v>518000</v>
      </c>
      <c r="L19" s="237">
        <f t="shared" si="1"/>
        <v>199898.77000000002</v>
      </c>
      <c r="M19" s="238">
        <f t="shared" si="1"/>
        <v>3573277.01</v>
      </c>
      <c r="N19" s="82"/>
      <c r="O19" s="16"/>
      <c r="P19" s="16">
        <f>SUM(C19:L19)</f>
        <v>3573277.0100000002</v>
      </c>
    </row>
    <row r="20" spans="2:24" ht="15.4" x14ac:dyDescent="0.45">
      <c r="B20" s="239"/>
      <c r="C20" s="240"/>
      <c r="D20" s="241"/>
      <c r="E20" s="240"/>
      <c r="F20" s="242"/>
      <c r="G20" s="240"/>
      <c r="H20" s="242"/>
      <c r="I20" s="240"/>
      <c r="J20" s="243"/>
      <c r="K20" s="240"/>
      <c r="L20" s="242"/>
      <c r="M20" s="241"/>
      <c r="N20" s="244"/>
      <c r="O20" s="16"/>
      <c r="P20" s="16"/>
    </row>
    <row r="21" spans="2:24" ht="15.4" x14ac:dyDescent="0.45">
      <c r="B21" s="245"/>
      <c r="C21" s="246"/>
      <c r="D21" s="246"/>
      <c r="E21" s="246"/>
      <c r="F21" s="246"/>
      <c r="G21" s="246"/>
      <c r="H21" s="246"/>
      <c r="I21" s="246"/>
      <c r="J21" s="247"/>
      <c r="K21" s="247"/>
      <c r="L21" s="247"/>
      <c r="M21" s="246"/>
      <c r="N21" s="82"/>
      <c r="O21" s="16"/>
      <c r="P21" s="16"/>
    </row>
    <row r="22" spans="2:24" ht="15.4" x14ac:dyDescent="0.45">
      <c r="B22" s="248"/>
      <c r="C22" s="249"/>
      <c r="D22" s="250"/>
      <c r="E22" s="249"/>
      <c r="F22" s="249"/>
      <c r="G22" s="249"/>
      <c r="H22" s="249"/>
      <c r="I22" s="250" t="s">
        <v>226</v>
      </c>
      <c r="J22" s="16"/>
      <c r="K22" s="251"/>
      <c r="L22" s="252"/>
      <c r="M22" s="249">
        <f>M19/5</f>
        <v>714655.402</v>
      </c>
      <c r="N22" s="82"/>
      <c r="O22" s="16"/>
      <c r="P22" s="16"/>
    </row>
    <row r="23" spans="2:24" ht="15.4" x14ac:dyDescent="0.45">
      <c r="B23" s="17"/>
      <c r="C23" s="250"/>
      <c r="D23" s="16"/>
      <c r="E23" s="250"/>
      <c r="F23" s="250"/>
      <c r="G23" s="250"/>
      <c r="H23" s="250"/>
      <c r="I23" s="250"/>
      <c r="J23" s="16"/>
      <c r="K23" s="20"/>
      <c r="L23" s="251"/>
      <c r="M23" s="28"/>
      <c r="N23" s="82"/>
      <c r="O23" s="16"/>
      <c r="P23" s="16"/>
    </row>
    <row r="24" spans="2:24" ht="15.4" x14ac:dyDescent="0.45">
      <c r="B24" s="248"/>
      <c r="C24" s="250"/>
      <c r="D24" s="250"/>
      <c r="E24" s="250"/>
      <c r="F24" s="250"/>
      <c r="G24" s="250"/>
      <c r="H24" s="250"/>
      <c r="I24" s="250" t="s">
        <v>227</v>
      </c>
      <c r="J24" s="16"/>
      <c r="K24" s="251"/>
      <c r="L24" s="250"/>
      <c r="M24" s="249">
        <f>M22*0.2</f>
        <v>142931.08040000001</v>
      </c>
      <c r="N24" s="82"/>
      <c r="O24" s="16"/>
      <c r="P24" s="16">
        <f>M24+M22</f>
        <v>857586.48239999998</v>
      </c>
    </row>
    <row r="25" spans="2:24" ht="15.4" x14ac:dyDescent="0.45">
      <c r="B25" s="253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44"/>
      <c r="O25" s="16"/>
      <c r="P25" s="16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03B9-59C5-4DF9-BA7B-F1E3EC2BAAEC}">
  <dimension ref="A1:D6"/>
  <sheetViews>
    <sheetView workbookViewId="0">
      <selection activeCell="A32" sqref="A32"/>
    </sheetView>
  </sheetViews>
  <sheetFormatPr defaultRowHeight="14.25" x14ac:dyDescent="0.45"/>
  <cols>
    <col min="1" max="1" width="25.609375" style="1" customWidth="1"/>
    <col min="2" max="2" width="8.83203125" style="264" customWidth="1"/>
    <col min="3" max="3" width="14.5546875" style="265" customWidth="1"/>
    <col min="4" max="4" width="8.88671875" style="18"/>
    <col min="5" max="16384" width="8.88671875" style="1"/>
  </cols>
  <sheetData>
    <row r="1" spans="1:4" x14ac:dyDescent="0.45">
      <c r="A1" s="1" t="s">
        <v>244</v>
      </c>
    </row>
    <row r="3" spans="1:4" x14ac:dyDescent="0.45">
      <c r="A3" s="1" t="s">
        <v>245</v>
      </c>
      <c r="C3" s="265">
        <v>64950</v>
      </c>
    </row>
    <row r="5" spans="1:4" x14ac:dyDescent="0.45">
      <c r="A5" s="1" t="s">
        <v>247</v>
      </c>
      <c r="B5" s="264">
        <v>0.3</v>
      </c>
      <c r="C5" s="265">
        <f>C3*B5</f>
        <v>19485</v>
      </c>
      <c r="D5" s="18" t="s">
        <v>249</v>
      </c>
    </row>
    <row r="6" spans="1:4" x14ac:dyDescent="0.45">
      <c r="A6" s="1" t="s">
        <v>248</v>
      </c>
      <c r="B6" s="264">
        <v>0.7</v>
      </c>
      <c r="C6" s="265">
        <f>C3*B6</f>
        <v>45465</v>
      </c>
      <c r="D6" s="18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23B5-3C4F-4A66-BDCE-8C5FC4A546FE}">
  <dimension ref="A1:G16"/>
  <sheetViews>
    <sheetView workbookViewId="0">
      <selection activeCell="G16" sqref="G16"/>
    </sheetView>
  </sheetViews>
  <sheetFormatPr defaultRowHeight="14.25" x14ac:dyDescent="0.45"/>
  <cols>
    <col min="1" max="1" width="18.71875" style="1" customWidth="1"/>
    <col min="2" max="2" width="9.0546875" style="5" bestFit="1" customWidth="1"/>
    <col min="3" max="16384" width="8.88671875" style="1"/>
  </cols>
  <sheetData>
    <row r="1" spans="1:7" x14ac:dyDescent="0.45">
      <c r="A1" s="1" t="s">
        <v>251</v>
      </c>
    </row>
    <row r="2" spans="1:7" x14ac:dyDescent="0.45">
      <c r="A2" s="1" t="s">
        <v>252</v>
      </c>
      <c r="C2" s="177">
        <v>485833</v>
      </c>
    </row>
    <row r="3" spans="1:7" x14ac:dyDescent="0.45">
      <c r="A3" s="1" t="s">
        <v>253</v>
      </c>
      <c r="C3" s="177">
        <v>380714</v>
      </c>
    </row>
    <row r="4" spans="1:7" x14ac:dyDescent="0.45">
      <c r="A4" s="1" t="s">
        <v>254</v>
      </c>
    </row>
    <row r="5" spans="1:7" x14ac:dyDescent="0.45">
      <c r="A5" s="1" t="s">
        <v>255</v>
      </c>
      <c r="B5" s="5">
        <v>0</v>
      </c>
    </row>
    <row r="6" spans="1:7" x14ac:dyDescent="0.45">
      <c r="A6" s="1" t="s">
        <v>256</v>
      </c>
      <c r="B6" s="5">
        <v>23412</v>
      </c>
    </row>
    <row r="7" spans="1:7" x14ac:dyDescent="0.45">
      <c r="A7" s="1" t="s">
        <v>257</v>
      </c>
      <c r="B7" s="5">
        <v>108</v>
      </c>
    </row>
    <row r="8" spans="1:7" x14ac:dyDescent="0.45">
      <c r="A8" s="1" t="s">
        <v>258</v>
      </c>
      <c r="B8" s="5">
        <v>5101</v>
      </c>
    </row>
    <row r="9" spans="1:7" x14ac:dyDescent="0.45">
      <c r="C9" s="177">
        <f>B5+B6+B7+B8</f>
        <v>28621</v>
      </c>
    </row>
    <row r="10" spans="1:7" x14ac:dyDescent="0.45">
      <c r="A10" s="1" t="s">
        <v>259</v>
      </c>
      <c r="B10" s="5">
        <v>0</v>
      </c>
    </row>
    <row r="11" spans="1:7" x14ac:dyDescent="0.45">
      <c r="A11" s="1" t="s">
        <v>260</v>
      </c>
      <c r="B11" s="5">
        <v>6656</v>
      </c>
    </row>
    <row r="12" spans="1:7" x14ac:dyDescent="0.45">
      <c r="A12" s="1" t="s">
        <v>261</v>
      </c>
      <c r="B12" s="5">
        <v>69835</v>
      </c>
    </row>
    <row r="13" spans="1:7" x14ac:dyDescent="0.45">
      <c r="A13" s="1" t="s">
        <v>265</v>
      </c>
      <c r="B13" s="5">
        <v>7</v>
      </c>
    </row>
    <row r="14" spans="1:7" x14ac:dyDescent="0.45">
      <c r="C14" s="177">
        <f>B11+B12+B13</f>
        <v>76498</v>
      </c>
      <c r="D14" s="268">
        <f>C14/C2</f>
        <v>0.15745739791245139</v>
      </c>
      <c r="E14" s="1" t="s">
        <v>262</v>
      </c>
    </row>
    <row r="15" spans="1:7" x14ac:dyDescent="0.45">
      <c r="C15" s="177"/>
      <c r="D15" s="268">
        <v>0.15</v>
      </c>
      <c r="E15" s="1" t="s">
        <v>263</v>
      </c>
    </row>
    <row r="16" spans="1:7" x14ac:dyDescent="0.45">
      <c r="D16" s="276">
        <f>D14-D15</f>
        <v>7.4573979124513967E-3</v>
      </c>
      <c r="E16" s="1" t="s">
        <v>264</v>
      </c>
      <c r="G16" s="18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GE30"/>
  <sheetViews>
    <sheetView showGridLines="0" workbookViewId="0">
      <selection activeCell="H28" sqref="B9:H28"/>
    </sheetView>
  </sheetViews>
  <sheetFormatPr defaultColWidth="8.88671875" defaultRowHeight="14.25" x14ac:dyDescent="0.45"/>
  <cols>
    <col min="1" max="1" width="1.77734375" style="24" customWidth="1"/>
    <col min="2" max="2" width="17.77734375" style="24" customWidth="1"/>
    <col min="3" max="3" width="6" style="24" customWidth="1"/>
    <col min="4" max="4" width="15.6640625" style="24" customWidth="1"/>
    <col min="5" max="5" width="6" style="24" customWidth="1"/>
    <col min="6" max="6" width="15.6640625" style="106" customWidth="1"/>
    <col min="7" max="7" width="6.0546875" style="24" customWidth="1"/>
    <col min="8" max="8" width="6" style="307" customWidth="1"/>
    <col min="9" max="187" width="9.6640625" style="24" customWidth="1"/>
    <col min="188" max="16384" width="8.88671875" style="15"/>
  </cols>
  <sheetData>
    <row r="4" spans="2:187" ht="18" x14ac:dyDescent="0.55000000000000004">
      <c r="B4" s="320" t="s">
        <v>94</v>
      </c>
      <c r="C4" s="320"/>
      <c r="D4" s="320"/>
      <c r="E4" s="320"/>
      <c r="F4" s="320"/>
      <c r="G4" s="320"/>
    </row>
    <row r="5" spans="2:187" ht="7.15" customHeight="1" x14ac:dyDescent="0.45"/>
    <row r="6" spans="2:187" ht="18" x14ac:dyDescent="0.55000000000000004">
      <c r="B6" s="318" t="s">
        <v>60</v>
      </c>
      <c r="C6" s="318"/>
      <c r="D6" s="318"/>
      <c r="E6" s="318"/>
      <c r="F6" s="318"/>
      <c r="G6" s="318"/>
    </row>
    <row r="7" spans="2:187" ht="18" customHeight="1" x14ac:dyDescent="0.45">
      <c r="B7" s="319" t="str">
        <f>SAO!A2</f>
        <v>CHRISTIAN COUNTY WATER DISTRICT</v>
      </c>
      <c r="C7" s="319"/>
      <c r="D7" s="319"/>
      <c r="E7" s="319"/>
      <c r="F7" s="319"/>
      <c r="G7" s="319"/>
    </row>
    <row r="8" spans="2:187" ht="6" customHeight="1" x14ac:dyDescent="0.45"/>
    <row r="9" spans="2:187" ht="16.5" customHeight="1" x14ac:dyDescent="0.45">
      <c r="B9" s="89"/>
      <c r="C9" s="321" t="s">
        <v>323</v>
      </c>
      <c r="D9" s="321"/>
      <c r="E9" s="321" t="s">
        <v>11</v>
      </c>
      <c r="F9" s="321"/>
      <c r="G9" s="321" t="s">
        <v>72</v>
      </c>
      <c r="H9" s="321"/>
      <c r="I9" s="308"/>
      <c r="GE9" s="15"/>
    </row>
    <row r="10" spans="2:187" ht="14.25" customHeight="1" x14ac:dyDescent="0.45">
      <c r="B10" s="98" t="s">
        <v>132</v>
      </c>
      <c r="C10" s="103"/>
      <c r="D10" s="89"/>
      <c r="E10" s="89"/>
      <c r="F10" s="105"/>
      <c r="H10" s="308"/>
      <c r="I10" s="308"/>
      <c r="GE10" s="15"/>
    </row>
    <row r="11" spans="2:187" ht="17.25" customHeight="1" x14ac:dyDescent="0.45">
      <c r="B11" s="89" t="s">
        <v>129</v>
      </c>
      <c r="C11" s="54">
        <v>19.649999999999999</v>
      </c>
      <c r="D11" s="54" t="s">
        <v>130</v>
      </c>
      <c r="E11" s="54">
        <f>ROUND(C11*(1+SAO!$G$61),2)</f>
        <v>20.71</v>
      </c>
      <c r="F11" s="106" t="s">
        <v>130</v>
      </c>
      <c r="G11" s="54">
        <f>E11-C11</f>
        <v>1.0600000000000023</v>
      </c>
      <c r="H11" s="78">
        <f>G11/C11</f>
        <v>5.3944020356234218E-2</v>
      </c>
      <c r="I11" s="308"/>
      <c r="GE11" s="15"/>
    </row>
    <row r="12" spans="2:187" ht="14.25" customHeight="1" x14ac:dyDescent="0.45">
      <c r="B12" s="89" t="s">
        <v>136</v>
      </c>
      <c r="C12" s="54">
        <v>6.54</v>
      </c>
      <c r="D12" s="54" t="s">
        <v>131</v>
      </c>
      <c r="E12" s="54">
        <f>ROUND(C12*(1+SAO!$G$61),2)</f>
        <v>6.89</v>
      </c>
      <c r="F12" s="106" t="s">
        <v>131</v>
      </c>
      <c r="G12" s="54">
        <f>E12-C12</f>
        <v>0.34999999999999964</v>
      </c>
      <c r="H12" s="78">
        <f t="shared" ref="H12:H27" si="0">G12/C12</f>
        <v>5.3516819571865389E-2</v>
      </c>
      <c r="I12" s="308"/>
      <c r="GE12" s="15"/>
    </row>
    <row r="13" spans="2:187" ht="15" customHeight="1" x14ac:dyDescent="0.45">
      <c r="B13" s="93"/>
      <c r="C13" s="95"/>
      <c r="D13" s="93"/>
      <c r="E13" s="54"/>
      <c r="F13" s="107"/>
      <c r="G13" s="54"/>
      <c r="H13" s="78"/>
      <c r="I13" s="308"/>
      <c r="GE13" s="15"/>
    </row>
    <row r="14" spans="2:187" ht="15" customHeight="1" x14ac:dyDescent="0.45">
      <c r="B14" s="98" t="s">
        <v>133</v>
      </c>
      <c r="C14" s="54"/>
      <c r="D14" s="54"/>
      <c r="E14" s="54"/>
      <c r="G14" s="54"/>
      <c r="H14" s="78"/>
      <c r="I14" s="308"/>
      <c r="GE14" s="15"/>
    </row>
    <row r="15" spans="2:187" ht="15" customHeight="1" x14ac:dyDescent="0.45">
      <c r="B15" s="89" t="s">
        <v>134</v>
      </c>
      <c r="C15" s="96">
        <v>52.65</v>
      </c>
      <c r="D15" s="55" t="s">
        <v>130</v>
      </c>
      <c r="E15" s="54">
        <f>E11+(5*E12)</f>
        <v>55.16</v>
      </c>
      <c r="F15" s="108" t="s">
        <v>130</v>
      </c>
      <c r="G15" s="54">
        <f>E15-C15</f>
        <v>2.509999999999998</v>
      </c>
      <c r="H15" s="78">
        <f t="shared" si="0"/>
        <v>4.7673314339980968E-2</v>
      </c>
      <c r="I15" s="308"/>
      <c r="GE15" s="15"/>
    </row>
    <row r="16" spans="2:187" ht="15" customHeight="1" x14ac:dyDescent="0.45">
      <c r="B16" s="89" t="s">
        <v>135</v>
      </c>
      <c r="C16" s="97">
        <v>6.54</v>
      </c>
      <c r="D16" s="54" t="s">
        <v>131</v>
      </c>
      <c r="E16" s="54">
        <f>ROUND(C16*(1+SAO!$G$61),2)</f>
        <v>6.89</v>
      </c>
      <c r="F16" s="106" t="s">
        <v>131</v>
      </c>
      <c r="G16" s="54">
        <f>E16-C16</f>
        <v>0.34999999999999964</v>
      </c>
      <c r="H16" s="78">
        <f t="shared" si="0"/>
        <v>5.3516819571865389E-2</v>
      </c>
      <c r="I16" s="308"/>
      <c r="GE16" s="15"/>
    </row>
    <row r="17" spans="2:187" ht="15" customHeight="1" x14ac:dyDescent="0.45">
      <c r="B17" s="89"/>
      <c r="C17" s="97"/>
      <c r="D17" s="55"/>
      <c r="E17" s="54"/>
      <c r="G17" s="54"/>
      <c r="H17" s="78"/>
      <c r="GE17" s="15"/>
    </row>
    <row r="18" spans="2:187" ht="15" customHeight="1" x14ac:dyDescent="0.45">
      <c r="B18" s="98" t="s">
        <v>137</v>
      </c>
      <c r="C18" s="97"/>
      <c r="D18" s="55"/>
      <c r="E18" s="54"/>
      <c r="G18" s="54"/>
      <c r="H18" s="78"/>
      <c r="GE18" s="15"/>
    </row>
    <row r="19" spans="2:187" ht="15" customHeight="1" x14ac:dyDescent="0.45">
      <c r="B19" s="89" t="s">
        <v>138</v>
      </c>
      <c r="C19" s="97">
        <v>85.35</v>
      </c>
      <c r="D19" s="55" t="s">
        <v>130</v>
      </c>
      <c r="E19" s="54">
        <f>E11+(10*E12)</f>
        <v>89.609999999999985</v>
      </c>
      <c r="F19" s="108" t="s">
        <v>130</v>
      </c>
      <c r="G19" s="54">
        <f>E19-C19</f>
        <v>4.2599999999999909</v>
      </c>
      <c r="H19" s="78">
        <f t="shared" si="0"/>
        <v>4.9912126537785484E-2</v>
      </c>
      <c r="GE19" s="15"/>
    </row>
    <row r="20" spans="2:187" ht="14.25" customHeight="1" x14ac:dyDescent="0.45">
      <c r="B20" s="89" t="s">
        <v>139</v>
      </c>
      <c r="C20" s="97">
        <v>6.54</v>
      </c>
      <c r="D20" s="54" t="s">
        <v>131</v>
      </c>
      <c r="E20" s="54">
        <f>ROUND(C20*(1+SAO!$G$61),2)</f>
        <v>6.89</v>
      </c>
      <c r="F20" s="106" t="s">
        <v>131</v>
      </c>
      <c r="G20" s="54">
        <f>E20-C20</f>
        <v>0.34999999999999964</v>
      </c>
      <c r="H20" s="78">
        <f t="shared" si="0"/>
        <v>5.3516819571865389E-2</v>
      </c>
      <c r="GE20" s="15"/>
    </row>
    <row r="21" spans="2:187" ht="14.25" customHeight="1" x14ac:dyDescent="0.45">
      <c r="B21" s="89"/>
      <c r="C21" s="97"/>
      <c r="D21" s="55"/>
      <c r="E21" s="54"/>
      <c r="G21" s="54"/>
      <c r="H21" s="78"/>
      <c r="GE21" s="15"/>
    </row>
    <row r="22" spans="2:187" ht="14.25" customHeight="1" x14ac:dyDescent="0.45">
      <c r="B22" s="98" t="s">
        <v>140</v>
      </c>
      <c r="C22" s="103"/>
      <c r="D22" s="89"/>
      <c r="E22" s="54"/>
      <c r="F22" s="105"/>
      <c r="G22" s="54"/>
      <c r="H22" s="78"/>
      <c r="GE22" s="15"/>
    </row>
    <row r="23" spans="2:187" ht="14.25" customHeight="1" x14ac:dyDescent="0.45">
      <c r="B23" s="89" t="s">
        <v>141</v>
      </c>
      <c r="C23" s="97">
        <v>346.95</v>
      </c>
      <c r="D23" s="55" t="s">
        <v>130</v>
      </c>
      <c r="E23" s="54">
        <f>E11+(50*E12)</f>
        <v>365.21</v>
      </c>
      <c r="F23" s="108" t="s">
        <v>130</v>
      </c>
      <c r="G23" s="54">
        <f>E23-C23</f>
        <v>18.259999999999991</v>
      </c>
      <c r="H23" s="78">
        <f t="shared" si="0"/>
        <v>5.2630061968583344E-2</v>
      </c>
      <c r="GE23" s="15"/>
    </row>
    <row r="24" spans="2:187" ht="14.25" customHeight="1" x14ac:dyDescent="0.45">
      <c r="B24" s="89" t="s">
        <v>145</v>
      </c>
      <c r="C24" s="97">
        <v>6.54</v>
      </c>
      <c r="D24" s="54" t="s">
        <v>131</v>
      </c>
      <c r="E24" s="54">
        <f>ROUND(C24*(1+SAO!$G$61),2)</f>
        <v>6.89</v>
      </c>
      <c r="F24" s="106" t="s">
        <v>131</v>
      </c>
      <c r="G24" s="54">
        <f>E24-C24</f>
        <v>0.34999999999999964</v>
      </c>
      <c r="H24" s="78">
        <f t="shared" si="0"/>
        <v>5.3516819571865389E-2</v>
      </c>
      <c r="GE24" s="15"/>
    </row>
    <row r="25" spans="2:187" ht="14.25" customHeight="1" x14ac:dyDescent="0.45">
      <c r="B25" s="89"/>
      <c r="C25" s="103"/>
      <c r="D25" s="89"/>
      <c r="E25" s="54"/>
      <c r="F25" s="105"/>
      <c r="G25" s="54"/>
      <c r="H25" s="78"/>
      <c r="GE25" s="15"/>
    </row>
    <row r="26" spans="2:187" ht="14.25" customHeight="1" x14ac:dyDescent="0.45">
      <c r="B26" s="98" t="s">
        <v>143</v>
      </c>
      <c r="C26" s="103"/>
      <c r="D26" s="89"/>
      <c r="E26" s="54"/>
      <c r="F26" s="105"/>
      <c r="G26" s="54"/>
      <c r="H26" s="78"/>
      <c r="GE26" s="15"/>
    </row>
    <row r="27" spans="2:187" ht="14.25" customHeight="1" x14ac:dyDescent="0.45">
      <c r="B27" s="89" t="s">
        <v>144</v>
      </c>
      <c r="C27" s="97">
        <v>673.95</v>
      </c>
      <c r="D27" s="55" t="s">
        <v>130</v>
      </c>
      <c r="E27" s="54">
        <f>E11+(100*E12)</f>
        <v>709.71</v>
      </c>
      <c r="F27" s="108" t="s">
        <v>130</v>
      </c>
      <c r="G27" s="54">
        <f>E27-C27</f>
        <v>35.759999999999991</v>
      </c>
      <c r="H27" s="78">
        <f t="shared" si="0"/>
        <v>5.3060316047184496E-2</v>
      </c>
      <c r="GE27" s="15"/>
    </row>
    <row r="28" spans="2:187" ht="14.25" customHeight="1" x14ac:dyDescent="0.45">
      <c r="B28" s="89" t="s">
        <v>146</v>
      </c>
      <c r="C28" s="97">
        <v>6.54</v>
      </c>
      <c r="D28" s="54" t="s">
        <v>131</v>
      </c>
      <c r="E28" s="54">
        <f>ROUND(C28*(1+SAO!$G$61),2)</f>
        <v>6.89</v>
      </c>
      <c r="F28" s="106" t="s">
        <v>131</v>
      </c>
      <c r="G28" s="54">
        <f>E28-C28</f>
        <v>0.34999999999999964</v>
      </c>
      <c r="H28" s="78">
        <f>G28/C28</f>
        <v>5.3516819571865389E-2</v>
      </c>
      <c r="GE28" s="15"/>
    </row>
    <row r="29" spans="2:187" ht="14.25" customHeight="1" x14ac:dyDescent="0.45">
      <c r="H29" s="24"/>
      <c r="GE29" s="15"/>
    </row>
    <row r="30" spans="2:187" ht="14.25" customHeight="1" x14ac:dyDescent="0.45">
      <c r="H30" s="24"/>
      <c r="GE30" s="15"/>
    </row>
  </sheetData>
  <mergeCells count="6">
    <mergeCell ref="B6:G6"/>
    <mergeCell ref="B7:G7"/>
    <mergeCell ref="B4:G4"/>
    <mergeCell ref="C9:D9"/>
    <mergeCell ref="E9:F9"/>
    <mergeCell ref="G9:H9"/>
  </mergeCells>
  <printOptions horizontalCentered="1"/>
  <pageMargins left="0.55000000000000004" right="0.55000000000000004" top="1.6" bottom="0.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27"/>
  <sheetViews>
    <sheetView showGridLines="0" workbookViewId="0">
      <selection activeCell="A6" sqref="A6:J27"/>
    </sheetView>
  </sheetViews>
  <sheetFormatPr defaultColWidth="8.88671875" defaultRowHeight="14.25" x14ac:dyDescent="0.45"/>
  <cols>
    <col min="1" max="1" width="3.609375" style="5" customWidth="1"/>
    <col min="2" max="2" width="1.77734375" style="5" customWidth="1"/>
    <col min="3" max="4" width="9.77734375" style="5" customWidth="1"/>
    <col min="5" max="7" width="9.77734375" style="157" customWidth="1"/>
    <col min="8" max="8" width="9.77734375" style="5" customWidth="1"/>
    <col min="9" max="9" width="1.77734375" style="5" customWidth="1"/>
    <col min="10" max="10" width="3.609375" style="5" customWidth="1"/>
    <col min="11" max="16384" width="8.88671875" style="5"/>
  </cols>
  <sheetData>
    <row r="1" spans="2:11" x14ac:dyDescent="0.45">
      <c r="B1" s="6"/>
      <c r="C1" s="7"/>
      <c r="D1" s="7"/>
      <c r="E1" s="151"/>
      <c r="F1" s="151"/>
      <c r="G1" s="151"/>
      <c r="H1" s="7"/>
      <c r="I1" s="8"/>
    </row>
    <row r="2" spans="2:11" ht="18" x14ac:dyDescent="0.55000000000000004">
      <c r="B2" s="9"/>
      <c r="C2" s="325" t="s">
        <v>319</v>
      </c>
      <c r="D2" s="325"/>
      <c r="E2" s="325"/>
      <c r="F2" s="325"/>
      <c r="G2" s="325"/>
      <c r="H2" s="325"/>
      <c r="I2" s="326"/>
    </row>
    <row r="3" spans="2:11" ht="18" x14ac:dyDescent="0.55000000000000004">
      <c r="B3" s="9"/>
      <c r="C3" s="322" t="s">
        <v>77</v>
      </c>
      <c r="D3" s="322"/>
      <c r="E3" s="322"/>
      <c r="F3" s="322"/>
      <c r="G3" s="322"/>
      <c r="H3" s="322"/>
      <c r="I3" s="323"/>
    </row>
    <row r="4" spans="2:11" ht="15.75" x14ac:dyDescent="0.45">
      <c r="B4" s="9"/>
      <c r="C4" s="319" t="str">
        <f>SAO!A2</f>
        <v>CHRISTIAN COUNTY WATER DISTRICT</v>
      </c>
      <c r="D4" s="319"/>
      <c r="E4" s="319"/>
      <c r="F4" s="319"/>
      <c r="G4" s="319"/>
      <c r="H4" s="319"/>
      <c r="I4" s="324"/>
    </row>
    <row r="5" spans="2:11" x14ac:dyDescent="0.45">
      <c r="B5" s="11"/>
      <c r="C5" s="3"/>
      <c r="D5" s="3"/>
      <c r="E5" s="152"/>
      <c r="F5" s="152"/>
      <c r="G5" s="152"/>
      <c r="H5" s="3"/>
      <c r="I5" s="12"/>
    </row>
    <row r="6" spans="2:11" ht="6" customHeight="1" x14ac:dyDescent="0.45">
      <c r="B6" s="9"/>
      <c r="C6" s="4"/>
      <c r="D6" s="10"/>
      <c r="E6" s="153"/>
      <c r="F6" s="158"/>
      <c r="G6" s="158"/>
      <c r="H6" s="32"/>
      <c r="I6" s="33"/>
      <c r="J6" s="31"/>
      <c r="K6" s="31"/>
    </row>
    <row r="7" spans="2:11" ht="16.5" x14ac:dyDescent="0.75">
      <c r="B7" s="9"/>
      <c r="C7" s="14" t="s">
        <v>14</v>
      </c>
      <c r="D7" s="30" t="s">
        <v>71</v>
      </c>
      <c r="E7" s="154" t="s">
        <v>25</v>
      </c>
      <c r="F7" s="159" t="s">
        <v>11</v>
      </c>
      <c r="G7" s="159"/>
      <c r="H7" s="14"/>
      <c r="I7" s="30"/>
    </row>
    <row r="8" spans="2:11" ht="16.5" x14ac:dyDescent="0.75">
      <c r="B8" s="9"/>
      <c r="C8" s="14" t="s">
        <v>95</v>
      </c>
      <c r="D8" s="30" t="s">
        <v>75</v>
      </c>
      <c r="E8" s="154" t="s">
        <v>73</v>
      </c>
      <c r="F8" s="159" t="s">
        <v>73</v>
      </c>
      <c r="G8" s="159" t="s">
        <v>26</v>
      </c>
      <c r="H8" s="14" t="s">
        <v>74</v>
      </c>
      <c r="I8" s="30"/>
    </row>
    <row r="9" spans="2:11" x14ac:dyDescent="0.45">
      <c r="B9" s="9"/>
      <c r="C9" s="15">
        <v>0</v>
      </c>
      <c r="D9" s="34" t="s">
        <v>76</v>
      </c>
      <c r="E9" s="155">
        <f>Rates!$C$11</f>
        <v>19.649999999999999</v>
      </c>
      <c r="F9" s="160">
        <f>Rates!$E$11</f>
        <v>20.71</v>
      </c>
      <c r="G9" s="161">
        <f>F9-E9</f>
        <v>1.0600000000000023</v>
      </c>
      <c r="H9" s="79">
        <f>G9/E9</f>
        <v>5.3944020356234218E-2</v>
      </c>
      <c r="I9" s="36"/>
    </row>
    <row r="10" spans="2:11" x14ac:dyDescent="0.45">
      <c r="B10" s="9"/>
      <c r="C10" s="4">
        <v>2000</v>
      </c>
      <c r="D10" s="34" t="s">
        <v>76</v>
      </c>
      <c r="E10" s="155">
        <f>Rates!$C$11+(C10/1000)*Rates!$C$12</f>
        <v>32.729999999999997</v>
      </c>
      <c r="F10" s="155">
        <f>Rates!$E$11+(C10/1000)*Rates!$E$12</f>
        <v>34.49</v>
      </c>
      <c r="G10" s="160">
        <f t="shared" ref="G10:G17" si="0">F10-E10</f>
        <v>1.7600000000000051</v>
      </c>
      <c r="H10" s="79">
        <f t="shared" ref="H10:H17" si="1">G10/E10</f>
        <v>5.377329666972213E-2</v>
      </c>
      <c r="I10" s="36"/>
    </row>
    <row r="11" spans="2:11" x14ac:dyDescent="0.45">
      <c r="B11" s="9"/>
      <c r="C11" s="37">
        <v>4000</v>
      </c>
      <c r="D11" s="38" t="s">
        <v>76</v>
      </c>
      <c r="E11" s="303">
        <f>Rates!$C$11+(C11/1000)*Rates!$C$12</f>
        <v>45.81</v>
      </c>
      <c r="F11" s="303">
        <f>Rates!$E$11+(C11/1000)*Rates!$E$12</f>
        <v>48.269999999999996</v>
      </c>
      <c r="G11" s="304">
        <f t="shared" ref="G11:G16" si="2">F11-E11</f>
        <v>2.4599999999999937</v>
      </c>
      <c r="H11" s="305">
        <f t="shared" ref="H11:H16" si="3">G11/E11</f>
        <v>5.3700065487884599E-2</v>
      </c>
      <c r="I11" s="39"/>
    </row>
    <row r="12" spans="2:11" x14ac:dyDescent="0.45">
      <c r="B12" s="9"/>
      <c r="C12" s="4">
        <v>6000</v>
      </c>
      <c r="D12" s="34" t="s">
        <v>76</v>
      </c>
      <c r="E12" s="155">
        <f>Rates!$C$11+(C12/1000)*Rates!$C$12</f>
        <v>58.89</v>
      </c>
      <c r="F12" s="155">
        <f>Rates!$E$11+(C12/1000)*Rates!$E$12</f>
        <v>62.05</v>
      </c>
      <c r="G12" s="160">
        <f t="shared" si="2"/>
        <v>3.1599999999999966</v>
      </c>
      <c r="H12" s="79">
        <f t="shared" si="3"/>
        <v>5.3659364917643004E-2</v>
      </c>
      <c r="I12" s="36"/>
    </row>
    <row r="13" spans="2:11" x14ac:dyDescent="0.45">
      <c r="B13" s="9"/>
      <c r="C13" s="4">
        <v>8000</v>
      </c>
      <c r="D13" s="34" t="s">
        <v>76</v>
      </c>
      <c r="E13" s="155">
        <f>Rates!$C$11+(C13/1000)*Rates!$C$12</f>
        <v>71.97</v>
      </c>
      <c r="F13" s="155">
        <f>Rates!$E$11+(C13/1000)*Rates!$E$12</f>
        <v>75.83</v>
      </c>
      <c r="G13" s="160">
        <f t="shared" si="2"/>
        <v>3.8599999999999994</v>
      </c>
      <c r="H13" s="79">
        <f t="shared" si="3"/>
        <v>5.3633458385438371E-2</v>
      </c>
      <c r="I13" s="36"/>
    </row>
    <row r="14" spans="2:11" x14ac:dyDescent="0.45">
      <c r="B14" s="9"/>
      <c r="C14" s="4">
        <v>10000</v>
      </c>
      <c r="D14" s="34" t="s">
        <v>76</v>
      </c>
      <c r="E14" s="155">
        <f>Rates!$C$11+(C14/1000)*Rates!$C$12</f>
        <v>85.050000000000011</v>
      </c>
      <c r="F14" s="155">
        <f>Rates!$E$11+(C14/1000)*Rates!$E$12</f>
        <v>89.609999999999985</v>
      </c>
      <c r="G14" s="160">
        <f t="shared" si="2"/>
        <v>4.5599999999999739</v>
      </c>
      <c r="H14" s="79">
        <f t="shared" si="3"/>
        <v>5.3615520282186635E-2</v>
      </c>
      <c r="I14" s="36"/>
    </row>
    <row r="15" spans="2:11" x14ac:dyDescent="0.45">
      <c r="B15" s="9"/>
      <c r="C15" s="4">
        <v>15000</v>
      </c>
      <c r="D15" s="34" t="s">
        <v>76</v>
      </c>
      <c r="E15" s="155">
        <f>Rates!$C$11+(C15/1000)*Rates!$C$12</f>
        <v>117.75</v>
      </c>
      <c r="F15" s="155">
        <f>Rates!$E$11+(C15/1000)*Rates!$E$12</f>
        <v>124.06</v>
      </c>
      <c r="G15" s="160">
        <f t="shared" si="2"/>
        <v>6.3100000000000023</v>
      </c>
      <c r="H15" s="79">
        <f t="shared" si="3"/>
        <v>5.3588110403397046E-2</v>
      </c>
      <c r="I15" s="36"/>
    </row>
    <row r="16" spans="2:11" x14ac:dyDescent="0.45">
      <c r="B16" s="9"/>
      <c r="C16" s="4">
        <v>20000</v>
      </c>
      <c r="D16" s="34" t="s">
        <v>76</v>
      </c>
      <c r="E16" s="155">
        <f>Rates!$C$11+(C16/1000)*Rates!$C$12</f>
        <v>150.45000000000002</v>
      </c>
      <c r="F16" s="155">
        <f>Rates!$E$11+(C16/1000)*Rates!$E$12</f>
        <v>158.51</v>
      </c>
      <c r="G16" s="160">
        <f t="shared" si="2"/>
        <v>8.0599999999999739</v>
      </c>
      <c r="H16" s="79">
        <f t="shared" si="3"/>
        <v>5.3572615486872532E-2</v>
      </c>
      <c r="I16" s="36"/>
    </row>
    <row r="17" spans="2:15" x14ac:dyDescent="0.45">
      <c r="B17" s="9"/>
      <c r="C17" s="4">
        <v>25000</v>
      </c>
      <c r="D17" s="35" t="s">
        <v>27</v>
      </c>
      <c r="E17" s="155">
        <f>Rates!$C$15+((Bills!C17-5000)/1000)*Rates!$C$16</f>
        <v>183.45000000000002</v>
      </c>
      <c r="F17" s="155">
        <f>Rates!$E$15+((Bills!C17-5000)/1000)*Rates!$E$16</f>
        <v>192.95999999999998</v>
      </c>
      <c r="G17" s="160">
        <f t="shared" si="0"/>
        <v>9.5099999999999625</v>
      </c>
      <c r="H17" s="79">
        <f t="shared" si="1"/>
        <v>5.1839738348323582E-2</v>
      </c>
      <c r="I17" s="36"/>
    </row>
    <row r="18" spans="2:15" x14ac:dyDescent="0.45">
      <c r="B18" s="9"/>
      <c r="C18" s="4">
        <v>30000</v>
      </c>
      <c r="D18" s="35" t="s">
        <v>27</v>
      </c>
      <c r="E18" s="155">
        <f>Rates!$C$15+((Bills!C18-5000)/1000)*Rates!$C$16</f>
        <v>216.15</v>
      </c>
      <c r="F18" s="155">
        <f>Rates!$E$15+((Bills!C18-5000)/1000)*Rates!$E$16</f>
        <v>227.41</v>
      </c>
      <c r="G18" s="160">
        <f t="shared" ref="G18:G21" si="4">F18-E18</f>
        <v>11.259999999999991</v>
      </c>
      <c r="H18" s="79">
        <f t="shared" ref="H18:H21" si="5">G18/E18</f>
        <v>5.2093453620171135E-2</v>
      </c>
      <c r="I18" s="36"/>
      <c r="O18" s="4"/>
    </row>
    <row r="19" spans="2:15" x14ac:dyDescent="0.45">
      <c r="B19" s="9"/>
      <c r="C19" s="4">
        <v>40000</v>
      </c>
      <c r="D19" s="35" t="s">
        <v>27</v>
      </c>
      <c r="E19" s="155">
        <f>Rates!$C$15+((Bills!C19-5000)/1000)*Rates!$C$16</f>
        <v>281.55</v>
      </c>
      <c r="F19" s="155">
        <f>Rates!$E$15+((Bills!C19-5000)/1000)*Rates!$E$16</f>
        <v>296.30999999999995</v>
      </c>
      <c r="G19" s="160">
        <f t="shared" si="4"/>
        <v>14.759999999999934</v>
      </c>
      <c r="H19" s="79">
        <f t="shared" si="5"/>
        <v>5.242408098028746E-2</v>
      </c>
      <c r="I19" s="36"/>
    </row>
    <row r="20" spans="2:15" x14ac:dyDescent="0.45">
      <c r="B20" s="9"/>
      <c r="C20" s="4">
        <v>50000</v>
      </c>
      <c r="D20" s="35" t="s">
        <v>27</v>
      </c>
      <c r="E20" s="155">
        <f>Rates!$C$15+((Bills!C20-5000)/1000)*Rates!$C$16</f>
        <v>346.95</v>
      </c>
      <c r="F20" s="155">
        <f>Rates!$E$15+((Bills!C20-5000)/1000)*Rates!$E$16</f>
        <v>365.21000000000004</v>
      </c>
      <c r="G20" s="160">
        <f t="shared" si="4"/>
        <v>18.260000000000048</v>
      </c>
      <c r="H20" s="79">
        <f>G20/E20</f>
        <v>5.2630061968583511E-2</v>
      </c>
      <c r="I20" s="36"/>
    </row>
    <row r="21" spans="2:15" x14ac:dyDescent="0.45">
      <c r="B21" s="9"/>
      <c r="C21" s="4">
        <v>75000</v>
      </c>
      <c r="D21" s="35" t="s">
        <v>28</v>
      </c>
      <c r="E21" s="155">
        <f>Rates!$C$23+((Bills!C21-50000)/1000)*Rates!$C$24</f>
        <v>510.45</v>
      </c>
      <c r="F21" s="155">
        <f>Rates!$E$23+((Bills!C21-50000)/1000)*Rates!$E$24</f>
        <v>537.46</v>
      </c>
      <c r="G21" s="160">
        <f t="shared" si="4"/>
        <v>27.010000000000048</v>
      </c>
      <c r="H21" s="79">
        <f t="shared" si="5"/>
        <v>5.2914095406014397E-2</v>
      </c>
      <c r="I21" s="36"/>
    </row>
    <row r="22" spans="2:15" x14ac:dyDescent="0.45">
      <c r="B22" s="9"/>
      <c r="C22" s="4">
        <v>100000</v>
      </c>
      <c r="D22" s="35" t="s">
        <v>28</v>
      </c>
      <c r="E22" s="155">
        <f>Rates!$C$23+((Bills!C22-50000)/1000)*Rates!$C$24</f>
        <v>673.95</v>
      </c>
      <c r="F22" s="155">
        <f>Rates!$E$23+((Bills!C22-50000)/1000)*Rates!$E$24</f>
        <v>709.71</v>
      </c>
      <c r="G22" s="160">
        <f t="shared" ref="G22:G24" si="6">F22-E22</f>
        <v>35.759999999999991</v>
      </c>
      <c r="H22" s="79">
        <f t="shared" ref="H22:H24" si="7">G22/E22</f>
        <v>5.3060316047184496E-2</v>
      </c>
      <c r="I22" s="36"/>
    </row>
    <row r="23" spans="2:15" x14ac:dyDescent="0.45">
      <c r="B23" s="9"/>
      <c r="C23" s="4">
        <v>200000</v>
      </c>
      <c r="D23" s="35" t="s">
        <v>28</v>
      </c>
      <c r="E23" s="155">
        <f>Rates!$C$23+((Bills!C23-50000)/1000)*Rates!$C$24</f>
        <v>1327.95</v>
      </c>
      <c r="F23" s="155">
        <f>Rates!$E$23+((Bills!C23-50000)/1000)*Rates!$E$24</f>
        <v>1398.71</v>
      </c>
      <c r="G23" s="160">
        <f t="shared" si="6"/>
        <v>70.759999999999991</v>
      </c>
      <c r="H23" s="79">
        <f t="shared" si="7"/>
        <v>5.3285138747693805E-2</v>
      </c>
      <c r="I23" s="36"/>
    </row>
    <row r="24" spans="2:15" x14ac:dyDescent="0.45">
      <c r="B24" s="9"/>
      <c r="C24" s="4">
        <v>500000</v>
      </c>
      <c r="D24" s="35" t="s">
        <v>28</v>
      </c>
      <c r="E24" s="155">
        <f>Rates!$C$23+((Bills!C24-50000)/1000)*Rates!$C$24</f>
        <v>3289.95</v>
      </c>
      <c r="F24" s="155">
        <f>Rates!$E$23+((Bills!C24-50000)/1000)*Rates!$E$24</f>
        <v>3465.71</v>
      </c>
      <c r="G24" s="160">
        <f t="shared" si="6"/>
        <v>175.76000000000022</v>
      </c>
      <c r="H24" s="79">
        <f t="shared" si="7"/>
        <v>5.3423304305536629E-2</v>
      </c>
      <c r="I24" s="36"/>
    </row>
    <row r="25" spans="2:15" ht="6" customHeight="1" x14ac:dyDescent="0.45">
      <c r="B25" s="11"/>
      <c r="C25" s="3"/>
      <c r="D25" s="2"/>
      <c r="E25" s="156"/>
      <c r="F25" s="152"/>
      <c r="G25" s="152"/>
      <c r="H25" s="3"/>
      <c r="I25" s="12"/>
    </row>
    <row r="27" spans="2:15" x14ac:dyDescent="0.45">
      <c r="D27" s="51" t="s">
        <v>96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SAO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Bills</vt:lpstr>
      <vt:lpstr>BA Input</vt:lpstr>
      <vt:lpstr>ExBA</vt:lpstr>
      <vt:lpstr>PrBA</vt:lpstr>
      <vt:lpstr>Notice_R</vt:lpstr>
      <vt:lpstr>Bills!Print_Area</vt:lpstr>
      <vt:lpstr>'Debt Service'!Print_Area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2021-08-30T18:19:28Z</cp:lastPrinted>
  <dcterms:created xsi:type="dcterms:W3CDTF">2016-05-18T14:12:06Z</dcterms:created>
  <dcterms:modified xsi:type="dcterms:W3CDTF">2021-11-04T16:22:10Z</dcterms:modified>
</cp:coreProperties>
</file>