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1-00358 Jackson\Testimony\"/>
    </mc:Choice>
  </mc:AlternateContent>
  <bookViews>
    <workbookView xWindow="0" yWindow="0" windowWidth="19200" windowHeight="7050"/>
  </bookViews>
  <sheets>
    <sheet name="Revenue Requirement" sheetId="6" r:id="rId1"/>
    <sheet name="RevReq-Orig Comp Presentation" sheetId="53" r:id="rId2"/>
    <sheet name="RevReq-AG 1-26 Update" sheetId="59" r:id="rId3"/>
    <sheet name="RevReq-Staff 3-7 Update" sheetId="60" r:id="rId4"/>
    <sheet name="Payroll Expense" sheetId="42" r:id="rId5"/>
    <sheet name="LTD Int - Other than HQ Bldg" sheetId="54" r:id="rId6"/>
    <sheet name="Utilities Expense" sheetId="56" r:id="rId7"/>
    <sheet name="Depr Exp Old HQ" sheetId="57" r:id="rId8"/>
    <sheet name="ROW Maint" sheetId="58" r:id="rId9"/>
  </sheets>
  <externalReferences>
    <externalReference r:id="rId10"/>
    <externalReference r:id="rId11"/>
    <externalReference r:id="rId12"/>
  </externalReferences>
  <definedNames>
    <definedName name="\\" localSheetId="7" hidden="1">#REF!</definedName>
    <definedName name="\\" localSheetId="5" hidden="1">#REF!</definedName>
    <definedName name="\\" localSheetId="8" hidden="1">#REF!</definedName>
    <definedName name="\\" localSheetId="6" hidden="1">#REF!</definedName>
    <definedName name="\\" hidden="1">#REF!</definedName>
    <definedName name="\\\" localSheetId="7" hidden="1">#REF!</definedName>
    <definedName name="\\\" localSheetId="5" hidden="1">#REF!</definedName>
    <definedName name="\\\" localSheetId="8" hidden="1">#REF!</definedName>
    <definedName name="\\\" localSheetId="6" hidden="1">#REF!</definedName>
    <definedName name="\\\" hidden="1">#REF!</definedName>
    <definedName name="\\\\" localSheetId="7" hidden="1">#REF!</definedName>
    <definedName name="\\\\" localSheetId="5" hidden="1">#REF!</definedName>
    <definedName name="\\\\" localSheetId="8" hidden="1">#REF!</definedName>
    <definedName name="\\\\" localSheetId="6" hidden="1">#REF!</definedName>
    <definedName name="\\\\" hidden="1">#REF!</definedName>
    <definedName name="__123Graph_A" localSheetId="7" hidden="1">#REF!</definedName>
    <definedName name="__123Graph_A" localSheetId="5" hidden="1">#REF!</definedName>
    <definedName name="__123Graph_A" localSheetId="8" hidden="1">#REF!</definedName>
    <definedName name="__123Graph_A" localSheetId="6" hidden="1">#REF!</definedName>
    <definedName name="__123Graph_A" hidden="1">#REF!</definedName>
    <definedName name="__123Graph_B" localSheetId="7" hidden="1">#REF!</definedName>
    <definedName name="__123Graph_B" localSheetId="5" hidden="1">#REF!</definedName>
    <definedName name="__123Graph_B" localSheetId="8" hidden="1">#REF!</definedName>
    <definedName name="__123Graph_B" localSheetId="6" hidden="1">#REF!</definedName>
    <definedName name="__123Graph_B" hidden="1">#REF!</definedName>
    <definedName name="__123Graph_C" localSheetId="7" hidden="1">#REF!</definedName>
    <definedName name="__123Graph_C" localSheetId="5" hidden="1">#REF!</definedName>
    <definedName name="__123Graph_C" localSheetId="8" hidden="1">#REF!</definedName>
    <definedName name="__123Graph_C" localSheetId="6" hidden="1">#REF!</definedName>
    <definedName name="__123Graph_C" hidden="1">#REF!</definedName>
    <definedName name="__123Graph_D" localSheetId="7" hidden="1">#REF!</definedName>
    <definedName name="__123Graph_D" localSheetId="5" hidden="1">#REF!</definedName>
    <definedName name="__123Graph_D" localSheetId="8" hidden="1">#REF!</definedName>
    <definedName name="__123Graph_D" localSheetId="6" hidden="1">#REF!</definedName>
    <definedName name="__123Graph_D" hidden="1">#REF!</definedName>
    <definedName name="__123Graph_E" localSheetId="7" hidden="1">#REF!</definedName>
    <definedName name="__123Graph_E" localSheetId="5" hidden="1">#REF!</definedName>
    <definedName name="__123Graph_E" localSheetId="8" hidden="1">#REF!</definedName>
    <definedName name="__123Graph_E" localSheetId="6" hidden="1">#REF!</definedName>
    <definedName name="__123Graph_E" hidden="1">#REF!</definedName>
    <definedName name="__123Graph_F" localSheetId="7" hidden="1">#REF!</definedName>
    <definedName name="__123Graph_F" localSheetId="5" hidden="1">#REF!</definedName>
    <definedName name="__123Graph_F" localSheetId="8" hidden="1">#REF!</definedName>
    <definedName name="__123Graph_F" localSheetId="6" hidden="1">#REF!</definedName>
    <definedName name="__123Graph_F" hidden="1">#REF!</definedName>
    <definedName name="__123Graph_X" localSheetId="7" hidden="1">#REF!</definedName>
    <definedName name="__123Graph_X" localSheetId="5" hidden="1">#REF!</definedName>
    <definedName name="__123Graph_X" localSheetId="8" hidden="1">#REF!</definedName>
    <definedName name="__123Graph_X" localSheetId="6" hidden="1">#REF!</definedName>
    <definedName name="__123Graph_X" hidden="1">#REF!</definedName>
    <definedName name="_Key1" localSheetId="7" hidden="1">#REF!</definedName>
    <definedName name="_Key1" localSheetId="5" hidden="1">#REF!</definedName>
    <definedName name="_Key1" localSheetId="8" hidden="1">#REF!</definedName>
    <definedName name="_Key1" localSheetId="6" hidden="1">#REF!</definedName>
    <definedName name="_Key1" hidden="1">#REF!</definedName>
    <definedName name="_Order1" hidden="1">0</definedName>
    <definedName name="_Order2" hidden="1">0</definedName>
    <definedName name="_Sort" localSheetId="7" hidden="1">#REF!</definedName>
    <definedName name="_Sort" localSheetId="5" hidden="1">#REF!</definedName>
    <definedName name="_Sort" localSheetId="8" hidden="1">#REF!</definedName>
    <definedName name="_Sort" localSheetId="6" hidden="1">#REF!</definedName>
    <definedName name="_Sort" hidden="1">#REF!</definedName>
    <definedName name="_xlnm.Print_Area" localSheetId="0">'Revenue Requirement'!$B$2:$E$42</definedName>
    <definedName name="_xlnm.Print_Area" localSheetId="2">'RevReq-AG 1-26 Update'!$A$1:$F$52</definedName>
    <definedName name="_xlnm.Print_Area" localSheetId="1">'RevReq-Orig Comp Presentation'!$A$1:$F$52</definedName>
    <definedName name="_xlnm.Print_Area" localSheetId="3">'RevReq-Staff 3-7 Update'!$A$1:$F$52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62913"/>
</workbook>
</file>

<file path=xl/calcChain.xml><?xml version="1.0" encoding="utf-8"?>
<calcChain xmlns="http://schemas.openxmlformats.org/spreadsheetml/2006/main">
  <c r="F12" i="54" l="1"/>
  <c r="G14" i="58" l="1"/>
  <c r="E26" i="58"/>
  <c r="D24" i="58"/>
  <c r="G24" i="58" s="1"/>
  <c r="E23" i="58"/>
  <c r="G23" i="58" s="1"/>
  <c r="D23" i="58"/>
  <c r="G11" i="58"/>
  <c r="G26" i="58" l="1"/>
  <c r="D26" i="58"/>
  <c r="G16" i="58"/>
  <c r="E34" i="6"/>
  <c r="F16" i="57" l="1"/>
  <c r="H23" i="60" s="1"/>
  <c r="E33" i="6" l="1"/>
  <c r="I41" i="60"/>
  <c r="J41" i="60" s="1"/>
  <c r="M37" i="60"/>
  <c r="H37" i="60"/>
  <c r="M33" i="60"/>
  <c r="H33" i="60"/>
  <c r="M21" i="60"/>
  <c r="M29" i="60" s="1"/>
  <c r="M11" i="60"/>
  <c r="H10" i="60"/>
  <c r="I10" i="60" s="1"/>
  <c r="C47" i="60"/>
  <c r="E46" i="60"/>
  <c r="F41" i="60"/>
  <c r="E41" i="60"/>
  <c r="D37" i="60"/>
  <c r="E37" i="60" s="1"/>
  <c r="F37" i="60" s="1"/>
  <c r="E36" i="60"/>
  <c r="F36" i="60" s="1"/>
  <c r="E35" i="60"/>
  <c r="F35" i="60" s="1"/>
  <c r="E34" i="60"/>
  <c r="F34" i="60" s="1"/>
  <c r="D33" i="60"/>
  <c r="E33" i="60" s="1"/>
  <c r="F33" i="60" s="1"/>
  <c r="E27" i="60"/>
  <c r="I27" i="60" s="1"/>
  <c r="J27" i="60" s="1"/>
  <c r="D26" i="60"/>
  <c r="E26" i="60" s="1"/>
  <c r="D25" i="60"/>
  <c r="E25" i="60" s="1"/>
  <c r="E24" i="60"/>
  <c r="F24" i="60" s="1"/>
  <c r="D23" i="60"/>
  <c r="E23" i="60" s="1"/>
  <c r="F23" i="60" s="1"/>
  <c r="C21" i="60"/>
  <c r="C29" i="60" s="1"/>
  <c r="D20" i="60"/>
  <c r="E20" i="60" s="1"/>
  <c r="F20" i="60" s="1"/>
  <c r="D19" i="60"/>
  <c r="E19" i="60" s="1"/>
  <c r="F19" i="60" s="1"/>
  <c r="D18" i="60"/>
  <c r="E18" i="60" s="1"/>
  <c r="F18" i="60" s="1"/>
  <c r="D17" i="60"/>
  <c r="E17" i="60" s="1"/>
  <c r="F17" i="60" s="1"/>
  <c r="D16" i="60"/>
  <c r="E16" i="60" s="1"/>
  <c r="F16" i="60" s="1"/>
  <c r="D15" i="60"/>
  <c r="E15" i="60" s="1"/>
  <c r="F15" i="60" s="1"/>
  <c r="D14" i="60"/>
  <c r="C11" i="60"/>
  <c r="E10" i="60"/>
  <c r="F10" i="60" s="1"/>
  <c r="D9" i="60"/>
  <c r="E9" i="60" s="1"/>
  <c r="I9" i="60" s="1"/>
  <c r="J9" i="60" s="1"/>
  <c r="A9" i="60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C7" i="60"/>
  <c r="D7" i="60" s="1"/>
  <c r="I35" i="60" l="1"/>
  <c r="J35" i="60" s="1"/>
  <c r="D21" i="60"/>
  <c r="D29" i="60" s="1"/>
  <c r="F26" i="60"/>
  <c r="I26" i="60"/>
  <c r="J26" i="60" s="1"/>
  <c r="F27" i="60"/>
  <c r="M31" i="60"/>
  <c r="M39" i="60" s="1"/>
  <c r="E35" i="6" s="1"/>
  <c r="I36" i="60"/>
  <c r="J36" i="60" s="1"/>
  <c r="I23" i="60"/>
  <c r="J23" i="60" s="1"/>
  <c r="I34" i="60"/>
  <c r="J34" i="60" s="1"/>
  <c r="I19" i="60"/>
  <c r="J19" i="60" s="1"/>
  <c r="I37" i="60"/>
  <c r="J37" i="60" s="1"/>
  <c r="H11" i="60"/>
  <c r="I24" i="60"/>
  <c r="J24" i="60" s="1"/>
  <c r="I33" i="60"/>
  <c r="J33" i="60" s="1"/>
  <c r="J10" i="60"/>
  <c r="J11" i="60" s="1"/>
  <c r="I11" i="60"/>
  <c r="E11" i="60"/>
  <c r="C31" i="60"/>
  <c r="C48" i="60"/>
  <c r="D11" i="60"/>
  <c r="F25" i="60"/>
  <c r="E47" i="60"/>
  <c r="E14" i="60"/>
  <c r="I14" i="60" s="1"/>
  <c r="J14" i="60" s="1"/>
  <c r="D31" i="60" l="1"/>
  <c r="D39" i="60" s="1"/>
  <c r="F47" i="60"/>
  <c r="C42" i="60"/>
  <c r="C39" i="60"/>
  <c r="E21" i="60"/>
  <c r="E29" i="60" s="1"/>
  <c r="E48" i="60" s="1"/>
  <c r="F14" i="60"/>
  <c r="F21" i="60" s="1"/>
  <c r="F29" i="60" s="1"/>
  <c r="F48" i="60" s="1"/>
  <c r="C44" i="60" l="1"/>
  <c r="C43" i="60"/>
  <c r="C49" i="60"/>
  <c r="E31" i="60"/>
  <c r="E42" i="60" l="1"/>
  <c r="E39" i="60"/>
  <c r="E43" i="60" l="1"/>
  <c r="E44" i="60"/>
  <c r="E49" i="60"/>
  <c r="F9" i="60" s="1"/>
  <c r="F11" i="60" s="1"/>
  <c r="F31" i="60" s="1"/>
  <c r="F42" i="60" l="1"/>
  <c r="F39" i="60"/>
  <c r="F43" i="60" l="1"/>
  <c r="F51" i="60"/>
  <c r="F52" i="60" s="1"/>
  <c r="F44" i="60"/>
  <c r="F49" i="60"/>
  <c r="E26" i="6" l="1"/>
  <c r="E14" i="6" l="1"/>
  <c r="N16" i="6"/>
  <c r="M16" i="6"/>
  <c r="L16" i="6"/>
  <c r="F14" i="54"/>
  <c r="F18" i="54" s="1"/>
  <c r="H25" i="60" s="1"/>
  <c r="I25" i="60" s="1"/>
  <c r="J25" i="60" l="1"/>
  <c r="J47" i="60" s="1"/>
  <c r="I47" i="60"/>
  <c r="O16" i="6"/>
  <c r="E16" i="6" s="1"/>
  <c r="E18" i="6" s="1"/>
  <c r="F22" i="54"/>
  <c r="E36" i="6" s="1"/>
  <c r="D11" i="42" l="1"/>
  <c r="C29" i="42" l="1"/>
  <c r="E13" i="42"/>
  <c r="E18" i="42" s="1"/>
  <c r="E31" i="6" s="1"/>
  <c r="D25" i="42" l="1"/>
  <c r="H16" i="60" s="1"/>
  <c r="I16" i="60" s="1"/>
  <c r="J16" i="60" s="1"/>
  <c r="D26" i="42"/>
  <c r="H17" i="60" s="1"/>
  <c r="I17" i="60" s="1"/>
  <c r="J17" i="60" s="1"/>
  <c r="D27" i="42"/>
  <c r="H18" i="60" s="1"/>
  <c r="I18" i="60" s="1"/>
  <c r="J18" i="60" s="1"/>
  <c r="D24" i="42"/>
  <c r="D28" i="42"/>
  <c r="H20" i="60" s="1"/>
  <c r="I20" i="60" s="1"/>
  <c r="J20" i="60" s="1"/>
  <c r="D29" i="42" l="1"/>
  <c r="E23" i="56"/>
  <c r="E32" i="6" s="1"/>
  <c r="H15" i="60" l="1"/>
  <c r="C47" i="59"/>
  <c r="E46" i="59"/>
  <c r="F41" i="59"/>
  <c r="E41" i="59"/>
  <c r="D37" i="59"/>
  <c r="E37" i="59" s="1"/>
  <c r="F37" i="59" s="1"/>
  <c r="E36" i="59"/>
  <c r="F36" i="59" s="1"/>
  <c r="E35" i="59"/>
  <c r="F35" i="59" s="1"/>
  <c r="E34" i="59"/>
  <c r="F34" i="59" s="1"/>
  <c r="D33" i="59"/>
  <c r="E33" i="59" s="1"/>
  <c r="E27" i="59"/>
  <c r="F27" i="59" s="1"/>
  <c r="E26" i="59"/>
  <c r="F26" i="59" s="1"/>
  <c r="D25" i="59"/>
  <c r="E25" i="59" s="1"/>
  <c r="E24" i="59"/>
  <c r="F24" i="59" s="1"/>
  <c r="D23" i="59"/>
  <c r="E23" i="59" s="1"/>
  <c r="F23" i="59" s="1"/>
  <c r="C21" i="59"/>
  <c r="C29" i="59" s="1"/>
  <c r="C48" i="59" s="1"/>
  <c r="D20" i="59"/>
  <c r="E20" i="59" s="1"/>
  <c r="D19" i="59"/>
  <c r="E19" i="59" s="1"/>
  <c r="D18" i="59"/>
  <c r="E18" i="59" s="1"/>
  <c r="D17" i="59"/>
  <c r="E17" i="59" s="1"/>
  <c r="D16" i="59"/>
  <c r="E16" i="59" s="1"/>
  <c r="D15" i="59"/>
  <c r="D14" i="59"/>
  <c r="E14" i="59" s="1"/>
  <c r="C11" i="59"/>
  <c r="C31" i="59" s="1"/>
  <c r="E10" i="59"/>
  <c r="F10" i="59" s="1"/>
  <c r="D9" i="59"/>
  <c r="E9" i="59" s="1"/>
  <c r="A9" i="59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C7" i="59"/>
  <c r="D7" i="59" s="1"/>
  <c r="H21" i="60" l="1"/>
  <c r="H29" i="60" s="1"/>
  <c r="H31" i="60" s="1"/>
  <c r="H39" i="60" s="1"/>
  <c r="I15" i="60"/>
  <c r="D21" i="59"/>
  <c r="D29" i="59" s="1"/>
  <c r="F18" i="59"/>
  <c r="F19" i="59"/>
  <c r="F16" i="59"/>
  <c r="F20" i="59"/>
  <c r="F33" i="59"/>
  <c r="F17" i="59"/>
  <c r="E15" i="59"/>
  <c r="C42" i="59"/>
  <c r="C39" i="59"/>
  <c r="C49" i="59" s="1"/>
  <c r="E11" i="59"/>
  <c r="F25" i="59"/>
  <c r="E47" i="59"/>
  <c r="D11" i="59"/>
  <c r="F14" i="59"/>
  <c r="J15" i="60" l="1"/>
  <c r="J21" i="60" s="1"/>
  <c r="J29" i="60" s="1"/>
  <c r="I21" i="60"/>
  <c r="I29" i="60" s="1"/>
  <c r="D31" i="59"/>
  <c r="D39" i="59" s="1"/>
  <c r="F15" i="59"/>
  <c r="F21" i="59" s="1"/>
  <c r="F29" i="59" s="1"/>
  <c r="E21" i="59"/>
  <c r="E29" i="59" s="1"/>
  <c r="E31" i="59" s="1"/>
  <c r="C44" i="59"/>
  <c r="C43" i="59"/>
  <c r="F47" i="59"/>
  <c r="I48" i="60" l="1"/>
  <c r="I31" i="60"/>
  <c r="J48" i="60"/>
  <c r="J31" i="60"/>
  <c r="E48" i="59"/>
  <c r="F48" i="59"/>
  <c r="E42" i="59"/>
  <c r="E39" i="59"/>
  <c r="J39" i="60" l="1"/>
  <c r="J42" i="60"/>
  <c r="I42" i="60"/>
  <c r="I39" i="60"/>
  <c r="E43" i="59"/>
  <c r="E44" i="59"/>
  <c r="E49" i="59"/>
  <c r="I44" i="60" l="1"/>
  <c r="I43" i="60"/>
  <c r="I49" i="60"/>
  <c r="N42" i="6" s="1"/>
  <c r="J44" i="60"/>
  <c r="J49" i="60"/>
  <c r="N45" i="6" s="1"/>
  <c r="J43" i="60"/>
  <c r="F9" i="59"/>
  <c r="F11" i="59" s="1"/>
  <c r="F31" i="59" s="1"/>
  <c r="F42" i="59" s="1"/>
  <c r="L49" i="60" l="1"/>
  <c r="E37" i="6" s="1"/>
  <c r="F39" i="59"/>
  <c r="F44" i="59" s="1"/>
  <c r="F43" i="59"/>
  <c r="F51" i="59"/>
  <c r="F52" i="59" s="1"/>
  <c r="F49" i="59" l="1"/>
  <c r="C47" i="53"/>
  <c r="E46" i="53"/>
  <c r="F41" i="53"/>
  <c r="E41" i="53"/>
  <c r="D37" i="53"/>
  <c r="E37" i="53" s="1"/>
  <c r="E36" i="53"/>
  <c r="F36" i="53" s="1"/>
  <c r="E35" i="53"/>
  <c r="F35" i="53" s="1"/>
  <c r="E34" i="53"/>
  <c r="F34" i="53" s="1"/>
  <c r="E33" i="53"/>
  <c r="F33" i="53" s="1"/>
  <c r="E27" i="53"/>
  <c r="F27" i="53" s="1"/>
  <c r="E26" i="53"/>
  <c r="F26" i="53" s="1"/>
  <c r="E25" i="53"/>
  <c r="F25" i="53" s="1"/>
  <c r="E24" i="53"/>
  <c r="F24" i="53" s="1"/>
  <c r="E23" i="53"/>
  <c r="F23" i="53" s="1"/>
  <c r="D21" i="53"/>
  <c r="D29" i="53" s="1"/>
  <c r="C21" i="53"/>
  <c r="C29" i="53" s="1"/>
  <c r="C48" i="53" s="1"/>
  <c r="E20" i="53"/>
  <c r="F20" i="53" s="1"/>
  <c r="E19" i="53"/>
  <c r="F19" i="53" s="1"/>
  <c r="E18" i="53"/>
  <c r="F18" i="53" s="1"/>
  <c r="E17" i="53"/>
  <c r="F17" i="53" s="1"/>
  <c r="E16" i="53"/>
  <c r="F16" i="53" s="1"/>
  <c r="E15" i="53"/>
  <c r="F15" i="53" s="1"/>
  <c r="E14" i="53"/>
  <c r="F14" i="53" s="1"/>
  <c r="D11" i="53"/>
  <c r="C11" i="53"/>
  <c r="E10" i="53"/>
  <c r="E9" i="53"/>
  <c r="A9" i="53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C7" i="53"/>
  <c r="D7" i="53" s="1"/>
  <c r="E47" i="53" l="1"/>
  <c r="D31" i="53"/>
  <c r="E21" i="53"/>
  <c r="E29" i="53" s="1"/>
  <c r="D39" i="53"/>
  <c r="F47" i="53"/>
  <c r="F37" i="53"/>
  <c r="F21" i="53"/>
  <c r="F29" i="53" s="1"/>
  <c r="C31" i="53"/>
  <c r="F10" i="53"/>
  <c r="E11" i="53"/>
  <c r="E48" i="53" l="1"/>
  <c r="F48" i="53"/>
  <c r="E31" i="53"/>
  <c r="E42" i="53" s="1"/>
  <c r="C42" i="53"/>
  <c r="C39" i="53"/>
  <c r="E39" i="53"/>
  <c r="C43" i="53" l="1"/>
  <c r="C44" i="53"/>
  <c r="C49" i="53"/>
  <c r="E43" i="53"/>
  <c r="E44" i="53"/>
  <c r="E49" i="53"/>
  <c r="E10" i="6" s="1"/>
  <c r="E20" i="6" s="1"/>
  <c r="E28" i="6" l="1"/>
  <c r="N41" i="6" s="1"/>
  <c r="F9" i="53"/>
  <c r="F11" i="53" s="1"/>
  <c r="F31" i="53" s="1"/>
  <c r="F39" i="53" s="1"/>
  <c r="F42" i="53" l="1"/>
  <c r="F51" i="53"/>
  <c r="F52" i="53" s="1"/>
  <c r="F43" i="53"/>
  <c r="F44" i="53"/>
  <c r="F49" i="53"/>
  <c r="E39" i="6" l="1"/>
  <c r="E41" i="6" s="1"/>
  <c r="N44" i="6" s="1"/>
</calcChain>
</file>

<file path=xl/sharedStrings.xml><?xml version="1.0" encoding="utf-8"?>
<sst xmlns="http://schemas.openxmlformats.org/spreadsheetml/2006/main" count="308" uniqueCount="168">
  <si>
    <t>Amount</t>
  </si>
  <si>
    <t>See Separate Worksheet Tab</t>
  </si>
  <si>
    <t>($ Millions)</t>
  </si>
  <si>
    <t xml:space="preserve">Adjustment </t>
  </si>
  <si>
    <t>Description</t>
  </si>
  <si>
    <t>($)</t>
  </si>
  <si>
    <t>Adjust Annualization of Payroll Expense</t>
  </si>
  <si>
    <t xml:space="preserve">Jackson Purchase Energy Corporation </t>
  </si>
  <si>
    <t>Case Number 2021-00358</t>
  </si>
  <si>
    <t>Summary AG-Revenue Requirement Recommendations</t>
  </si>
  <si>
    <t>JACKSON PURCHASE ENERGY CORPORATION</t>
  </si>
  <si>
    <t>Statement of Operations &amp; Revenue Requirement</t>
  </si>
  <si>
    <t>For the 12 Months Ended December 31, 2019</t>
  </si>
  <si>
    <t>AG</t>
  </si>
  <si>
    <t>Actual Rates</t>
  </si>
  <si>
    <t>Pro Forma</t>
  </si>
  <si>
    <t>Present Rates</t>
  </si>
  <si>
    <t>Proposed Rates</t>
  </si>
  <si>
    <t xml:space="preserve">AG </t>
  </si>
  <si>
    <t>Line</t>
  </si>
  <si>
    <t>Actual Test Yr</t>
  </si>
  <si>
    <t>Adjustment</t>
  </si>
  <si>
    <t>Adj Test Yr</t>
  </si>
  <si>
    <t>#</t>
  </si>
  <si>
    <t>(4)</t>
  </si>
  <si>
    <t>(5)</t>
  </si>
  <si>
    <t>(6)</t>
  </si>
  <si>
    <t>(7)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</si>
  <si>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</si>
  <si>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</si>
  <si>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</si>
  <si>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</si>
  <si>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</si>
  <si>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</si>
  <si>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</si>
  <si>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</si>
  <si>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</si>
  <si>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</si>
  <si>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</si>
  <si>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</si>
  <si>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</si>
  <si>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</si>
  <si>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</si>
  <si>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</si>
  <si>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</si>
  <si>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</si>
  <si>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</si>
  <si>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</si>
  <si>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</si>
  <si>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</si>
  <si>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</si>
  <si>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</si>
  <si>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</si>
  <si>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</si>
  <si>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</si>
  <si>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</si>
  <si>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</si>
  <si>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</si>
  <si>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</si>
  <si>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</si>
  <si>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</si>
  <si>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</si>
  <si>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Reduction</t>
  </si>
  <si>
    <t>Revenue Deficiency</t>
  </si>
  <si>
    <t>Increase Needed to Achieve Revenue Requirement ($) &gt;</t>
  </si>
  <si>
    <t>Increase Needed to Achieve Revenue Requirement (%) &gt;</t>
  </si>
  <si>
    <t>AG Recommended Maximum Base Rate Increase for JPEC</t>
  </si>
  <si>
    <t>Source:</t>
  </si>
  <si>
    <t>AG Recommendation to Decrease XXX</t>
  </si>
  <si>
    <t>Errors</t>
  </si>
  <si>
    <t>Reflect TIER of 1.50</t>
  </si>
  <si>
    <t>Revised 11-29-2021</t>
  </si>
  <si>
    <t>Company</t>
  </si>
  <si>
    <t xml:space="preserve">Input </t>
  </si>
  <si>
    <t>Column C</t>
  </si>
  <si>
    <t>Note :</t>
  </si>
  <si>
    <t>Refer to Form 7</t>
  </si>
  <si>
    <t>Actual</t>
  </si>
  <si>
    <t>Amount of Increase Requested by JPEC - Original Filing</t>
  </si>
  <si>
    <t>JPEC's Updated Increase Amount - Response to AG 1-26</t>
  </si>
  <si>
    <t>No TIER Change</t>
  </si>
  <si>
    <t>With TIER Change</t>
  </si>
  <si>
    <t>Reduction Due to TIER</t>
  </si>
  <si>
    <t>AG 1-14</t>
  </si>
  <si>
    <t>AG Recommendation to Decrease Utilities Expense</t>
  </si>
  <si>
    <t>2019 Utilities Expense in Account 588.1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</si>
  <si>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</si>
  <si>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</si>
  <si>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</si>
  <si>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</si>
  <si>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</si>
  <si>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</si>
  <si>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</si>
  <si>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</si>
  <si>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</si>
  <si>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</si>
  <si>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</si>
  <si>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</si>
  <si>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2019 Utilities Expense to Remove</t>
  </si>
  <si>
    <t>Remove Utilities Expense Associated with Old Headquarters Building</t>
  </si>
  <si>
    <t>W/O TIER Adjustment</t>
  </si>
  <si>
    <t>Check</t>
  </si>
  <si>
    <t>Schedule 1.12</t>
  </si>
  <si>
    <t>Proforma Total Payroll</t>
  </si>
  <si>
    <t>Expense</t>
  </si>
  <si>
    <t>Proforma Payroll Expense</t>
  </si>
  <si>
    <t>2020 Payroll Expense</t>
  </si>
  <si>
    <t>Recommended Reduction in Payroll Expense</t>
  </si>
  <si>
    <t>Total</t>
  </si>
  <si>
    <t>Reduction to Expense by Account Based on Company's Percentages</t>
  </si>
  <si>
    <t>Response to AG 1-26(f)</t>
  </si>
  <si>
    <t>Reflect Company's 2021 Restatement of LTD Interest Expense</t>
  </si>
  <si>
    <t>2.0 times</t>
  </si>
  <si>
    <t>1.0 times</t>
  </si>
  <si>
    <t>total</t>
  </si>
  <si>
    <t>November 2021 New Debt Issue</t>
  </si>
  <si>
    <t>Additional Debt Other than New HQ Building</t>
  </si>
  <si>
    <t>November 2021 New Debt Interest Rate</t>
  </si>
  <si>
    <t xml:space="preserve">AG Recommendation to Remove Additional LTD Int Expense </t>
  </si>
  <si>
    <t>2.00 Tier Effect of LTD Interest Expense Reduction</t>
  </si>
  <si>
    <t>TIER - As Filed</t>
  </si>
  <si>
    <t>New Schedule 1.20</t>
  </si>
  <si>
    <t>Amount of Increase Requested by JPEC - After JPEC Update in Response to AG 1-26</t>
  </si>
  <si>
    <t>Reflect Company's Modification of Depreciation Expense on HQ Building</t>
  </si>
  <si>
    <t xml:space="preserve">Reflect Company's Correction of Recoverable Health Care Costs </t>
  </si>
  <si>
    <t>Reflect JPEC's Increase in Capacity Revenues in Response to AG Discovery</t>
  </si>
  <si>
    <t>Total AG Adjustments to JPEC's Updated Requested Increase</t>
  </si>
  <si>
    <t>LTD Int Restatement Components</t>
  </si>
  <si>
    <t>Reduce Rate Case Expenses for Actual Amount Incurred in Test Year</t>
  </si>
  <si>
    <t>Remove STD Interest Expense Not Recurring</t>
  </si>
  <si>
    <t>JPEC's Updated Increase Amount - Response to Staff 3-7</t>
  </si>
  <si>
    <t>Total JPEC Adjustments to JPEC's Original Requested Increase - Response to AG 1-26</t>
  </si>
  <si>
    <t>Total JPEC Adjustments to JPEC's Original Requested Increase - Response to Staff 3-7</t>
  </si>
  <si>
    <t>Amount of Increase Requested by JPEC - After JPEC Update in Response to Staff 3-7</t>
  </si>
  <si>
    <t>AG Adjustments to JPEC's Updated Calculated Revenue Requirement:</t>
  </si>
  <si>
    <t>Portion of Nov 2021 Debt Issue Applicable to New HQ Bldg Costs</t>
  </si>
  <si>
    <t>AG 1-26 Updated Rev Req Model, AG 2-15</t>
  </si>
  <si>
    <t>AG 2-15</t>
  </si>
  <si>
    <t>AG 1-26 Update - Also 3-7</t>
  </si>
  <si>
    <t>Remove LTD Interest Expense on November 2021 Issuance not Associated with HQ Building</t>
  </si>
  <si>
    <t>AG Recommendation to Decrease New HQ Depreciation Expense Proforma Adjustment</t>
  </si>
  <si>
    <t xml:space="preserve">Source: </t>
  </si>
  <si>
    <t>Depreciation Expense Incurred During Test Year - Sch 1.13 Line 23</t>
  </si>
  <si>
    <t>(Account 390 Structures and Improvements)</t>
  </si>
  <si>
    <t>Depreciation Saved on Old HQ Building</t>
  </si>
  <si>
    <t>AG Recommendation to Decrease New HQ Depreciation Expense Proforma</t>
  </si>
  <si>
    <t>Schedule 1.13 and Updated Schedule 1.17</t>
  </si>
  <si>
    <t>Company's Updated Proforma Adjustment 1.17</t>
  </si>
  <si>
    <t>Represents Actual Depreciation Expense Saved</t>
  </si>
  <si>
    <t>Remove Additional Depreciation Expense for Old HQ Building Incurred in Test Year</t>
  </si>
  <si>
    <t>With TIER Adjustment</t>
  </si>
  <si>
    <t>AG Recommendation to Decrease ROW Maintenance</t>
  </si>
  <si>
    <t>Company Proforma Amount - 358 miles x $10,760 per mile</t>
  </si>
  <si>
    <t>AG Recommended Reduction to Company’s As Filed Amount</t>
  </si>
  <si>
    <t>Actual Test Year ROW Expense - Before Proforma Adjustments</t>
  </si>
  <si>
    <t>Reduce ROW Maintenance Expense</t>
  </si>
  <si>
    <t>Schedule 1.18, AG1-38 Attachment Page 57 of 74</t>
  </si>
  <si>
    <t xml:space="preserve">Halter Group </t>
  </si>
  <si>
    <t>Miles</t>
  </si>
  <si>
    <t>Cost</t>
  </si>
  <si>
    <t>Cost Per Mile</t>
  </si>
  <si>
    <t>Townsend</t>
  </si>
  <si>
    <t>AG 1-38 Attachment Page 57 of 74</t>
  </si>
  <si>
    <t>2020 Average Per Circuit Mile</t>
  </si>
  <si>
    <t>AG Recommended Proforma Amount - 358 miles x $5,665 per mile</t>
  </si>
  <si>
    <t>Sch 1.17</t>
  </si>
  <si>
    <t>Updated</t>
  </si>
  <si>
    <t>Correct Clerical Errors in Test Year Net Margin Before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</si>
</sst>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&quot;$&quot;* #,##0_);_(&quot;$&quot;* \(#,##0\);_(&quot;$&quot;* &quot;-&quot;??_);_(@_)"/>
    <numFmt numFmtId="167" formatCode="_(* #,##0.0_);_(* \(#,##0.0\);&quot;&quot;;_(@_)"/>
    <numFmt numFmtId="168" formatCode="[Blue]#,##0,_);[Red]\(#,##0,\)"/>
    <numFmt numFmtId="169" formatCode="0\ 00\ 000\ 000"/>
    <numFmt numFmtId="170" formatCode="&quot;$&quot;#,##0\ ;\(&quot;$&quot;#,##0\)"/>
    <numFmt numFmtId="171" formatCode="_([$€-2]* #,##0.00_);_([$€-2]* \(#,##0.00\);_([$€-2]* &quot;-&quot;??_)"/>
    <numFmt numFmtId="172" formatCode="_-* #,##0.00\ [$€]_-;\-* #,##0.00\ [$€]_-;_-* &quot;-&quot;??\ [$€]_-;_-@_-"/>
    <numFmt numFmtId="173" formatCode="#,##0,;[Red]\(#,##0,\)"/>
    <numFmt numFmtId="174" formatCode="#,##0.00;[Red]\(#,##0.00\)"/>
    <numFmt numFmtId="175" formatCode="#,##0.00\ &quot;DM&quot;;[Red]\-#,##0.00\ &quot;DM&quot;"/>
    <numFmt numFmtId="176" formatCode="\(#\)"/>
    <numFmt numFmtId="177" formatCode="0.0%"/>
    <numFmt numFmtId="178" formatCode="0.000%"/>
    <numFmt numFmtId="179" formatCode="0.0"/>
  </numFmts>
  <fonts count="11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11"/>
      <color theme="1"/>
      <name val="Calibri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2"/>
      <name val="Tms Rmn"/>
    </font>
    <font>
      <b/>
      <sz val="14"/>
      <name val="Arial"/>
      <family val="2"/>
    </font>
    <font>
      <sz val="6"/>
      <name val="Arial"/>
      <family val="2"/>
    </font>
    <font>
      <b/>
      <sz val="12"/>
      <name val="Tms Rmn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2"/>
      <color indexed="13"/>
      <name val="Tms Rmn"/>
    </font>
    <font>
      <sz val="10"/>
      <name val="Courier"/>
      <family val="3"/>
    </font>
    <font>
      <sz val="8"/>
      <color indexed="8"/>
      <name val="Wingdings"/>
      <charset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1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7" fillId="0" borderId="0"/>
    <xf numFmtId="0" fontId="30" fillId="0" borderId="0" applyNumberFormat="0" applyFont="0" applyFill="0" applyBorder="0" applyAlignment="0" applyProtection="0">
      <alignment horizontal="left"/>
    </xf>
    <xf numFmtId="4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8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8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9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9" fillId="20" borderId="1" applyNumberFormat="0" applyAlignment="0" applyProtection="0"/>
    <xf numFmtId="0" fontId="11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0" fillId="25" borderId="2" applyNumberFormat="0" applyAlignment="0" applyProtection="0"/>
    <xf numFmtId="0" fontId="41" fillId="21" borderId="2" applyNumberFormat="0" applyAlignment="0" applyProtection="0"/>
    <xf numFmtId="0" fontId="40" fillId="21" borderId="2" applyNumberFormat="0" applyAlignment="0" applyProtection="0"/>
    <xf numFmtId="0" fontId="11" fillId="21" borderId="2" applyNumberFormat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14" fillId="0" borderId="3" applyNumberFormat="0" applyFill="0" applyAlignment="0" applyProtection="0"/>
    <xf numFmtId="0" fontId="53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15" fillId="0" borderId="4" applyNumberFormat="0" applyFill="0" applyAlignment="0" applyProtection="0"/>
    <xf numFmtId="0" fontId="57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16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62" fillId="7" borderId="1" applyNumberFormat="0" applyAlignment="0" applyProtection="0"/>
    <xf numFmtId="41" fontId="63" fillId="0" borderId="0">
      <alignment horizontal="left"/>
    </xf>
    <xf numFmtId="0" fontId="18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19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3" fillId="0" borderId="0"/>
    <xf numFmtId="0" fontId="44" fillId="0" borderId="0"/>
    <xf numFmtId="37" fontId="68" fillId="0" borderId="0"/>
    <xf numFmtId="0" fontId="68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0" fontId="69" fillId="0" borderId="0"/>
    <xf numFmtId="0" fontId="69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29" fillId="0" borderId="0"/>
    <xf numFmtId="0" fontId="6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38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" fillId="0" borderId="0"/>
    <xf numFmtId="0" fontId="43" fillId="0" borderId="0"/>
    <xf numFmtId="0" fontId="44" fillId="0" borderId="0"/>
    <xf numFmtId="0" fontId="44" fillId="0" borderId="0"/>
    <xf numFmtId="0" fontId="29" fillId="0" borderId="0"/>
    <xf numFmtId="0" fontId="70" fillId="0" borderId="0"/>
    <xf numFmtId="0" fontId="43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23" borderId="7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0" fontId="29" fillId="23" borderId="1" applyNumberFormat="0" applyFont="0" applyAlignment="0" applyProtection="0"/>
    <xf numFmtId="43" fontId="61" fillId="0" borderId="0"/>
    <xf numFmtId="168" fontId="71" fillId="0" borderId="0"/>
    <xf numFmtId="0" fontId="20" fillId="20" borderId="8" applyNumberFormat="0" applyAlignment="0" applyProtection="0"/>
    <xf numFmtId="0" fontId="72" fillId="20" borderId="8" applyNumberFormat="0" applyAlignment="0" applyProtection="0"/>
    <xf numFmtId="0" fontId="72" fillId="20" borderId="8" applyNumberFormat="0" applyAlignment="0" applyProtection="0"/>
    <xf numFmtId="0" fontId="72" fillId="20" borderId="8" applyNumberFormat="0" applyAlignment="0" applyProtection="0"/>
    <xf numFmtId="0" fontId="73" fillId="20" borderId="8" applyNumberFormat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0" fontId="74" fillId="0" borderId="15">
      <alignment horizontal="center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7" fillId="0" borderId="9" applyNumberFormat="0" applyFill="0" applyAlignment="0" applyProtection="0"/>
    <xf numFmtId="0" fontId="76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29" borderId="0"/>
    <xf numFmtId="0" fontId="4" fillId="29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47" fillId="0" borderId="22" applyBorder="0">
      <alignment horizontal="center" vertical="center"/>
    </xf>
    <xf numFmtId="0" fontId="40" fillId="42" borderId="0">
      <alignment horizontal="left"/>
    </xf>
    <xf numFmtId="0" fontId="80" fillId="42" borderId="0">
      <alignment horizontal="right"/>
    </xf>
    <xf numFmtId="0" fontId="81" fillId="43" borderId="0">
      <alignment horizontal="center"/>
    </xf>
    <xf numFmtId="0" fontId="80" fillId="42" borderId="0">
      <alignment horizontal="right"/>
    </xf>
    <xf numFmtId="0" fontId="82" fillId="43" borderId="0">
      <alignment horizontal="left"/>
    </xf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85" fillId="0" borderId="0"/>
    <xf numFmtId="0" fontId="85" fillId="0" borderId="23"/>
    <xf numFmtId="0" fontId="4" fillId="0" borderId="0" applyFont="0" applyFill="0" applyBorder="0" applyAlignment="0" applyProtection="0"/>
    <xf numFmtId="0" fontId="4" fillId="10" borderId="24" applyNumberFormat="0" applyFont="0" applyAlignment="0">
      <protection locked="0"/>
    </xf>
    <xf numFmtId="0" fontId="4" fillId="10" borderId="24" applyNumberFormat="0" applyFont="0" applyAlignment="0">
      <protection locked="0"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 applyProtection="0"/>
    <xf numFmtId="0" fontId="83" fillId="0" borderId="0" applyProtection="0"/>
    <xf numFmtId="0" fontId="86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6" fillId="0" borderId="0" applyProtection="0"/>
    <xf numFmtId="0" fontId="87" fillId="0" borderId="0" applyProtection="0"/>
    <xf numFmtId="2" fontId="4" fillId="0" borderId="0" applyFont="0" applyFill="0" applyBorder="0" applyAlignment="0" applyProtection="0"/>
    <xf numFmtId="0" fontId="88" fillId="44" borderId="23"/>
    <xf numFmtId="0" fontId="40" fillId="42" borderId="0">
      <alignment horizontal="left"/>
    </xf>
    <xf numFmtId="0" fontId="76" fillId="43" borderId="0">
      <alignment horizontal="left"/>
    </xf>
    <xf numFmtId="0" fontId="76" fillId="43" borderId="0">
      <alignment horizontal="lef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3" fillId="0" borderId="0"/>
    <xf numFmtId="0" fontId="8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0" fontId="31" fillId="45" borderId="25" applyNumberFormat="0" applyFont="0" applyAlignment="0" applyProtection="0"/>
    <xf numFmtId="4" fontId="32" fillId="46" borderId="0">
      <alignment horizontal="right"/>
    </xf>
    <xf numFmtId="40" fontId="89" fillId="46" borderId="0">
      <alignment horizontal="right"/>
    </xf>
    <xf numFmtId="174" fontId="32" fillId="43" borderId="0">
      <alignment horizontal="right"/>
    </xf>
    <xf numFmtId="40" fontId="89" fillId="46" borderId="0">
      <alignment horizontal="right"/>
    </xf>
    <xf numFmtId="0" fontId="90" fillId="46" borderId="0">
      <alignment horizontal="center" vertical="center"/>
    </xf>
    <xf numFmtId="0" fontId="91" fillId="46" borderId="0">
      <alignment horizontal="right"/>
    </xf>
    <xf numFmtId="0" fontId="90" fillId="44" borderId="0">
      <alignment horizontal="center"/>
    </xf>
    <xf numFmtId="0" fontId="91" fillId="46" borderId="0">
      <alignment horizontal="right"/>
    </xf>
    <xf numFmtId="0" fontId="76" fillId="46" borderId="22"/>
    <xf numFmtId="0" fontId="92" fillId="46" borderId="22"/>
    <xf numFmtId="0" fontId="40" fillId="47" borderId="0"/>
    <xf numFmtId="0" fontId="92" fillId="46" borderId="22"/>
    <xf numFmtId="0" fontId="90" fillId="46" borderId="0" applyBorder="0">
      <alignment horizontal="centerContinuous"/>
    </xf>
    <xf numFmtId="0" fontId="92" fillId="0" borderId="0" applyBorder="0">
      <alignment horizontal="centerContinuous"/>
    </xf>
    <xf numFmtId="0" fontId="93" fillId="43" borderId="0" applyBorder="0">
      <alignment horizontal="centerContinuous"/>
    </xf>
    <xf numFmtId="0" fontId="92" fillId="0" borderId="0" applyBorder="0">
      <alignment horizontal="centerContinuous"/>
    </xf>
    <xf numFmtId="0" fontId="94" fillId="46" borderId="0" applyBorder="0">
      <alignment horizontal="centerContinuous"/>
    </xf>
    <xf numFmtId="0" fontId="95" fillId="0" borderId="0" applyBorder="0">
      <alignment horizontal="centerContinuous"/>
    </xf>
    <xf numFmtId="0" fontId="96" fillId="47" borderId="0" applyBorder="0">
      <alignment horizontal="centerContinuous"/>
    </xf>
    <xf numFmtId="0" fontId="95" fillId="0" borderId="0" applyBorder="0">
      <alignment horizontal="centerContinuous"/>
    </xf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76" fillId="22" borderId="0">
      <alignment horizontal="center"/>
    </xf>
    <xf numFmtId="0" fontId="76" fillId="22" borderId="0">
      <alignment horizontal="center"/>
    </xf>
    <xf numFmtId="49" fontId="97" fillId="43" borderId="0">
      <alignment horizontal="center"/>
    </xf>
    <xf numFmtId="0" fontId="85" fillId="0" borderId="0"/>
    <xf numFmtId="0" fontId="80" fillId="42" borderId="0">
      <alignment horizontal="center"/>
    </xf>
    <xf numFmtId="0" fontId="80" fillId="42" borderId="0">
      <alignment horizontal="centerContinuous"/>
    </xf>
    <xf numFmtId="0" fontId="98" fillId="43" borderId="0">
      <alignment horizontal="left"/>
    </xf>
    <xf numFmtId="49" fontId="98" fillId="43" borderId="0">
      <alignment horizontal="center"/>
    </xf>
    <xf numFmtId="0" fontId="40" fillId="42" borderId="0">
      <alignment horizontal="left"/>
    </xf>
    <xf numFmtId="49" fontId="98" fillId="43" borderId="0">
      <alignment horizontal="left"/>
    </xf>
    <xf numFmtId="0" fontId="40" fillId="42" borderId="0">
      <alignment horizontal="centerContinuous"/>
    </xf>
    <xf numFmtId="0" fontId="40" fillId="42" borderId="0">
      <alignment horizontal="right"/>
    </xf>
    <xf numFmtId="49" fontId="76" fillId="43" borderId="0">
      <alignment horizontal="left"/>
    </xf>
    <xf numFmtId="49" fontId="76" fillId="43" borderId="0">
      <alignment horizontal="left"/>
    </xf>
    <xf numFmtId="0" fontId="80" fillId="42" borderId="0">
      <alignment horizontal="right"/>
    </xf>
    <xf numFmtId="0" fontId="98" fillId="7" borderId="0">
      <alignment horizontal="center"/>
    </xf>
    <xf numFmtId="0" fontId="99" fillId="7" borderId="0">
      <alignment horizontal="center"/>
    </xf>
    <xf numFmtId="4" fontId="6" fillId="48" borderId="26" applyNumberFormat="0" applyProtection="0">
      <alignment vertical="center"/>
    </xf>
    <xf numFmtId="4" fontId="6" fillId="48" borderId="26" applyNumberFormat="0" applyProtection="0">
      <alignment vertical="center"/>
    </xf>
    <xf numFmtId="4" fontId="100" fillId="48" borderId="27" applyNumberFormat="0" applyProtection="0">
      <alignment vertical="center"/>
    </xf>
    <xf numFmtId="4" fontId="6" fillId="48" borderId="26" applyNumberFormat="0" applyProtection="0">
      <alignment horizontal="left" vertical="center" indent="1"/>
    </xf>
    <xf numFmtId="4" fontId="6" fillId="48" borderId="26" applyNumberFormat="0" applyProtection="0">
      <alignment horizontal="left" vertical="center" indent="1"/>
    </xf>
    <xf numFmtId="0" fontId="6" fillId="49" borderId="27" applyNumberFormat="0" applyProtection="0">
      <alignment horizontal="left" vertical="top" indent="1"/>
    </xf>
    <xf numFmtId="0" fontId="6" fillId="49" borderId="27" applyNumberFormat="0" applyProtection="0">
      <alignment horizontal="left" vertical="top" indent="1"/>
    </xf>
    <xf numFmtId="4" fontId="6" fillId="47" borderId="0" applyNumberFormat="0" applyProtection="0">
      <alignment horizontal="left" vertical="center" indent="1"/>
    </xf>
    <xf numFmtId="4" fontId="6" fillId="47" borderId="0" applyNumberFormat="0" applyProtection="0">
      <alignment horizontal="left" vertical="center" indent="1"/>
    </xf>
    <xf numFmtId="4" fontId="4" fillId="48" borderId="27" applyNumberFormat="0" applyProtection="0">
      <alignment horizontal="right" vertical="center"/>
    </xf>
    <xf numFmtId="4" fontId="4" fillId="48" borderId="27" applyNumberFormat="0" applyProtection="0">
      <alignment horizontal="right" vertical="center"/>
    </xf>
    <xf numFmtId="4" fontId="101" fillId="50" borderId="27" applyNumberFormat="0" applyProtection="0">
      <alignment horizontal="right" vertical="center"/>
    </xf>
    <xf numFmtId="4" fontId="101" fillId="51" borderId="27" applyNumberFormat="0" applyProtection="0">
      <alignment horizontal="right" vertical="center"/>
    </xf>
    <xf numFmtId="4" fontId="4" fillId="22" borderId="27" applyNumberFormat="0" applyProtection="0">
      <alignment horizontal="right" vertical="center"/>
    </xf>
    <xf numFmtId="4" fontId="4" fillId="22" borderId="27" applyNumberFormat="0" applyProtection="0">
      <alignment horizontal="right" vertical="center"/>
    </xf>
    <xf numFmtId="4" fontId="4" fillId="8" borderId="27" applyNumberFormat="0" applyProtection="0">
      <alignment horizontal="right" vertical="center"/>
    </xf>
    <xf numFmtId="4" fontId="4" fillId="8" borderId="27" applyNumberFormat="0" applyProtection="0">
      <alignment horizontal="right" vertical="center"/>
    </xf>
    <xf numFmtId="4" fontId="4" fillId="3" borderId="27" applyNumberFormat="0" applyProtection="0">
      <alignment horizontal="right" vertical="center"/>
    </xf>
    <xf numFmtId="4" fontId="4" fillId="3" borderId="27" applyNumberFormat="0" applyProtection="0">
      <alignment horizontal="right" vertical="center"/>
    </xf>
    <xf numFmtId="4" fontId="101" fillId="17" borderId="27" applyNumberFormat="0" applyProtection="0">
      <alignment horizontal="right" vertical="center"/>
    </xf>
    <xf numFmtId="4" fontId="101" fillId="15" borderId="27" applyNumberFormat="0" applyProtection="0">
      <alignment horizontal="right" vertical="center"/>
    </xf>
    <xf numFmtId="4" fontId="4" fillId="14" borderId="27" applyNumberFormat="0" applyProtection="0">
      <alignment horizontal="right" vertical="center"/>
    </xf>
    <xf numFmtId="4" fontId="4" fillId="14" borderId="27" applyNumberFormat="0" applyProtection="0">
      <alignment horizontal="right" vertical="center"/>
    </xf>
    <xf numFmtId="4" fontId="6" fillId="52" borderId="0" applyNumberFormat="0" applyProtection="0">
      <alignment horizontal="left" vertical="center" indent="1"/>
    </xf>
    <xf numFmtId="4" fontId="6" fillId="52" borderId="0" applyNumberFormat="0" applyProtection="0">
      <alignment horizontal="left" vertical="center" indent="1"/>
    </xf>
    <xf numFmtId="4" fontId="4" fillId="19" borderId="0" applyNumberFormat="0" applyProtection="0">
      <alignment horizontal="left" vertical="center" indent="1"/>
    </xf>
    <xf numFmtId="4" fontId="4" fillId="19" borderId="0" applyNumberFormat="0" applyProtection="0">
      <alignment horizontal="left" vertical="center" indent="1"/>
    </xf>
    <xf numFmtId="4" fontId="97" fillId="53" borderId="0" applyNumberFormat="0" applyProtection="0">
      <alignment horizontal="left" vertical="center" indent="1"/>
    </xf>
    <xf numFmtId="4" fontId="97" fillId="53" borderId="0" applyNumberFormat="0" applyProtection="0">
      <alignment horizontal="left" vertical="center" indent="1"/>
    </xf>
    <xf numFmtId="4" fontId="4" fillId="19" borderId="26" applyNumberFormat="0" applyProtection="0">
      <alignment horizontal="right" vertical="center"/>
    </xf>
    <xf numFmtId="4" fontId="4" fillId="19" borderId="26" applyNumberFormat="0" applyProtection="0">
      <alignment horizontal="right" vertical="center"/>
    </xf>
    <xf numFmtId="4" fontId="4" fillId="19" borderId="0" applyNumberFormat="0" applyProtection="0">
      <alignment horizontal="left" vertical="center" indent="1"/>
    </xf>
    <xf numFmtId="4" fontId="4" fillId="1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0" fontId="4" fillId="19" borderId="26" applyNumberFormat="0" applyProtection="0">
      <alignment horizontal="left" vertical="center" indent="1"/>
    </xf>
    <xf numFmtId="0" fontId="4" fillId="19" borderId="26" applyNumberFormat="0" applyProtection="0">
      <alignment horizontal="left" vertical="center" indent="1"/>
    </xf>
    <xf numFmtId="0" fontId="4" fillId="19" borderId="27" applyNumberFormat="0" applyProtection="0">
      <alignment horizontal="left" vertical="top" indent="1"/>
    </xf>
    <xf numFmtId="0" fontId="4" fillId="19" borderId="27" applyNumberFormat="0" applyProtection="0">
      <alignment horizontal="left" vertical="top" indent="1"/>
    </xf>
    <xf numFmtId="0" fontId="4" fillId="19" borderId="26" applyNumberFormat="0" applyProtection="0">
      <alignment horizontal="left" vertical="center" indent="1"/>
    </xf>
    <xf numFmtId="0" fontId="4" fillId="19" borderId="26" applyNumberFormat="0" applyProtection="0">
      <alignment horizontal="left" vertical="center" indent="1"/>
    </xf>
    <xf numFmtId="0" fontId="4" fillId="19" borderId="27" applyNumberFormat="0" applyProtection="0">
      <alignment horizontal="left" vertical="top" indent="1"/>
    </xf>
    <xf numFmtId="0" fontId="4" fillId="19" borderId="27" applyNumberFormat="0" applyProtection="0">
      <alignment horizontal="left" vertical="top" indent="1"/>
    </xf>
    <xf numFmtId="0" fontId="4" fillId="19" borderId="26" applyNumberFormat="0" applyProtection="0">
      <alignment horizontal="left" vertical="center" indent="1"/>
    </xf>
    <xf numFmtId="0" fontId="4" fillId="19" borderId="26" applyNumberFormat="0" applyProtection="0">
      <alignment horizontal="left" vertical="center" indent="1"/>
    </xf>
    <xf numFmtId="0" fontId="4" fillId="19" borderId="27" applyNumberFormat="0" applyProtection="0">
      <alignment horizontal="left" vertical="top" indent="1"/>
    </xf>
    <xf numFmtId="0" fontId="4" fillId="19" borderId="27" applyNumberFormat="0" applyProtection="0">
      <alignment horizontal="left" vertical="top" indent="1"/>
    </xf>
    <xf numFmtId="0" fontId="4" fillId="19" borderId="26" applyNumberFormat="0" applyProtection="0">
      <alignment horizontal="left" vertical="center" indent="1"/>
    </xf>
    <xf numFmtId="0" fontId="4" fillId="19" borderId="26" applyNumberFormat="0" applyProtection="0">
      <alignment horizontal="left" vertical="center" indent="1"/>
    </xf>
    <xf numFmtId="0" fontId="4" fillId="19" borderId="27" applyNumberFormat="0" applyProtection="0">
      <alignment horizontal="left" vertical="top" indent="1"/>
    </xf>
    <xf numFmtId="0" fontId="4" fillId="19" borderId="27" applyNumberFormat="0" applyProtection="0">
      <alignment horizontal="left" vertical="top" indent="1"/>
    </xf>
    <xf numFmtId="4" fontId="32" fillId="54" borderId="27" applyNumberFormat="0" applyProtection="0">
      <alignment vertical="center"/>
    </xf>
    <xf numFmtId="4" fontId="102" fillId="54" borderId="27" applyNumberFormat="0" applyProtection="0">
      <alignment vertical="center"/>
    </xf>
    <xf numFmtId="4" fontId="4" fillId="19" borderId="27" applyNumberFormat="0" applyProtection="0">
      <alignment horizontal="left" vertical="center" indent="1"/>
    </xf>
    <xf numFmtId="4" fontId="4" fillId="19" borderId="27" applyNumberFormat="0" applyProtection="0">
      <alignment horizontal="left" vertical="center" indent="1"/>
    </xf>
    <xf numFmtId="0" fontId="4" fillId="19" borderId="27" applyNumberFormat="0" applyProtection="0">
      <alignment horizontal="left" vertical="top" indent="1"/>
    </xf>
    <xf numFmtId="0" fontId="4" fillId="19" borderId="27" applyNumberFormat="0" applyProtection="0">
      <alignment horizontal="left" vertical="top" indent="1"/>
    </xf>
    <xf numFmtId="4" fontId="4" fillId="55" borderId="26" applyNumberFormat="0" applyProtection="0">
      <alignment horizontal="right" vertical="center"/>
    </xf>
    <xf numFmtId="4" fontId="4" fillId="55" borderId="26" applyNumberFormat="0" applyProtection="0">
      <alignment horizontal="right" vertical="center"/>
    </xf>
    <xf numFmtId="4" fontId="6" fillId="55" borderId="26" applyNumberFormat="0" applyProtection="0">
      <alignment horizontal="right" vertical="center"/>
    </xf>
    <xf numFmtId="4" fontId="6" fillId="55" borderId="26" applyNumberFormat="0" applyProtection="0">
      <alignment horizontal="right" vertical="center"/>
    </xf>
    <xf numFmtId="4" fontId="4" fillId="19" borderId="26" applyNumberFormat="0" applyProtection="0">
      <alignment horizontal="left" vertical="center" indent="1"/>
    </xf>
    <xf numFmtId="4" fontId="4" fillId="19" borderId="26" applyNumberFormat="0" applyProtection="0">
      <alignment horizontal="left" vertical="center" indent="1"/>
    </xf>
    <xf numFmtId="0" fontId="4" fillId="19" borderId="26" applyNumberFormat="0" applyProtection="0">
      <alignment horizontal="left" vertical="top" indent="1"/>
    </xf>
    <xf numFmtId="0" fontId="4" fillId="19" borderId="26" applyNumberFormat="0" applyProtection="0">
      <alignment horizontal="left" vertical="top" indent="1"/>
    </xf>
    <xf numFmtId="4" fontId="103" fillId="0" borderId="0" applyNumberFormat="0" applyProtection="0">
      <alignment horizontal="left" vertical="center" indent="1"/>
    </xf>
    <xf numFmtId="4" fontId="4" fillId="0" borderId="27" applyNumberFormat="0" applyProtection="0">
      <alignment horizontal="right" vertical="center"/>
    </xf>
    <xf numFmtId="4" fontId="4" fillId="0" borderId="27" applyNumberFormat="0" applyProtection="0">
      <alignment horizontal="right" vertical="center"/>
    </xf>
    <xf numFmtId="0" fontId="4" fillId="0" borderId="12" applyNumberFormat="0" applyFont="0" applyFill="0" applyBorder="0" applyAlignment="0" applyProtection="0"/>
    <xf numFmtId="0" fontId="4" fillId="0" borderId="12" applyNumberFormat="0" applyFont="0" applyFill="0" applyBorder="0" applyAlignment="0" applyProtection="0"/>
    <xf numFmtId="38" fontId="4" fillId="56" borderId="0" applyNumberFormat="0" applyFon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23"/>
    <xf numFmtId="0" fontId="104" fillId="42" borderId="0"/>
    <xf numFmtId="0" fontId="88" fillId="0" borderId="28"/>
    <xf numFmtId="0" fontId="88" fillId="0" borderId="23"/>
    <xf numFmtId="0" fontId="105" fillId="0" borderId="0"/>
    <xf numFmtId="0" fontId="106" fillId="43" borderId="0">
      <alignment horizontal="center"/>
    </xf>
    <xf numFmtId="175" fontId="30" fillId="0" borderId="0" applyFont="0" applyFill="0" applyBorder="0" applyAlignment="0" applyProtection="0"/>
    <xf numFmtId="9" fontId="10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26" fillId="0" borderId="0" xfId="0" applyFont="1"/>
    <xf numFmtId="165" fontId="26" fillId="0" borderId="0" xfId="28" applyNumberFormat="1" applyFont="1"/>
    <xf numFmtId="165" fontId="26" fillId="0" borderId="0" xfId="28" applyNumberFormat="1" applyFont="1" applyFill="1" applyBorder="1"/>
    <xf numFmtId="0" fontId="25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28" applyNumberFormat="1" applyFont="1" applyFill="1" applyBorder="1"/>
    <xf numFmtId="0" fontId="29" fillId="0" borderId="0" xfId="0" applyFont="1" applyFill="1"/>
    <xf numFmtId="165" fontId="26" fillId="0" borderId="10" xfId="28" applyNumberFormat="1" applyFont="1" applyFill="1" applyBorder="1"/>
    <xf numFmtId="0" fontId="26" fillId="0" borderId="0" xfId="0" applyFont="1" applyBorder="1"/>
    <xf numFmtId="0" fontId="4" fillId="0" borderId="0" xfId="0" applyFont="1" applyFill="1"/>
    <xf numFmtId="164" fontId="0" fillId="0" borderId="0" xfId="0" applyNumberFormat="1" applyFill="1" applyBorder="1"/>
    <xf numFmtId="165" fontId="26" fillId="0" borderId="0" xfId="28" applyNumberFormat="1" applyFont="1" applyBorder="1"/>
    <xf numFmtId="0" fontId="27" fillId="0" borderId="0" xfId="0" applyFont="1"/>
    <xf numFmtId="165" fontId="26" fillId="0" borderId="11" xfId="28" applyNumberFormat="1" applyFont="1" applyFill="1" applyBorder="1"/>
    <xf numFmtId="165" fontId="26" fillId="0" borderId="11" xfId="0" applyNumberFormat="1" applyFont="1" applyFill="1" applyBorder="1"/>
    <xf numFmtId="165" fontId="26" fillId="0" borderId="0" xfId="0" applyNumberFormat="1" applyFont="1"/>
    <xf numFmtId="0" fontId="6" fillId="0" borderId="0" xfId="944" applyFont="1" applyFill="1" applyAlignment="1"/>
    <xf numFmtId="0" fontId="6" fillId="0" borderId="0" xfId="944" applyFont="1" applyFill="1" applyAlignment="1">
      <alignment horizontal="right"/>
    </xf>
    <xf numFmtId="0" fontId="4" fillId="0" borderId="0" xfId="944" applyFont="1" applyFill="1"/>
    <xf numFmtId="0" fontId="6" fillId="0" borderId="0" xfId="944" applyFont="1" applyFill="1" applyAlignment="1">
      <alignment horizontal="center"/>
    </xf>
    <xf numFmtId="0" fontId="4" fillId="0" borderId="0" xfId="944" applyFont="1" applyFill="1" applyAlignment="1">
      <alignment horizontal="center"/>
    </xf>
    <xf numFmtId="0" fontId="6" fillId="0" borderId="10" xfId="944" applyFont="1" applyFill="1" applyBorder="1" applyAlignment="1">
      <alignment horizontal="center"/>
    </xf>
    <xf numFmtId="176" fontId="6" fillId="0" borderId="10" xfId="944" quotePrefix="1" applyNumberFormat="1" applyFont="1" applyBorder="1" applyAlignment="1">
      <alignment horizontal="center"/>
    </xf>
    <xf numFmtId="0" fontId="6" fillId="0" borderId="0" xfId="944" applyFont="1" applyFill="1"/>
    <xf numFmtId="0" fontId="107" fillId="0" borderId="0" xfId="944" applyFont="1" applyFill="1"/>
    <xf numFmtId="164" fontId="4" fillId="0" borderId="0" xfId="944" applyNumberFormat="1" applyFont="1" applyFill="1"/>
    <xf numFmtId="164" fontId="4" fillId="0" borderId="0" xfId="855" applyNumberFormat="1" applyFont="1" applyFill="1"/>
    <xf numFmtId="0" fontId="4" fillId="0" borderId="13" xfId="944" applyFont="1" applyFill="1" applyBorder="1"/>
    <xf numFmtId="164" fontId="4" fillId="0" borderId="13" xfId="855" applyNumberFormat="1" applyFont="1" applyFill="1" applyBorder="1"/>
    <xf numFmtId="166" fontId="4" fillId="0" borderId="0" xfId="377" applyNumberFormat="1" applyFont="1" applyFill="1"/>
    <xf numFmtId="43" fontId="4" fillId="0" borderId="0" xfId="855" applyFont="1" applyFill="1"/>
    <xf numFmtId="0" fontId="4" fillId="0" borderId="17" xfId="944" applyFont="1" applyFill="1" applyBorder="1"/>
    <xf numFmtId="164" fontId="4" fillId="0" borderId="17" xfId="855" applyNumberFormat="1" applyFont="1" applyFill="1" applyBorder="1"/>
    <xf numFmtId="0" fontId="4" fillId="0" borderId="14" xfId="944" applyFont="1" applyFill="1" applyBorder="1"/>
    <xf numFmtId="164" fontId="4" fillId="0" borderId="14" xfId="855" applyNumberFormat="1" applyFont="1" applyFill="1" applyBorder="1"/>
    <xf numFmtId="165" fontId="4" fillId="0" borderId="0" xfId="855" applyNumberFormat="1" applyFont="1" applyFill="1"/>
    <xf numFmtId="43" fontId="4" fillId="0" borderId="0" xfId="855" applyNumberFormat="1" applyFont="1" applyFill="1"/>
    <xf numFmtId="43" fontId="4" fillId="0" borderId="29" xfId="855" applyNumberFormat="1" applyFont="1" applyFill="1" applyBorder="1"/>
    <xf numFmtId="164" fontId="4" fillId="0" borderId="29" xfId="855" applyNumberFormat="1" applyFont="1" applyFill="1" applyBorder="1"/>
    <xf numFmtId="0" fontId="4" fillId="0" borderId="0" xfId="944" applyFont="1" applyFill="1" applyAlignment="1">
      <alignment horizontal="right"/>
    </xf>
    <xf numFmtId="10" fontId="4" fillId="0" borderId="0" xfId="655" applyNumberFormat="1" applyFont="1" applyFill="1"/>
    <xf numFmtId="164" fontId="4" fillId="0" borderId="16" xfId="855" applyNumberFormat="1" applyFont="1" applyFill="1" applyBorder="1"/>
    <xf numFmtId="0" fontId="4" fillId="58" borderId="0" xfId="944" applyFont="1" applyFill="1" applyAlignment="1">
      <alignment horizontal="right"/>
    </xf>
    <xf numFmtId="43" fontId="4" fillId="24" borderId="0" xfId="855" applyNumberFormat="1" applyFont="1" applyFill="1"/>
    <xf numFmtId="0" fontId="4" fillId="0" borderId="0" xfId="944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164" fontId="0" fillId="0" borderId="0" xfId="28" applyNumberFormat="1" applyFont="1" applyBorder="1"/>
    <xf numFmtId="164" fontId="0" fillId="0" borderId="10" xfId="28" applyNumberFormat="1" applyFont="1" applyFill="1" applyBorder="1"/>
    <xf numFmtId="164" fontId="0" fillId="0" borderId="11" xfId="28" applyNumberFormat="1" applyFont="1" applyBorder="1"/>
    <xf numFmtId="43" fontId="0" fillId="0" borderId="0" xfId="0" applyNumberFormat="1" applyFill="1" applyBorder="1"/>
    <xf numFmtId="164" fontId="0" fillId="0" borderId="11" xfId="0" applyNumberFormat="1" applyFill="1" applyBorder="1"/>
    <xf numFmtId="177" fontId="0" fillId="0" borderId="0" xfId="0" applyNumberFormat="1" applyFill="1" applyBorder="1"/>
    <xf numFmtId="177" fontId="0" fillId="0" borderId="10" xfId="1115" applyNumberFormat="1" applyFont="1" applyFill="1" applyBorder="1"/>
    <xf numFmtId="0" fontId="109" fillId="0" borderId="0" xfId="0" applyFont="1"/>
    <xf numFmtId="164" fontId="1" fillId="0" borderId="0" xfId="855" applyNumberFormat="1" applyFont="1" applyFill="1" applyBorder="1"/>
    <xf numFmtId="0" fontId="1" fillId="0" borderId="0" xfId="0" applyFont="1" applyAlignment="1">
      <alignment horizontal="center"/>
    </xf>
    <xf numFmtId="9" fontId="1" fillId="0" borderId="0" xfId="655" applyFont="1" applyFill="1" applyBorder="1"/>
    <xf numFmtId="0" fontId="1" fillId="0" borderId="0" xfId="0" applyFont="1"/>
    <xf numFmtId="9" fontId="1" fillId="0" borderId="10" xfId="655" applyFont="1" applyFill="1" applyBorder="1"/>
    <xf numFmtId="9" fontId="1" fillId="0" borderId="0" xfId="1115" applyFont="1" applyFill="1" applyBorder="1"/>
    <xf numFmtId="164" fontId="1" fillId="0" borderId="0" xfId="28" applyNumberFormat="1" applyFont="1" applyFill="1" applyBorder="1"/>
    <xf numFmtId="164" fontId="109" fillId="0" borderId="0" xfId="28" applyNumberFormat="1" applyFont="1" applyFill="1" applyBorder="1"/>
    <xf numFmtId="164" fontId="1" fillId="0" borderId="10" xfId="28" applyNumberFormat="1" applyFont="1" applyFill="1" applyBorder="1"/>
    <xf numFmtId="164" fontId="0" fillId="0" borderId="0" xfId="28" applyNumberFormat="1" applyFont="1" applyFill="1" applyBorder="1" applyAlignment="1">
      <alignment horizontal="center"/>
    </xf>
    <xf numFmtId="178" fontId="0" fillId="0" borderId="10" xfId="1115" applyNumberFormat="1" applyFont="1" applyFill="1" applyBorder="1"/>
    <xf numFmtId="179" fontId="0" fillId="0" borderId="10" xfId="0" applyNumberFormat="1" applyFill="1" applyBorder="1"/>
    <xf numFmtId="164" fontId="0" fillId="0" borderId="11" xfId="0" applyNumberFormat="1" applyBorder="1"/>
    <xf numFmtId="0" fontId="4" fillId="0" borderId="0" xfId="0" applyFont="1"/>
    <xf numFmtId="0" fontId="6" fillId="0" borderId="0" xfId="0" applyFont="1"/>
    <xf numFmtId="165" fontId="26" fillId="0" borderId="0" xfId="0" applyNumberFormat="1" applyFont="1" applyFill="1" applyBorder="1"/>
    <xf numFmtId="165" fontId="26" fillId="0" borderId="10" xfId="0" applyNumberFormat="1" applyFont="1" applyFill="1" applyBorder="1"/>
    <xf numFmtId="176" fontId="6" fillId="0" borderId="10" xfId="944" quotePrefix="1" applyNumberFormat="1" applyFont="1" applyFill="1" applyBorder="1" applyAlignment="1">
      <alignment horizontal="center"/>
    </xf>
    <xf numFmtId="164" fontId="4" fillId="0" borderId="11" xfId="944" applyNumberFormat="1" applyFont="1" applyFill="1" applyBorder="1"/>
    <xf numFmtId="43" fontId="0" fillId="0" borderId="0" xfId="28" applyFont="1" applyFill="1" applyBorder="1" applyAlignment="1">
      <alignment horizontal="center"/>
    </xf>
    <xf numFmtId="43" fontId="0" fillId="0" borderId="0" xfId="28" applyFont="1" applyBorder="1"/>
    <xf numFmtId="0" fontId="4" fillId="0" borderId="0" xfId="0" applyFont="1" applyFill="1" applyBorder="1" applyAlignment="1">
      <alignment horizontal="center"/>
    </xf>
    <xf numFmtId="43" fontId="0" fillId="0" borderId="0" xfId="0" applyNumberFormat="1" applyBorder="1"/>
    <xf numFmtId="164" fontId="0" fillId="0" borderId="0" xfId="28" applyNumberFormat="1" applyFont="1"/>
    <xf numFmtId="164" fontId="0" fillId="0" borderId="10" xfId="28" applyNumberFormat="1" applyFont="1" applyBorder="1"/>
    <xf numFmtId="0" fontId="26" fillId="57" borderId="0" xfId="0" applyFont="1" applyFill="1"/>
    <xf numFmtId="165" fontId="26" fillId="57" borderId="0" xfId="0" applyNumberFormat="1" applyFont="1" applyFill="1"/>
    <xf numFmtId="165" fontId="26" fillId="57" borderId="0" xfId="28" applyNumberFormat="1" applyFont="1" applyFill="1"/>
    <xf numFmtId="164" fontId="0" fillId="0" borderId="11" xfId="28" applyNumberFormat="1" applyFont="1" applyFill="1" applyBorder="1"/>
    <xf numFmtId="43" fontId="0" fillId="0" borderId="10" xfId="28" applyNumberFormat="1" applyFont="1" applyBorder="1"/>
    <xf numFmtId="43" fontId="0" fillId="0" borderId="11" xfId="28" applyNumberFormat="1" applyFont="1" applyBorder="1"/>
    <xf numFmtId="164" fontId="0" fillId="0" borderId="10" xfId="28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30" xfId="0" applyBorder="1"/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25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0" xfId="0" applyFont="1" applyBorder="1"/>
    <xf numFmtId="0" fontId="26" fillId="0" borderId="0" xfId="0" quotePrefix="1" applyFont="1" applyBorder="1"/>
    <xf numFmtId="165" fontId="26" fillId="0" borderId="22" xfId="28" applyNumberFormat="1" applyFont="1" applyBorder="1"/>
    <xf numFmtId="164" fontId="26" fillId="0" borderId="0" xfId="28" applyNumberFormat="1" applyFont="1" applyBorder="1"/>
    <xf numFmtId="164" fontId="26" fillId="0" borderId="22" xfId="28" applyNumberFormat="1" applyFont="1" applyBorder="1"/>
    <xf numFmtId="165" fontId="26" fillId="0" borderId="22" xfId="28" applyNumberFormat="1" applyFont="1" applyFill="1" applyBorder="1"/>
    <xf numFmtId="0" fontId="26" fillId="0" borderId="0" xfId="0" applyFont="1" applyFill="1" applyBorder="1"/>
    <xf numFmtId="0" fontId="26" fillId="0" borderId="22" xfId="0" applyFont="1" applyFill="1" applyBorder="1"/>
    <xf numFmtId="165" fontId="26" fillId="0" borderId="22" xfId="0" applyNumberFormat="1" applyFont="1" applyFill="1" applyBorder="1"/>
    <xf numFmtId="0" fontId="25" fillId="0" borderId="0" xfId="0" applyFont="1" applyFill="1" applyBorder="1"/>
    <xf numFmtId="0" fontId="0" fillId="0" borderId="33" xfId="0" applyBorder="1"/>
    <xf numFmtId="0" fontId="25" fillId="0" borderId="10" xfId="0" applyFont="1" applyBorder="1"/>
    <xf numFmtId="0" fontId="26" fillId="0" borderId="10" xfId="0" applyFont="1" applyBorder="1"/>
    <xf numFmtId="0" fontId="26" fillId="0" borderId="34" xfId="0" applyFont="1" applyBorder="1"/>
    <xf numFmtId="0" fontId="2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116">
    <cellStyle name="_Row1" xfId="765"/>
    <cellStyle name="_Row1 2" xfId="766"/>
    <cellStyle name="20% - Accent1" xfId="1" builtinId="30" customBuiltin="1"/>
    <cellStyle name="20% - Accent1 2" xfId="54"/>
    <cellStyle name="20% - Accent1 2 2" xfId="55"/>
    <cellStyle name="20% - Accent1 3" xfId="56"/>
    <cellStyle name="20% - Accent1 3 2" xfId="767"/>
    <cellStyle name="20% - Accent1 3 2 2" xfId="768"/>
    <cellStyle name="20% - Accent1 3 3" xfId="769"/>
    <cellStyle name="20% - Accent1 4" xfId="57"/>
    <cellStyle name="20% - Accent1 5" xfId="58"/>
    <cellStyle name="20% - Accent1 6" xfId="59"/>
    <cellStyle name="20% - Accent1 7" xfId="60"/>
    <cellStyle name="20% - Accent1 8" xfId="61"/>
    <cellStyle name="20% - Accent2" xfId="2" builtinId="34" customBuiltin="1"/>
    <cellStyle name="20% - Accent2 2" xfId="62"/>
    <cellStyle name="20% - Accent2 2 2" xfId="63"/>
    <cellStyle name="20% - Accent2 3" xfId="64"/>
    <cellStyle name="20% - Accent2 3 2" xfId="770"/>
    <cellStyle name="20% - Accent2 3 2 2" xfId="771"/>
    <cellStyle name="20% - Accent2 3 3" xfId="772"/>
    <cellStyle name="20% - Accent2 4" xfId="65"/>
    <cellStyle name="20% - Accent2 5" xfId="66"/>
    <cellStyle name="20% - Accent2 6" xfId="67"/>
    <cellStyle name="20% - Accent3" xfId="3" builtinId="38" customBuiltin="1"/>
    <cellStyle name="20% - Accent3 2" xfId="68"/>
    <cellStyle name="20% - Accent3 2 2" xfId="69"/>
    <cellStyle name="20% - Accent3 3" xfId="70"/>
    <cellStyle name="20% - Accent3 3 2" xfId="773"/>
    <cellStyle name="20% - Accent3 3 2 2" xfId="774"/>
    <cellStyle name="20% - Accent3 3 3" xfId="775"/>
    <cellStyle name="20% - Accent3 4" xfId="71"/>
    <cellStyle name="20% - Accent3 5" xfId="72"/>
    <cellStyle name="20% - Accent3 6" xfId="73"/>
    <cellStyle name="20% - Accent3 7" xfId="74"/>
    <cellStyle name="20% - Accent3 8" xfId="75"/>
    <cellStyle name="20% - Accent4" xfId="4" builtinId="42" customBuiltin="1"/>
    <cellStyle name="20% - Accent4 2" xfId="76"/>
    <cellStyle name="20% - Accent4 2 2" xfId="77"/>
    <cellStyle name="20% - Accent4 2 2 2" xfId="776"/>
    <cellStyle name="20% - Accent4 2 2 2 2" xfId="777"/>
    <cellStyle name="20% - Accent4 2 2 3" xfId="778"/>
    <cellStyle name="20% - Accent4 2 3" xfId="779"/>
    <cellStyle name="20% - Accent4 2 3 2" xfId="780"/>
    <cellStyle name="20% - Accent4 2 3 2 2" xfId="781"/>
    <cellStyle name="20% - Accent4 2 3 3" xfId="782"/>
    <cellStyle name="20% - Accent4 2 4" xfId="783"/>
    <cellStyle name="20% - Accent4 2 4 2" xfId="784"/>
    <cellStyle name="20% - Accent4 2 4 2 2" xfId="785"/>
    <cellStyle name="20% - Accent4 2 4 3" xfId="786"/>
    <cellStyle name="20% - Accent4 2 5" xfId="787"/>
    <cellStyle name="20% - Accent4 2 5 2" xfId="788"/>
    <cellStyle name="20% - Accent4 2 6" xfId="789"/>
    <cellStyle name="20% - Accent4 3" xfId="78"/>
    <cellStyle name="20% - Accent4 3 2" xfId="790"/>
    <cellStyle name="20% - Accent4 3 2 2" xfId="791"/>
    <cellStyle name="20% - Accent4 3 2 2 2" xfId="792"/>
    <cellStyle name="20% - Accent4 3 2 3" xfId="793"/>
    <cellStyle name="20% - Accent4 3 3" xfId="794"/>
    <cellStyle name="20% - Accent4 3 3 2" xfId="795"/>
    <cellStyle name="20% - Accent4 3 3 2 2" xfId="796"/>
    <cellStyle name="20% - Accent4 3 3 3" xfId="797"/>
    <cellStyle name="20% - Accent4 3 4" xfId="798"/>
    <cellStyle name="20% - Accent4 3 4 2" xfId="799"/>
    <cellStyle name="20% - Accent4 3 4 2 2" xfId="800"/>
    <cellStyle name="20% - Accent4 3 4 3" xfId="801"/>
    <cellStyle name="20% - Accent4 3 5" xfId="802"/>
    <cellStyle name="20% - Accent4 3 5 2" xfId="803"/>
    <cellStyle name="20% - Accent4 3 6" xfId="804"/>
    <cellStyle name="20% - Accent4 4" xfId="79"/>
    <cellStyle name="20% - Accent4 4 2" xfId="805"/>
    <cellStyle name="20% - Accent4 4 2 2" xfId="806"/>
    <cellStyle name="20% - Accent4 4 2 2 2" xfId="807"/>
    <cellStyle name="20% - Accent4 4 2 3" xfId="808"/>
    <cellStyle name="20% - Accent4 4 3" xfId="809"/>
    <cellStyle name="20% - Accent4 4 3 2" xfId="810"/>
    <cellStyle name="20% - Accent4 4 3 2 2" xfId="811"/>
    <cellStyle name="20% - Accent4 4 3 3" xfId="812"/>
    <cellStyle name="20% - Accent4 4 4" xfId="813"/>
    <cellStyle name="20% - Accent4 4 4 2" xfId="814"/>
    <cellStyle name="20% - Accent4 4 4 2 2" xfId="815"/>
    <cellStyle name="20% - Accent4 4 4 3" xfId="816"/>
    <cellStyle name="20% - Accent4 4 5" xfId="817"/>
    <cellStyle name="20% - Accent4 4 5 2" xfId="818"/>
    <cellStyle name="20% - Accent4 4 6" xfId="819"/>
    <cellStyle name="20% - Accent4 5" xfId="80"/>
    <cellStyle name="20% - Accent4 6" xfId="81"/>
    <cellStyle name="20% - Accent4 6 2" xfId="820"/>
    <cellStyle name="20% - Accent4 6 2 2" xfId="821"/>
    <cellStyle name="20% - Accent4 6 3" xfId="822"/>
    <cellStyle name="20% - Accent4 7" xfId="82"/>
    <cellStyle name="20% - Accent4 8" xfId="83"/>
    <cellStyle name="20% - Accent5" xfId="5" builtinId="46" customBuiltin="1"/>
    <cellStyle name="20% - Accent5 2" xfId="84"/>
    <cellStyle name="20% - Accent5 2 2" xfId="85"/>
    <cellStyle name="20% - Accent5 3" xfId="86"/>
    <cellStyle name="20% - Accent5 3 2" xfId="823"/>
    <cellStyle name="20% - Accent5 3 2 2" xfId="824"/>
    <cellStyle name="20% - Accent5 3 3" xfId="825"/>
    <cellStyle name="20% - Accent5 4" xfId="87"/>
    <cellStyle name="20% - Accent5 5" xfId="88"/>
    <cellStyle name="20% - Accent5 6" xfId="89"/>
    <cellStyle name="20% - Accent6" xfId="6" builtinId="50" customBuiltin="1"/>
    <cellStyle name="20% - Accent6 2" xfId="90"/>
    <cellStyle name="20% - Accent6 2 2" xfId="91"/>
    <cellStyle name="20% - Accent6 3" xfId="92"/>
    <cellStyle name="20% - Accent6 3 2" xfId="826"/>
    <cellStyle name="20% - Accent6 3 2 2" xfId="827"/>
    <cellStyle name="20% - Accent6 3 3" xfId="828"/>
    <cellStyle name="20% - Accent6 4" xfId="93"/>
    <cellStyle name="20% - Accent6 5" xfId="94"/>
    <cellStyle name="20% - Accent6 6" xfId="95"/>
    <cellStyle name="40% - Accent1" xfId="7" builtinId="31" customBuiltin="1"/>
    <cellStyle name="40% - Accent1 2" xfId="96"/>
    <cellStyle name="40% - Accent1 2 2" xfId="97"/>
    <cellStyle name="40% - Accent1 3" xfId="98"/>
    <cellStyle name="40% - Accent1 3 2" xfId="829"/>
    <cellStyle name="40% - Accent1 3 2 2" xfId="830"/>
    <cellStyle name="40% - Accent1 3 3" xfId="831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2" xfId="8" builtinId="35" customBuiltin="1"/>
    <cellStyle name="40% - Accent2 2" xfId="104"/>
    <cellStyle name="40% - Accent2 2 2" xfId="105"/>
    <cellStyle name="40% - Accent2 3" xfId="106"/>
    <cellStyle name="40% - Accent2 3 2" xfId="832"/>
    <cellStyle name="40% - Accent2 3 2 2" xfId="833"/>
    <cellStyle name="40% - Accent2 3 3" xfId="834"/>
    <cellStyle name="40% - Accent2 4" xfId="107"/>
    <cellStyle name="40% - Accent2 5" xfId="108"/>
    <cellStyle name="40% - Accent2 6" xfId="109"/>
    <cellStyle name="40% - Accent3" xfId="9" builtinId="39" customBuiltin="1"/>
    <cellStyle name="40% - Accent3 2" xfId="110"/>
    <cellStyle name="40% - Accent3 2 2" xfId="111"/>
    <cellStyle name="40% - Accent3 3" xfId="112"/>
    <cellStyle name="40% - Accent3 3 2" xfId="835"/>
    <cellStyle name="40% - Accent3 3 2 2" xfId="836"/>
    <cellStyle name="40% - Accent3 3 3" xfId="837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4" xfId="10" builtinId="43" customBuiltin="1"/>
    <cellStyle name="40% - Accent4 2" xfId="118"/>
    <cellStyle name="40% - Accent4 2 2" xfId="119"/>
    <cellStyle name="40% - Accent4 3" xfId="120"/>
    <cellStyle name="40% - Accent4 3 2" xfId="838"/>
    <cellStyle name="40% - Accent4 3 2 2" xfId="839"/>
    <cellStyle name="40% - Accent4 3 3" xfId="840"/>
    <cellStyle name="40% - Accent4 4" xfId="121"/>
    <cellStyle name="40% - Accent4 5" xfId="122"/>
    <cellStyle name="40% - Accent4 6" xfId="123"/>
    <cellStyle name="40% - Accent4 7" xfId="124"/>
    <cellStyle name="40% - Accent4 8" xfId="125"/>
    <cellStyle name="40% - Accent5" xfId="11" builtinId="47" customBuiltin="1"/>
    <cellStyle name="40% - Accent5 2" xfId="126"/>
    <cellStyle name="40% - Accent5 2 2" xfId="127"/>
    <cellStyle name="40% - Accent5 3" xfId="128"/>
    <cellStyle name="40% - Accent5 3 2" xfId="841"/>
    <cellStyle name="40% - Accent5 3 2 2" xfId="842"/>
    <cellStyle name="40% - Accent5 3 3" xfId="843"/>
    <cellStyle name="40% - Accent5 4" xfId="129"/>
    <cellStyle name="40% - Accent5 5" xfId="130"/>
    <cellStyle name="40% - Accent5 6" xfId="131"/>
    <cellStyle name="40% - Accent6" xfId="12" builtinId="51" customBuiltin="1"/>
    <cellStyle name="40% - Accent6 2" xfId="132"/>
    <cellStyle name="40% - Accent6 2 2" xfId="133"/>
    <cellStyle name="40% - Accent6 3" xfId="134"/>
    <cellStyle name="40% - Accent6 3 2" xfId="844"/>
    <cellStyle name="40% - Accent6 3 2 2" xfId="845"/>
    <cellStyle name="40% - Accent6 3 3" xfId="846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60% - Accent1" xfId="13" builtinId="32" customBuiltin="1"/>
    <cellStyle name="60% - Accent1 2" xfId="140"/>
    <cellStyle name="60% - Accent1 3" xfId="141"/>
    <cellStyle name="60% - Accent1 4" xfId="142"/>
    <cellStyle name="60% - Accent1 5" xfId="143"/>
    <cellStyle name="60% - Accent1 6" xfId="144"/>
    <cellStyle name="60% - Accent1 7" xfId="145"/>
    <cellStyle name="60% - Accent1 8" xfId="146"/>
    <cellStyle name="60% - Accent2" xfId="14" builtinId="36" customBuiltin="1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3" xfId="15" builtinId="40" customBuiltin="1"/>
    <cellStyle name="60% - Accent3 2" xfId="152"/>
    <cellStyle name="60% - Accent3 3" xfId="153"/>
    <cellStyle name="60% - Accent3 4" xfId="154"/>
    <cellStyle name="60% - Accent3 5" xfId="155"/>
    <cellStyle name="60% - Accent3 6" xfId="156"/>
    <cellStyle name="60% - Accent3 7" xfId="157"/>
    <cellStyle name="60% - Accent3 8" xfId="158"/>
    <cellStyle name="60% - Accent4" xfId="16" builtinId="44" customBuiltin="1"/>
    <cellStyle name="60% - Accent4 2" xfId="159"/>
    <cellStyle name="60% - Accent4 3" xfId="160"/>
    <cellStyle name="60% - Accent4 4" xfId="161"/>
    <cellStyle name="60% - Accent4 5" xfId="162"/>
    <cellStyle name="60% - Accent4 6" xfId="163"/>
    <cellStyle name="60% - Accent4 7" xfId="164"/>
    <cellStyle name="60% - Accent4 8" xfId="165"/>
    <cellStyle name="60% - Accent5" xfId="17" builtinId="48" customBuiltin="1"/>
    <cellStyle name="60% - Accent5 2" xfId="166"/>
    <cellStyle name="60% - Accent5 3" xfId="167"/>
    <cellStyle name="60% - Accent5 4" xfId="168"/>
    <cellStyle name="60% - Accent5 5" xfId="169"/>
    <cellStyle name="60% - Accent5 6" xfId="170"/>
    <cellStyle name="60% - Accent6" xfId="18" builtinId="52" customBuiltin="1"/>
    <cellStyle name="60% - Accent6 2" xfId="171"/>
    <cellStyle name="60% - Accent6 3" xfId="172"/>
    <cellStyle name="60% - Accent6 4" xfId="173"/>
    <cellStyle name="60% - Accent6 5" xfId="174"/>
    <cellStyle name="60% - Accent6 6" xfId="175"/>
    <cellStyle name="60% - Accent6 7" xfId="176"/>
    <cellStyle name="60% - Accent6 8" xfId="177"/>
    <cellStyle name="Accent1" xfId="19" builtinId="29" customBuiltin="1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2" xfId="20" builtinId="33" customBuiltin="1"/>
    <cellStyle name="Accent2 2" xfId="185"/>
    <cellStyle name="Accent2 3" xfId="186"/>
    <cellStyle name="Accent2 4" xfId="187"/>
    <cellStyle name="Accent2 5" xfId="188"/>
    <cellStyle name="Accent2 6" xfId="189"/>
    <cellStyle name="Accent3" xfId="21" builtinId="37" customBuiltin="1"/>
    <cellStyle name="Accent3 2" xfId="190"/>
    <cellStyle name="Accent3 3" xfId="191"/>
    <cellStyle name="Accent3 4" xfId="192"/>
    <cellStyle name="Accent3 5" xfId="193"/>
    <cellStyle name="Accent3 6" xfId="194"/>
    <cellStyle name="Accent4" xfId="22" builtinId="41" customBuiltin="1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5" xfId="23" builtinId="45" customBuiltin="1"/>
    <cellStyle name="Accent5 2" xfId="202"/>
    <cellStyle name="Accent5 3" xfId="203"/>
    <cellStyle name="Accent5 4" xfId="204"/>
    <cellStyle name="Accent5 5" xfId="205"/>
    <cellStyle name="Accent5 6" xfId="206"/>
    <cellStyle name="Accent6" xfId="24" builtinId="49" customBuiltin="1"/>
    <cellStyle name="Accent6 2" xfId="207"/>
    <cellStyle name="Accent6 3" xfId="208"/>
    <cellStyle name="Accent6 4" xfId="209"/>
    <cellStyle name="Accent6 5" xfId="210"/>
    <cellStyle name="Accent6 6" xfId="211"/>
    <cellStyle name="Bad" xfId="25" builtinId="27" customBuiltin="1"/>
    <cellStyle name="Bad 2" xfId="212"/>
    <cellStyle name="Bad 3" xfId="213"/>
    <cellStyle name="Bad 4" xfId="214"/>
    <cellStyle name="Bad 5" xfId="215"/>
    <cellStyle name="Bad 6" xfId="216"/>
    <cellStyle name="Bad 7" xfId="217"/>
    <cellStyle name="Bad 8" xfId="218"/>
    <cellStyle name="Calculation" xfId="26" builtinId="22" customBuiltin="1"/>
    <cellStyle name="Calculation 2" xfId="219"/>
    <cellStyle name="Calculation 3" xfId="220"/>
    <cellStyle name="Calculation 4" xfId="221"/>
    <cellStyle name="Calculation 5" xfId="222"/>
    <cellStyle name="Calculation 6" xfId="223"/>
    <cellStyle name="Check Cell" xfId="27" builtinId="23" customBuiltin="1"/>
    <cellStyle name="Check Cell 2" xfId="224"/>
    <cellStyle name="Check Cell 3" xfId="225"/>
    <cellStyle name="Check Cell 4" xfId="226"/>
    <cellStyle name="Check Cell 5" xfId="227"/>
    <cellStyle name="Check Cell 6" xfId="228"/>
    <cellStyle name="Check Cell 7" xfId="229"/>
    <cellStyle name="Check Cell 8" xfId="230"/>
    <cellStyle name="CodeEingabe" xfId="847"/>
    <cellStyle name="ColumnAttributeAbovePrompt" xfId="848"/>
    <cellStyle name="ColumnAttributePrompt" xfId="849"/>
    <cellStyle name="ColumnAttributeValue" xfId="850"/>
    <cellStyle name="ColumnHeadingPrompt" xfId="851"/>
    <cellStyle name="ColumnHeadingValue" xfId="852"/>
    <cellStyle name="Comma" xfId="28" builtinId="3"/>
    <cellStyle name="Comma [0] 2" xfId="853"/>
    <cellStyle name="Comma 10" xfId="231"/>
    <cellStyle name="Comma 10 9" xfId="854"/>
    <cellStyle name="Comma 11" xfId="232"/>
    <cellStyle name="Comma 11 2" xfId="855"/>
    <cellStyle name="Comma 11 2 2" xfId="856"/>
    <cellStyle name="Comma 11 3" xfId="857"/>
    <cellStyle name="Comma 12" xfId="233"/>
    <cellStyle name="Comma 12 2" xfId="858"/>
    <cellStyle name="Comma 13" xfId="234"/>
    <cellStyle name="Comma 14" xfId="235"/>
    <cellStyle name="Comma 15" xfId="236"/>
    <cellStyle name="Comma 16" xfId="237"/>
    <cellStyle name="Comma 17" xfId="53"/>
    <cellStyle name="Comma 17 2" xfId="238"/>
    <cellStyle name="Comma 17 2 2" xfId="239"/>
    <cellStyle name="Comma 17 2 2 2" xfId="240"/>
    <cellStyle name="Comma 17 2 3" xfId="241"/>
    <cellStyle name="Comma 17 3" xfId="242"/>
    <cellStyle name="Comma 17 3 2" xfId="243"/>
    <cellStyle name="Comma 17 3 2 2" xfId="244"/>
    <cellStyle name="Comma 17 3 3" xfId="245"/>
    <cellStyle name="Comma 17 4" xfId="246"/>
    <cellStyle name="Comma 17 4 2" xfId="247"/>
    <cellStyle name="Comma 17 5" xfId="248"/>
    <cellStyle name="Comma 18" xfId="249"/>
    <cellStyle name="Comma 19" xfId="250"/>
    <cellStyle name="Comma 2" xfId="52"/>
    <cellStyle name="Comma 2 2" xfId="251"/>
    <cellStyle name="Comma 2 2 2" xfId="252"/>
    <cellStyle name="Comma 2 2 3" xfId="253"/>
    <cellStyle name="Comma 2 3" xfId="254"/>
    <cellStyle name="Comma 2 4" xfId="255"/>
    <cellStyle name="Comma 2 5" xfId="256"/>
    <cellStyle name="Comma 2_Allocators" xfId="257"/>
    <cellStyle name="Comma 20" xfId="258"/>
    <cellStyle name="Comma 20 2" xfId="259"/>
    <cellStyle name="Comma 20 2 2" xfId="260"/>
    <cellStyle name="Comma 20 2 2 2" xfId="261"/>
    <cellStyle name="Comma 20 2 3" xfId="262"/>
    <cellStyle name="Comma 20 3" xfId="263"/>
    <cellStyle name="Comma 20 3 2" xfId="264"/>
    <cellStyle name="Comma 20 3 2 2" xfId="265"/>
    <cellStyle name="Comma 20 3 3" xfId="266"/>
    <cellStyle name="Comma 20 4" xfId="267"/>
    <cellStyle name="Comma 20 4 2" xfId="268"/>
    <cellStyle name="Comma 20 5" xfId="269"/>
    <cellStyle name="Comma 21" xfId="270"/>
    <cellStyle name="Comma 27" xfId="859"/>
    <cellStyle name="Comma 3" xfId="271"/>
    <cellStyle name="Comma 3 10" xfId="49"/>
    <cellStyle name="Comma 3 10 2" xfId="272"/>
    <cellStyle name="Comma 3 10 2 2" xfId="273"/>
    <cellStyle name="Comma 3 10 2 2 2" xfId="274"/>
    <cellStyle name="Comma 3 10 2 3" xfId="275"/>
    <cellStyle name="Comma 3 10 3" xfId="276"/>
    <cellStyle name="Comma 3 10 3 2" xfId="277"/>
    <cellStyle name="Comma 3 10 3 2 2" xfId="278"/>
    <cellStyle name="Comma 3 10 3 3" xfId="279"/>
    <cellStyle name="Comma 3 10 4" xfId="280"/>
    <cellStyle name="Comma 3 10 4 2" xfId="281"/>
    <cellStyle name="Comma 3 10 5" xfId="282"/>
    <cellStyle name="Comma 3 11" xfId="283"/>
    <cellStyle name="Comma 3 12" xfId="284"/>
    <cellStyle name="Comma 3 12 2" xfId="285"/>
    <cellStyle name="Comma 3 12 2 2" xfId="286"/>
    <cellStyle name="Comma 3 12 3" xfId="287"/>
    <cellStyle name="Comma 3 13" xfId="288"/>
    <cellStyle name="Comma 3 2" xfId="289"/>
    <cellStyle name="Comma 3 2 2" xfId="860"/>
    <cellStyle name="Comma 3 2 2 2" xfId="861"/>
    <cellStyle name="Comma 3 2 3" xfId="862"/>
    <cellStyle name="Comma 3 3" xfId="290"/>
    <cellStyle name="Comma 3 3 2" xfId="863"/>
    <cellStyle name="Comma 3 3 2 2" xfId="864"/>
    <cellStyle name="Comma 3 3 3" xfId="865"/>
    <cellStyle name="Comma 3 4" xfId="291"/>
    <cellStyle name="Comma 3 4 2" xfId="292"/>
    <cellStyle name="Comma 3 4 2 2" xfId="293"/>
    <cellStyle name="Comma 3 4 2 2 2" xfId="294"/>
    <cellStyle name="Comma 3 4 2 3" xfId="295"/>
    <cellStyle name="Comma 3 4 3" xfId="296"/>
    <cellStyle name="Comma 3 4 3 2" xfId="297"/>
    <cellStyle name="Comma 3 4 3 2 2" xfId="298"/>
    <cellStyle name="Comma 3 4 3 3" xfId="299"/>
    <cellStyle name="Comma 3 4 4" xfId="300"/>
    <cellStyle name="Comma 3 4 4 2" xfId="301"/>
    <cellStyle name="Comma 3 4 5" xfId="302"/>
    <cellStyle name="Comma 3 5" xfId="303"/>
    <cellStyle name="Comma 3 5 2" xfId="304"/>
    <cellStyle name="Comma 3 5 2 2" xfId="305"/>
    <cellStyle name="Comma 3 5 2 2 2" xfId="306"/>
    <cellStyle name="Comma 3 5 2 3" xfId="307"/>
    <cellStyle name="Comma 3 5 3" xfId="308"/>
    <cellStyle name="Comma 3 5 3 2" xfId="309"/>
    <cellStyle name="Comma 3 5 3 2 2" xfId="310"/>
    <cellStyle name="Comma 3 5 3 3" xfId="311"/>
    <cellStyle name="Comma 3 5 4" xfId="312"/>
    <cellStyle name="Comma 3 5 4 2" xfId="313"/>
    <cellStyle name="Comma 3 5 5" xfId="314"/>
    <cellStyle name="Comma 3 6" xfId="315"/>
    <cellStyle name="Comma 3 6 2" xfId="316"/>
    <cellStyle name="Comma 3 6 2 2" xfId="317"/>
    <cellStyle name="Comma 3 6 2 2 2" xfId="318"/>
    <cellStyle name="Comma 3 6 2 3" xfId="319"/>
    <cellStyle name="Comma 3 6 3" xfId="320"/>
    <cellStyle name="Comma 3 6 3 2" xfId="321"/>
    <cellStyle name="Comma 3 6 3 2 2" xfId="322"/>
    <cellStyle name="Comma 3 6 3 3" xfId="323"/>
    <cellStyle name="Comma 3 6 4" xfId="324"/>
    <cellStyle name="Comma 3 6 4 2" xfId="325"/>
    <cellStyle name="Comma 3 6 5" xfId="326"/>
    <cellStyle name="Comma 3 7" xfId="327"/>
    <cellStyle name="Comma 3 7 2" xfId="328"/>
    <cellStyle name="Comma 3 7 2 2" xfId="329"/>
    <cellStyle name="Comma 3 7 2 2 2" xfId="330"/>
    <cellStyle name="Comma 3 7 2 3" xfId="331"/>
    <cellStyle name="Comma 3 7 3" xfId="332"/>
    <cellStyle name="Comma 3 7 3 2" xfId="333"/>
    <cellStyle name="Comma 3 7 3 2 2" xfId="334"/>
    <cellStyle name="Comma 3 7 3 3" xfId="335"/>
    <cellStyle name="Comma 3 7 4" xfId="336"/>
    <cellStyle name="Comma 3 7 4 2" xfId="337"/>
    <cellStyle name="Comma 3 7 5" xfId="338"/>
    <cellStyle name="Comma 3 8" xfId="339"/>
    <cellStyle name="Comma 3 8 2" xfId="340"/>
    <cellStyle name="Comma 3 8 2 2" xfId="341"/>
    <cellStyle name="Comma 3 8 2 2 2" xfId="342"/>
    <cellStyle name="Comma 3 8 2 3" xfId="343"/>
    <cellStyle name="Comma 3 8 3" xfId="344"/>
    <cellStyle name="Comma 3 8 3 2" xfId="345"/>
    <cellStyle name="Comma 3 8 3 2 2" xfId="346"/>
    <cellStyle name="Comma 3 8 3 3" xfId="347"/>
    <cellStyle name="Comma 3 8 4" xfId="348"/>
    <cellStyle name="Comma 3 8 4 2" xfId="349"/>
    <cellStyle name="Comma 3 8 5" xfId="350"/>
    <cellStyle name="Comma 3 9" xfId="351"/>
    <cellStyle name="Comma 3 9 2" xfId="352"/>
    <cellStyle name="Comma 3 9 2 2" xfId="353"/>
    <cellStyle name="Comma 3 9 2 2 2" xfId="354"/>
    <cellStyle name="Comma 3 9 2 3" xfId="355"/>
    <cellStyle name="Comma 3 9 3" xfId="356"/>
    <cellStyle name="Comma 3 9 3 2" xfId="357"/>
    <cellStyle name="Comma 3 9 3 2 2" xfId="358"/>
    <cellStyle name="Comma 3 9 3 3" xfId="359"/>
    <cellStyle name="Comma 3 9 4" xfId="360"/>
    <cellStyle name="Comma 3 9 4 2" xfId="361"/>
    <cellStyle name="Comma 3 9 5" xfId="362"/>
    <cellStyle name="Comma 4" xfId="363"/>
    <cellStyle name="Comma 4 2" xfId="364"/>
    <cellStyle name="Comma 4 2 2" xfId="866"/>
    <cellStyle name="Comma 4 2 2 2" xfId="867"/>
    <cellStyle name="Comma 4 2 3" xfId="868"/>
    <cellStyle name="Comma 4 3" xfId="365"/>
    <cellStyle name="Comma 4 4" xfId="366"/>
    <cellStyle name="Comma 4 4 2" xfId="869"/>
    <cellStyle name="Comma 4 5" xfId="870"/>
    <cellStyle name="Comma 46" xfId="871"/>
    <cellStyle name="Comma 47" xfId="872"/>
    <cellStyle name="Comma 5" xfId="367"/>
    <cellStyle name="Comma 6" xfId="368"/>
    <cellStyle name="Comma 6 2" xfId="369"/>
    <cellStyle name="Comma 7" xfId="370"/>
    <cellStyle name="Comma 7 2" xfId="371"/>
    <cellStyle name="Comma 7 2 2" xfId="873"/>
    <cellStyle name="Comma 7 2 2 2" xfId="874"/>
    <cellStyle name="Comma 7 2 3" xfId="875"/>
    <cellStyle name="Comma 7 3" xfId="876"/>
    <cellStyle name="Comma 7 3 2" xfId="877"/>
    <cellStyle name="Comma 7 3 2 2" xfId="878"/>
    <cellStyle name="Comma 7 3 3" xfId="879"/>
    <cellStyle name="Comma 7 4" xfId="880"/>
    <cellStyle name="Comma 7 4 2" xfId="881"/>
    <cellStyle name="Comma 7 4 2 2" xfId="882"/>
    <cellStyle name="Comma 7 4 3" xfId="883"/>
    <cellStyle name="Comma 7 5" xfId="884"/>
    <cellStyle name="Comma 7 5 2" xfId="885"/>
    <cellStyle name="Comma 7 5 2 2" xfId="886"/>
    <cellStyle name="Comma 7 5 3" xfId="887"/>
    <cellStyle name="Comma 7 6" xfId="888"/>
    <cellStyle name="Comma 7 6 2" xfId="889"/>
    <cellStyle name="Comma 7 6 2 2" xfId="890"/>
    <cellStyle name="Comma 7 6 3" xfId="891"/>
    <cellStyle name="Comma 7 7" xfId="892"/>
    <cellStyle name="Comma 7 7 2" xfId="893"/>
    <cellStyle name="Comma 7 8" xfId="894"/>
    <cellStyle name="Comma 8" xfId="372"/>
    <cellStyle name="Comma 8 2" xfId="373"/>
    <cellStyle name="Comma 8 2 2" xfId="895"/>
    <cellStyle name="Comma 8 3" xfId="896"/>
    <cellStyle name="Comma 86" xfId="897"/>
    <cellStyle name="Comma 9" xfId="374"/>
    <cellStyle name="Comma0" xfId="898"/>
    <cellStyle name="CommaBlank" xfId="375"/>
    <cellStyle name="CommaBlank 2" xfId="376"/>
    <cellStyle name="Currency 10" xfId="377"/>
    <cellStyle name="Currency 10 2" xfId="378"/>
    <cellStyle name="Currency 10 2 2" xfId="379"/>
    <cellStyle name="Currency 10 2 2 2" xfId="380"/>
    <cellStyle name="Currency 10 2 3" xfId="381"/>
    <cellStyle name="Currency 10 3" xfId="382"/>
    <cellStyle name="Currency 10 3 2" xfId="383"/>
    <cellStyle name="Currency 10 3 2 2" xfId="384"/>
    <cellStyle name="Currency 10 3 3" xfId="385"/>
    <cellStyle name="Currency 10 4" xfId="386"/>
    <cellStyle name="Currency 10 4 2" xfId="387"/>
    <cellStyle name="Currency 10 5" xfId="388"/>
    <cellStyle name="Currency 11" xfId="389"/>
    <cellStyle name="Currency 2" xfId="390"/>
    <cellStyle name="Currency 2 2" xfId="391"/>
    <cellStyle name="Currency 2 3" xfId="392"/>
    <cellStyle name="Currency 2 4" xfId="393"/>
    <cellStyle name="Currency 3" xfId="50"/>
    <cellStyle name="Currency 3 2" xfId="394"/>
    <cellStyle name="Currency 3 2 2" xfId="899"/>
    <cellStyle name="Currency 3 3" xfId="395"/>
    <cellStyle name="Currency 3 4" xfId="396"/>
    <cellStyle name="Currency 3 5" xfId="397"/>
    <cellStyle name="Currency 4" xfId="398"/>
    <cellStyle name="Currency 4 2" xfId="399"/>
    <cellStyle name="Currency 4 2 2" xfId="900"/>
    <cellStyle name="Currency 4 3" xfId="400"/>
    <cellStyle name="Currency 4 4" xfId="401"/>
    <cellStyle name="Currency 5" xfId="402"/>
    <cellStyle name="Currency 5 2" xfId="901"/>
    <cellStyle name="Currency 5 2 2" xfId="902"/>
    <cellStyle name="Currency 5 3" xfId="903"/>
    <cellStyle name="Currency 6" xfId="403"/>
    <cellStyle name="Currency 6 2" xfId="904"/>
    <cellStyle name="Currency 6 2 2" xfId="905"/>
    <cellStyle name="Currency 6 3" xfId="906"/>
    <cellStyle name="Currency 7" xfId="404"/>
    <cellStyle name="Currency 7 2" xfId="907"/>
    <cellStyle name="Currency 7 2 2" xfId="908"/>
    <cellStyle name="Currency 7 3" xfId="909"/>
    <cellStyle name="Currency 8" xfId="405"/>
    <cellStyle name="Currency 8 2" xfId="910"/>
    <cellStyle name="Currency 8 2 2" xfId="911"/>
    <cellStyle name="Currency 8 3" xfId="912"/>
    <cellStyle name="Currency 9" xfId="406"/>
    <cellStyle name="Currency 9 2" xfId="913"/>
    <cellStyle name="Currency0" xfId="914"/>
    <cellStyle name="Custom - Style1" xfId="915"/>
    <cellStyle name="Data   - Style2" xfId="916"/>
    <cellStyle name="Date" xfId="917"/>
    <cellStyle name="Eingabe" xfId="918"/>
    <cellStyle name="Eingabe 2" xfId="919"/>
    <cellStyle name="Euro" xfId="920"/>
    <cellStyle name="Euro 2" xfId="921"/>
    <cellStyle name="Explanatory Text" xfId="29" builtinId="53" customBuiltin="1"/>
    <cellStyle name="Explanatory Text 2" xfId="407"/>
    <cellStyle name="Explanatory Text 3" xfId="408"/>
    <cellStyle name="Explanatory Text 4" xfId="409"/>
    <cellStyle name="Explanatory Text 5" xfId="410"/>
    <cellStyle name="Explanatory Text 6" xfId="411"/>
    <cellStyle name="F2" xfId="922"/>
    <cellStyle name="F3" xfId="923"/>
    <cellStyle name="F4" xfId="924"/>
    <cellStyle name="F5" xfId="925"/>
    <cellStyle name="F6" xfId="926"/>
    <cellStyle name="F6 2" xfId="927"/>
    <cellStyle name="F7" xfId="928"/>
    <cellStyle name="F8" xfId="929"/>
    <cellStyle name="Fixed" xfId="930"/>
    <cellStyle name="Good" xfId="30" builtinId="26" customBuiltin="1"/>
    <cellStyle name="Good 2" xfId="412"/>
    <cellStyle name="Good 3" xfId="413"/>
    <cellStyle name="Good 4" xfId="414"/>
    <cellStyle name="Good 5" xfId="415"/>
    <cellStyle name="Good 6" xfId="416"/>
    <cellStyle name="Heading 1" xfId="31" builtinId="16" customBuiltin="1"/>
    <cellStyle name="Heading 1 2" xfId="417"/>
    <cellStyle name="Heading 1 3" xfId="418"/>
    <cellStyle name="Heading 1 4" xfId="419"/>
    <cellStyle name="Heading 1 5" xfId="420"/>
    <cellStyle name="Heading 1 6" xfId="421"/>
    <cellStyle name="Heading 1 7" xfId="422"/>
    <cellStyle name="Heading 1 8" xfId="423"/>
    <cellStyle name="Heading 2" xfId="32" builtinId="17" customBuiltin="1"/>
    <cellStyle name="Heading 2 2" xfId="424"/>
    <cellStyle name="Heading 2 3" xfId="425"/>
    <cellStyle name="Heading 2 4" xfId="426"/>
    <cellStyle name="Heading 2 5" xfId="427"/>
    <cellStyle name="Heading 2 6" xfId="428"/>
    <cellStyle name="Heading 2 7" xfId="429"/>
    <cellStyle name="Heading 2 8" xfId="430"/>
    <cellStyle name="Heading 3" xfId="33" builtinId="18" customBuiltin="1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4" xfId="34" builtinId="19" customBuiltin="1"/>
    <cellStyle name="Heading 4 2" xfId="438"/>
    <cellStyle name="Heading 4 3" xfId="439"/>
    <cellStyle name="Heading 4 4" xfId="440"/>
    <cellStyle name="Heading 4 5" xfId="441"/>
    <cellStyle name="Heading 4 6" xfId="442"/>
    <cellStyle name="Heading 4 7" xfId="443"/>
    <cellStyle name="Heading 4 8" xfId="444"/>
    <cellStyle name="Input" xfId="35" builtinId="20" customBuiltin="1"/>
    <cellStyle name="Input 2" xfId="445"/>
    <cellStyle name="Input 3" xfId="446"/>
    <cellStyle name="Input 4" xfId="447"/>
    <cellStyle name="Input 5" xfId="448"/>
    <cellStyle name="Input 6" xfId="449"/>
    <cellStyle name="kirkdollars" xfId="450"/>
    <cellStyle name="Labels - Style3" xfId="931"/>
    <cellStyle name="LineItemPrompt" xfId="932"/>
    <cellStyle name="LineItemValue" xfId="933"/>
    <cellStyle name="LineItemValue 2" xfId="934"/>
    <cellStyle name="Linked Cell" xfId="36" builtinId="24" customBuiltin="1"/>
    <cellStyle name="Linked Cell 2" xfId="451"/>
    <cellStyle name="Linked Cell 3" xfId="452"/>
    <cellStyle name="Linked Cell 4" xfId="453"/>
    <cellStyle name="Linked Cell 5" xfId="454"/>
    <cellStyle name="Linked Cell 6" xfId="455"/>
    <cellStyle name="Neutral" xfId="37" builtinId="28" customBuiltin="1"/>
    <cellStyle name="Neutral 2" xfId="456"/>
    <cellStyle name="Neutral 3" xfId="457"/>
    <cellStyle name="Neutral 4" xfId="458"/>
    <cellStyle name="Neutral 5" xfId="459"/>
    <cellStyle name="Neutral 6" xfId="460"/>
    <cellStyle name="Normal" xfId="0" builtinId="0"/>
    <cellStyle name="Normal - Style1" xfId="935"/>
    <cellStyle name="Normal - Style2" xfId="936"/>
    <cellStyle name="Normal - Style3" xfId="937"/>
    <cellStyle name="Normal - Style4" xfId="938"/>
    <cellStyle name="Normal - Style5" xfId="939"/>
    <cellStyle name="Normal - Style6" xfId="940"/>
    <cellStyle name="Normal - Style7" xfId="941"/>
    <cellStyle name="Normal - Style8" xfId="942"/>
    <cellStyle name="Normal 10" xfId="461"/>
    <cellStyle name="Normal 11" xfId="462"/>
    <cellStyle name="Normal 12" xfId="463"/>
    <cellStyle name="Normal 12 2" xfId="943"/>
    <cellStyle name="Normal 13" xfId="464"/>
    <cellStyle name="Normal 13 2" xfId="944"/>
    <cellStyle name="Normal 13 2 2" xfId="945"/>
    <cellStyle name="Normal 13 3" xfId="946"/>
    <cellStyle name="Normal 14" xfId="465"/>
    <cellStyle name="Normal 14 2" xfId="947"/>
    <cellStyle name="Normal 14 2 2" xfId="948"/>
    <cellStyle name="Normal 14 3" xfId="949"/>
    <cellStyle name="Normal 15" xfId="466"/>
    <cellStyle name="Normal 15 2" xfId="467"/>
    <cellStyle name="Normal 15 2 2" xfId="468"/>
    <cellStyle name="Normal 15 2 2 2" xfId="469"/>
    <cellStyle name="Normal 15 2 3" xfId="470"/>
    <cellStyle name="Normal 15 3" xfId="471"/>
    <cellStyle name="Normal 15 3 2" xfId="472"/>
    <cellStyle name="Normal 15 3 2 2" xfId="473"/>
    <cellStyle name="Normal 15 3 3" xfId="474"/>
    <cellStyle name="Normal 15 4" xfId="475"/>
    <cellStyle name="Normal 15 4 2" xfId="476"/>
    <cellStyle name="Normal 15 5" xfId="477"/>
    <cellStyle name="Normal 16" xfId="478"/>
    <cellStyle name="Normal 16 2" xfId="950"/>
    <cellStyle name="Normal 16 2 2" xfId="951"/>
    <cellStyle name="Normal 16 3" xfId="952"/>
    <cellStyle name="Normal 17" xfId="479"/>
    <cellStyle name="Normal 17 2" xfId="953"/>
    <cellStyle name="Normal 17 2 2" xfId="954"/>
    <cellStyle name="Normal 17 3" xfId="955"/>
    <cellStyle name="Normal 18" xfId="480"/>
    <cellStyle name="Normal 19" xfId="481"/>
    <cellStyle name="Normal 19 2" xfId="956"/>
    <cellStyle name="Normal 19 2 2" xfId="957"/>
    <cellStyle name="Normal 19 3" xfId="958"/>
    <cellStyle name="Normal 2" xfId="43"/>
    <cellStyle name="Normal 2 2" xfId="47"/>
    <cellStyle name="Normal 2 2 2" xfId="482"/>
    <cellStyle name="Normal 2 2 3" xfId="959"/>
    <cellStyle name="Normal 2 3" xfId="483"/>
    <cellStyle name="Normal 2 4" xfId="484"/>
    <cellStyle name="Normal 2 5" xfId="485"/>
    <cellStyle name="Normal 2 6" xfId="960"/>
    <cellStyle name="Normal 2 6 2" xfId="961"/>
    <cellStyle name="Normal 2 7" xfId="962"/>
    <cellStyle name="Normal 2 8" xfId="963"/>
    <cellStyle name="Normal 2_Adjustment WP" xfId="486"/>
    <cellStyle name="Normal 20" xfId="487"/>
    <cellStyle name="Normal 21" xfId="488"/>
    <cellStyle name="Normal 21 2" xfId="964"/>
    <cellStyle name="Normal 22" xfId="489"/>
    <cellStyle name="Normal 23" xfId="490"/>
    <cellStyle name="Normal 23 2" xfId="965"/>
    <cellStyle name="Normal 23 2 2" xfId="966"/>
    <cellStyle name="Normal 23 3" xfId="967"/>
    <cellStyle name="Normal 24" xfId="491"/>
    <cellStyle name="Normal 25" xfId="492"/>
    <cellStyle name="Normal 26" xfId="493"/>
    <cellStyle name="Normal 27" xfId="494"/>
    <cellStyle name="Normal 28" xfId="495"/>
    <cellStyle name="Normal 29" xfId="496"/>
    <cellStyle name="Normal 3" xfId="44"/>
    <cellStyle name="Normal 3 2" xfId="497"/>
    <cellStyle name="Normal 3 3" xfId="498"/>
    <cellStyle name="Normal 3 3 2" xfId="968"/>
    <cellStyle name="Normal 3 3 2 2" xfId="969"/>
    <cellStyle name="Normal 3 3 3" xfId="970"/>
    <cellStyle name="Normal 3 4" xfId="499"/>
    <cellStyle name="Normal 3 5" xfId="500"/>
    <cellStyle name="Normal 3 6" xfId="501"/>
    <cellStyle name="Normal 3 7" xfId="502"/>
    <cellStyle name="Normal 3 8" xfId="503"/>
    <cellStyle name="Normal 3_108 Summary" xfId="504"/>
    <cellStyle name="Normal 30" xfId="505"/>
    <cellStyle name="Normal 31" xfId="506"/>
    <cellStyle name="Normal 32" xfId="507"/>
    <cellStyle name="Normal 33" xfId="508"/>
    <cellStyle name="Normal 34" xfId="509"/>
    <cellStyle name="Normal 35" xfId="510"/>
    <cellStyle name="Normal 35 2" xfId="511"/>
    <cellStyle name="Normal 35 2 2" xfId="512"/>
    <cellStyle name="Normal 35 2 2 2" xfId="513"/>
    <cellStyle name="Normal 35 2 3" xfId="514"/>
    <cellStyle name="Normal 35 3" xfId="515"/>
    <cellStyle name="Normal 35 3 2" xfId="516"/>
    <cellStyle name="Normal 35 3 2 2" xfId="517"/>
    <cellStyle name="Normal 35 3 3" xfId="518"/>
    <cellStyle name="Normal 35 4" xfId="519"/>
    <cellStyle name="Normal 35 4 2" xfId="520"/>
    <cellStyle name="Normal 35 5" xfId="521"/>
    <cellStyle name="Normal 36" xfId="522"/>
    <cellStyle name="Normal 36 2" xfId="523"/>
    <cellStyle name="Normal 37" xfId="764"/>
    <cellStyle name="Normal 4" xfId="524"/>
    <cellStyle name="Normal 4 2" xfId="525"/>
    <cellStyle name="Normal 4 3" xfId="526"/>
    <cellStyle name="Normal 4 4" xfId="527"/>
    <cellStyle name="Normal 4 5" xfId="528"/>
    <cellStyle name="Normal 46" xfId="971"/>
    <cellStyle name="Normal 47" xfId="972"/>
    <cellStyle name="Normal 5" xfId="529"/>
    <cellStyle name="Normal 5 2" xfId="530"/>
    <cellStyle name="Normal 5 3" xfId="531"/>
    <cellStyle name="Normal 5 4" xfId="973"/>
    <cellStyle name="Normal 6" xfId="532"/>
    <cellStyle name="Normal 6 10" xfId="533"/>
    <cellStyle name="Normal 6 10 2" xfId="534"/>
    <cellStyle name="Normal 6 10 2 2" xfId="535"/>
    <cellStyle name="Normal 6 10 3" xfId="536"/>
    <cellStyle name="Normal 6 2" xfId="537"/>
    <cellStyle name="Normal 6 2 2" xfId="538"/>
    <cellStyle name="Normal 6 2 2 2" xfId="539"/>
    <cellStyle name="Normal 6 2 2 2 2" xfId="540"/>
    <cellStyle name="Normal 6 2 2 3" xfId="541"/>
    <cellStyle name="Normal 6 2 3" xfId="542"/>
    <cellStyle name="Normal 6 2 3 2" xfId="543"/>
    <cellStyle name="Normal 6 2 3 2 2" xfId="544"/>
    <cellStyle name="Normal 6 2 3 3" xfId="545"/>
    <cellStyle name="Normal 6 2 4" xfId="546"/>
    <cellStyle name="Normal 6 2 4 2" xfId="547"/>
    <cellStyle name="Normal 6 2 5" xfId="548"/>
    <cellStyle name="Normal 6 3" xfId="549"/>
    <cellStyle name="Normal 6 3 2" xfId="550"/>
    <cellStyle name="Normal 6 3 2 2" xfId="551"/>
    <cellStyle name="Normal 6 3 2 2 2" xfId="552"/>
    <cellStyle name="Normal 6 3 2 3" xfId="553"/>
    <cellStyle name="Normal 6 3 3" xfId="554"/>
    <cellStyle name="Normal 6 3 3 2" xfId="555"/>
    <cellStyle name="Normal 6 3 3 2 2" xfId="556"/>
    <cellStyle name="Normal 6 3 3 3" xfId="557"/>
    <cellStyle name="Normal 6 3 4" xfId="558"/>
    <cellStyle name="Normal 6 3 4 2" xfId="559"/>
    <cellStyle name="Normal 6 3 5" xfId="560"/>
    <cellStyle name="Normal 6 4" xfId="561"/>
    <cellStyle name="Normal 6 4 2" xfId="562"/>
    <cellStyle name="Normal 6 4 2 2" xfId="563"/>
    <cellStyle name="Normal 6 4 2 2 2" xfId="564"/>
    <cellStyle name="Normal 6 4 2 3" xfId="565"/>
    <cellStyle name="Normal 6 4 3" xfId="566"/>
    <cellStyle name="Normal 6 4 3 2" xfId="567"/>
    <cellStyle name="Normal 6 4 3 2 2" xfId="568"/>
    <cellStyle name="Normal 6 4 3 3" xfId="569"/>
    <cellStyle name="Normal 6 4 4" xfId="570"/>
    <cellStyle name="Normal 6 4 4 2" xfId="571"/>
    <cellStyle name="Normal 6 4 5" xfId="572"/>
    <cellStyle name="Normal 6 5" xfId="573"/>
    <cellStyle name="Normal 6 5 2" xfId="574"/>
    <cellStyle name="Normal 6 5 2 2" xfId="575"/>
    <cellStyle name="Normal 6 5 2 2 2" xfId="576"/>
    <cellStyle name="Normal 6 5 2 3" xfId="577"/>
    <cellStyle name="Normal 6 5 3" xfId="578"/>
    <cellStyle name="Normal 6 5 3 2" xfId="579"/>
    <cellStyle name="Normal 6 5 3 2 2" xfId="580"/>
    <cellStyle name="Normal 6 5 3 3" xfId="581"/>
    <cellStyle name="Normal 6 5 4" xfId="582"/>
    <cellStyle name="Normal 6 5 4 2" xfId="583"/>
    <cellStyle name="Normal 6 5 5" xfId="584"/>
    <cellStyle name="Normal 6 6" xfId="585"/>
    <cellStyle name="Normal 6 6 2" xfId="586"/>
    <cellStyle name="Normal 6 6 2 2" xfId="587"/>
    <cellStyle name="Normal 6 6 2 2 2" xfId="588"/>
    <cellStyle name="Normal 6 6 2 3" xfId="589"/>
    <cellStyle name="Normal 6 6 3" xfId="590"/>
    <cellStyle name="Normal 6 6 3 2" xfId="591"/>
    <cellStyle name="Normal 6 6 3 2 2" xfId="592"/>
    <cellStyle name="Normal 6 6 3 3" xfId="593"/>
    <cellStyle name="Normal 6 6 4" xfId="594"/>
    <cellStyle name="Normal 6 6 4 2" xfId="595"/>
    <cellStyle name="Normal 6 6 5" xfId="596"/>
    <cellStyle name="Normal 6 7" xfId="597"/>
    <cellStyle name="Normal 6 7 2" xfId="598"/>
    <cellStyle name="Normal 6 7 2 2" xfId="599"/>
    <cellStyle name="Normal 6 7 2 2 2" xfId="600"/>
    <cellStyle name="Normal 6 7 2 3" xfId="601"/>
    <cellStyle name="Normal 6 7 3" xfId="602"/>
    <cellStyle name="Normal 6 7 3 2" xfId="603"/>
    <cellStyle name="Normal 6 7 3 2 2" xfId="604"/>
    <cellStyle name="Normal 6 7 3 3" xfId="605"/>
    <cellStyle name="Normal 6 7 4" xfId="606"/>
    <cellStyle name="Normal 6 7 4 2" xfId="607"/>
    <cellStyle name="Normal 6 7 5" xfId="608"/>
    <cellStyle name="Normal 6 8" xfId="609"/>
    <cellStyle name="Normal 6 8 2" xfId="610"/>
    <cellStyle name="Normal 6 8 2 2" xfId="611"/>
    <cellStyle name="Normal 6 8 2 2 2" xfId="612"/>
    <cellStyle name="Normal 6 8 2 3" xfId="613"/>
    <cellStyle name="Normal 6 8 3" xfId="614"/>
    <cellStyle name="Normal 6 8 3 2" xfId="615"/>
    <cellStyle name="Normal 6 8 3 2 2" xfId="616"/>
    <cellStyle name="Normal 6 8 3 3" xfId="617"/>
    <cellStyle name="Normal 6 8 4" xfId="618"/>
    <cellStyle name="Normal 6 8 4 2" xfId="619"/>
    <cellStyle name="Normal 6 8 5" xfId="620"/>
    <cellStyle name="Normal 6 9" xfId="621"/>
    <cellStyle name="Normal 7" xfId="622"/>
    <cellStyle name="Normal 8" xfId="623"/>
    <cellStyle name="Normal 8 2" xfId="974"/>
    <cellStyle name="Normal 9" xfId="624"/>
    <cellStyle name="Normal 9 2" xfId="975"/>
    <cellStyle name="Normal 9 2 2" xfId="976"/>
    <cellStyle name="Normal 9 2 2 2" xfId="977"/>
    <cellStyle name="Normal 9 2 3" xfId="978"/>
    <cellStyle name="Normal 9 3" xfId="979"/>
    <cellStyle name="Normal 9 3 2" xfId="980"/>
    <cellStyle name="Normal 9 4" xfId="981"/>
    <cellStyle name="Note" xfId="38" builtinId="10" customBuiltin="1"/>
    <cellStyle name="Note 10" xfId="625"/>
    <cellStyle name="Note 11" xfId="626"/>
    <cellStyle name="Note 2" xfId="627"/>
    <cellStyle name="Note 2 2" xfId="628"/>
    <cellStyle name="Note 2 2 2" xfId="982"/>
    <cellStyle name="Note 2 2 2 2" xfId="983"/>
    <cellStyle name="Note 2 2 3" xfId="984"/>
    <cellStyle name="Note 2_Allocators" xfId="629"/>
    <cellStyle name="Note 3" xfId="630"/>
    <cellStyle name="Note 3 2" xfId="631"/>
    <cellStyle name="Note 3 3" xfId="632"/>
    <cellStyle name="Note 3_Allocators" xfId="633"/>
    <cellStyle name="Note 4" xfId="634"/>
    <cellStyle name="Note 4 2" xfId="635"/>
    <cellStyle name="Note 4 2 2" xfId="985"/>
    <cellStyle name="Note 4 3" xfId="986"/>
    <cellStyle name="Note 4_Allocators" xfId="636"/>
    <cellStyle name="Note 5" xfId="637"/>
    <cellStyle name="Note 5 2" xfId="987"/>
    <cellStyle name="Note 5 2 2" xfId="988"/>
    <cellStyle name="Note 5 3" xfId="989"/>
    <cellStyle name="Note 6" xfId="638"/>
    <cellStyle name="Note 6 2" xfId="639"/>
    <cellStyle name="Note 6_Allocators" xfId="640"/>
    <cellStyle name="Note 7" xfId="641"/>
    <cellStyle name="Note 7 2" xfId="642"/>
    <cellStyle name="Note 8" xfId="643"/>
    <cellStyle name="Note 9" xfId="644"/>
    <cellStyle name="nPlosion" xfId="645"/>
    <cellStyle name="nvision" xfId="646"/>
    <cellStyle name="Output" xfId="39" builtinId="21" customBuiltin="1"/>
    <cellStyle name="Output 2" xfId="647"/>
    <cellStyle name="Output 3" xfId="648"/>
    <cellStyle name="Output 4" xfId="649"/>
    <cellStyle name="Output 5" xfId="650"/>
    <cellStyle name="Output 6" xfId="651"/>
    <cellStyle name="Output Amounts" xfId="990"/>
    <cellStyle name="Output Amounts 2" xfId="991"/>
    <cellStyle name="OUTPUT AMOUNTS 3" xfId="992"/>
    <cellStyle name="Output Amounts_d1" xfId="993"/>
    <cellStyle name="Output Column Headings" xfId="994"/>
    <cellStyle name="Output Column Headings 2" xfId="995"/>
    <cellStyle name="OUTPUT COLUMN HEADINGS 3" xfId="996"/>
    <cellStyle name="Output Column Headings_d1" xfId="997"/>
    <cellStyle name="Output Line Items" xfId="998"/>
    <cellStyle name="Output Line Items 2" xfId="999"/>
    <cellStyle name="OUTPUT LINE ITEMS 3" xfId="1000"/>
    <cellStyle name="Output Line Items_d1" xfId="1001"/>
    <cellStyle name="Output Report Heading" xfId="1002"/>
    <cellStyle name="Output Report Heading 2" xfId="1003"/>
    <cellStyle name="OUTPUT REPORT HEADING 3" xfId="1004"/>
    <cellStyle name="Output Report Heading_d1" xfId="1005"/>
    <cellStyle name="Output Report Title" xfId="1006"/>
    <cellStyle name="Output Report Title 2" xfId="1007"/>
    <cellStyle name="OUTPUT REPORT TITLE 3" xfId="1008"/>
    <cellStyle name="Output Report Title_d1" xfId="1009"/>
    <cellStyle name="Percent" xfId="1115" builtinId="5"/>
    <cellStyle name="Percent 10" xfId="652"/>
    <cellStyle name="Percent 11" xfId="653"/>
    <cellStyle name="Percent 12" xfId="654"/>
    <cellStyle name="Percent 13" xfId="655"/>
    <cellStyle name="Percent 13 2" xfId="656"/>
    <cellStyle name="Percent 13 2 2" xfId="657"/>
    <cellStyle name="Percent 13 2 2 2" xfId="658"/>
    <cellStyle name="Percent 13 2 3" xfId="659"/>
    <cellStyle name="Percent 13 3" xfId="660"/>
    <cellStyle name="Percent 13 3 2" xfId="661"/>
    <cellStyle name="Percent 13 3 2 2" xfId="662"/>
    <cellStyle name="Percent 13 3 3" xfId="663"/>
    <cellStyle name="Percent 13 4" xfId="664"/>
    <cellStyle name="Percent 13 4 2" xfId="665"/>
    <cellStyle name="Percent 13 5" xfId="666"/>
    <cellStyle name="Percent 14" xfId="667"/>
    <cellStyle name="Percent 15" xfId="763"/>
    <cellStyle name="Percent 2" xfId="51"/>
    <cellStyle name="Percent 2 2" xfId="668"/>
    <cellStyle name="Percent 2 2 2" xfId="1010"/>
    <cellStyle name="Percent 2 3" xfId="669"/>
    <cellStyle name="Percent 2 4" xfId="48"/>
    <cellStyle name="Percent 3" xfId="670"/>
    <cellStyle name="Percent 3 2" xfId="671"/>
    <cellStyle name="Percent 3 3" xfId="672"/>
    <cellStyle name="Percent 3 4" xfId="673"/>
    <cellStyle name="Percent 3 5" xfId="674"/>
    <cellStyle name="Percent 3 6" xfId="675"/>
    <cellStyle name="Percent 4" xfId="676"/>
    <cellStyle name="Percent 4 2" xfId="677"/>
    <cellStyle name="Percent 4 3" xfId="678"/>
    <cellStyle name="Percent 4 4" xfId="679"/>
    <cellStyle name="Percent 44" xfId="1011"/>
    <cellStyle name="Percent 45" xfId="1012"/>
    <cellStyle name="Percent 5" xfId="680"/>
    <cellStyle name="Percent 5 2" xfId="681"/>
    <cellStyle name="Percent 6" xfId="682"/>
    <cellStyle name="Percent 6 2" xfId="683"/>
    <cellStyle name="Percent 7" xfId="684"/>
    <cellStyle name="Percent 8" xfId="685"/>
    <cellStyle name="Percent 9" xfId="686"/>
    <cellStyle name="PSChar" xfId="45"/>
    <cellStyle name="PSChar 2" xfId="687"/>
    <cellStyle name="PSChar 2 2" xfId="688"/>
    <cellStyle name="PSChar 2 3" xfId="689"/>
    <cellStyle name="PSChar 3" xfId="690"/>
    <cellStyle name="PSChar 3 2" xfId="691"/>
    <cellStyle name="PSChar 4" xfId="692"/>
    <cellStyle name="PSChar 5" xfId="693"/>
    <cellStyle name="PSChar 6" xfId="694"/>
    <cellStyle name="PSDate" xfId="695"/>
    <cellStyle name="PSDate 2" xfId="696"/>
    <cellStyle name="PSDate 2 2" xfId="697"/>
    <cellStyle name="PSDate 2 3" xfId="698"/>
    <cellStyle name="PSDate 3" xfId="699"/>
    <cellStyle name="PSDate 3 2" xfId="700"/>
    <cellStyle name="PSDate 4" xfId="701"/>
    <cellStyle name="PSDate 5" xfId="702"/>
    <cellStyle name="PSDate 6" xfId="703"/>
    <cellStyle name="PSDec" xfId="46"/>
    <cellStyle name="PSDec 2" xfId="704"/>
    <cellStyle name="PSDec 2 2" xfId="705"/>
    <cellStyle name="PSDec 2 3" xfId="706"/>
    <cellStyle name="PSDec 3" xfId="707"/>
    <cellStyle name="PSDec 3 2" xfId="708"/>
    <cellStyle name="PSDec 4" xfId="709"/>
    <cellStyle name="PSDec 5" xfId="710"/>
    <cellStyle name="PSDec 6" xfId="711"/>
    <cellStyle name="PSHeading" xfId="712"/>
    <cellStyle name="PSHeading 10" xfId="713"/>
    <cellStyle name="PSHeading 11" xfId="714"/>
    <cellStyle name="PSHeading 2" xfId="715"/>
    <cellStyle name="PSHeading 2 2" xfId="716"/>
    <cellStyle name="PSHeading 2 3" xfId="717"/>
    <cellStyle name="PSHeading 2_108 Summary" xfId="718"/>
    <cellStyle name="PSHeading 3" xfId="719"/>
    <cellStyle name="PSHeading 3 2" xfId="720"/>
    <cellStyle name="PSHeading 3_108 Summary" xfId="721"/>
    <cellStyle name="PSHeading 4" xfId="722"/>
    <cellStyle name="PSHeading 5" xfId="723"/>
    <cellStyle name="PSHeading 6" xfId="724"/>
    <cellStyle name="PSHeading 7" xfId="725"/>
    <cellStyle name="PSHeading 8" xfId="726"/>
    <cellStyle name="PSHeading 9" xfId="727"/>
    <cellStyle name="PSHeading_101 check" xfId="728"/>
    <cellStyle name="PSInt" xfId="729"/>
    <cellStyle name="PSInt 2" xfId="730"/>
    <cellStyle name="PSInt 2 2" xfId="731"/>
    <cellStyle name="PSInt 2 3" xfId="732"/>
    <cellStyle name="PSInt 3" xfId="733"/>
    <cellStyle name="PSInt 3 2" xfId="734"/>
    <cellStyle name="PSInt 4" xfId="735"/>
    <cellStyle name="PSInt 5" xfId="736"/>
    <cellStyle name="PSInt 6" xfId="737"/>
    <cellStyle name="PSSpacer" xfId="738"/>
    <cellStyle name="PSSpacer 2" xfId="739"/>
    <cellStyle name="PSSpacer 2 2" xfId="740"/>
    <cellStyle name="PSSpacer 2 3" xfId="741"/>
    <cellStyle name="PSSpacer 3" xfId="742"/>
    <cellStyle name="PSSpacer 3 2" xfId="743"/>
    <cellStyle name="PSSpacer 4" xfId="744"/>
    <cellStyle name="PSSpacer 5" xfId="745"/>
    <cellStyle name="PSSpacer 6" xfId="746"/>
    <cellStyle name="ReportTitlePrompt" xfId="1013"/>
    <cellStyle name="ReportTitlePrompt 2" xfId="1014"/>
    <cellStyle name="ReportTitleValue" xfId="1015"/>
    <cellStyle name="Reset  - Style4" xfId="1016"/>
    <cellStyle name="RowAcctAbovePrompt" xfId="1017"/>
    <cellStyle name="RowAcctSOBAbovePrompt" xfId="1018"/>
    <cellStyle name="RowAcctSOBValue" xfId="1019"/>
    <cellStyle name="RowAcctValue" xfId="1020"/>
    <cellStyle name="RowAttrAbovePrompt" xfId="1021"/>
    <cellStyle name="RowAttrValue" xfId="1022"/>
    <cellStyle name="RowColSetAbovePrompt" xfId="1023"/>
    <cellStyle name="RowColSetLeftPrompt" xfId="1024"/>
    <cellStyle name="RowColSetValue" xfId="1025"/>
    <cellStyle name="RowColSetValue 2" xfId="1026"/>
    <cellStyle name="RowLeftPrompt" xfId="1027"/>
    <cellStyle name="SampleUsingFormatMask" xfId="1028"/>
    <cellStyle name="SampleWithNoFormatMask" xfId="1029"/>
    <cellStyle name="SAPBEXaggData" xfId="1030"/>
    <cellStyle name="SAPBEXaggData 2" xfId="1031"/>
    <cellStyle name="SAPBEXaggDataEmph" xfId="1032"/>
    <cellStyle name="SAPBEXaggItem" xfId="1033"/>
    <cellStyle name="SAPBEXaggItem 2" xfId="1034"/>
    <cellStyle name="SAPBEXaggItemX" xfId="1035"/>
    <cellStyle name="SAPBEXaggItemX 2" xfId="1036"/>
    <cellStyle name="SAPBEXchaText" xfId="1037"/>
    <cellStyle name="SAPBEXchaText 2" xfId="1038"/>
    <cellStyle name="SAPBEXexcBad7" xfId="1039"/>
    <cellStyle name="SAPBEXexcBad7 2" xfId="1040"/>
    <cellStyle name="SAPBEXexcBad8" xfId="1041"/>
    <cellStyle name="SAPBEXexcBad9" xfId="1042"/>
    <cellStyle name="SAPBEXexcCritical4" xfId="1043"/>
    <cellStyle name="SAPBEXexcCritical4 2" xfId="1044"/>
    <cellStyle name="SAPBEXexcCritical5" xfId="1045"/>
    <cellStyle name="SAPBEXexcCritical5 2" xfId="1046"/>
    <cellStyle name="SAPBEXexcCritical6" xfId="1047"/>
    <cellStyle name="SAPBEXexcCritical6 2" xfId="1048"/>
    <cellStyle name="SAPBEXexcGood1" xfId="1049"/>
    <cellStyle name="SAPBEXexcGood2" xfId="1050"/>
    <cellStyle name="SAPBEXexcGood3" xfId="1051"/>
    <cellStyle name="SAPBEXexcGood3 2" xfId="1052"/>
    <cellStyle name="SAPBEXfilterDrill" xfId="1053"/>
    <cellStyle name="SAPBEXfilterDrill 2" xfId="1054"/>
    <cellStyle name="SAPBEXfilterItem" xfId="1055"/>
    <cellStyle name="SAPBEXfilterItem 2" xfId="1056"/>
    <cellStyle name="SAPBEXfilterText" xfId="1057"/>
    <cellStyle name="SAPBEXfilterText 2" xfId="1058"/>
    <cellStyle name="SAPBEXformats" xfId="1059"/>
    <cellStyle name="SAPBEXformats 2" xfId="1060"/>
    <cellStyle name="SAPBEXheaderItem" xfId="1061"/>
    <cellStyle name="SAPBEXheaderItem 2" xfId="1062"/>
    <cellStyle name="SAPBEXheaderText" xfId="1063"/>
    <cellStyle name="SAPBEXheaderText 2" xfId="1064"/>
    <cellStyle name="SAPBEXHLevel0" xfId="1065"/>
    <cellStyle name="SAPBEXHLevel0 2" xfId="1066"/>
    <cellStyle name="SAPBEXHLevel0X" xfId="1067"/>
    <cellStyle name="SAPBEXHLevel0X 2" xfId="1068"/>
    <cellStyle name="SAPBEXHLevel1" xfId="1069"/>
    <cellStyle name="SAPBEXHLevel1 2" xfId="1070"/>
    <cellStyle name="SAPBEXHLevel1X" xfId="1071"/>
    <cellStyle name="SAPBEXHLevel1X 2" xfId="1072"/>
    <cellStyle name="SAPBEXHLevel2" xfId="1073"/>
    <cellStyle name="SAPBEXHLevel2 2" xfId="1074"/>
    <cellStyle name="SAPBEXHLevel2X" xfId="1075"/>
    <cellStyle name="SAPBEXHLevel2X 2" xfId="1076"/>
    <cellStyle name="SAPBEXHLevel3" xfId="1077"/>
    <cellStyle name="SAPBEXHLevel3 2" xfId="1078"/>
    <cellStyle name="SAPBEXHLevel3X" xfId="1079"/>
    <cellStyle name="SAPBEXHLevel3X 2" xfId="1080"/>
    <cellStyle name="SAPBEXresData" xfId="1081"/>
    <cellStyle name="SAPBEXresDataEmph" xfId="1082"/>
    <cellStyle name="SAPBEXresItem" xfId="1083"/>
    <cellStyle name="SAPBEXresItem 2" xfId="1084"/>
    <cellStyle name="SAPBEXresItemX" xfId="1085"/>
    <cellStyle name="SAPBEXresItemX 2" xfId="1086"/>
    <cellStyle name="SAPBEXstdData" xfId="1087"/>
    <cellStyle name="SAPBEXstdData 2" xfId="1088"/>
    <cellStyle name="SAPBEXstdDataEmph" xfId="1089"/>
    <cellStyle name="SAPBEXstdDataEmph 2" xfId="1090"/>
    <cellStyle name="SAPBEXstdItem" xfId="1091"/>
    <cellStyle name="SAPBEXstdItem 2" xfId="1092"/>
    <cellStyle name="SAPBEXstdItemX" xfId="1093"/>
    <cellStyle name="SAPBEXstdItemX 2" xfId="1094"/>
    <cellStyle name="SAPBEXtitle" xfId="1095"/>
    <cellStyle name="SAPBEXundefined" xfId="1096"/>
    <cellStyle name="SAPBEXundefined 2" xfId="1097"/>
    <cellStyle name="SAPLocked" xfId="1098"/>
    <cellStyle name="SAPLocked 2" xfId="1099"/>
    <cellStyle name="Shade" xfId="1100"/>
    <cellStyle name="Standard_CORE_20040805_Movement types_Sets_V0.1_e" xfId="1101"/>
    <cellStyle name="STYL5 - Style5" xfId="1102"/>
    <cellStyle name="STYL6 - Style6" xfId="1103"/>
    <cellStyle name="STYLE1 - Style1" xfId="1104"/>
    <cellStyle name="STYLE2 - Style2" xfId="1105"/>
    <cellStyle name="STYLE3 - Style3" xfId="1106"/>
    <cellStyle name="STYLE4 - Style4" xfId="1107"/>
    <cellStyle name="Table  - Style5" xfId="1108"/>
    <cellStyle name="Title" xfId="40" builtinId="15" customBuiltin="1"/>
    <cellStyle name="Title  - Style6" xfId="1109"/>
    <cellStyle name="Title 2" xfId="747"/>
    <cellStyle name="Title 3" xfId="748"/>
    <cellStyle name="Title 4" xfId="749"/>
    <cellStyle name="Title 5" xfId="750"/>
    <cellStyle name="Total" xfId="41" builtinId="25" customBuiltin="1"/>
    <cellStyle name="Total 2" xfId="751"/>
    <cellStyle name="Total 3" xfId="752"/>
    <cellStyle name="Total 4" xfId="753"/>
    <cellStyle name="Total 5" xfId="754"/>
    <cellStyle name="Total 6" xfId="755"/>
    <cellStyle name="Total 7" xfId="756"/>
    <cellStyle name="Total 8" xfId="757"/>
    <cellStyle name="TotCol - Style7" xfId="1110"/>
    <cellStyle name="TotRow - Style8" xfId="1111"/>
    <cellStyle name="Undefiniert" xfId="1112"/>
    <cellStyle name="UploadThisRowValue" xfId="1113"/>
    <cellStyle name="Währung_KURSE3Q" xfId="1114"/>
    <cellStyle name="Warning Text" xfId="42" builtinId="11" customBuiltin="1"/>
    <cellStyle name="Warning Text 2" xfId="758"/>
    <cellStyle name="Warning Text 3" xfId="759"/>
    <cellStyle name="Warning Text 4" xfId="760"/>
    <cellStyle name="Warning Text 5" xfId="761"/>
    <cellStyle name="Warning Text 6" xfId="7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koll/Desktop/Jackson%20Purchase%20Rate%20Case%20-%202021/Application%20and%20Testimony/JPEC-RevReq-FIL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koll/Desktop/Jackson%20Purchase%20Rate%20Case%20-%202021/Discovery/AG/AG%201st%20Set/Attachment_Response_No._26_-_JPEC-RevReq-Revis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koll/Desktop/Jackson%20Purchase%20Rate%20Case%20-%202021/Discovery/Staff/Staff%203rd%20Set/Attachment_Response_PSC_3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xx Wages"/>
      <sheetName val="1.xx Health"/>
    </sheetNames>
    <sheetDataSet>
      <sheetData sheetId="0" refreshError="1"/>
      <sheetData sheetId="1" refreshError="1"/>
      <sheetData sheetId="2" refreshError="1"/>
      <sheetData sheetId="3">
        <row r="37">
          <cell r="V3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>
        <row r="30">
          <cell r="D30">
            <v>-2504931.4299999997</v>
          </cell>
          <cell r="F30">
            <v>-1249488.23</v>
          </cell>
        </row>
      </sheetData>
      <sheetData sheetId="2"/>
      <sheetData sheetId="3">
        <row r="15">
          <cell r="W15">
            <v>328200.51</v>
          </cell>
        </row>
        <row r="16">
          <cell r="W16">
            <v>-2505517.5599999996</v>
          </cell>
        </row>
        <row r="17">
          <cell r="W17">
            <v>31381.449221688628</v>
          </cell>
        </row>
        <row r="18">
          <cell r="W18">
            <v>4099001.13</v>
          </cell>
        </row>
        <row r="19">
          <cell r="W19">
            <v>27250.679302159901</v>
          </cell>
        </row>
        <row r="20">
          <cell r="W20">
            <v>3350.55</v>
          </cell>
        </row>
        <row r="21">
          <cell r="W21">
            <v>0</v>
          </cell>
        </row>
        <row r="22">
          <cell r="W22">
            <v>-164437.98844641788</v>
          </cell>
        </row>
        <row r="25">
          <cell r="W25">
            <v>592458.74174999993</v>
          </cell>
        </row>
        <row r="27">
          <cell r="W27">
            <v>233473.4235768998</v>
          </cell>
        </row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>
        <row r="30">
          <cell r="D30">
            <v>-2504931.4299999997</v>
          </cell>
          <cell r="F30">
            <v>-1249488.23</v>
          </cell>
        </row>
      </sheetData>
      <sheetData sheetId="2"/>
      <sheetData sheetId="3">
        <row r="15">
          <cell r="W15">
            <v>328200.51</v>
          </cell>
        </row>
        <row r="16">
          <cell r="W16">
            <v>-2505517.5599999996</v>
          </cell>
        </row>
        <row r="17">
          <cell r="W17">
            <v>31381.449221688628</v>
          </cell>
        </row>
        <row r="18">
          <cell r="W18">
            <v>4099001.13</v>
          </cell>
        </row>
        <row r="19">
          <cell r="W19">
            <v>27250.679302159901</v>
          </cell>
        </row>
        <row r="20">
          <cell r="W20">
            <v>3350.55</v>
          </cell>
        </row>
        <row r="21">
          <cell r="W21">
            <v>0</v>
          </cell>
        </row>
        <row r="22">
          <cell r="W22">
            <v>-251471.98844641788</v>
          </cell>
        </row>
        <row r="25">
          <cell r="W25">
            <v>592458.74174999993</v>
          </cell>
        </row>
        <row r="27">
          <cell r="W27">
            <v>233473.4235768998</v>
          </cell>
        </row>
        <row r="28">
          <cell r="W28">
            <v>-171498.26</v>
          </cell>
        </row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showGridLines="0" tabSelected="1" topLeftCell="A11" workbookViewId="0"/>
  </sheetViews>
  <sheetFormatPr defaultRowHeight="12.5"/>
  <cols>
    <col min="1" max="1" width="1.26953125" customWidth="1"/>
    <col min="2" max="2" width="2.81640625" customWidth="1"/>
    <col min="3" max="3" width="82.26953125" customWidth="1"/>
    <col min="4" max="4" width="3.26953125" customWidth="1"/>
    <col min="5" max="5" width="12.7265625" customWidth="1"/>
    <col min="6" max="6" width="1.26953125" customWidth="1"/>
    <col min="13" max="13" width="9.453125" bestFit="1" customWidth="1"/>
    <col min="14" max="14" width="15.7265625" bestFit="1" customWidth="1"/>
  </cols>
  <sheetData>
    <row r="1" spans="1:15" ht="6.75" customHeight="1">
      <c r="A1" s="94"/>
      <c r="B1" s="95"/>
      <c r="C1" s="95"/>
      <c r="D1" s="95"/>
      <c r="E1" s="95"/>
      <c r="F1" s="96"/>
    </row>
    <row r="2" spans="1:15" ht="15.5">
      <c r="A2" s="97"/>
      <c r="B2" s="115" t="s">
        <v>7</v>
      </c>
      <c r="C2" s="115"/>
      <c r="D2" s="115"/>
      <c r="E2" s="115"/>
      <c r="F2" s="98"/>
      <c r="G2" s="2"/>
      <c r="H2" s="2"/>
      <c r="I2" s="2"/>
      <c r="J2" s="2"/>
      <c r="K2" s="2"/>
      <c r="L2" s="2"/>
      <c r="M2" s="2"/>
      <c r="N2" s="2"/>
    </row>
    <row r="3" spans="1:15" ht="15.5">
      <c r="A3" s="97"/>
      <c r="B3" s="115" t="s">
        <v>8</v>
      </c>
      <c r="C3" s="115"/>
      <c r="D3" s="115"/>
      <c r="E3" s="115"/>
      <c r="F3" s="98"/>
      <c r="G3" s="2"/>
      <c r="H3" s="2"/>
      <c r="I3" s="2"/>
      <c r="J3" s="2"/>
      <c r="K3" s="2"/>
      <c r="L3" s="2"/>
      <c r="M3" s="2"/>
      <c r="N3" s="2"/>
    </row>
    <row r="4" spans="1:15" ht="15.5">
      <c r="A4" s="97"/>
      <c r="B4" s="115" t="s">
        <v>9</v>
      </c>
      <c r="C4" s="115"/>
      <c r="D4" s="115"/>
      <c r="E4" s="115"/>
      <c r="F4" s="98"/>
      <c r="G4" s="2"/>
      <c r="H4" s="2"/>
      <c r="I4" s="2"/>
      <c r="J4" s="2"/>
      <c r="K4" s="2"/>
      <c r="L4" s="2"/>
      <c r="M4" s="2"/>
      <c r="N4" s="2"/>
    </row>
    <row r="5" spans="1:15" ht="15.5">
      <c r="A5" s="97"/>
      <c r="B5" s="115" t="s">
        <v>2</v>
      </c>
      <c r="C5" s="115"/>
      <c r="D5" s="115"/>
      <c r="E5" s="115"/>
      <c r="F5" s="98"/>
      <c r="G5" s="2"/>
      <c r="H5" s="2"/>
      <c r="I5" s="2"/>
      <c r="J5" s="2"/>
      <c r="K5" s="2"/>
      <c r="L5" s="2"/>
      <c r="M5" s="2"/>
      <c r="N5" s="2"/>
    </row>
    <row r="6" spans="1:15" ht="15.5">
      <c r="A6" s="97"/>
      <c r="B6" s="14"/>
      <c r="C6" s="14"/>
      <c r="D6" s="14"/>
      <c r="E6" s="99"/>
      <c r="F6" s="100"/>
      <c r="G6" s="2"/>
      <c r="H6" s="2"/>
      <c r="I6" s="2"/>
      <c r="J6" s="2"/>
      <c r="K6" s="2"/>
      <c r="L6" s="14"/>
      <c r="M6" s="2"/>
      <c r="N6" s="2"/>
    </row>
    <row r="7" spans="1:15" ht="15.5">
      <c r="A7" s="97"/>
      <c r="B7" s="14"/>
      <c r="C7" s="14"/>
      <c r="D7" s="14"/>
      <c r="E7" s="93" t="s">
        <v>3</v>
      </c>
      <c r="F7" s="98"/>
      <c r="G7" s="2"/>
      <c r="H7" s="2"/>
      <c r="I7" s="2"/>
      <c r="J7" s="2"/>
      <c r="K7" s="2"/>
      <c r="L7" s="14"/>
      <c r="M7" s="2"/>
      <c r="N7" s="2"/>
    </row>
    <row r="8" spans="1:15" ht="15.5">
      <c r="A8" s="97"/>
      <c r="B8" s="14"/>
      <c r="C8" s="14"/>
      <c r="D8" s="14"/>
      <c r="E8" s="5" t="s">
        <v>0</v>
      </c>
      <c r="F8" s="98"/>
      <c r="G8" s="2"/>
      <c r="H8" s="2"/>
      <c r="I8" s="2"/>
      <c r="J8" s="2"/>
      <c r="K8" s="2"/>
      <c r="L8" s="14"/>
      <c r="M8" s="2"/>
      <c r="N8" s="2"/>
    </row>
    <row r="9" spans="1:15" ht="9" customHeight="1">
      <c r="A9" s="97"/>
      <c r="B9" s="101"/>
      <c r="C9" s="102"/>
      <c r="D9" s="14"/>
      <c r="E9" s="17"/>
      <c r="F9" s="103"/>
      <c r="G9" s="2"/>
      <c r="H9" s="2"/>
      <c r="I9" s="2"/>
      <c r="J9" s="2"/>
      <c r="K9" s="2"/>
      <c r="L9" s="2"/>
      <c r="M9" s="2"/>
      <c r="N9" s="2"/>
    </row>
    <row r="10" spans="1:15" ht="15.5">
      <c r="A10" s="97"/>
      <c r="B10" s="101" t="s">
        <v>78</v>
      </c>
      <c r="C10" s="101"/>
      <c r="D10" s="101"/>
      <c r="E10" s="17">
        <f>'RevReq-Orig Comp Presentation'!E49/1000000</f>
        <v>7.304520739736307</v>
      </c>
      <c r="F10" s="103"/>
    </row>
    <row r="11" spans="1:15" ht="9.75" customHeight="1">
      <c r="A11" s="97"/>
      <c r="B11" s="101"/>
      <c r="C11" s="101"/>
      <c r="D11" s="101"/>
      <c r="E11" s="17"/>
      <c r="F11" s="103"/>
    </row>
    <row r="12" spans="1:15" ht="15.5">
      <c r="A12" s="97"/>
      <c r="B12" s="101" t="s">
        <v>79</v>
      </c>
      <c r="C12" s="14"/>
      <c r="D12" s="14"/>
      <c r="E12" s="104"/>
      <c r="F12" s="105"/>
    </row>
    <row r="13" spans="1:15" ht="15.5">
      <c r="A13" s="97"/>
      <c r="B13" s="1"/>
      <c r="C13" s="14" t="s">
        <v>125</v>
      </c>
      <c r="D13" s="14"/>
      <c r="E13" s="4">
        <v>-0.13591600000000001</v>
      </c>
      <c r="F13" s="106"/>
      <c r="H13" s="2" t="s">
        <v>110</v>
      </c>
      <c r="L13" s="75" t="s">
        <v>127</v>
      </c>
      <c r="M13" s="75"/>
      <c r="N13" s="75"/>
    </row>
    <row r="14" spans="1:15" ht="15.5">
      <c r="A14" s="97"/>
      <c r="B14" s="1"/>
      <c r="C14" s="107" t="s">
        <v>123</v>
      </c>
      <c r="D14" s="107"/>
      <c r="E14" s="4">
        <f>0.478083-0.4798</f>
        <v>-1.7170000000000241E-3</v>
      </c>
      <c r="F14" s="106"/>
      <c r="L14" t="s">
        <v>112</v>
      </c>
      <c r="M14" t="s">
        <v>113</v>
      </c>
      <c r="N14" t="s">
        <v>113</v>
      </c>
      <c r="O14" t="s">
        <v>114</v>
      </c>
    </row>
    <row r="15" spans="1:15" ht="15.5">
      <c r="A15" s="97"/>
      <c r="B15" s="1"/>
      <c r="C15" s="107" t="s">
        <v>124</v>
      </c>
      <c r="D15" s="107"/>
      <c r="E15" s="4">
        <v>-2.3484999999999999E-2</v>
      </c>
      <c r="F15" s="106"/>
      <c r="H15" s="2" t="s">
        <v>121</v>
      </c>
      <c r="L15">
        <v>0.23347300000000001</v>
      </c>
      <c r="M15">
        <v>0.20241799999999999</v>
      </c>
      <c r="N15">
        <v>-0.39684000000000003</v>
      </c>
    </row>
    <row r="16" spans="1:15" ht="15.5">
      <c r="A16" s="97"/>
      <c r="B16" s="1"/>
      <c r="C16" s="107" t="s">
        <v>111</v>
      </c>
      <c r="D16" s="107"/>
      <c r="E16" s="13">
        <f>O16</f>
        <v>0.27252400000000004</v>
      </c>
      <c r="F16" s="106"/>
      <c r="L16">
        <f>L15*2</f>
        <v>0.46694600000000003</v>
      </c>
      <c r="M16">
        <f>M15*1</f>
        <v>0.20241799999999999</v>
      </c>
      <c r="N16">
        <f>N15*1</f>
        <v>-0.39684000000000003</v>
      </c>
      <c r="O16">
        <f>SUM(L16:N16)</f>
        <v>0.27252400000000004</v>
      </c>
    </row>
    <row r="17" spans="1:14" ht="6.75" customHeight="1">
      <c r="A17" s="97"/>
      <c r="B17" s="1"/>
      <c r="C17" s="107"/>
      <c r="D17" s="107"/>
      <c r="E17" s="4"/>
      <c r="F17" s="106"/>
    </row>
    <row r="18" spans="1:14" ht="16" thickBot="1">
      <c r="A18" s="97"/>
      <c r="B18" s="101" t="s">
        <v>131</v>
      </c>
      <c r="C18" s="107"/>
      <c r="D18" s="107"/>
      <c r="E18" s="19">
        <f>SUM(E13:E16)</f>
        <v>0.11140600000000001</v>
      </c>
      <c r="F18" s="106"/>
    </row>
    <row r="19" spans="1:14" ht="9.75" customHeight="1" thickTop="1">
      <c r="A19" s="97"/>
      <c r="B19" s="14"/>
      <c r="C19" s="107"/>
      <c r="D19" s="107"/>
      <c r="E19" s="107"/>
      <c r="F19" s="108"/>
    </row>
    <row r="20" spans="1:14" ht="16" thickBot="1">
      <c r="A20" s="97"/>
      <c r="B20" s="101" t="s">
        <v>122</v>
      </c>
      <c r="C20" s="107"/>
      <c r="D20" s="107"/>
      <c r="E20" s="20">
        <f>E10+E18</f>
        <v>7.4159267397363067</v>
      </c>
      <c r="F20" s="109"/>
    </row>
    <row r="21" spans="1:14" ht="16" thickTop="1">
      <c r="A21" s="97"/>
      <c r="B21" s="101"/>
      <c r="C21" s="107"/>
      <c r="D21" s="107"/>
      <c r="E21" s="76"/>
      <c r="F21" s="109"/>
    </row>
    <row r="22" spans="1:14" ht="15.5">
      <c r="A22" s="97"/>
      <c r="B22" s="101" t="s">
        <v>130</v>
      </c>
      <c r="C22" s="107"/>
      <c r="D22" s="107"/>
      <c r="E22" s="76"/>
      <c r="F22" s="109"/>
    </row>
    <row r="23" spans="1:14" ht="15.5">
      <c r="A23" s="97"/>
      <c r="B23" s="101"/>
      <c r="C23" s="107" t="s">
        <v>128</v>
      </c>
      <c r="D23" s="107"/>
      <c r="E23" s="76">
        <v>-8.7034E-2</v>
      </c>
      <c r="F23" s="109"/>
    </row>
    <row r="24" spans="1:14" ht="15.5">
      <c r="A24" s="97"/>
      <c r="B24" s="101"/>
      <c r="C24" s="107" t="s">
        <v>129</v>
      </c>
      <c r="D24" s="107"/>
      <c r="E24" s="77">
        <v>-0.17149800000000001</v>
      </c>
      <c r="F24" s="109"/>
    </row>
    <row r="25" spans="1:14" ht="6.75" customHeight="1">
      <c r="A25" s="97"/>
      <c r="B25" s="101"/>
      <c r="C25" s="107"/>
      <c r="D25" s="107"/>
      <c r="E25" s="76"/>
      <c r="F25" s="109"/>
    </row>
    <row r="26" spans="1:14" ht="15.5">
      <c r="A26" s="97"/>
      <c r="B26" s="101" t="s">
        <v>132</v>
      </c>
      <c r="C26" s="107"/>
      <c r="D26" s="107"/>
      <c r="E26" s="76">
        <f>SUM(E23:E24)</f>
        <v>-0.25853199999999998</v>
      </c>
      <c r="F26" s="109"/>
    </row>
    <row r="27" spans="1:14" ht="9.75" customHeight="1">
      <c r="A27" s="97"/>
      <c r="B27" s="14"/>
      <c r="C27" s="107"/>
      <c r="D27" s="107"/>
      <c r="E27" s="76"/>
      <c r="F27" s="109"/>
    </row>
    <row r="28" spans="1:14" ht="16" thickBot="1">
      <c r="A28" s="97"/>
      <c r="B28" s="101" t="s">
        <v>133</v>
      </c>
      <c r="C28" s="107"/>
      <c r="D28" s="107"/>
      <c r="E28" s="20">
        <f>E20+E26</f>
        <v>7.1573947397363069</v>
      </c>
      <c r="F28" s="109"/>
    </row>
    <row r="29" spans="1:14" ht="24" customHeight="1" thickTop="1">
      <c r="A29" s="97"/>
      <c r="B29" s="101"/>
      <c r="C29" s="107"/>
      <c r="D29" s="107"/>
      <c r="E29" s="76"/>
      <c r="F29" s="109"/>
    </row>
    <row r="30" spans="1:14" ht="15.5">
      <c r="A30" s="97"/>
      <c r="B30" s="101" t="s">
        <v>134</v>
      </c>
      <c r="C30" s="14"/>
      <c r="D30" s="14"/>
      <c r="E30" s="104"/>
      <c r="F30" s="105"/>
      <c r="G30" s="2"/>
      <c r="H30" s="2"/>
      <c r="I30" s="2"/>
      <c r="J30" s="2"/>
      <c r="K30" s="2"/>
      <c r="M30" s="2"/>
      <c r="N30" s="2"/>
    </row>
    <row r="31" spans="1:14" ht="15.5">
      <c r="A31" s="97"/>
      <c r="B31" s="1"/>
      <c r="C31" s="107" t="s">
        <v>6</v>
      </c>
      <c r="D31" s="107"/>
      <c r="E31" s="4">
        <f>'Payroll Expense'!E18/1000000</f>
        <v>-0.28332800076477227</v>
      </c>
      <c r="F31" s="106"/>
      <c r="G31" s="2"/>
      <c r="H31" s="2" t="s">
        <v>1</v>
      </c>
      <c r="I31" s="2"/>
      <c r="J31" s="2"/>
      <c r="K31" s="2"/>
      <c r="M31" s="2"/>
      <c r="N31" s="2"/>
    </row>
    <row r="32" spans="1:14" ht="15.5">
      <c r="A32" s="97"/>
      <c r="B32" s="1"/>
      <c r="C32" s="107" t="s">
        <v>99</v>
      </c>
      <c r="D32" s="107"/>
      <c r="E32" s="4">
        <f>-'Utilities Expense'!E23/1000000</f>
        <v>-0.12380974</v>
      </c>
      <c r="F32" s="106"/>
      <c r="G32" s="2"/>
      <c r="H32" s="2" t="s">
        <v>1</v>
      </c>
      <c r="I32" s="2"/>
      <c r="J32" s="2"/>
      <c r="K32" s="2"/>
      <c r="M32" s="2"/>
      <c r="N32" s="2"/>
    </row>
    <row r="33" spans="1:26" ht="15.5">
      <c r="A33" s="97"/>
      <c r="B33" s="1"/>
      <c r="C33" s="107" t="s">
        <v>149</v>
      </c>
      <c r="D33" s="107"/>
      <c r="E33" s="4">
        <f>'Depr Exp Old HQ'!F16/1000000</f>
        <v>-1.7932E-2</v>
      </c>
      <c r="F33" s="106"/>
      <c r="G33" s="2"/>
      <c r="H33" s="2" t="s">
        <v>1</v>
      </c>
      <c r="I33" s="2"/>
      <c r="J33" s="2"/>
      <c r="K33" s="2"/>
      <c r="M33" s="2"/>
      <c r="N33" s="2"/>
    </row>
    <row r="34" spans="1:26" ht="15.5">
      <c r="A34" s="97"/>
      <c r="B34" s="1"/>
      <c r="C34" s="107" t="s">
        <v>155</v>
      </c>
      <c r="D34" s="107"/>
      <c r="E34" s="4">
        <f>'ROW Maint'!G16/1000000</f>
        <v>-1.8240099999999999</v>
      </c>
      <c r="F34" s="106"/>
      <c r="G34" s="2"/>
      <c r="H34" s="2" t="s">
        <v>1</v>
      </c>
      <c r="I34" s="2"/>
      <c r="J34" s="2"/>
      <c r="K34" s="2"/>
      <c r="M34" s="2"/>
      <c r="N34" s="2"/>
    </row>
    <row r="35" spans="1:26" ht="15.5">
      <c r="A35" s="97"/>
      <c r="B35" s="1"/>
      <c r="C35" s="107" t="s">
        <v>167</v>
      </c>
      <c r="D35" s="107"/>
      <c r="E35" s="4">
        <f>-'RevReq-Staff 3-7 Update'!M39/1000000</f>
        <v>-2.0539999999999999E-2</v>
      </c>
      <c r="F35" s="106"/>
      <c r="G35" s="2"/>
      <c r="H35" s="2" t="s">
        <v>1</v>
      </c>
      <c r="I35" s="2"/>
      <c r="J35" s="2"/>
      <c r="K35" s="2"/>
      <c r="M35" s="2"/>
      <c r="N35" s="2"/>
    </row>
    <row r="36" spans="1:26" ht="15.5">
      <c r="A36" s="97"/>
      <c r="B36" s="1"/>
      <c r="C36" s="107" t="s">
        <v>139</v>
      </c>
      <c r="D36" s="107"/>
      <c r="E36" s="4">
        <f>'LTD Int - Other than HQ Bldg'!F22/1000000</f>
        <v>-8.5595903724800013E-2</v>
      </c>
      <c r="F36" s="106"/>
      <c r="G36" s="2"/>
      <c r="H36" s="2" t="s">
        <v>1</v>
      </c>
      <c r="I36" s="2"/>
      <c r="J36" s="2"/>
      <c r="K36" s="2"/>
      <c r="M36" s="2"/>
      <c r="N36" s="2"/>
    </row>
    <row r="37" spans="1:26" ht="15.5">
      <c r="A37" s="97"/>
      <c r="B37" s="1"/>
      <c r="C37" s="107" t="s">
        <v>70</v>
      </c>
      <c r="D37" s="107"/>
      <c r="E37" s="13">
        <f>'RevReq-Staff 3-7 Update'!L49/1000000</f>
        <v>-1.0759097358572502</v>
      </c>
      <c r="F37" s="106"/>
      <c r="G37" s="2"/>
      <c r="H37" s="2" t="s">
        <v>1</v>
      </c>
      <c r="I37" s="2"/>
      <c r="J37" s="2"/>
      <c r="K37" s="2"/>
      <c r="L37" s="2"/>
      <c r="M37" s="2"/>
      <c r="N37" s="2"/>
      <c r="O37" s="18"/>
      <c r="P37" s="18"/>
      <c r="Q37" s="21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9" customHeight="1">
      <c r="A38" s="97"/>
      <c r="B38" s="14"/>
      <c r="C38" s="107"/>
      <c r="D38" s="107"/>
      <c r="E38" s="4"/>
      <c r="F38" s="106"/>
      <c r="G38" s="2"/>
      <c r="H38" s="2"/>
      <c r="I38" s="2"/>
      <c r="J38" s="2"/>
      <c r="K38" s="2"/>
      <c r="L38" s="2"/>
      <c r="M38" s="2"/>
      <c r="N38" s="2"/>
      <c r="O38" s="18"/>
      <c r="P38" s="18"/>
      <c r="Q38" s="2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6" thickBot="1">
      <c r="A39" s="97"/>
      <c r="B39" s="101" t="s">
        <v>126</v>
      </c>
      <c r="C39" s="107"/>
      <c r="D39" s="107"/>
      <c r="E39" s="19">
        <f>SUM(E31:E37)</f>
        <v>-3.4311253803468222</v>
      </c>
      <c r="F39" s="106"/>
      <c r="G39" s="2"/>
      <c r="H39" s="2"/>
      <c r="I39" s="2"/>
      <c r="J39" s="2"/>
      <c r="K39" s="2"/>
      <c r="L39" s="2"/>
      <c r="M39" s="2"/>
      <c r="N39" s="2"/>
      <c r="O39" s="18"/>
      <c r="P39" s="18"/>
      <c r="Q39" s="3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9.75" customHeight="1" thickTop="1">
      <c r="A40" s="97"/>
      <c r="B40" s="14"/>
      <c r="C40" s="107"/>
      <c r="D40" s="107"/>
      <c r="E40" s="107"/>
      <c r="F40" s="108"/>
      <c r="G40" s="2"/>
      <c r="H40" s="2"/>
      <c r="I40" s="2"/>
      <c r="J40" s="2"/>
      <c r="K40" s="2"/>
      <c r="L40" s="2"/>
      <c r="M40" s="2"/>
      <c r="N40" s="2"/>
      <c r="O40" s="18"/>
      <c r="P40" s="18"/>
      <c r="Q40" s="2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6" thickBot="1">
      <c r="A41" s="97"/>
      <c r="B41" s="110" t="s">
        <v>66</v>
      </c>
      <c r="C41" s="107"/>
      <c r="D41" s="107"/>
      <c r="E41" s="20">
        <f>E28+E39</f>
        <v>3.7262693593894847</v>
      </c>
      <c r="F41" s="109"/>
      <c r="G41" s="2"/>
      <c r="H41" s="2"/>
      <c r="I41" s="2"/>
      <c r="J41" s="2"/>
      <c r="K41" s="86" t="s">
        <v>100</v>
      </c>
      <c r="L41" s="86"/>
      <c r="M41" s="86"/>
      <c r="N41" s="87">
        <f>SUM(E28:E36)</f>
        <v>4.8021790952467356</v>
      </c>
    </row>
    <row r="42" spans="1:26" ht="15.75" customHeight="1" thickTop="1">
      <c r="A42" s="111"/>
      <c r="B42" s="112"/>
      <c r="C42" s="113"/>
      <c r="D42" s="113"/>
      <c r="E42" s="113"/>
      <c r="F42" s="114"/>
      <c r="G42" s="2"/>
      <c r="H42" s="2"/>
      <c r="I42" s="2"/>
      <c r="J42" s="2"/>
      <c r="K42" s="86" t="s">
        <v>101</v>
      </c>
      <c r="L42" s="86"/>
      <c r="M42" s="86"/>
      <c r="N42" s="88">
        <f>'RevReq-Staff 3-7 Update'!I49/1000000</f>
        <v>4.8021791844916413</v>
      </c>
    </row>
    <row r="43" spans="1:26" ht="15.5">
      <c r="B43" s="2"/>
      <c r="C43" s="2"/>
      <c r="D43" s="2"/>
      <c r="E43" s="2"/>
      <c r="F43" s="2"/>
      <c r="G43" s="2"/>
      <c r="H43" s="2"/>
      <c r="I43" s="2"/>
      <c r="J43" s="2"/>
      <c r="K43" s="86"/>
      <c r="L43" s="86"/>
      <c r="M43" s="86"/>
      <c r="N43" s="86"/>
    </row>
    <row r="44" spans="1:26" ht="15.5">
      <c r="B44" s="2"/>
      <c r="C44" s="2"/>
      <c r="D44" s="2"/>
      <c r="E44" s="2"/>
      <c r="F44" s="2"/>
      <c r="G44" s="2"/>
      <c r="H44" s="2"/>
      <c r="I44" s="2"/>
      <c r="J44" s="2"/>
      <c r="K44" s="86" t="s">
        <v>150</v>
      </c>
      <c r="L44" s="86"/>
      <c r="M44" s="86"/>
      <c r="N44" s="87">
        <f>E41</f>
        <v>3.7262693593894847</v>
      </c>
    </row>
    <row r="45" spans="1:26" ht="15.5">
      <c r="K45" s="86" t="s">
        <v>101</v>
      </c>
      <c r="L45" s="86"/>
      <c r="M45" s="86"/>
      <c r="N45" s="88">
        <f>'RevReq-Staff 3-7 Update'!J49/1000000</f>
        <v>3.7262694486343908</v>
      </c>
    </row>
  </sheetData>
  <mergeCells count="4">
    <mergeCell ref="B2:E2"/>
    <mergeCell ref="B3:E3"/>
    <mergeCell ref="B4:E4"/>
    <mergeCell ref="B5:E5"/>
  </mergeCells>
  <phoneticPr fontId="5" type="noConversion"/>
  <pageMargins left="0.88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75" zoomScaleNormal="75" workbookViewId="0">
      <selection activeCell="N41" sqref="N41"/>
    </sheetView>
  </sheetViews>
  <sheetFormatPr defaultColWidth="9.1796875" defaultRowHeight="12.5"/>
  <cols>
    <col min="1" max="1" width="9.1796875" style="26"/>
    <col min="2" max="2" width="33.26953125" style="24" bestFit="1" customWidth="1"/>
    <col min="3" max="3" width="16.54296875" style="24" customWidth="1"/>
    <col min="4" max="4" width="14" style="24" customWidth="1"/>
    <col min="5" max="5" width="15.453125" style="24" customWidth="1"/>
    <col min="6" max="6" width="18.1796875" style="24" customWidth="1"/>
    <col min="7" max="7" width="4.54296875" style="24" customWidth="1"/>
    <col min="8" max="16384" width="9.1796875" style="24"/>
  </cols>
  <sheetData>
    <row r="1" spans="1:7" ht="13">
      <c r="A1" s="22" t="s">
        <v>10</v>
      </c>
      <c r="B1" s="22"/>
      <c r="C1" s="22"/>
      <c r="D1" s="22"/>
      <c r="E1" s="22"/>
      <c r="F1" s="23"/>
      <c r="G1" s="22"/>
    </row>
    <row r="2" spans="1:7" ht="13">
      <c r="A2" s="22" t="s">
        <v>11</v>
      </c>
      <c r="B2" s="22"/>
      <c r="C2" s="22"/>
      <c r="D2" s="22"/>
      <c r="E2" s="22"/>
      <c r="F2" s="22"/>
      <c r="G2" s="22"/>
    </row>
    <row r="3" spans="1:7" ht="13">
      <c r="A3" s="22" t="s">
        <v>12</v>
      </c>
      <c r="B3" s="22"/>
      <c r="C3" s="22"/>
      <c r="D3" s="22"/>
      <c r="E3" s="22"/>
      <c r="F3" s="22"/>
      <c r="G3" s="22"/>
    </row>
    <row r="4" spans="1:7" ht="13">
      <c r="A4" s="25"/>
      <c r="E4" s="23"/>
      <c r="F4" s="22"/>
      <c r="G4" s="23"/>
    </row>
    <row r="5" spans="1:7" ht="13">
      <c r="C5" s="25" t="s">
        <v>14</v>
      </c>
      <c r="D5" s="25" t="s">
        <v>15</v>
      </c>
      <c r="E5" s="25" t="s">
        <v>16</v>
      </c>
      <c r="F5" s="25" t="s">
        <v>17</v>
      </c>
      <c r="G5" s="23"/>
    </row>
    <row r="6" spans="1:7" ht="13">
      <c r="A6" s="25" t="s">
        <v>19</v>
      </c>
      <c r="B6" s="25" t="s">
        <v>4</v>
      </c>
      <c r="C6" s="25" t="s">
        <v>20</v>
      </c>
      <c r="D6" s="25" t="s">
        <v>21</v>
      </c>
      <c r="E6" s="25" t="s">
        <v>22</v>
      </c>
      <c r="F6" s="25" t="s">
        <v>22</v>
      </c>
      <c r="G6" s="23"/>
    </row>
    <row r="7" spans="1:7" s="29" customFormat="1" ht="13">
      <c r="A7" s="27" t="s">
        <v>23</v>
      </c>
      <c r="B7" s="28">
        <v>1</v>
      </c>
      <c r="C7" s="28">
        <f>B7+1</f>
        <v>2</v>
      </c>
      <c r="D7" s="28">
        <f>C7+1</f>
        <v>3</v>
      </c>
      <c r="E7" s="28" t="s">
        <v>24</v>
      </c>
      <c r="F7" s="28" t="s">
        <v>25</v>
      </c>
    </row>
    <row r="8" spans="1:7">
      <c r="A8" s="26">
        <v>1</v>
      </c>
      <c r="B8" s="30" t="s">
        <v>28</v>
      </c>
      <c r="C8" s="31"/>
    </row>
    <row r="9" spans="1:7">
      <c r="A9" s="26">
        <f>A8+1</f>
        <v>2</v>
      </c>
      <c r="B9" s="24" t="s">
        <v>29</v>
      </c>
      <c r="C9" s="32">
        <v>68120497.930000007</v>
      </c>
      <c r="D9" s="32">
        <v>-2640848.16</v>
      </c>
      <c r="E9" s="32">
        <f>C9+D9</f>
        <v>65479649.770000011</v>
      </c>
      <c r="F9" s="32">
        <f>E9+E49</f>
        <v>72784170.509736314</v>
      </c>
      <c r="G9" s="32"/>
    </row>
    <row r="10" spans="1:7">
      <c r="A10" s="26">
        <f t="shared" ref="A10:A52" si="0">A9+1</f>
        <v>3</v>
      </c>
      <c r="B10" s="24" t="s">
        <v>30</v>
      </c>
      <c r="C10" s="32">
        <v>1307202.68</v>
      </c>
      <c r="D10" s="32">
        <v>0</v>
      </c>
      <c r="E10" s="32">
        <f>C10+D10</f>
        <v>1307202.68</v>
      </c>
      <c r="F10" s="32">
        <f>E10</f>
        <v>1307202.68</v>
      </c>
      <c r="G10" s="32"/>
    </row>
    <row r="11" spans="1:7">
      <c r="A11" s="26">
        <f t="shared" si="0"/>
        <v>4</v>
      </c>
      <c r="B11" s="33" t="s">
        <v>31</v>
      </c>
      <c r="C11" s="34">
        <f>SUM(C9:C10)</f>
        <v>69427700.610000014</v>
      </c>
      <c r="D11" s="34">
        <f>SUM(D9:D10)</f>
        <v>-2640848.16</v>
      </c>
      <c r="E11" s="34">
        <f>SUM(E9:E10)</f>
        <v>66786852.45000001</v>
      </c>
      <c r="F11" s="34">
        <f>SUM(F9:F10)</f>
        <v>74091373.189736322</v>
      </c>
      <c r="G11" s="32"/>
    </row>
    <row r="12" spans="1:7">
      <c r="A12" s="26">
        <f t="shared" si="0"/>
        <v>5</v>
      </c>
      <c r="C12" s="32"/>
      <c r="D12" s="32"/>
      <c r="E12" s="32"/>
      <c r="F12" s="32"/>
      <c r="G12" s="35"/>
    </row>
    <row r="13" spans="1:7">
      <c r="A13" s="26">
        <f t="shared" si="0"/>
        <v>6</v>
      </c>
      <c r="B13" s="30" t="s">
        <v>32</v>
      </c>
      <c r="C13" s="32"/>
      <c r="D13" s="32"/>
      <c r="E13" s="32"/>
      <c r="F13" s="32"/>
      <c r="G13" s="35"/>
    </row>
    <row r="14" spans="1:7">
      <c r="A14" s="26">
        <f t="shared" si="0"/>
        <v>7</v>
      </c>
      <c r="B14" s="24" t="s">
        <v>33</v>
      </c>
      <c r="C14" s="32">
        <v>50688769</v>
      </c>
      <c r="D14" s="32">
        <v>2631310.9597363207</v>
      </c>
      <c r="E14" s="32">
        <f>C14+D14</f>
        <v>53320079.959736317</v>
      </c>
      <c r="F14" s="32">
        <f>E14</f>
        <v>53320079.959736317</v>
      </c>
      <c r="G14" s="35"/>
    </row>
    <row r="15" spans="1:7">
      <c r="A15" s="26">
        <f t="shared" si="0"/>
        <v>8</v>
      </c>
      <c r="B15" s="24" t="s">
        <v>34</v>
      </c>
      <c r="C15" s="32">
        <v>3308445</v>
      </c>
      <c r="D15" s="32">
        <v>0</v>
      </c>
      <c r="E15" s="32">
        <f t="shared" ref="E15:E20" si="1">C15+D15</f>
        <v>3308445</v>
      </c>
      <c r="F15" s="32">
        <f t="shared" ref="F15:F20" si="2">E15</f>
        <v>3308445</v>
      </c>
      <c r="G15" s="35"/>
    </row>
    <row r="16" spans="1:7">
      <c r="A16" s="26">
        <f t="shared" si="0"/>
        <v>9</v>
      </c>
      <c r="B16" s="24" t="s">
        <v>35</v>
      </c>
      <c r="C16" s="32">
        <v>2921678</v>
      </c>
      <c r="D16" s="32">
        <v>0</v>
      </c>
      <c r="E16" s="32">
        <f t="shared" si="1"/>
        <v>2921678</v>
      </c>
      <c r="F16" s="32">
        <f t="shared" si="2"/>
        <v>2921678</v>
      </c>
      <c r="G16" s="35"/>
    </row>
    <row r="17" spans="1:7">
      <c r="A17" s="26">
        <f t="shared" si="0"/>
        <v>10</v>
      </c>
      <c r="B17" s="24" t="s">
        <v>36</v>
      </c>
      <c r="C17" s="32">
        <v>1273783</v>
      </c>
      <c r="D17" s="32">
        <v>0</v>
      </c>
      <c r="E17" s="32">
        <f t="shared" si="1"/>
        <v>1273783</v>
      </c>
      <c r="F17" s="32">
        <f t="shared" si="2"/>
        <v>1273783</v>
      </c>
      <c r="G17" s="35"/>
    </row>
    <row r="18" spans="1:7">
      <c r="A18" s="26">
        <f t="shared" si="0"/>
        <v>11</v>
      </c>
      <c r="B18" s="24" t="s">
        <v>37</v>
      </c>
      <c r="C18" s="32">
        <v>40607</v>
      </c>
      <c r="D18" s="32">
        <v>0</v>
      </c>
      <c r="E18" s="32">
        <f t="shared" si="1"/>
        <v>40607</v>
      </c>
      <c r="F18" s="32">
        <f t="shared" si="2"/>
        <v>40607</v>
      </c>
      <c r="G18" s="36"/>
    </row>
    <row r="19" spans="1:7">
      <c r="A19" s="26">
        <f t="shared" si="0"/>
        <v>12</v>
      </c>
      <c r="B19" s="24" t="s">
        <v>38</v>
      </c>
      <c r="C19" s="32">
        <v>3691</v>
      </c>
      <c r="D19" s="32">
        <v>0</v>
      </c>
      <c r="E19" s="32">
        <f t="shared" si="1"/>
        <v>3691</v>
      </c>
      <c r="F19" s="32">
        <f t="shared" si="2"/>
        <v>3691</v>
      </c>
    </row>
    <row r="20" spans="1:7">
      <c r="A20" s="26">
        <f t="shared" si="0"/>
        <v>13</v>
      </c>
      <c r="B20" s="24" t="s">
        <v>39</v>
      </c>
      <c r="C20" s="32">
        <v>3237313</v>
      </c>
      <c r="D20" s="32">
        <v>0</v>
      </c>
      <c r="E20" s="32">
        <f t="shared" si="1"/>
        <v>3237313</v>
      </c>
      <c r="F20" s="32">
        <f t="shared" si="2"/>
        <v>3237313</v>
      </c>
    </row>
    <row r="21" spans="1:7">
      <c r="A21" s="26">
        <f t="shared" si="0"/>
        <v>14</v>
      </c>
      <c r="B21" s="33" t="s">
        <v>40</v>
      </c>
      <c r="C21" s="34">
        <f>SUM(C14:C20)</f>
        <v>61474286</v>
      </c>
      <c r="D21" s="34">
        <f t="shared" ref="D21:F21" si="3">SUM(D14:D20)</f>
        <v>2631310.9597363207</v>
      </c>
      <c r="E21" s="34">
        <f>SUM(E14:E20)</f>
        <v>64105596.959736317</v>
      </c>
      <c r="F21" s="34">
        <f t="shared" si="3"/>
        <v>64105596.959736317</v>
      </c>
    </row>
    <row r="22" spans="1:7">
      <c r="A22" s="26">
        <f t="shared" si="0"/>
        <v>15</v>
      </c>
      <c r="C22" s="32"/>
      <c r="D22" s="32"/>
      <c r="E22" s="32"/>
      <c r="F22" s="32"/>
    </row>
    <row r="23" spans="1:7">
      <c r="A23" s="26">
        <f t="shared" si="0"/>
        <v>16</v>
      </c>
      <c r="B23" s="24" t="s">
        <v>41</v>
      </c>
      <c r="C23" s="32">
        <v>6016651</v>
      </c>
      <c r="D23" s="32">
        <v>0</v>
      </c>
      <c r="E23" s="32">
        <f>C23+D23</f>
        <v>6016651</v>
      </c>
      <c r="F23" s="32">
        <f>E23</f>
        <v>6016651</v>
      </c>
    </row>
    <row r="24" spans="1:7">
      <c r="A24" s="26">
        <f t="shared" si="0"/>
        <v>17</v>
      </c>
      <c r="B24" s="24" t="s">
        <v>42</v>
      </c>
      <c r="C24" s="32">
        <v>90258</v>
      </c>
      <c r="D24" s="32">
        <v>0</v>
      </c>
      <c r="E24" s="32">
        <f>C24+D24</f>
        <v>90258</v>
      </c>
      <c r="F24" s="32">
        <f t="shared" ref="F24:F27" si="4">E24</f>
        <v>90258</v>
      </c>
    </row>
    <row r="25" spans="1:7">
      <c r="A25" s="26">
        <f t="shared" si="0"/>
        <v>18</v>
      </c>
      <c r="B25" s="24" t="s">
        <v>43</v>
      </c>
      <c r="C25" s="32">
        <v>1961144</v>
      </c>
      <c r="D25" s="32">
        <v>0</v>
      </c>
      <c r="E25" s="32">
        <f>C25+D25</f>
        <v>1961144</v>
      </c>
      <c r="F25" s="32">
        <f t="shared" si="4"/>
        <v>1961144</v>
      </c>
    </row>
    <row r="26" spans="1:7">
      <c r="A26" s="26">
        <f t="shared" si="0"/>
        <v>19</v>
      </c>
      <c r="B26" s="24" t="s">
        <v>44</v>
      </c>
      <c r="C26" s="32">
        <v>233334</v>
      </c>
      <c r="D26" s="32">
        <v>0</v>
      </c>
      <c r="E26" s="32">
        <f>C26+D26</f>
        <v>233334</v>
      </c>
      <c r="F26" s="32">
        <f t="shared" si="4"/>
        <v>233334</v>
      </c>
    </row>
    <row r="27" spans="1:7">
      <c r="A27" s="26">
        <f t="shared" si="0"/>
        <v>20</v>
      </c>
      <c r="B27" s="24" t="s">
        <v>45</v>
      </c>
      <c r="C27" s="32">
        <v>2796</v>
      </c>
      <c r="D27" s="32">
        <v>0</v>
      </c>
      <c r="E27" s="32">
        <f>C27+D27</f>
        <v>2796</v>
      </c>
      <c r="F27" s="32">
        <f t="shared" si="4"/>
        <v>2796</v>
      </c>
    </row>
    <row r="28" spans="1:7">
      <c r="A28" s="26">
        <f t="shared" si="0"/>
        <v>21</v>
      </c>
      <c r="C28" s="32"/>
      <c r="D28" s="32"/>
      <c r="E28" s="32"/>
      <c r="F28" s="32"/>
    </row>
    <row r="29" spans="1:7">
      <c r="A29" s="26">
        <f t="shared" si="0"/>
        <v>22</v>
      </c>
      <c r="B29" s="37" t="s">
        <v>46</v>
      </c>
      <c r="C29" s="38">
        <f t="shared" ref="C29:F29" si="5">SUM(C21:C27)</f>
        <v>69778469</v>
      </c>
      <c r="D29" s="38">
        <f t="shared" si="5"/>
        <v>2631310.9597363207</v>
      </c>
      <c r="E29" s="38">
        <f t="shared" si="5"/>
        <v>72409779.959736317</v>
      </c>
      <c r="F29" s="38">
        <f t="shared" si="5"/>
        <v>72409779.959736317</v>
      </c>
    </row>
    <row r="30" spans="1:7">
      <c r="A30" s="26">
        <f t="shared" si="0"/>
        <v>23</v>
      </c>
      <c r="C30" s="32"/>
      <c r="D30" s="32"/>
      <c r="E30" s="32"/>
      <c r="F30" s="32"/>
    </row>
    <row r="31" spans="1:7" ht="13" thickBot="1">
      <c r="A31" s="26">
        <f t="shared" si="0"/>
        <v>24</v>
      </c>
      <c r="B31" s="39" t="s">
        <v>47</v>
      </c>
      <c r="C31" s="40">
        <f t="shared" ref="C31:F31" si="6">C11-C29</f>
        <v>-350768.38999998569</v>
      </c>
      <c r="D31" s="40">
        <f t="shared" si="6"/>
        <v>-5272159.1197363213</v>
      </c>
      <c r="E31" s="40">
        <f t="shared" si="6"/>
        <v>-5622927.509736307</v>
      </c>
      <c r="F31" s="40">
        <f t="shared" si="6"/>
        <v>1681593.2300000042</v>
      </c>
    </row>
    <row r="32" spans="1:7" ht="13" thickTop="1">
      <c r="A32" s="26">
        <f t="shared" si="0"/>
        <v>25</v>
      </c>
      <c r="C32" s="32"/>
      <c r="D32" s="32"/>
      <c r="E32" s="32"/>
      <c r="F32" s="32"/>
    </row>
    <row r="33" spans="1:6">
      <c r="A33" s="26">
        <f t="shared" si="0"/>
        <v>26</v>
      </c>
      <c r="B33" s="24" t="s">
        <v>48</v>
      </c>
      <c r="C33" s="32">
        <v>415392</v>
      </c>
      <c r="D33" s="32">
        <v>-1249488.23</v>
      </c>
      <c r="E33" s="32">
        <f>C33+D33</f>
        <v>-834096.23</v>
      </c>
      <c r="F33" s="32">
        <f>E33</f>
        <v>-834096.23</v>
      </c>
    </row>
    <row r="34" spans="1:6">
      <c r="A34" s="26" t="s">
        <v>49</v>
      </c>
      <c r="B34" s="24" t="s">
        <v>50</v>
      </c>
      <c r="C34" s="32">
        <v>0</v>
      </c>
      <c r="D34" s="32">
        <v>0</v>
      </c>
      <c r="E34" s="32">
        <f>C34+D34</f>
        <v>0</v>
      </c>
      <c r="F34" s="32">
        <f>E34</f>
        <v>0</v>
      </c>
    </row>
    <row r="35" spans="1:6">
      <c r="A35" s="26">
        <f>A33+1</f>
        <v>27</v>
      </c>
      <c r="B35" s="24" t="s">
        <v>51</v>
      </c>
      <c r="C35" s="32">
        <v>934232</v>
      </c>
      <c r="D35" s="32">
        <v>0</v>
      </c>
      <c r="E35" s="32">
        <f>C35+D35</f>
        <v>934232</v>
      </c>
      <c r="F35" s="32">
        <f>E35</f>
        <v>934232</v>
      </c>
    </row>
    <row r="36" spans="1:6">
      <c r="A36" s="26">
        <f t="shared" si="0"/>
        <v>28</v>
      </c>
      <c r="B36" s="24" t="s">
        <v>52</v>
      </c>
      <c r="C36" s="32">
        <v>0</v>
      </c>
      <c r="D36" s="32">
        <v>0</v>
      </c>
      <c r="E36" s="32">
        <f>C36+D36</f>
        <v>0</v>
      </c>
      <c r="F36" s="41">
        <f>E36</f>
        <v>0</v>
      </c>
    </row>
    <row r="37" spans="1:6">
      <c r="A37" s="26">
        <f t="shared" si="0"/>
        <v>29</v>
      </c>
      <c r="B37" s="24" t="s">
        <v>53</v>
      </c>
      <c r="C37" s="32">
        <v>179415</v>
      </c>
      <c r="D37" s="32">
        <f>'[1]Adj IS'!V37</f>
        <v>0</v>
      </c>
      <c r="E37" s="32">
        <f>C37+D37</f>
        <v>179415</v>
      </c>
      <c r="F37" s="32">
        <f>E37</f>
        <v>179415</v>
      </c>
    </row>
    <row r="38" spans="1:6">
      <c r="A38" s="26">
        <f t="shared" si="0"/>
        <v>30</v>
      </c>
      <c r="C38" s="32"/>
      <c r="D38" s="32"/>
      <c r="E38" s="32"/>
      <c r="F38" s="32"/>
    </row>
    <row r="39" spans="1:6" ht="13" thickBot="1">
      <c r="A39" s="26">
        <f t="shared" si="0"/>
        <v>31</v>
      </c>
      <c r="B39" s="39" t="s">
        <v>54</v>
      </c>
      <c r="C39" s="40">
        <f t="shared" ref="C39:F39" si="7">C31+SUM(C33:C37)</f>
        <v>1178270.6100000143</v>
      </c>
      <c r="D39" s="40">
        <f t="shared" si="7"/>
        <v>-6521647.3497363217</v>
      </c>
      <c r="E39" s="40">
        <f t="shared" si="7"/>
        <v>-5343376.7397363074</v>
      </c>
      <c r="F39" s="40">
        <f t="shared" si="7"/>
        <v>1961144.0000000042</v>
      </c>
    </row>
    <row r="40" spans="1:6" ht="13" thickTop="1">
      <c r="A40" s="26">
        <f t="shared" si="0"/>
        <v>32</v>
      </c>
      <c r="C40" s="32"/>
      <c r="D40" s="32"/>
      <c r="E40" s="32"/>
      <c r="F40" s="32"/>
    </row>
    <row r="41" spans="1:6">
      <c r="A41" s="26">
        <f t="shared" si="0"/>
        <v>33</v>
      </c>
      <c r="B41" s="24" t="s">
        <v>55</v>
      </c>
      <c r="C41" s="32">
        <v>77191</v>
      </c>
      <c r="D41" s="32"/>
      <c r="E41" s="32">
        <f>C41</f>
        <v>77191</v>
      </c>
      <c r="F41" s="32">
        <f>C41</f>
        <v>77191</v>
      </c>
    </row>
    <row r="42" spans="1:6">
      <c r="A42" s="26">
        <f t="shared" si="0"/>
        <v>34</v>
      </c>
      <c r="B42" s="24" t="s">
        <v>56</v>
      </c>
      <c r="C42" s="42">
        <f>(C31+C41+C25)/C25</f>
        <v>0.86050112077441243</v>
      </c>
      <c r="D42" s="32"/>
      <c r="E42" s="42">
        <f>(E31+E41+E25)/E25</f>
        <v>-1.8278068870701525</v>
      </c>
      <c r="F42" s="42">
        <f>(F31+F41+F25)/F25</f>
        <v>1.8968154454746842</v>
      </c>
    </row>
    <row r="43" spans="1:6">
      <c r="A43" s="26">
        <f t="shared" si="0"/>
        <v>35</v>
      </c>
      <c r="B43" s="24" t="s">
        <v>57</v>
      </c>
      <c r="C43" s="42">
        <f>(C39+C25)/C25</f>
        <v>1.6008077989173739</v>
      </c>
      <c r="D43" s="32"/>
      <c r="E43" s="42">
        <f>(E39+E25)/E25</f>
        <v>-1.7246223325448347</v>
      </c>
      <c r="F43" s="43">
        <f>(F39+F25)/F25</f>
        <v>2.0000000000000022</v>
      </c>
    </row>
    <row r="44" spans="1:6">
      <c r="A44" s="26">
        <f t="shared" si="0"/>
        <v>36</v>
      </c>
      <c r="B44" s="24" t="s">
        <v>58</v>
      </c>
      <c r="C44" s="42">
        <f>(C25+C39-C36)/C25</f>
        <v>1.6008077989173739</v>
      </c>
      <c r="D44" s="32"/>
      <c r="E44" s="42">
        <f>(E25+E39-E36)/E25</f>
        <v>-1.7246223325448347</v>
      </c>
      <c r="F44" s="42">
        <f>(F25+F39-F36)/F25</f>
        <v>2.0000000000000022</v>
      </c>
    </row>
    <row r="45" spans="1:6">
      <c r="A45" s="26">
        <f t="shared" si="0"/>
        <v>37</v>
      </c>
      <c r="D45" s="32"/>
    </row>
    <row r="46" spans="1:6">
      <c r="A46" s="26">
        <f t="shared" si="0"/>
        <v>38</v>
      </c>
      <c r="B46" s="24" t="s">
        <v>59</v>
      </c>
      <c r="C46" s="42">
        <v>2</v>
      </c>
      <c r="D46" s="32"/>
      <c r="E46" s="42">
        <f>C46</f>
        <v>2</v>
      </c>
      <c r="F46" s="42">
        <v>2</v>
      </c>
    </row>
    <row r="47" spans="1:6">
      <c r="A47" s="26">
        <f t="shared" si="0"/>
        <v>39</v>
      </c>
      <c r="B47" s="24" t="s">
        <v>60</v>
      </c>
      <c r="C47" s="32">
        <f>C46*C25-C25</f>
        <v>1961144</v>
      </c>
      <c r="D47" s="32"/>
      <c r="E47" s="32">
        <f>E46*E25-E25</f>
        <v>1961144</v>
      </c>
      <c r="F47" s="32">
        <f>F46*F25-F25</f>
        <v>1961144</v>
      </c>
    </row>
    <row r="48" spans="1:6">
      <c r="A48" s="26">
        <f t="shared" si="0"/>
        <v>40</v>
      </c>
      <c r="B48" s="24" t="s">
        <v>61</v>
      </c>
      <c r="C48" s="32">
        <f>C29+C47</f>
        <v>71739613</v>
      </c>
      <c r="D48" s="32"/>
      <c r="E48" s="32">
        <f>E29+E47</f>
        <v>74370923.959736317</v>
      </c>
      <c r="F48" s="32">
        <f>F29+F47</f>
        <v>74370923.959736317</v>
      </c>
    </row>
    <row r="49" spans="1:6">
      <c r="A49" s="26">
        <f t="shared" si="0"/>
        <v>41</v>
      </c>
      <c r="B49" s="24" t="s">
        <v>63</v>
      </c>
      <c r="C49" s="32">
        <f>C47-C39</f>
        <v>782873.38999998569</v>
      </c>
      <c r="D49" s="32"/>
      <c r="E49" s="44">
        <f>E47-E39</f>
        <v>7304520.7397363074</v>
      </c>
      <c r="F49" s="32">
        <f>F47-F39</f>
        <v>-4.1909515857696533E-9</v>
      </c>
    </row>
    <row r="50" spans="1:6">
      <c r="A50" s="26">
        <f t="shared" si="0"/>
        <v>42</v>
      </c>
      <c r="C50" s="32"/>
      <c r="D50" s="32"/>
      <c r="E50" s="32"/>
      <c r="F50" s="32"/>
    </row>
    <row r="51" spans="1:6">
      <c r="A51" s="26">
        <f t="shared" si="0"/>
        <v>43</v>
      </c>
      <c r="C51" s="31"/>
      <c r="D51" s="45" t="s">
        <v>64</v>
      </c>
      <c r="E51" s="46"/>
      <c r="F51" s="47">
        <f>F39-E39</f>
        <v>7304520.7397363111</v>
      </c>
    </row>
    <row r="52" spans="1:6">
      <c r="A52" s="26">
        <f t="shared" si="0"/>
        <v>44</v>
      </c>
      <c r="C52" s="46"/>
      <c r="D52" s="45" t="s">
        <v>65</v>
      </c>
      <c r="E52" s="32"/>
      <c r="F52" s="46">
        <f>F51/E11</f>
        <v>0.1093706391569335</v>
      </c>
    </row>
    <row r="53" spans="1:6">
      <c r="F53" s="31"/>
    </row>
    <row r="55" spans="1:6">
      <c r="E55" s="31"/>
    </row>
  </sheetData>
  <pageMargins left="0.7" right="0.7" top="0.75" bottom="0.75" header="0.3" footer="0.3"/>
  <pageSetup scale="86" orientation="portrait" r:id="rId1"/>
  <headerFooter>
    <oddFooter>&amp;RExhibit 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="75" zoomScaleNormal="75" zoomScaleSheetLayoutView="75" workbookViewId="0">
      <selection activeCell="H3" sqref="H3:N4"/>
    </sheetView>
  </sheetViews>
  <sheetFormatPr defaultColWidth="9.1796875" defaultRowHeight="12.5"/>
  <cols>
    <col min="1" max="1" width="9.1796875" style="26"/>
    <col min="2" max="2" width="33.26953125" style="24" bestFit="1" customWidth="1"/>
    <col min="3" max="3" width="16.54296875" style="24" customWidth="1"/>
    <col min="4" max="4" width="14" style="24" customWidth="1"/>
    <col min="5" max="5" width="15.453125" style="24" customWidth="1"/>
    <col min="6" max="6" width="18.1796875" style="24" customWidth="1"/>
    <col min="7" max="7" width="6.26953125" style="24" customWidth="1"/>
    <col min="8" max="16384" width="9.1796875" style="24"/>
  </cols>
  <sheetData>
    <row r="1" spans="1:7" ht="13">
      <c r="A1" s="22" t="s">
        <v>10</v>
      </c>
      <c r="B1" s="22"/>
      <c r="C1" s="22"/>
      <c r="D1" s="22"/>
      <c r="E1" s="22"/>
      <c r="F1" s="48" t="s">
        <v>71</v>
      </c>
      <c r="G1" s="22"/>
    </row>
    <row r="2" spans="1:7" ht="13">
      <c r="A2" s="22" t="s">
        <v>11</v>
      </c>
      <c r="B2" s="22"/>
      <c r="C2" s="22"/>
      <c r="D2" s="22"/>
      <c r="E2" s="22"/>
      <c r="F2" s="22"/>
      <c r="G2" s="22"/>
    </row>
    <row r="3" spans="1:7" ht="13">
      <c r="A3" s="22" t="s">
        <v>12</v>
      </c>
      <c r="B3" s="22"/>
      <c r="C3" s="22"/>
      <c r="D3" s="22"/>
      <c r="E3" s="22"/>
      <c r="F3" s="22"/>
      <c r="G3" s="22"/>
    </row>
    <row r="4" spans="1:7" ht="13">
      <c r="A4" s="25"/>
      <c r="E4" s="23"/>
      <c r="F4" s="22"/>
      <c r="G4" s="23"/>
    </row>
    <row r="5" spans="1:7" ht="13">
      <c r="C5" s="25" t="s">
        <v>14</v>
      </c>
      <c r="D5" s="25" t="s">
        <v>15</v>
      </c>
      <c r="E5" s="25" t="s">
        <v>16</v>
      </c>
      <c r="F5" s="25" t="s">
        <v>17</v>
      </c>
      <c r="G5" s="23"/>
    </row>
    <row r="6" spans="1:7" ht="13">
      <c r="A6" s="25" t="s">
        <v>19</v>
      </c>
      <c r="B6" s="25" t="s">
        <v>4</v>
      </c>
      <c r="C6" s="25" t="s">
        <v>20</v>
      </c>
      <c r="D6" s="25" t="s">
        <v>21</v>
      </c>
      <c r="E6" s="25" t="s">
        <v>22</v>
      </c>
      <c r="F6" s="25" t="s">
        <v>22</v>
      </c>
      <c r="G6" s="23"/>
    </row>
    <row r="7" spans="1:7" s="29" customFormat="1" ht="13">
      <c r="A7" s="27" t="s">
        <v>23</v>
      </c>
      <c r="B7" s="28">
        <v>1</v>
      </c>
      <c r="C7" s="28">
        <f>B7+1</f>
        <v>2</v>
      </c>
      <c r="D7" s="28">
        <f>C7+1</f>
        <v>3</v>
      </c>
      <c r="E7" s="28" t="s">
        <v>24</v>
      </c>
      <c r="F7" s="28" t="s">
        <v>25</v>
      </c>
    </row>
    <row r="8" spans="1:7">
      <c r="A8" s="26">
        <v>1</v>
      </c>
      <c r="B8" s="30" t="s">
        <v>28</v>
      </c>
      <c r="C8" s="31"/>
    </row>
    <row r="9" spans="1:7">
      <c r="A9" s="26">
        <f>A8+1</f>
        <v>2</v>
      </c>
      <c r="B9" s="24" t="s">
        <v>29</v>
      </c>
      <c r="C9" s="32">
        <v>68120497.930000007</v>
      </c>
      <c r="D9" s="32">
        <f>'[2]Adj List'!D30</f>
        <v>-2504931.4299999997</v>
      </c>
      <c r="E9" s="32">
        <f>C9+D9</f>
        <v>65615566.500000007</v>
      </c>
      <c r="F9" s="32">
        <f>E9+E49</f>
        <v>73031493.908981249</v>
      </c>
      <c r="G9" s="32"/>
    </row>
    <row r="10" spans="1:7">
      <c r="A10" s="26">
        <f t="shared" ref="A10:A52" si="0">A9+1</f>
        <v>3</v>
      </c>
      <c r="B10" s="24" t="s">
        <v>30</v>
      </c>
      <c r="C10" s="32">
        <v>1307202.68</v>
      </c>
      <c r="D10" s="32">
        <v>0</v>
      </c>
      <c r="E10" s="32">
        <f>C10+D10</f>
        <v>1307202.68</v>
      </c>
      <c r="F10" s="32">
        <f>E10</f>
        <v>1307202.68</v>
      </c>
      <c r="G10" s="32"/>
    </row>
    <row r="11" spans="1:7">
      <c r="A11" s="26">
        <f t="shared" si="0"/>
        <v>4</v>
      </c>
      <c r="B11" s="33" t="s">
        <v>31</v>
      </c>
      <c r="C11" s="34">
        <f>SUM(C9:C10)</f>
        <v>69427700.610000014</v>
      </c>
      <c r="D11" s="34">
        <f>SUM(D9:D10)</f>
        <v>-2504931.4299999997</v>
      </c>
      <c r="E11" s="34">
        <f>SUM(E9:E10)</f>
        <v>66922769.180000007</v>
      </c>
      <c r="F11" s="34">
        <f>SUM(F9:F10)</f>
        <v>74338696.588981256</v>
      </c>
      <c r="G11" s="32"/>
    </row>
    <row r="12" spans="1:7">
      <c r="A12" s="26">
        <f t="shared" si="0"/>
        <v>5</v>
      </c>
      <c r="C12" s="32"/>
      <c r="D12" s="32"/>
      <c r="E12" s="32"/>
      <c r="F12" s="32"/>
      <c r="G12" s="35"/>
    </row>
    <row r="13" spans="1:7">
      <c r="A13" s="26">
        <f t="shared" si="0"/>
        <v>6</v>
      </c>
      <c r="B13" s="30" t="s">
        <v>32</v>
      </c>
      <c r="C13" s="32"/>
      <c r="D13" s="32"/>
      <c r="E13" s="32"/>
      <c r="F13" s="32"/>
      <c r="G13" s="35"/>
    </row>
    <row r="14" spans="1:7">
      <c r="A14" s="26">
        <f t="shared" si="0"/>
        <v>7</v>
      </c>
      <c r="B14" s="24" t="s">
        <v>33</v>
      </c>
      <c r="C14" s="32">
        <v>50688769</v>
      </c>
      <c r="D14" s="32">
        <f>'[2]Adj IS'!W15+'[2]Adj IS'!W16</f>
        <v>-2177317.0499999998</v>
      </c>
      <c r="E14" s="32">
        <f>C14+D14</f>
        <v>48511451.950000003</v>
      </c>
      <c r="F14" s="32">
        <f>E14</f>
        <v>48511451.950000003</v>
      </c>
      <c r="G14" s="35"/>
    </row>
    <row r="15" spans="1:7">
      <c r="A15" s="26">
        <f t="shared" si="0"/>
        <v>8</v>
      </c>
      <c r="B15" s="24" t="s">
        <v>34</v>
      </c>
      <c r="C15" s="32">
        <v>3308445</v>
      </c>
      <c r="D15" s="32">
        <f>'[2]Adj IS'!W17</f>
        <v>31381.449221688628</v>
      </c>
      <c r="E15" s="32">
        <f t="shared" ref="E15:E20" si="1">C15+D15</f>
        <v>3339826.4492216888</v>
      </c>
      <c r="F15" s="32">
        <f t="shared" ref="F15:F20" si="2">E15</f>
        <v>3339826.4492216888</v>
      </c>
      <c r="G15" s="35"/>
    </row>
    <row r="16" spans="1:7">
      <c r="A16" s="26">
        <f t="shared" si="0"/>
        <v>9</v>
      </c>
      <c r="B16" s="24" t="s">
        <v>35</v>
      </c>
      <c r="C16" s="32">
        <v>2921678</v>
      </c>
      <c r="D16" s="32">
        <f>'[2]Adj IS'!W18</f>
        <v>4099001.13</v>
      </c>
      <c r="E16" s="32">
        <f t="shared" si="1"/>
        <v>7020679.1299999999</v>
      </c>
      <c r="F16" s="32">
        <f t="shared" si="2"/>
        <v>7020679.1299999999</v>
      </c>
      <c r="G16" s="35"/>
    </row>
    <row r="17" spans="1:7">
      <c r="A17" s="26">
        <f t="shared" si="0"/>
        <v>10</v>
      </c>
      <c r="B17" s="24" t="s">
        <v>36</v>
      </c>
      <c r="C17" s="32">
        <v>1273783</v>
      </c>
      <c r="D17" s="32">
        <f>'[2]Adj IS'!W19</f>
        <v>27250.679302159901</v>
      </c>
      <c r="E17" s="32">
        <f t="shared" si="1"/>
        <v>1301033.6793021599</v>
      </c>
      <c r="F17" s="32">
        <f t="shared" si="2"/>
        <v>1301033.6793021599</v>
      </c>
      <c r="G17" s="35"/>
    </row>
    <row r="18" spans="1:7">
      <c r="A18" s="26">
        <f t="shared" si="0"/>
        <v>11</v>
      </c>
      <c r="B18" s="24" t="s">
        <v>37</v>
      </c>
      <c r="C18" s="32">
        <v>40607</v>
      </c>
      <c r="D18" s="32">
        <f>'[2]Adj IS'!W20</f>
        <v>3350.55</v>
      </c>
      <c r="E18" s="32">
        <f t="shared" si="1"/>
        <v>43957.55</v>
      </c>
      <c r="F18" s="32">
        <f t="shared" si="2"/>
        <v>43957.55</v>
      </c>
      <c r="G18" s="36"/>
    </row>
    <row r="19" spans="1:7">
      <c r="A19" s="26">
        <f t="shared" si="0"/>
        <v>12</v>
      </c>
      <c r="B19" s="24" t="s">
        <v>38</v>
      </c>
      <c r="C19" s="32">
        <v>3691</v>
      </c>
      <c r="D19" s="32">
        <f>'[2]Adj IS'!W21</f>
        <v>0</v>
      </c>
      <c r="E19" s="32">
        <f t="shared" si="1"/>
        <v>3691</v>
      </c>
      <c r="F19" s="32">
        <f t="shared" si="2"/>
        <v>3691</v>
      </c>
    </row>
    <row r="20" spans="1:7">
      <c r="A20" s="26">
        <f t="shared" si="0"/>
        <v>13</v>
      </c>
      <c r="B20" s="24" t="s">
        <v>39</v>
      </c>
      <c r="C20" s="32">
        <v>3237313</v>
      </c>
      <c r="D20" s="32">
        <f>'[2]Adj IS'!W22</f>
        <v>-164437.98844641788</v>
      </c>
      <c r="E20" s="32">
        <f t="shared" si="1"/>
        <v>3072875.0115535823</v>
      </c>
      <c r="F20" s="32">
        <f t="shared" si="2"/>
        <v>3072875.0115535823</v>
      </c>
    </row>
    <row r="21" spans="1:7">
      <c r="A21" s="26">
        <f t="shared" si="0"/>
        <v>14</v>
      </c>
      <c r="B21" s="33" t="s">
        <v>40</v>
      </c>
      <c r="C21" s="34">
        <f>SUM(C14:C20)</f>
        <v>61474286</v>
      </c>
      <c r="D21" s="34">
        <f t="shared" ref="D21:F21" si="3">SUM(D14:D20)</f>
        <v>1819228.7700774309</v>
      </c>
      <c r="E21" s="34">
        <f>SUM(E14:E20)</f>
        <v>63293514.770077437</v>
      </c>
      <c r="F21" s="34">
        <f t="shared" si="3"/>
        <v>63293514.770077437</v>
      </c>
    </row>
    <row r="22" spans="1:7">
      <c r="A22" s="26">
        <f t="shared" si="0"/>
        <v>15</v>
      </c>
      <c r="C22" s="32"/>
      <c r="D22" s="32"/>
      <c r="E22" s="32"/>
      <c r="F22" s="32"/>
    </row>
    <row r="23" spans="1:7">
      <c r="A23" s="26">
        <f t="shared" si="0"/>
        <v>16</v>
      </c>
      <c r="B23" s="24" t="s">
        <v>41</v>
      </c>
      <c r="C23" s="32">
        <v>6016651</v>
      </c>
      <c r="D23" s="32">
        <f>'[2]Adj IS'!W25</f>
        <v>592458.74174999993</v>
      </c>
      <c r="E23" s="32">
        <f>C23+D23</f>
        <v>6609109.74175</v>
      </c>
      <c r="F23" s="32">
        <f>E23</f>
        <v>6609109.74175</v>
      </c>
    </row>
    <row r="24" spans="1:7">
      <c r="A24" s="26">
        <f t="shared" si="0"/>
        <v>17</v>
      </c>
      <c r="B24" s="24" t="s">
        <v>42</v>
      </c>
      <c r="C24" s="32">
        <v>90258</v>
      </c>
      <c r="D24" s="32">
        <v>0</v>
      </c>
      <c r="E24" s="32">
        <f>C24+D24</f>
        <v>90258</v>
      </c>
      <c r="F24" s="32">
        <f t="shared" ref="F24:F27" si="4">E24</f>
        <v>90258</v>
      </c>
    </row>
    <row r="25" spans="1:7">
      <c r="A25" s="26">
        <f t="shared" si="0"/>
        <v>18</v>
      </c>
      <c r="B25" s="24" t="s">
        <v>43</v>
      </c>
      <c r="C25" s="32">
        <v>1961144</v>
      </c>
      <c r="D25" s="32">
        <f>'[2]Adj IS'!W27</f>
        <v>233473.4235768998</v>
      </c>
      <c r="E25" s="32">
        <f>C25+D25</f>
        <v>2194617.4235768998</v>
      </c>
      <c r="F25" s="32">
        <f t="shared" si="4"/>
        <v>2194617.4235768998</v>
      </c>
    </row>
    <row r="26" spans="1:7">
      <c r="A26" s="26">
        <f t="shared" si="0"/>
        <v>19</v>
      </c>
      <c r="B26" s="24" t="s">
        <v>44</v>
      </c>
      <c r="C26" s="32">
        <v>233334</v>
      </c>
      <c r="D26" s="32">
        <v>0</v>
      </c>
      <c r="E26" s="32">
        <f>C26+D26</f>
        <v>233334</v>
      </c>
      <c r="F26" s="32">
        <f t="shared" si="4"/>
        <v>233334</v>
      </c>
    </row>
    <row r="27" spans="1:7">
      <c r="A27" s="26">
        <f t="shared" si="0"/>
        <v>20</v>
      </c>
      <c r="B27" s="24" t="s">
        <v>45</v>
      </c>
      <c r="C27" s="32">
        <v>2796</v>
      </c>
      <c r="D27" s="32">
        <v>0</v>
      </c>
      <c r="E27" s="32">
        <f>C27+D27</f>
        <v>2796</v>
      </c>
      <c r="F27" s="32">
        <f t="shared" si="4"/>
        <v>2796</v>
      </c>
    </row>
    <row r="28" spans="1:7">
      <c r="A28" s="26">
        <f t="shared" si="0"/>
        <v>21</v>
      </c>
      <c r="C28" s="32"/>
      <c r="D28" s="32"/>
      <c r="E28" s="32"/>
      <c r="F28" s="32"/>
    </row>
    <row r="29" spans="1:7">
      <c r="A29" s="26">
        <f t="shared" si="0"/>
        <v>22</v>
      </c>
      <c r="B29" s="37" t="s">
        <v>46</v>
      </c>
      <c r="C29" s="38">
        <f t="shared" ref="C29:F29" si="5">SUM(C21:C27)</f>
        <v>69778469</v>
      </c>
      <c r="D29" s="38">
        <f t="shared" si="5"/>
        <v>2645160.9354043305</v>
      </c>
      <c r="E29" s="38">
        <f t="shared" si="5"/>
        <v>72423629.935404345</v>
      </c>
      <c r="F29" s="38">
        <f t="shared" si="5"/>
        <v>72423629.935404345</v>
      </c>
    </row>
    <row r="30" spans="1:7">
      <c r="A30" s="26">
        <f t="shared" si="0"/>
        <v>23</v>
      </c>
      <c r="C30" s="32"/>
      <c r="D30" s="32"/>
      <c r="E30" s="32"/>
      <c r="F30" s="32"/>
    </row>
    <row r="31" spans="1:7" ht="13" thickBot="1">
      <c r="A31" s="26">
        <f t="shared" si="0"/>
        <v>24</v>
      </c>
      <c r="B31" s="39" t="s">
        <v>47</v>
      </c>
      <c r="C31" s="40">
        <f t="shared" ref="C31:F31" si="6">C11-C29</f>
        <v>-350768.38999998569</v>
      </c>
      <c r="D31" s="40">
        <f t="shared" si="6"/>
        <v>-5150092.3654043302</v>
      </c>
      <c r="E31" s="40">
        <f t="shared" si="6"/>
        <v>-5500860.7554043382</v>
      </c>
      <c r="F31" s="40">
        <f t="shared" si="6"/>
        <v>1915066.6535769105</v>
      </c>
    </row>
    <row r="32" spans="1:7" ht="13" thickTop="1">
      <c r="A32" s="26">
        <f t="shared" si="0"/>
        <v>25</v>
      </c>
      <c r="C32" s="32"/>
      <c r="D32" s="32"/>
      <c r="E32" s="32"/>
      <c r="F32" s="32"/>
    </row>
    <row r="33" spans="1:6">
      <c r="A33" s="26">
        <f t="shared" si="0"/>
        <v>26</v>
      </c>
      <c r="B33" s="24" t="s">
        <v>48</v>
      </c>
      <c r="C33" s="32">
        <v>415392</v>
      </c>
      <c r="D33" s="32">
        <f>'[2]Adj List'!F30</f>
        <v>-1249488.23</v>
      </c>
      <c r="E33" s="32">
        <f>C33+D33</f>
        <v>-834096.23</v>
      </c>
      <c r="F33" s="32">
        <f>E33</f>
        <v>-834096.23</v>
      </c>
    </row>
    <row r="34" spans="1:6">
      <c r="A34" s="26" t="s">
        <v>49</v>
      </c>
      <c r="B34" s="24" t="s">
        <v>50</v>
      </c>
      <c r="C34" s="32">
        <v>0</v>
      </c>
      <c r="D34" s="32">
        <v>0</v>
      </c>
      <c r="E34" s="32">
        <f>C34+D34</f>
        <v>0</v>
      </c>
      <c r="F34" s="32">
        <f>E34</f>
        <v>0</v>
      </c>
    </row>
    <row r="35" spans="1:6">
      <c r="A35" s="26">
        <f>A33+1</f>
        <v>27</v>
      </c>
      <c r="B35" s="24" t="s">
        <v>51</v>
      </c>
      <c r="C35" s="32">
        <v>934232</v>
      </c>
      <c r="D35" s="32">
        <v>0</v>
      </c>
      <c r="E35" s="32">
        <f>C35+D35</f>
        <v>934232</v>
      </c>
      <c r="F35" s="32">
        <f>E35</f>
        <v>934232</v>
      </c>
    </row>
    <row r="36" spans="1:6">
      <c r="A36" s="26">
        <f t="shared" si="0"/>
        <v>28</v>
      </c>
      <c r="B36" s="24" t="s">
        <v>52</v>
      </c>
      <c r="C36" s="32">
        <v>0</v>
      </c>
      <c r="D36" s="32">
        <v>0</v>
      </c>
      <c r="E36" s="32">
        <f>C36+D36</f>
        <v>0</v>
      </c>
      <c r="F36" s="41">
        <f>E36</f>
        <v>0</v>
      </c>
    </row>
    <row r="37" spans="1:6">
      <c r="A37" s="26">
        <f t="shared" si="0"/>
        <v>29</v>
      </c>
      <c r="B37" s="24" t="s">
        <v>53</v>
      </c>
      <c r="C37" s="32">
        <v>179415</v>
      </c>
      <c r="D37" s="32">
        <f>'[2]Adj IS'!W37</f>
        <v>0</v>
      </c>
      <c r="E37" s="32">
        <f>C37+D37</f>
        <v>179415</v>
      </c>
      <c r="F37" s="32">
        <f>E37</f>
        <v>179415</v>
      </c>
    </row>
    <row r="38" spans="1:6">
      <c r="A38" s="26">
        <f t="shared" si="0"/>
        <v>30</v>
      </c>
      <c r="C38" s="32"/>
      <c r="D38" s="32"/>
      <c r="E38" s="32"/>
      <c r="F38" s="32"/>
    </row>
    <row r="39" spans="1:6" ht="13" thickBot="1">
      <c r="A39" s="26">
        <f t="shared" si="0"/>
        <v>31</v>
      </c>
      <c r="B39" s="39" t="s">
        <v>54</v>
      </c>
      <c r="C39" s="40">
        <f t="shared" ref="C39:F39" si="7">C31+SUM(C33:C37)</f>
        <v>1178270.6100000143</v>
      </c>
      <c r="D39" s="40">
        <f t="shared" si="7"/>
        <v>-6399580.5954043306</v>
      </c>
      <c r="E39" s="40">
        <f t="shared" si="7"/>
        <v>-5221309.9854043387</v>
      </c>
      <c r="F39" s="40">
        <f t="shared" si="7"/>
        <v>2194617.4235769105</v>
      </c>
    </row>
    <row r="40" spans="1:6" ht="13" thickTop="1">
      <c r="A40" s="26">
        <f t="shared" si="0"/>
        <v>32</v>
      </c>
      <c r="C40" s="32"/>
      <c r="D40" s="32"/>
      <c r="E40" s="32"/>
      <c r="F40" s="32"/>
    </row>
    <row r="41" spans="1:6">
      <c r="A41" s="26">
        <f t="shared" si="0"/>
        <v>33</v>
      </c>
      <c r="B41" s="24" t="s">
        <v>55</v>
      </c>
      <c r="C41" s="32">
        <v>77191</v>
      </c>
      <c r="D41" s="32"/>
      <c r="E41" s="32">
        <f>C41</f>
        <v>77191</v>
      </c>
      <c r="F41" s="32">
        <f>C41</f>
        <v>77191</v>
      </c>
    </row>
    <row r="42" spans="1:6">
      <c r="A42" s="26">
        <f t="shared" si="0"/>
        <v>34</v>
      </c>
      <c r="B42" s="24" t="s">
        <v>56</v>
      </c>
      <c r="C42" s="42">
        <f>(C31+C41+C25)/C25</f>
        <v>0.86050112077441243</v>
      </c>
      <c r="D42" s="32"/>
      <c r="E42" s="42">
        <f>(E31+E41+E25)/E25</f>
        <v>-1.4713509047807356</v>
      </c>
      <c r="F42" s="42">
        <f>(F31+F41+F25)/F25</f>
        <v>1.9077926895931716</v>
      </c>
    </row>
    <row r="43" spans="1:6">
      <c r="A43" s="26">
        <f t="shared" si="0"/>
        <v>35</v>
      </c>
      <c r="B43" s="24" t="s">
        <v>57</v>
      </c>
      <c r="C43" s="42">
        <f>(C39+C25)/C25</f>
        <v>1.6008077989173739</v>
      </c>
      <c r="D43" s="32"/>
      <c r="E43" s="42">
        <f>(E39+E25)/E25</f>
        <v>-1.3791435943739025</v>
      </c>
      <c r="F43" s="43">
        <f>(F39+F25)/F25</f>
        <v>2.0000000000000049</v>
      </c>
    </row>
    <row r="44" spans="1:6">
      <c r="A44" s="26">
        <f t="shared" si="0"/>
        <v>36</v>
      </c>
      <c r="B44" s="24" t="s">
        <v>58</v>
      </c>
      <c r="C44" s="42">
        <f>(C25+C39-C36)/C25</f>
        <v>1.6008077989173739</v>
      </c>
      <c r="D44" s="32"/>
      <c r="E44" s="42">
        <f>(E25+E39-E36)/E25</f>
        <v>-1.3791435943739025</v>
      </c>
      <c r="F44" s="42">
        <f>(F25+F39-F36)/F25</f>
        <v>2.0000000000000049</v>
      </c>
    </row>
    <row r="45" spans="1:6">
      <c r="A45" s="26">
        <f t="shared" si="0"/>
        <v>37</v>
      </c>
      <c r="D45" s="32"/>
    </row>
    <row r="46" spans="1:6">
      <c r="A46" s="26">
        <f t="shared" si="0"/>
        <v>38</v>
      </c>
      <c r="B46" s="24" t="s">
        <v>59</v>
      </c>
      <c r="C46" s="42">
        <v>2</v>
      </c>
      <c r="D46" s="32"/>
      <c r="E46" s="42">
        <f>C46</f>
        <v>2</v>
      </c>
      <c r="F46" s="42">
        <v>2</v>
      </c>
    </row>
    <row r="47" spans="1:6">
      <c r="A47" s="26">
        <f t="shared" si="0"/>
        <v>39</v>
      </c>
      <c r="B47" s="24" t="s">
        <v>60</v>
      </c>
      <c r="C47" s="32">
        <f>C46*C25-C25</f>
        <v>1961144</v>
      </c>
      <c r="D47" s="32"/>
      <c r="E47" s="32">
        <f>E46*E25-E25</f>
        <v>2194617.4235768998</v>
      </c>
      <c r="F47" s="32">
        <f>F46*F25-F25</f>
        <v>2194617.4235768998</v>
      </c>
    </row>
    <row r="48" spans="1:6">
      <c r="A48" s="26">
        <f t="shared" si="0"/>
        <v>40</v>
      </c>
      <c r="B48" s="24" t="s">
        <v>61</v>
      </c>
      <c r="C48" s="32">
        <f>C29+C47</f>
        <v>71739613</v>
      </c>
      <c r="D48" s="32"/>
      <c r="E48" s="32">
        <f>E29+E47</f>
        <v>74618247.358981252</v>
      </c>
      <c r="F48" s="32">
        <f>F29+F47</f>
        <v>74618247.358981252</v>
      </c>
    </row>
    <row r="49" spans="1:7">
      <c r="A49" s="26">
        <f t="shared" si="0"/>
        <v>41</v>
      </c>
      <c r="B49" s="24" t="s">
        <v>63</v>
      </c>
      <c r="C49" s="32">
        <f>C47-C39</f>
        <v>782873.38999998569</v>
      </c>
      <c r="D49" s="32"/>
      <c r="E49" s="44">
        <f>E47-E39</f>
        <v>7415927.4089812385</v>
      </c>
      <c r="F49" s="32">
        <f>F47-F39</f>
        <v>-1.0710209608078003E-8</v>
      </c>
    </row>
    <row r="50" spans="1:7">
      <c r="A50" s="26">
        <f t="shared" si="0"/>
        <v>42</v>
      </c>
      <c r="C50" s="32"/>
      <c r="D50" s="32"/>
      <c r="E50" s="32"/>
      <c r="F50" s="32"/>
    </row>
    <row r="51" spans="1:7">
      <c r="A51" s="26">
        <f t="shared" si="0"/>
        <v>43</v>
      </c>
      <c r="C51" s="31"/>
      <c r="D51" s="45" t="s">
        <v>64</v>
      </c>
      <c r="E51" s="46"/>
      <c r="F51" s="47">
        <f>F39-E39</f>
        <v>7415927.4089812487</v>
      </c>
    </row>
    <row r="52" spans="1:7">
      <c r="A52" s="26">
        <f t="shared" si="0"/>
        <v>44</v>
      </c>
      <c r="C52" s="46"/>
      <c r="D52" s="45" t="s">
        <v>65</v>
      </c>
      <c r="E52" s="32"/>
      <c r="F52" s="46">
        <f>F51/E11</f>
        <v>0.1108132179801895</v>
      </c>
    </row>
    <row r="53" spans="1:7">
      <c r="C53" s="46"/>
      <c r="D53" s="45"/>
      <c r="E53" s="32"/>
      <c r="F53" s="46"/>
    </row>
    <row r="54" spans="1:7">
      <c r="F54" s="31"/>
      <c r="G54" s="24" t="s">
        <v>62</v>
      </c>
    </row>
    <row r="55" spans="1:7">
      <c r="G55" s="24" t="s">
        <v>82</v>
      </c>
    </row>
    <row r="56" spans="1:7">
      <c r="E56" s="31"/>
    </row>
  </sheetData>
  <pageMargins left="0.7" right="0.7" top="0.75" bottom="0.75" header="0.3" footer="0.3"/>
  <pageSetup scale="86" orientation="portrait" r:id="rId1"/>
  <headerFooter>
    <oddFooter>&amp;RExhibit  JW-2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7" zoomScale="75" zoomScaleNormal="75" workbookViewId="0">
      <selection activeCell="D26" sqref="D26"/>
    </sheetView>
  </sheetViews>
  <sheetFormatPr defaultColWidth="9.1796875" defaultRowHeight="12.5"/>
  <cols>
    <col min="1" max="1" width="9.26953125" style="26" bestFit="1" customWidth="1"/>
    <col min="2" max="2" width="33.453125" style="24" bestFit="1" customWidth="1"/>
    <col min="3" max="3" width="16.54296875" style="24" customWidth="1"/>
    <col min="4" max="4" width="14" style="24" customWidth="1"/>
    <col min="5" max="5" width="15.453125" style="24" customWidth="1"/>
    <col min="6" max="6" width="18.1796875" style="24" customWidth="1"/>
    <col min="7" max="7" width="4.54296875" style="24" customWidth="1"/>
    <col min="8" max="8" width="14.7265625" style="24" customWidth="1"/>
    <col min="9" max="9" width="19.453125" style="24" customWidth="1"/>
    <col min="10" max="10" width="20" style="24" customWidth="1"/>
    <col min="11" max="11" width="9.1796875" style="24"/>
    <col min="12" max="12" width="14.453125" style="24" bestFit="1" customWidth="1"/>
    <col min="13" max="13" width="9.26953125" style="24" bestFit="1" customWidth="1"/>
    <col min="14" max="16384" width="9.1796875" style="24"/>
  </cols>
  <sheetData>
    <row r="1" spans="1:13" ht="13">
      <c r="A1" s="22" t="s">
        <v>10</v>
      </c>
      <c r="B1" s="22"/>
      <c r="C1" s="22"/>
      <c r="D1" s="22"/>
      <c r="E1" s="22"/>
      <c r="F1" s="23"/>
      <c r="G1" s="22"/>
    </row>
    <row r="2" spans="1:13" ht="13">
      <c r="A2" s="22" t="s">
        <v>11</v>
      </c>
      <c r="B2" s="22"/>
      <c r="C2" s="22"/>
      <c r="D2" s="22"/>
      <c r="E2" s="22"/>
      <c r="F2" s="22"/>
      <c r="G2" s="22"/>
    </row>
    <row r="3" spans="1:13" ht="13">
      <c r="A3" s="22" t="s">
        <v>12</v>
      </c>
      <c r="B3" s="22"/>
      <c r="C3" s="22"/>
      <c r="D3" s="22"/>
      <c r="E3" s="22"/>
      <c r="F3" s="22"/>
      <c r="G3" s="22"/>
      <c r="I3" s="29" t="s">
        <v>80</v>
      </c>
      <c r="J3" s="29" t="s">
        <v>81</v>
      </c>
    </row>
    <row r="4" spans="1:13" ht="13">
      <c r="A4" s="25"/>
      <c r="E4" s="23"/>
      <c r="F4" s="22"/>
      <c r="G4" s="23"/>
      <c r="I4" s="25" t="s">
        <v>13</v>
      </c>
      <c r="J4" s="25" t="s">
        <v>13</v>
      </c>
      <c r="M4" s="25" t="s">
        <v>74</v>
      </c>
    </row>
    <row r="5" spans="1:13" ht="13">
      <c r="C5" s="25" t="s">
        <v>14</v>
      </c>
      <c r="D5" s="25" t="s">
        <v>15</v>
      </c>
      <c r="E5" s="25" t="s">
        <v>16</v>
      </c>
      <c r="F5" s="25" t="s">
        <v>17</v>
      </c>
      <c r="G5" s="23"/>
      <c r="H5" s="25" t="s">
        <v>18</v>
      </c>
      <c r="I5" s="25" t="s">
        <v>16</v>
      </c>
      <c r="J5" s="25" t="s">
        <v>16</v>
      </c>
      <c r="M5" s="25" t="s">
        <v>72</v>
      </c>
    </row>
    <row r="6" spans="1:13" ht="13">
      <c r="A6" s="25" t="s">
        <v>19</v>
      </c>
      <c r="B6" s="25" t="s">
        <v>4</v>
      </c>
      <c r="C6" s="25" t="s">
        <v>20</v>
      </c>
      <c r="D6" s="25" t="s">
        <v>21</v>
      </c>
      <c r="E6" s="25" t="s">
        <v>22</v>
      </c>
      <c r="F6" s="25" t="s">
        <v>22</v>
      </c>
      <c r="G6" s="23"/>
      <c r="H6" s="25" t="s">
        <v>3</v>
      </c>
      <c r="I6" s="25" t="s">
        <v>22</v>
      </c>
      <c r="J6" s="25" t="s">
        <v>22</v>
      </c>
      <c r="M6" s="25" t="s">
        <v>73</v>
      </c>
    </row>
    <row r="7" spans="1:13" s="29" customFormat="1" ht="13">
      <c r="A7" s="27" t="s">
        <v>23</v>
      </c>
      <c r="B7" s="28">
        <v>1</v>
      </c>
      <c r="C7" s="28">
        <f>B7+1</f>
        <v>2</v>
      </c>
      <c r="D7" s="28">
        <f>C7+1</f>
        <v>3</v>
      </c>
      <c r="E7" s="28" t="s">
        <v>24</v>
      </c>
      <c r="F7" s="28" t="s">
        <v>25</v>
      </c>
      <c r="H7" s="28" t="s">
        <v>26</v>
      </c>
      <c r="I7" s="28" t="s">
        <v>27</v>
      </c>
      <c r="J7" s="28" t="s">
        <v>27</v>
      </c>
      <c r="M7" s="78" t="s">
        <v>69</v>
      </c>
    </row>
    <row r="8" spans="1:13">
      <c r="A8" s="26">
        <v>1</v>
      </c>
      <c r="B8" s="30" t="s">
        <v>28</v>
      </c>
      <c r="C8" s="31"/>
    </row>
    <row r="9" spans="1:13">
      <c r="A9" s="26">
        <f>A8+1</f>
        <v>2</v>
      </c>
      <c r="B9" s="24" t="s">
        <v>29</v>
      </c>
      <c r="C9" s="32">
        <v>68120497.930000007</v>
      </c>
      <c r="D9" s="32">
        <f>'[3]Adj List'!D30</f>
        <v>-2504931.4299999997</v>
      </c>
      <c r="E9" s="32">
        <f>C9+D9</f>
        <v>65615566.500000007</v>
      </c>
      <c r="F9" s="32">
        <f>E9+E49</f>
        <v>72772961.648981243</v>
      </c>
      <c r="G9" s="32"/>
      <c r="H9" s="32">
        <v>0</v>
      </c>
      <c r="I9" s="32">
        <f>E9+H9</f>
        <v>65615566.500000007</v>
      </c>
      <c r="J9" s="32">
        <f>I9</f>
        <v>65615566.500000007</v>
      </c>
      <c r="M9" s="32">
        <v>0</v>
      </c>
    </row>
    <row r="10" spans="1:13">
      <c r="A10" s="26">
        <f t="shared" ref="A10:A52" si="0">A9+1</f>
        <v>3</v>
      </c>
      <c r="B10" s="24" t="s">
        <v>30</v>
      </c>
      <c r="C10" s="32">
        <v>1307202.68</v>
      </c>
      <c r="D10" s="32">
        <v>0</v>
      </c>
      <c r="E10" s="32">
        <f>C10+D10</f>
        <v>1307202.68</v>
      </c>
      <c r="F10" s="32">
        <f>E10</f>
        <v>1307202.68</v>
      </c>
      <c r="G10" s="32"/>
      <c r="H10" s="32">
        <f>1327203-C10</f>
        <v>20000.320000000065</v>
      </c>
      <c r="I10" s="32">
        <f>E10+H10</f>
        <v>1327203</v>
      </c>
      <c r="J10" s="32">
        <f>I10</f>
        <v>1327203</v>
      </c>
      <c r="M10" s="32">
        <v>20000</v>
      </c>
    </row>
    <row r="11" spans="1:13">
      <c r="A11" s="26">
        <f t="shared" si="0"/>
        <v>4</v>
      </c>
      <c r="B11" s="33" t="s">
        <v>31</v>
      </c>
      <c r="C11" s="34">
        <f>SUM(C9:C10)</f>
        <v>69427700.610000014</v>
      </c>
      <c r="D11" s="34">
        <f>SUM(D9:D10)</f>
        <v>-2504931.4299999997</v>
      </c>
      <c r="E11" s="34">
        <f>SUM(E9:E10)</f>
        <v>66922769.180000007</v>
      </c>
      <c r="F11" s="34">
        <f>SUM(F9:F10)</f>
        <v>74080164.328981251</v>
      </c>
      <c r="G11" s="32"/>
      <c r="H11" s="34">
        <f>SUM(H9:H10)</f>
        <v>20000.320000000065</v>
      </c>
      <c r="I11" s="34">
        <f>SUM(I9:I10)</f>
        <v>66942769.500000007</v>
      </c>
      <c r="J11" s="34">
        <f>SUM(J9:J10)</f>
        <v>66942769.500000007</v>
      </c>
      <c r="M11" s="34">
        <f>SUM(M9:M10)</f>
        <v>20000</v>
      </c>
    </row>
    <row r="12" spans="1:13">
      <c r="A12" s="26">
        <f t="shared" si="0"/>
        <v>5</v>
      </c>
      <c r="C12" s="32"/>
      <c r="D12" s="32"/>
      <c r="E12" s="32"/>
      <c r="F12" s="32"/>
      <c r="G12" s="35"/>
      <c r="H12" s="32"/>
      <c r="I12" s="32"/>
      <c r="J12" s="32"/>
      <c r="M12" s="32"/>
    </row>
    <row r="13" spans="1:13">
      <c r="A13" s="26">
        <f t="shared" si="0"/>
        <v>6</v>
      </c>
      <c r="B13" s="30" t="s">
        <v>32</v>
      </c>
      <c r="C13" s="32"/>
      <c r="D13" s="32"/>
      <c r="E13" s="32"/>
      <c r="F13" s="32"/>
      <c r="G13" s="35"/>
      <c r="H13" s="32"/>
      <c r="I13" s="32"/>
      <c r="J13" s="32"/>
      <c r="M13" s="32"/>
    </row>
    <row r="14" spans="1:13">
      <c r="A14" s="26">
        <f t="shared" si="0"/>
        <v>7</v>
      </c>
      <c r="B14" s="24" t="s">
        <v>33</v>
      </c>
      <c r="C14" s="32">
        <v>50688769</v>
      </c>
      <c r="D14" s="32">
        <f>'[3]Adj IS'!W15+'[3]Adj IS'!W16</f>
        <v>-2177317.0499999998</v>
      </c>
      <c r="E14" s="32">
        <f>C14+D14</f>
        <v>48511451.950000003</v>
      </c>
      <c r="F14" s="32">
        <f>E14</f>
        <v>48511451.950000003</v>
      </c>
      <c r="G14" s="35"/>
      <c r="H14" s="32">
        <v>0</v>
      </c>
      <c r="I14" s="32">
        <f t="shared" ref="I14:I20" si="1">E14+H14</f>
        <v>48511451.950000003</v>
      </c>
      <c r="J14" s="32">
        <f t="shared" ref="J14:J19" si="2">I14</f>
        <v>48511451.950000003</v>
      </c>
      <c r="M14" s="32">
        <v>0</v>
      </c>
    </row>
    <row r="15" spans="1:13">
      <c r="A15" s="26">
        <f t="shared" si="0"/>
        <v>8</v>
      </c>
      <c r="B15" s="24" t="s">
        <v>34</v>
      </c>
      <c r="C15" s="32">
        <v>3308445</v>
      </c>
      <c r="D15" s="32">
        <f>'[3]Adj IS'!W17</f>
        <v>31381.449221688628</v>
      </c>
      <c r="E15" s="32">
        <f t="shared" ref="E15:E20" si="3">C15+D15</f>
        <v>3339826.4492216888</v>
      </c>
      <c r="F15" s="32">
        <f t="shared" ref="F15:F20" si="4">E15</f>
        <v>3339826.4492216888</v>
      </c>
      <c r="G15" s="35"/>
      <c r="H15" s="32">
        <f>'Revenue Requirement'!E32*1000000+'Payroll Expense'!D24</f>
        <v>-211641.42023707944</v>
      </c>
      <c r="I15" s="32">
        <f t="shared" si="1"/>
        <v>3128185.0289846095</v>
      </c>
      <c r="J15" s="32">
        <f t="shared" si="2"/>
        <v>3128185.0289846095</v>
      </c>
      <c r="M15" s="32">
        <v>0</v>
      </c>
    </row>
    <row r="16" spans="1:13">
      <c r="A16" s="26">
        <f t="shared" si="0"/>
        <v>9</v>
      </c>
      <c r="B16" s="24" t="s">
        <v>35</v>
      </c>
      <c r="C16" s="32">
        <v>2921678</v>
      </c>
      <c r="D16" s="32">
        <f>'[3]Adj IS'!W18</f>
        <v>4099001.13</v>
      </c>
      <c r="E16" s="32">
        <f t="shared" si="3"/>
        <v>7020679.1299999999</v>
      </c>
      <c r="F16" s="32">
        <f t="shared" si="4"/>
        <v>7020679.1299999999</v>
      </c>
      <c r="G16" s="35"/>
      <c r="H16" s="32">
        <f>'Payroll Expense'!D25+'ROW Maint'!G16</f>
        <v>-1914674.9602447271</v>
      </c>
      <c r="I16" s="32">
        <f t="shared" si="1"/>
        <v>5106004.1697552726</v>
      </c>
      <c r="J16" s="32">
        <f t="shared" si="2"/>
        <v>5106004.1697552726</v>
      </c>
      <c r="M16" s="32">
        <v>0</v>
      </c>
    </row>
    <row r="17" spans="1:13">
      <c r="A17" s="26">
        <f t="shared" si="0"/>
        <v>10</v>
      </c>
      <c r="B17" s="24" t="s">
        <v>36</v>
      </c>
      <c r="C17" s="32">
        <v>1273783</v>
      </c>
      <c r="D17" s="32">
        <f>'[3]Adj IS'!W19</f>
        <v>27250.679302159901</v>
      </c>
      <c r="E17" s="32">
        <f t="shared" si="3"/>
        <v>1301033.6793021599</v>
      </c>
      <c r="F17" s="32">
        <f t="shared" si="4"/>
        <v>1301033.6793021599</v>
      </c>
      <c r="G17" s="35"/>
      <c r="H17" s="32">
        <f>'Payroll Expense'!D26</f>
        <v>-48165.760130011295</v>
      </c>
      <c r="I17" s="32">
        <f t="shared" si="1"/>
        <v>1252867.9191721487</v>
      </c>
      <c r="J17" s="32">
        <f t="shared" si="2"/>
        <v>1252867.9191721487</v>
      </c>
      <c r="M17" s="32">
        <v>0</v>
      </c>
    </row>
    <row r="18" spans="1:13">
      <c r="A18" s="26">
        <f t="shared" si="0"/>
        <v>11</v>
      </c>
      <c r="B18" s="24" t="s">
        <v>37</v>
      </c>
      <c r="C18" s="32">
        <v>40607</v>
      </c>
      <c r="D18" s="32">
        <f>'[3]Adj IS'!W20</f>
        <v>3350.55</v>
      </c>
      <c r="E18" s="32">
        <f t="shared" si="3"/>
        <v>43957.55</v>
      </c>
      <c r="F18" s="32">
        <f t="shared" si="4"/>
        <v>43957.55</v>
      </c>
      <c r="G18" s="36"/>
      <c r="H18" s="32">
        <f>'Payroll Expense'!D27</f>
        <v>-5666.5600152954457</v>
      </c>
      <c r="I18" s="32">
        <f t="shared" si="1"/>
        <v>38290.98998470456</v>
      </c>
      <c r="J18" s="32">
        <f t="shared" si="2"/>
        <v>38290.98998470456</v>
      </c>
      <c r="M18" s="32">
        <v>0</v>
      </c>
    </row>
    <row r="19" spans="1:13">
      <c r="A19" s="26">
        <f t="shared" si="0"/>
        <v>12</v>
      </c>
      <c r="B19" s="24" t="s">
        <v>38</v>
      </c>
      <c r="C19" s="32">
        <v>3691</v>
      </c>
      <c r="D19" s="32">
        <f>'[3]Adj IS'!W21</f>
        <v>0</v>
      </c>
      <c r="E19" s="32">
        <f t="shared" si="3"/>
        <v>3691</v>
      </c>
      <c r="F19" s="32">
        <f t="shared" si="4"/>
        <v>3691</v>
      </c>
      <c r="H19" s="32">
        <v>0</v>
      </c>
      <c r="I19" s="32">
        <f t="shared" si="1"/>
        <v>3691</v>
      </c>
      <c r="J19" s="32">
        <f t="shared" si="2"/>
        <v>3691</v>
      </c>
      <c r="M19" s="32">
        <v>0</v>
      </c>
    </row>
    <row r="20" spans="1:13">
      <c r="A20" s="26">
        <f t="shared" si="0"/>
        <v>13</v>
      </c>
      <c r="B20" s="24" t="s">
        <v>39</v>
      </c>
      <c r="C20" s="32">
        <v>3237313</v>
      </c>
      <c r="D20" s="32">
        <f>'[3]Adj IS'!W22</f>
        <v>-251471.98844641788</v>
      </c>
      <c r="E20" s="32">
        <f t="shared" si="3"/>
        <v>2985841.0115535823</v>
      </c>
      <c r="F20" s="32">
        <f t="shared" si="4"/>
        <v>2985841.0115535823</v>
      </c>
      <c r="H20" s="32">
        <f>'Payroll Expense'!D28</f>
        <v>-50999.040137659009</v>
      </c>
      <c r="I20" s="32">
        <f t="shared" si="1"/>
        <v>2934841.9714159234</v>
      </c>
      <c r="J20" s="32">
        <f>I20</f>
        <v>2934841.9714159234</v>
      </c>
      <c r="M20" s="32">
        <v>0</v>
      </c>
    </row>
    <row r="21" spans="1:13">
      <c r="A21" s="26">
        <f t="shared" si="0"/>
        <v>14</v>
      </c>
      <c r="B21" s="33" t="s">
        <v>40</v>
      </c>
      <c r="C21" s="34">
        <f>SUM(C14:C20)</f>
        <v>61474286</v>
      </c>
      <c r="D21" s="34">
        <f t="shared" ref="D21:F21" si="5">SUM(D14:D20)</f>
        <v>1732194.7700774309</v>
      </c>
      <c r="E21" s="34">
        <f>SUM(E14:E20)</f>
        <v>63206480.770077437</v>
      </c>
      <c r="F21" s="34">
        <f t="shared" si="5"/>
        <v>63206480.770077437</v>
      </c>
      <c r="H21" s="34">
        <f t="shared" ref="H21" si="6">SUM(H14:H20)</f>
        <v>-2231147.7407647725</v>
      </c>
      <c r="I21" s="34">
        <f>SUM(I14:I20)</f>
        <v>60975333.029312655</v>
      </c>
      <c r="J21" s="34">
        <f>SUM(J14:J20)</f>
        <v>60975333.029312655</v>
      </c>
      <c r="M21" s="34">
        <f t="shared" ref="M21" si="7">SUM(M14:M20)</f>
        <v>0</v>
      </c>
    </row>
    <row r="22" spans="1:13">
      <c r="A22" s="26">
        <f t="shared" si="0"/>
        <v>15</v>
      </c>
      <c r="C22" s="32"/>
      <c r="D22" s="32"/>
      <c r="E22" s="32"/>
      <c r="F22" s="32"/>
      <c r="H22" s="32"/>
      <c r="I22" s="32"/>
      <c r="J22" s="32"/>
      <c r="M22" s="32"/>
    </row>
    <row r="23" spans="1:13">
      <c r="A23" s="26">
        <f t="shared" si="0"/>
        <v>16</v>
      </c>
      <c r="B23" s="24" t="s">
        <v>41</v>
      </c>
      <c r="C23" s="32">
        <v>6016651</v>
      </c>
      <c r="D23" s="32">
        <f>'[3]Adj IS'!W25</f>
        <v>592458.74174999993</v>
      </c>
      <c r="E23" s="32">
        <f>C23+D23</f>
        <v>6609109.74175</v>
      </c>
      <c r="F23" s="32">
        <f>E23</f>
        <v>6609109.74175</v>
      </c>
      <c r="H23" s="32">
        <f>'Depr Exp Old HQ'!F16</f>
        <v>-17932</v>
      </c>
      <c r="I23" s="32">
        <f t="shared" ref="I23:I27" si="8">E23+H23</f>
        <v>6591177.74175</v>
      </c>
      <c r="J23" s="32">
        <f t="shared" ref="J23:J27" si="9">I23</f>
        <v>6591177.74175</v>
      </c>
      <c r="M23" s="32">
        <v>0</v>
      </c>
    </row>
    <row r="24" spans="1:13">
      <c r="A24" s="26">
        <f t="shared" si="0"/>
        <v>17</v>
      </c>
      <c r="B24" s="24" t="s">
        <v>42</v>
      </c>
      <c r="C24" s="32">
        <v>90258</v>
      </c>
      <c r="D24" s="32">
        <v>0</v>
      </c>
      <c r="E24" s="32">
        <f>C24+D24</f>
        <v>90258</v>
      </c>
      <c r="F24" s="32">
        <f t="shared" ref="F24:F27" si="10">E24</f>
        <v>90258</v>
      </c>
      <c r="H24" s="32">
        <v>0</v>
      </c>
      <c r="I24" s="32">
        <f t="shared" si="8"/>
        <v>90258</v>
      </c>
      <c r="J24" s="32">
        <f t="shared" si="9"/>
        <v>90258</v>
      </c>
      <c r="M24" s="32">
        <v>0</v>
      </c>
    </row>
    <row r="25" spans="1:13">
      <c r="A25" s="26">
        <f t="shared" si="0"/>
        <v>18</v>
      </c>
      <c r="B25" s="24" t="s">
        <v>43</v>
      </c>
      <c r="C25" s="32">
        <v>1961144</v>
      </c>
      <c r="D25" s="32">
        <f>'[3]Adj IS'!W27</f>
        <v>233473.4235768998</v>
      </c>
      <c r="E25" s="32">
        <f>C25+D25</f>
        <v>2194617.4235768998</v>
      </c>
      <c r="F25" s="32">
        <f t="shared" si="10"/>
        <v>2194617.4235768998</v>
      </c>
      <c r="H25" s="32">
        <f>'LTD Int - Other than HQ Bldg'!F18</f>
        <v>-42797.951862400005</v>
      </c>
      <c r="I25" s="32">
        <f t="shared" si="8"/>
        <v>2151819.4717144999</v>
      </c>
      <c r="J25" s="32">
        <f t="shared" si="9"/>
        <v>2151819.4717144999</v>
      </c>
      <c r="M25" s="32">
        <v>0</v>
      </c>
    </row>
    <row r="26" spans="1:13">
      <c r="A26" s="26">
        <f t="shared" si="0"/>
        <v>19</v>
      </c>
      <c r="B26" s="24" t="s">
        <v>44</v>
      </c>
      <c r="C26" s="32">
        <v>233334</v>
      </c>
      <c r="D26" s="32">
        <f>'[3]Adj IS'!W28</f>
        <v>-171498.26</v>
      </c>
      <c r="E26" s="32">
        <f>C26+D26</f>
        <v>61835.739999999991</v>
      </c>
      <c r="F26" s="32">
        <f t="shared" si="10"/>
        <v>61835.739999999991</v>
      </c>
      <c r="H26" s="32">
        <v>0</v>
      </c>
      <c r="I26" s="32">
        <f t="shared" si="8"/>
        <v>61835.739999999991</v>
      </c>
      <c r="J26" s="32">
        <f t="shared" si="9"/>
        <v>61835.739999999991</v>
      </c>
      <c r="M26" s="32">
        <v>0</v>
      </c>
    </row>
    <row r="27" spans="1:13">
      <c r="A27" s="26">
        <f t="shared" si="0"/>
        <v>20</v>
      </c>
      <c r="B27" s="24" t="s">
        <v>45</v>
      </c>
      <c r="C27" s="32">
        <v>2796</v>
      </c>
      <c r="D27" s="32">
        <v>0</v>
      </c>
      <c r="E27" s="32">
        <f>C27+D27</f>
        <v>2796</v>
      </c>
      <c r="F27" s="32">
        <f t="shared" si="10"/>
        <v>2796</v>
      </c>
      <c r="H27" s="32">
        <v>0</v>
      </c>
      <c r="I27" s="32">
        <f t="shared" si="8"/>
        <v>2796</v>
      </c>
      <c r="J27" s="32">
        <f t="shared" si="9"/>
        <v>2796</v>
      </c>
      <c r="M27" s="32">
        <v>0</v>
      </c>
    </row>
    <row r="28" spans="1:13">
      <c r="A28" s="26">
        <f t="shared" si="0"/>
        <v>21</v>
      </c>
      <c r="C28" s="32"/>
      <c r="D28" s="32"/>
      <c r="E28" s="32"/>
      <c r="F28" s="32"/>
      <c r="H28" s="32"/>
      <c r="I28" s="32"/>
      <c r="J28" s="32"/>
      <c r="M28" s="32"/>
    </row>
    <row r="29" spans="1:13">
      <c r="A29" s="26">
        <f t="shared" si="0"/>
        <v>22</v>
      </c>
      <c r="B29" s="37" t="s">
        <v>46</v>
      </c>
      <c r="C29" s="38">
        <f t="shared" ref="C29:F29" si="11">SUM(C21:C27)</f>
        <v>69778469</v>
      </c>
      <c r="D29" s="38">
        <f t="shared" si="11"/>
        <v>2386628.6754043307</v>
      </c>
      <c r="E29" s="38">
        <f t="shared" si="11"/>
        <v>72165097.67540434</v>
      </c>
      <c r="F29" s="38">
        <f t="shared" si="11"/>
        <v>72165097.67540434</v>
      </c>
      <c r="H29" s="38">
        <f t="shared" ref="H29:J29" si="12">SUM(H21:H27)</f>
        <v>-2291877.6926271725</v>
      </c>
      <c r="I29" s="38">
        <f t="shared" si="12"/>
        <v>69873219.982777148</v>
      </c>
      <c r="J29" s="38">
        <f t="shared" si="12"/>
        <v>69873219.982777148</v>
      </c>
      <c r="M29" s="38">
        <f t="shared" ref="M29" si="13">SUM(M21:M27)</f>
        <v>0</v>
      </c>
    </row>
    <row r="30" spans="1:13">
      <c r="A30" s="26">
        <f t="shared" si="0"/>
        <v>23</v>
      </c>
      <c r="C30" s="32"/>
      <c r="D30" s="32"/>
      <c r="E30" s="32"/>
      <c r="F30" s="32"/>
      <c r="H30" s="32"/>
      <c r="I30" s="32"/>
      <c r="J30" s="32"/>
      <c r="M30" s="32"/>
    </row>
    <row r="31" spans="1:13" ht="13" thickBot="1">
      <c r="A31" s="26">
        <f t="shared" si="0"/>
        <v>24</v>
      </c>
      <c r="B31" s="39" t="s">
        <v>47</v>
      </c>
      <c r="C31" s="40">
        <f t="shared" ref="C31:F31" si="14">C11-C29</f>
        <v>-350768.38999998569</v>
      </c>
      <c r="D31" s="40">
        <f t="shared" si="14"/>
        <v>-4891560.1054043304</v>
      </c>
      <c r="E31" s="40">
        <f t="shared" si="14"/>
        <v>-5242328.4954043329</v>
      </c>
      <c r="F31" s="40">
        <f t="shared" si="14"/>
        <v>1915066.6535769105</v>
      </c>
      <c r="H31" s="40">
        <f t="shared" ref="H31:J31" si="15">H11-H29</f>
        <v>2311878.0126271723</v>
      </c>
      <c r="I31" s="40">
        <f t="shared" si="15"/>
        <v>-2930450.482777141</v>
      </c>
      <c r="J31" s="40">
        <f t="shared" si="15"/>
        <v>-2930450.482777141</v>
      </c>
      <c r="M31" s="40">
        <f t="shared" ref="M31" si="16">M11-M29</f>
        <v>20000</v>
      </c>
    </row>
    <row r="32" spans="1:13" ht="13" thickTop="1">
      <c r="A32" s="26">
        <f t="shared" si="0"/>
        <v>25</v>
      </c>
      <c r="C32" s="32"/>
      <c r="D32" s="32"/>
      <c r="E32" s="32"/>
      <c r="F32" s="32"/>
      <c r="H32" s="32"/>
      <c r="I32" s="32"/>
      <c r="J32" s="32"/>
      <c r="M32" s="32"/>
    </row>
    <row r="33" spans="1:13">
      <c r="A33" s="26">
        <f t="shared" si="0"/>
        <v>26</v>
      </c>
      <c r="B33" s="24" t="s">
        <v>48</v>
      </c>
      <c r="C33" s="32">
        <v>415392</v>
      </c>
      <c r="D33" s="32">
        <f>'[3]Adj List'!F30</f>
        <v>-1249488.23</v>
      </c>
      <c r="E33" s="32">
        <f>C33+D33</f>
        <v>-834096.23</v>
      </c>
      <c r="F33" s="32">
        <f>E33</f>
        <v>-834096.23</v>
      </c>
      <c r="H33" s="32">
        <f>415932-C33</f>
        <v>540</v>
      </c>
      <c r="I33" s="32">
        <f>E33+H33</f>
        <v>-833556.23</v>
      </c>
      <c r="J33" s="32">
        <f t="shared" ref="J33:J37" si="17">I33</f>
        <v>-833556.23</v>
      </c>
      <c r="M33" s="32">
        <f>415932-C33</f>
        <v>540</v>
      </c>
    </row>
    <row r="34" spans="1:13">
      <c r="A34" s="26" t="s">
        <v>49</v>
      </c>
      <c r="B34" s="24" t="s">
        <v>50</v>
      </c>
      <c r="C34" s="32">
        <v>0</v>
      </c>
      <c r="D34" s="32">
        <v>0</v>
      </c>
      <c r="E34" s="32">
        <f>C34+D34</f>
        <v>0</v>
      </c>
      <c r="F34" s="32">
        <f>E34</f>
        <v>0</v>
      </c>
      <c r="H34" s="32">
        <v>0</v>
      </c>
      <c r="I34" s="32">
        <f t="shared" ref="I34:I37" si="18">E34+H34</f>
        <v>0</v>
      </c>
      <c r="J34" s="32">
        <f t="shared" si="17"/>
        <v>0</v>
      </c>
      <c r="M34" s="32">
        <v>0</v>
      </c>
    </row>
    <row r="35" spans="1:13">
      <c r="A35" s="26">
        <f>A33+1</f>
        <v>27</v>
      </c>
      <c r="B35" s="24" t="s">
        <v>51</v>
      </c>
      <c r="C35" s="32">
        <v>934232</v>
      </c>
      <c r="D35" s="32">
        <v>0</v>
      </c>
      <c r="E35" s="32">
        <f>C35+D35</f>
        <v>934232</v>
      </c>
      <c r="F35" s="32">
        <f>E35</f>
        <v>934232</v>
      </c>
      <c r="H35" s="32">
        <v>0</v>
      </c>
      <c r="I35" s="32">
        <f t="shared" si="18"/>
        <v>934232</v>
      </c>
      <c r="J35" s="32">
        <f t="shared" si="17"/>
        <v>934232</v>
      </c>
      <c r="M35" s="32">
        <v>0</v>
      </c>
    </row>
    <row r="36" spans="1:13">
      <c r="A36" s="26">
        <f t="shared" si="0"/>
        <v>28</v>
      </c>
      <c r="B36" s="24" t="s">
        <v>52</v>
      </c>
      <c r="C36" s="32">
        <v>0</v>
      </c>
      <c r="D36" s="32">
        <v>0</v>
      </c>
      <c r="E36" s="32">
        <f>C36+D36</f>
        <v>0</v>
      </c>
      <c r="F36" s="41">
        <f>E36</f>
        <v>0</v>
      </c>
      <c r="H36" s="32">
        <v>0</v>
      </c>
      <c r="I36" s="32">
        <f t="shared" si="18"/>
        <v>0</v>
      </c>
      <c r="J36" s="32">
        <f t="shared" si="17"/>
        <v>0</v>
      </c>
      <c r="M36" s="32">
        <v>0</v>
      </c>
    </row>
    <row r="37" spans="1:13">
      <c r="A37" s="26">
        <f t="shared" si="0"/>
        <v>29</v>
      </c>
      <c r="B37" s="24" t="s">
        <v>53</v>
      </c>
      <c r="C37" s="32">
        <v>179415</v>
      </c>
      <c r="D37" s="32">
        <f>'[3]Adj IS'!W37</f>
        <v>0</v>
      </c>
      <c r="E37" s="32">
        <f>C37+D37</f>
        <v>179415</v>
      </c>
      <c r="F37" s="32">
        <f>E37</f>
        <v>179415</v>
      </c>
      <c r="H37" s="32">
        <f>'[1]Adj IS'!Z37</f>
        <v>0</v>
      </c>
      <c r="I37" s="32">
        <f t="shared" si="18"/>
        <v>179415</v>
      </c>
      <c r="J37" s="32">
        <f t="shared" si="17"/>
        <v>179415</v>
      </c>
      <c r="M37" s="32">
        <f>'[1]Adj IS'!AE37</f>
        <v>0</v>
      </c>
    </row>
    <row r="38" spans="1:13">
      <c r="A38" s="26">
        <f t="shared" si="0"/>
        <v>30</v>
      </c>
      <c r="C38" s="32"/>
      <c r="D38" s="32"/>
      <c r="E38" s="32"/>
      <c r="F38" s="32"/>
      <c r="H38" s="32"/>
      <c r="I38" s="32"/>
      <c r="J38" s="32"/>
      <c r="M38" s="32"/>
    </row>
    <row r="39" spans="1:13" ht="13" thickBot="1">
      <c r="A39" s="26">
        <f t="shared" si="0"/>
        <v>31</v>
      </c>
      <c r="B39" s="39" t="s">
        <v>54</v>
      </c>
      <c r="C39" s="40">
        <f t="shared" ref="C39:F39" si="19">C31+SUM(C33:C37)</f>
        <v>1178270.6100000143</v>
      </c>
      <c r="D39" s="40">
        <f t="shared" si="19"/>
        <v>-6141048.3354043309</v>
      </c>
      <c r="E39" s="40">
        <f t="shared" si="19"/>
        <v>-4962777.7254043333</v>
      </c>
      <c r="F39" s="40">
        <f t="shared" si="19"/>
        <v>2194617.4235769105</v>
      </c>
      <c r="H39" s="40">
        <f t="shared" ref="H39:I39" si="20">H31+SUM(H33:H37)</f>
        <v>2312418.0126271723</v>
      </c>
      <c r="I39" s="40">
        <f t="shared" si="20"/>
        <v>-2650359.712777141</v>
      </c>
      <c r="J39" s="40">
        <f t="shared" ref="J39" si="21">J31+SUM(J33:J37)</f>
        <v>-2650359.712777141</v>
      </c>
      <c r="M39" s="40">
        <f t="shared" ref="M39" si="22">M31+SUM(M33:M37)</f>
        <v>20540</v>
      </c>
    </row>
    <row r="40" spans="1:13" ht="13" thickTop="1">
      <c r="A40" s="26">
        <f t="shared" si="0"/>
        <v>32</v>
      </c>
      <c r="C40" s="32"/>
      <c r="D40" s="32"/>
      <c r="E40" s="32"/>
      <c r="F40" s="32"/>
      <c r="I40" s="32"/>
      <c r="J40" s="32"/>
    </row>
    <row r="41" spans="1:13">
      <c r="A41" s="26">
        <f t="shared" si="0"/>
        <v>33</v>
      </c>
      <c r="B41" s="24" t="s">
        <v>55</v>
      </c>
      <c r="C41" s="32">
        <v>77191</v>
      </c>
      <c r="D41" s="32"/>
      <c r="E41" s="32">
        <f>C41</f>
        <v>77191</v>
      </c>
      <c r="F41" s="32">
        <f>C41</f>
        <v>77191</v>
      </c>
      <c r="I41" s="32">
        <f>C41</f>
        <v>77191</v>
      </c>
      <c r="J41" s="32">
        <f t="shared" ref="J41" si="23">I41</f>
        <v>77191</v>
      </c>
      <c r="M41" s="24" t="s">
        <v>75</v>
      </c>
    </row>
    <row r="42" spans="1:13">
      <c r="A42" s="26">
        <f t="shared" si="0"/>
        <v>34</v>
      </c>
      <c r="B42" s="24" t="s">
        <v>56</v>
      </c>
      <c r="C42" s="42">
        <f>(C31+C41+C25)/C25</f>
        <v>0.86050112077441243</v>
      </c>
      <c r="D42" s="32"/>
      <c r="E42" s="42">
        <f>(E31+E41+E25)/E25</f>
        <v>-1.3535480215890783</v>
      </c>
      <c r="F42" s="42">
        <f>(F31+F41+F25)/F25</f>
        <v>1.9077926895931716</v>
      </c>
      <c r="I42" s="42">
        <f>(I31+I41+I25)/I25</f>
        <v>-0.32597530614580622</v>
      </c>
      <c r="J42" s="42">
        <f>(J31+J41+J25)/J25</f>
        <v>-0.32597530614580622</v>
      </c>
      <c r="M42" s="24" t="s">
        <v>76</v>
      </c>
    </row>
    <row r="43" spans="1:13">
      <c r="A43" s="26">
        <f t="shared" si="0"/>
        <v>35</v>
      </c>
      <c r="B43" s="24" t="s">
        <v>57</v>
      </c>
      <c r="C43" s="42">
        <f>(C39+C25)/C25</f>
        <v>1.6008077989173739</v>
      </c>
      <c r="D43" s="32"/>
      <c r="E43" s="42">
        <f>(E39+E25)/E25</f>
        <v>-1.2613407111822452</v>
      </c>
      <c r="F43" s="43">
        <f>(F39+F25)/F25</f>
        <v>2.0000000000000049</v>
      </c>
      <c r="I43" s="42">
        <f>(I39+I25)/I25</f>
        <v>-0.23168311636543584</v>
      </c>
      <c r="J43" s="42">
        <f>(J39+J25)/J25</f>
        <v>-0.23168311636543584</v>
      </c>
      <c r="M43" s="24" t="s">
        <v>77</v>
      </c>
    </row>
    <row r="44" spans="1:13">
      <c r="A44" s="26">
        <f t="shared" si="0"/>
        <v>36</v>
      </c>
      <c r="B44" s="24" t="s">
        <v>58</v>
      </c>
      <c r="C44" s="42">
        <f>(C25+C39-C36)/C25</f>
        <v>1.6008077989173739</v>
      </c>
      <c r="D44" s="32"/>
      <c r="E44" s="42">
        <f>(E25+E39-E36)/E25</f>
        <v>-1.2613407111822452</v>
      </c>
      <c r="F44" s="42">
        <f>(F25+F39-F36)/F25</f>
        <v>2.0000000000000049</v>
      </c>
      <c r="I44" s="42">
        <f>(I25+I39-I36)/I25</f>
        <v>-0.23168311636543584</v>
      </c>
      <c r="J44" s="42">
        <f>(J25+J39-J36)/J25</f>
        <v>-0.23168311636543584</v>
      </c>
    </row>
    <row r="45" spans="1:13">
      <c r="A45" s="26">
        <f t="shared" si="0"/>
        <v>37</v>
      </c>
      <c r="D45" s="32"/>
    </row>
    <row r="46" spans="1:13">
      <c r="A46" s="26">
        <f t="shared" si="0"/>
        <v>38</v>
      </c>
      <c r="B46" s="24" t="s">
        <v>59</v>
      </c>
      <c r="C46" s="42">
        <v>2</v>
      </c>
      <c r="D46" s="32"/>
      <c r="E46" s="42">
        <f>C46</f>
        <v>2</v>
      </c>
      <c r="F46" s="42">
        <v>2</v>
      </c>
      <c r="I46" s="49">
        <v>2</v>
      </c>
      <c r="J46" s="49">
        <v>1.5</v>
      </c>
    </row>
    <row r="47" spans="1:13">
      <c r="A47" s="26">
        <f t="shared" si="0"/>
        <v>39</v>
      </c>
      <c r="B47" s="24" t="s">
        <v>60</v>
      </c>
      <c r="C47" s="32">
        <f>C46*C25-C25</f>
        <v>1961144</v>
      </c>
      <c r="D47" s="32"/>
      <c r="E47" s="32">
        <f>E46*E25-E25</f>
        <v>2194617.4235768998</v>
      </c>
      <c r="F47" s="32">
        <f>F46*F25-F25</f>
        <v>2194617.4235768998</v>
      </c>
      <c r="I47" s="32">
        <f>I46*I25-I25</f>
        <v>2151819.4717144999</v>
      </c>
      <c r="J47" s="32">
        <f>J46*J25-J25</f>
        <v>1075909.7358572497</v>
      </c>
      <c r="K47" s="50"/>
      <c r="L47" s="50"/>
    </row>
    <row r="48" spans="1:13">
      <c r="A48" s="26">
        <f t="shared" si="0"/>
        <v>40</v>
      </c>
      <c r="B48" s="24" t="s">
        <v>61</v>
      </c>
      <c r="C48" s="32">
        <f>C29+C47</f>
        <v>71739613</v>
      </c>
      <c r="D48" s="32"/>
      <c r="E48" s="32">
        <f>E29+E47</f>
        <v>74359715.098981246</v>
      </c>
      <c r="F48" s="32">
        <f>F29+F47</f>
        <v>74359715.098981246</v>
      </c>
      <c r="I48" s="32">
        <f>I29+I47</f>
        <v>72025039.454491645</v>
      </c>
      <c r="J48" s="32">
        <f>J29+J47</f>
        <v>70949129.718634397</v>
      </c>
      <c r="K48" s="50"/>
      <c r="L48" s="50"/>
    </row>
    <row r="49" spans="1:12" ht="13" thickBot="1">
      <c r="A49" s="26">
        <f t="shared" si="0"/>
        <v>41</v>
      </c>
      <c r="B49" s="24" t="s">
        <v>63</v>
      </c>
      <c r="C49" s="32">
        <f>C47-C39</f>
        <v>782873.38999998569</v>
      </c>
      <c r="D49" s="32"/>
      <c r="E49" s="44">
        <f>E47-E39</f>
        <v>7157395.1489812331</v>
      </c>
      <c r="F49" s="32">
        <f>F47-F39</f>
        <v>-1.0710209608078003E-8</v>
      </c>
      <c r="I49" s="44">
        <f>I47-I39</f>
        <v>4802179.1844916409</v>
      </c>
      <c r="J49" s="47">
        <f>J47-J39</f>
        <v>3726269.4486343907</v>
      </c>
      <c r="K49" s="50"/>
      <c r="L49" s="79">
        <f>J49-I49</f>
        <v>-1075909.7358572502</v>
      </c>
    </row>
    <row r="50" spans="1:12" ht="13" thickTop="1">
      <c r="A50" s="26">
        <f t="shared" si="0"/>
        <v>42</v>
      </c>
      <c r="C50" s="32"/>
      <c r="D50" s="32"/>
      <c r="E50" s="32"/>
      <c r="F50" s="32"/>
    </row>
    <row r="51" spans="1:12">
      <c r="A51" s="26">
        <f t="shared" si="0"/>
        <v>43</v>
      </c>
      <c r="C51" s="31"/>
      <c r="D51" s="45" t="s">
        <v>64</v>
      </c>
      <c r="E51" s="46"/>
      <c r="F51" s="47">
        <f>F39-E39</f>
        <v>7157395.1489812434</v>
      </c>
    </row>
    <row r="52" spans="1:12">
      <c r="A52" s="26">
        <f t="shared" si="0"/>
        <v>44</v>
      </c>
      <c r="C52" s="46"/>
      <c r="D52" s="45" t="s">
        <v>65</v>
      </c>
      <c r="E52" s="32"/>
      <c r="F52" s="46">
        <f>F51/E11</f>
        <v>0.10695007449154158</v>
      </c>
    </row>
    <row r="53" spans="1:12">
      <c r="F53" s="31"/>
    </row>
    <row r="55" spans="1:12">
      <c r="E55" s="31"/>
    </row>
  </sheetData>
  <pageMargins left="0.7" right="0.7" top="0.75" bottom="0.75" header="0.3" footer="0.3"/>
  <pageSetup scale="86" orientation="portrait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D11" sqref="D11"/>
    </sheetView>
  </sheetViews>
  <sheetFormatPr defaultRowHeight="12.5"/>
  <cols>
    <col min="1" max="1" width="10.7265625" customWidth="1"/>
    <col min="2" max="2" width="13.81640625" customWidth="1"/>
    <col min="3" max="3" width="13" customWidth="1"/>
    <col min="4" max="4" width="17.54296875" customWidth="1"/>
    <col min="5" max="5" width="16.26953125" customWidth="1"/>
    <col min="6" max="6" width="11.7265625" customWidth="1"/>
  </cols>
  <sheetData>
    <row r="1" spans="1:13" ht="13">
      <c r="A1" s="116" t="s">
        <v>7</v>
      </c>
      <c r="B1" s="116"/>
      <c r="C1" s="116"/>
      <c r="D1" s="116"/>
      <c r="E1" s="116"/>
      <c r="F1" s="116"/>
    </row>
    <row r="2" spans="1:13" ht="13">
      <c r="A2" s="116" t="s">
        <v>68</v>
      </c>
      <c r="B2" s="116"/>
      <c r="C2" s="116"/>
      <c r="D2" s="116"/>
      <c r="E2" s="116"/>
      <c r="F2" s="116"/>
    </row>
    <row r="3" spans="1:13" ht="13">
      <c r="A3" s="116" t="s">
        <v>8</v>
      </c>
      <c r="B3" s="116"/>
      <c r="C3" s="116"/>
      <c r="D3" s="116"/>
      <c r="E3" s="116"/>
      <c r="F3" s="116"/>
    </row>
    <row r="4" spans="1:13" ht="13">
      <c r="A4" s="116" t="s">
        <v>5</v>
      </c>
      <c r="B4" s="116"/>
      <c r="C4" s="116"/>
      <c r="D4" s="116"/>
      <c r="E4" s="116"/>
      <c r="F4" s="116"/>
    </row>
    <row r="5" spans="1:13">
      <c r="A5" s="10"/>
      <c r="B5" s="10"/>
      <c r="C5" s="10"/>
      <c r="D5" s="10"/>
      <c r="E5" s="10"/>
      <c r="F5" s="10"/>
    </row>
    <row r="6" spans="1:13">
      <c r="A6" s="10"/>
      <c r="B6" s="10"/>
      <c r="C6" s="10"/>
      <c r="D6" s="10"/>
      <c r="E6" s="10"/>
      <c r="F6" s="10"/>
    </row>
    <row r="7" spans="1:13">
      <c r="A7" s="15" t="s">
        <v>67</v>
      </c>
      <c r="B7" s="15" t="s">
        <v>102</v>
      </c>
      <c r="C7" s="10"/>
      <c r="D7" s="10"/>
      <c r="E7" s="6"/>
      <c r="F7" s="6"/>
    </row>
    <row r="8" spans="1:13">
      <c r="A8" s="12"/>
      <c r="B8" s="10"/>
      <c r="C8" s="10"/>
      <c r="D8" s="10"/>
      <c r="E8" s="6"/>
      <c r="F8" s="6"/>
    </row>
    <row r="9" spans="1:13">
      <c r="A9" s="8"/>
      <c r="B9" s="51" t="s">
        <v>103</v>
      </c>
      <c r="C9" s="9"/>
      <c r="D9" s="11">
        <v>6531116.7999999998</v>
      </c>
      <c r="E9" s="7"/>
      <c r="F9" s="7"/>
      <c r="G9" s="1"/>
    </row>
    <row r="10" spans="1:13">
      <c r="A10" s="9"/>
      <c r="B10" s="9"/>
      <c r="C10" s="9"/>
      <c r="D10" s="9"/>
      <c r="E10" s="7"/>
      <c r="F10" s="7"/>
      <c r="G10" s="1"/>
    </row>
    <row r="11" spans="1:13">
      <c r="A11" s="9"/>
      <c r="B11" s="58"/>
      <c r="C11" s="51" t="s">
        <v>104</v>
      </c>
      <c r="D11" s="59">
        <f>3315612/6016952</f>
        <v>0.55104511387160804</v>
      </c>
      <c r="E11" s="9"/>
      <c r="F11" s="9"/>
      <c r="G11" s="1"/>
    </row>
    <row r="12" spans="1:13">
      <c r="A12" s="8"/>
      <c r="B12" s="9"/>
      <c r="C12" s="9"/>
      <c r="D12" s="9"/>
      <c r="E12" s="11"/>
      <c r="F12" s="11"/>
      <c r="G12" s="1"/>
    </row>
    <row r="13" spans="1:13">
      <c r="A13" s="9"/>
      <c r="B13" s="51" t="s">
        <v>105</v>
      </c>
      <c r="C13" s="9"/>
      <c r="D13" s="56"/>
      <c r="E13" s="16">
        <f>D9*D11</f>
        <v>3598940.0007647723</v>
      </c>
      <c r="F13" s="9"/>
      <c r="G13" s="1"/>
    </row>
    <row r="14" spans="1:13">
      <c r="A14" s="9"/>
      <c r="B14" s="9"/>
      <c r="C14" s="9"/>
      <c r="D14" s="9"/>
      <c r="E14" s="9"/>
      <c r="F14" s="9"/>
      <c r="G14" s="1"/>
    </row>
    <row r="15" spans="1:13">
      <c r="A15" s="9"/>
      <c r="B15" s="9"/>
      <c r="C15" s="9"/>
      <c r="D15" s="9"/>
      <c r="E15" s="9"/>
      <c r="F15" s="9"/>
      <c r="G15" s="8"/>
      <c r="H15" s="10"/>
      <c r="I15" s="10"/>
      <c r="J15" s="10"/>
      <c r="K15" s="10"/>
      <c r="L15" s="10"/>
      <c r="M15" s="10"/>
    </row>
    <row r="16" spans="1:13">
      <c r="A16" s="9"/>
      <c r="B16" s="51" t="s">
        <v>106</v>
      </c>
      <c r="C16" s="9"/>
      <c r="D16" s="9"/>
      <c r="E16" s="54">
        <v>3315612</v>
      </c>
      <c r="F16" s="9"/>
      <c r="G16" s="9"/>
      <c r="H16" s="10"/>
      <c r="I16" s="10"/>
      <c r="J16" s="10"/>
      <c r="K16" s="10"/>
      <c r="L16" s="10"/>
      <c r="M16" s="10"/>
    </row>
    <row r="17" spans="1:7">
      <c r="A17" s="8"/>
      <c r="B17" s="9"/>
      <c r="C17" s="9"/>
      <c r="D17" s="9"/>
      <c r="E17" s="9"/>
      <c r="F17" s="16"/>
      <c r="G17" s="1"/>
    </row>
    <row r="18" spans="1:7" ht="13" thickBot="1">
      <c r="A18" s="9"/>
      <c r="B18" s="51" t="s">
        <v>107</v>
      </c>
      <c r="C18" s="9"/>
      <c r="D18" s="9"/>
      <c r="E18" s="57">
        <f>E16-E13</f>
        <v>-283328.0007647723</v>
      </c>
      <c r="F18" s="9"/>
      <c r="G18" s="1"/>
    </row>
    <row r="19" spans="1:7" ht="13" thickTop="1">
      <c r="A19" s="9"/>
      <c r="B19" s="9"/>
      <c r="C19" s="9"/>
      <c r="D19" s="9"/>
      <c r="E19" s="9"/>
      <c r="F19" s="9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 ht="13">
      <c r="A23" s="1"/>
      <c r="B23" s="60" t="s">
        <v>109</v>
      </c>
      <c r="C23" s="61"/>
      <c r="D23" s="61"/>
      <c r="E23" s="1"/>
      <c r="F23" s="1"/>
      <c r="G23" s="1"/>
    </row>
    <row r="24" spans="1:7">
      <c r="A24" s="1"/>
      <c r="B24" s="62">
        <v>580</v>
      </c>
      <c r="C24" s="63">
        <v>0.31</v>
      </c>
      <c r="D24" s="67">
        <f>$E$18*C24</f>
        <v>-87831.680237079418</v>
      </c>
      <c r="E24" s="1"/>
      <c r="F24" s="1"/>
      <c r="G24" s="1"/>
    </row>
    <row r="25" spans="1:7">
      <c r="A25" s="1"/>
      <c r="B25" s="62">
        <v>590</v>
      </c>
      <c r="C25" s="63">
        <v>0.32</v>
      </c>
      <c r="D25" s="67">
        <f t="shared" ref="D25:D28" si="0">$E$18*C25</f>
        <v>-90664.960244727132</v>
      </c>
      <c r="E25" s="1"/>
      <c r="F25" s="1"/>
      <c r="G25" s="1"/>
    </row>
    <row r="26" spans="1:7">
      <c r="A26" s="1"/>
      <c r="B26" s="62">
        <v>901</v>
      </c>
      <c r="C26" s="63">
        <v>0.17</v>
      </c>
      <c r="D26" s="67">
        <f t="shared" si="0"/>
        <v>-48165.760130011295</v>
      </c>
      <c r="E26" s="1"/>
      <c r="F26" s="1"/>
      <c r="G26" s="1"/>
    </row>
    <row r="27" spans="1:7">
      <c r="A27" s="1"/>
      <c r="B27" s="62">
        <v>910</v>
      </c>
      <c r="C27" s="63">
        <v>0.02</v>
      </c>
      <c r="D27" s="67">
        <f t="shared" si="0"/>
        <v>-5666.5600152954457</v>
      </c>
      <c r="E27" s="1"/>
      <c r="F27" s="1"/>
      <c r="G27" s="1"/>
    </row>
    <row r="28" spans="1:7">
      <c r="A28" s="1"/>
      <c r="B28" s="62">
        <v>920</v>
      </c>
      <c r="C28" s="65">
        <v>0.18</v>
      </c>
      <c r="D28" s="69">
        <f t="shared" si="0"/>
        <v>-50999.040137659009</v>
      </c>
      <c r="E28" s="1"/>
      <c r="F28" s="1"/>
      <c r="G28" s="1"/>
    </row>
    <row r="29" spans="1:7" ht="13">
      <c r="A29" s="1"/>
      <c r="B29" s="64" t="s">
        <v>108</v>
      </c>
      <c r="C29" s="66">
        <f>SUM(C24:C28)</f>
        <v>1</v>
      </c>
      <c r="D29" s="68">
        <f>SUM(D24:D28)</f>
        <v>-283328.0007647723</v>
      </c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I32" sqref="I32"/>
    </sheetView>
  </sheetViews>
  <sheetFormatPr defaultRowHeight="12.5"/>
  <cols>
    <col min="1" max="1" width="7.26953125" customWidth="1"/>
    <col min="2" max="2" width="17.26953125" customWidth="1"/>
    <col min="3" max="3" width="14.54296875" customWidth="1"/>
    <col min="4" max="4" width="17.54296875" customWidth="1"/>
    <col min="5" max="5" width="13.54296875" customWidth="1"/>
    <col min="6" max="6" width="11.7265625" customWidth="1"/>
    <col min="10" max="10" width="11.7265625" customWidth="1"/>
  </cols>
  <sheetData>
    <row r="1" spans="1:13" ht="13">
      <c r="A1" s="116" t="s">
        <v>7</v>
      </c>
      <c r="B1" s="116"/>
      <c r="C1" s="116"/>
      <c r="D1" s="116"/>
      <c r="E1" s="116"/>
      <c r="F1" s="116"/>
    </row>
    <row r="2" spans="1:13" ht="13">
      <c r="A2" s="116" t="s">
        <v>68</v>
      </c>
      <c r="B2" s="116"/>
      <c r="C2" s="116"/>
      <c r="D2" s="116"/>
      <c r="E2" s="116"/>
      <c r="F2" s="116"/>
    </row>
    <row r="3" spans="1:13" ht="13">
      <c r="A3" s="116" t="s">
        <v>8</v>
      </c>
      <c r="B3" s="116"/>
      <c r="C3" s="116"/>
      <c r="D3" s="116"/>
      <c r="E3" s="116"/>
      <c r="F3" s="116"/>
    </row>
    <row r="4" spans="1:13" ht="13">
      <c r="A4" s="116" t="s">
        <v>5</v>
      </c>
      <c r="B4" s="116"/>
      <c r="C4" s="116"/>
      <c r="D4" s="116"/>
      <c r="E4" s="116"/>
      <c r="F4" s="116"/>
    </row>
    <row r="5" spans="1:13">
      <c r="A5" s="10"/>
      <c r="B5" s="10"/>
      <c r="C5" s="10"/>
      <c r="D5" s="10"/>
      <c r="E5" s="10"/>
      <c r="F5" s="10"/>
    </row>
    <row r="6" spans="1:13">
      <c r="A6" s="10"/>
      <c r="B6" s="10"/>
      <c r="C6" s="10"/>
      <c r="D6" s="10"/>
      <c r="E6" s="10"/>
      <c r="F6" s="10"/>
    </row>
    <row r="7" spans="1:13">
      <c r="A7" s="15" t="s">
        <v>67</v>
      </c>
      <c r="B7" s="15" t="s">
        <v>136</v>
      </c>
      <c r="C7" s="10"/>
      <c r="D7" s="10"/>
      <c r="E7" s="6"/>
      <c r="F7" s="6"/>
    </row>
    <row r="8" spans="1:13">
      <c r="A8" s="12"/>
      <c r="B8" s="10"/>
      <c r="C8" s="10"/>
      <c r="D8" s="10"/>
      <c r="E8" s="6"/>
      <c r="F8" s="6"/>
    </row>
    <row r="9" spans="1:13">
      <c r="A9" s="8"/>
      <c r="B9" s="9"/>
      <c r="C9" s="9"/>
      <c r="D9" s="9"/>
      <c r="E9" s="7"/>
      <c r="F9" s="7"/>
      <c r="G9" s="1"/>
    </row>
    <row r="10" spans="1:13">
      <c r="A10" s="9"/>
      <c r="B10" s="9" t="s">
        <v>115</v>
      </c>
      <c r="C10" s="9"/>
      <c r="D10" s="9"/>
      <c r="E10" s="7"/>
      <c r="F10" s="70">
        <v>21926146.48</v>
      </c>
      <c r="G10" s="1"/>
      <c r="H10" s="74" t="s">
        <v>138</v>
      </c>
    </row>
    <row r="11" spans="1:13">
      <c r="A11" s="9"/>
      <c r="B11" s="9"/>
      <c r="C11" s="9"/>
      <c r="D11" s="9"/>
      <c r="E11" s="9"/>
      <c r="F11" s="9"/>
      <c r="G11" s="1" t="s">
        <v>166</v>
      </c>
    </row>
    <row r="12" spans="1:13">
      <c r="A12" s="8"/>
      <c r="B12" s="51" t="s">
        <v>135</v>
      </c>
      <c r="C12" s="9"/>
      <c r="D12" s="9"/>
      <c r="E12" s="11"/>
      <c r="F12" s="54">
        <f>19123332+650000</f>
        <v>19773332</v>
      </c>
      <c r="G12" s="1" t="s">
        <v>165</v>
      </c>
      <c r="H12" s="74" t="s">
        <v>137</v>
      </c>
      <c r="J12" s="54">
        <v>15110947.300000001</v>
      </c>
    </row>
    <row r="13" spans="1:13">
      <c r="A13" s="9"/>
      <c r="B13" s="9"/>
      <c r="C13" s="9"/>
      <c r="D13" s="9"/>
      <c r="E13" s="9"/>
      <c r="F13" s="9"/>
      <c r="G13" s="1"/>
    </row>
    <row r="14" spans="1:13">
      <c r="A14" s="9"/>
      <c r="B14" s="9" t="s">
        <v>116</v>
      </c>
      <c r="C14" s="9"/>
      <c r="D14" s="9"/>
      <c r="E14" s="9"/>
      <c r="F14" s="16">
        <f>F12-F10</f>
        <v>-2152814.4800000004</v>
      </c>
      <c r="G14" s="1"/>
    </row>
    <row r="15" spans="1:13">
      <c r="A15" s="9"/>
      <c r="B15" s="9"/>
      <c r="C15" s="9"/>
      <c r="D15" s="9"/>
      <c r="E15" s="9"/>
      <c r="F15" s="9"/>
      <c r="G15" s="8"/>
      <c r="H15" s="10"/>
      <c r="I15" s="10"/>
      <c r="J15" s="10"/>
      <c r="K15" s="10"/>
      <c r="L15" s="10"/>
      <c r="M15" s="10"/>
    </row>
    <row r="16" spans="1:13">
      <c r="A16" s="9"/>
      <c r="B16" s="9" t="s">
        <v>117</v>
      </c>
      <c r="C16" s="9"/>
      <c r="D16" s="9"/>
      <c r="E16" s="9"/>
      <c r="F16" s="71">
        <v>1.9879999999999998E-2</v>
      </c>
      <c r="G16" s="9"/>
      <c r="H16" s="10"/>
      <c r="I16" s="10"/>
      <c r="J16" s="10"/>
      <c r="K16" s="10"/>
      <c r="L16" s="10"/>
      <c r="M16" s="10"/>
    </row>
    <row r="17" spans="1:7">
      <c r="A17" s="8"/>
      <c r="B17" s="9"/>
      <c r="C17" s="9"/>
      <c r="D17" s="9"/>
      <c r="E17" s="9"/>
      <c r="F17" s="16"/>
      <c r="G17" s="1"/>
    </row>
    <row r="18" spans="1:7">
      <c r="A18" s="9"/>
      <c r="B18" s="9" t="s">
        <v>118</v>
      </c>
      <c r="C18" s="9"/>
      <c r="D18" s="9"/>
      <c r="E18" s="9"/>
      <c r="F18" s="16">
        <f>F14*F16</f>
        <v>-42797.951862400005</v>
      </c>
      <c r="G18" s="1"/>
    </row>
    <row r="19" spans="1:7">
      <c r="A19" s="9"/>
      <c r="B19" s="9"/>
      <c r="C19" s="9"/>
      <c r="D19" s="9"/>
      <c r="E19" s="9"/>
      <c r="F19" s="9"/>
      <c r="G19" s="1"/>
    </row>
    <row r="20" spans="1:7">
      <c r="A20" s="9"/>
      <c r="B20" s="9" t="s">
        <v>120</v>
      </c>
      <c r="C20" s="9"/>
      <c r="D20" s="9"/>
      <c r="E20" s="9"/>
      <c r="F20" s="72">
        <v>2</v>
      </c>
      <c r="G20" s="1"/>
    </row>
    <row r="21" spans="1:7">
      <c r="A21" s="9"/>
      <c r="B21" s="9"/>
      <c r="C21" s="9"/>
      <c r="D21" s="9"/>
      <c r="E21" s="9"/>
      <c r="F21" s="9"/>
      <c r="G21" s="1"/>
    </row>
    <row r="22" spans="1:7" ht="13" thickBot="1">
      <c r="A22" s="1"/>
      <c r="B22" s="1" t="s">
        <v>119</v>
      </c>
      <c r="C22" s="1"/>
      <c r="D22" s="1"/>
      <c r="E22" s="1"/>
      <c r="F22" s="73">
        <f>F18*F20</f>
        <v>-85595.90372480001</v>
      </c>
      <c r="G22" s="1"/>
    </row>
    <row r="23" spans="1:7" ht="13" thickTop="1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10" sqref="E10"/>
    </sheetView>
  </sheetViews>
  <sheetFormatPr defaultRowHeight="12.5"/>
  <cols>
    <col min="1" max="6" width="10.7265625" customWidth="1"/>
    <col min="7" max="7" width="17.54296875" customWidth="1"/>
    <col min="8" max="8" width="10.7265625" customWidth="1"/>
    <col min="9" max="9" width="11.7265625" customWidth="1"/>
  </cols>
  <sheetData>
    <row r="1" spans="1:16" ht="13">
      <c r="A1" s="116" t="s">
        <v>7</v>
      </c>
      <c r="B1" s="116"/>
      <c r="C1" s="116"/>
      <c r="D1" s="116"/>
      <c r="E1" s="116"/>
      <c r="F1" s="116"/>
      <c r="G1" s="116"/>
      <c r="H1" s="116"/>
      <c r="I1" s="116"/>
    </row>
    <row r="2" spans="1:16" ht="13">
      <c r="A2" s="116" t="s">
        <v>84</v>
      </c>
      <c r="B2" s="116"/>
      <c r="C2" s="116"/>
      <c r="D2" s="116"/>
      <c r="E2" s="116"/>
      <c r="F2" s="116"/>
      <c r="G2" s="116"/>
      <c r="H2" s="116"/>
      <c r="I2" s="116"/>
    </row>
    <row r="3" spans="1:16" ht="13">
      <c r="A3" s="116" t="s">
        <v>8</v>
      </c>
      <c r="B3" s="116"/>
      <c r="C3" s="116"/>
      <c r="D3" s="116"/>
      <c r="E3" s="116"/>
      <c r="F3" s="116"/>
      <c r="G3" s="116"/>
      <c r="H3" s="116"/>
      <c r="I3" s="116"/>
    </row>
    <row r="4" spans="1:16" ht="13">
      <c r="A4" s="116" t="s">
        <v>5</v>
      </c>
      <c r="B4" s="116"/>
      <c r="C4" s="116"/>
      <c r="D4" s="116"/>
      <c r="E4" s="116"/>
      <c r="F4" s="116"/>
      <c r="G4" s="116"/>
      <c r="H4" s="116"/>
      <c r="I4" s="116"/>
    </row>
    <row r="5" spans="1:16">
      <c r="A5" s="10"/>
      <c r="B5" s="10"/>
      <c r="C5" s="10"/>
      <c r="D5" s="10"/>
      <c r="E5" s="10"/>
      <c r="F5" s="10"/>
      <c r="G5" s="10"/>
      <c r="H5" s="10"/>
      <c r="I5" s="10"/>
    </row>
    <row r="6" spans="1:16">
      <c r="A6" s="10"/>
      <c r="B6" s="10"/>
      <c r="C6" s="10"/>
      <c r="D6" s="10"/>
      <c r="E6" s="10"/>
      <c r="F6" s="10"/>
      <c r="G6" s="10"/>
      <c r="H6" s="10"/>
      <c r="I6" s="10"/>
    </row>
    <row r="7" spans="1:16">
      <c r="A7" s="15" t="s">
        <v>67</v>
      </c>
      <c r="B7" s="15"/>
      <c r="C7" s="15"/>
      <c r="D7" s="15"/>
      <c r="E7" s="15" t="s">
        <v>83</v>
      </c>
      <c r="F7" s="10"/>
      <c r="G7" s="10"/>
      <c r="H7" s="6"/>
      <c r="I7" s="6"/>
    </row>
    <row r="8" spans="1:16">
      <c r="A8" s="12"/>
      <c r="B8" s="12"/>
      <c r="C8" s="12"/>
      <c r="D8" s="12"/>
      <c r="E8" s="10"/>
      <c r="F8" s="10"/>
      <c r="G8" s="10"/>
      <c r="H8" s="6"/>
      <c r="I8" s="6"/>
    </row>
    <row r="9" spans="1:16">
      <c r="A9" s="51" t="s">
        <v>85</v>
      </c>
      <c r="B9" s="51"/>
      <c r="C9" s="51"/>
      <c r="D9" s="51"/>
      <c r="E9" s="9"/>
      <c r="F9" s="9"/>
      <c r="G9" s="9"/>
      <c r="H9" s="7"/>
      <c r="I9" s="7"/>
      <c r="J9" s="1"/>
    </row>
    <row r="10" spans="1:16">
      <c r="A10" s="51" t="s">
        <v>86</v>
      </c>
      <c r="B10" s="51"/>
      <c r="C10" s="51"/>
      <c r="D10" s="51"/>
      <c r="E10" s="11">
        <v>12650.06</v>
      </c>
      <c r="F10" s="9"/>
      <c r="G10" s="9"/>
      <c r="H10" s="7"/>
      <c r="I10" s="7"/>
      <c r="J10" s="1"/>
    </row>
    <row r="11" spans="1:16">
      <c r="A11" s="51" t="s">
        <v>87</v>
      </c>
      <c r="B11" s="51"/>
      <c r="C11" s="51"/>
      <c r="D11" s="51"/>
      <c r="E11" s="11">
        <v>13866.25</v>
      </c>
      <c r="F11" s="9"/>
      <c r="G11" s="9"/>
      <c r="H11" s="9"/>
      <c r="I11" s="9"/>
      <c r="J11" s="1"/>
    </row>
    <row r="12" spans="1:16">
      <c r="A12" s="51" t="s">
        <v>88</v>
      </c>
      <c r="B12" s="51"/>
      <c r="C12" s="51"/>
      <c r="D12" s="51"/>
      <c r="E12" s="11">
        <v>11250.02</v>
      </c>
      <c r="F12" s="9"/>
      <c r="G12" s="9"/>
      <c r="H12" s="11"/>
      <c r="I12" s="11"/>
      <c r="J12" s="1"/>
    </row>
    <row r="13" spans="1:16">
      <c r="A13" s="51" t="s">
        <v>89</v>
      </c>
      <c r="B13" s="51"/>
      <c r="C13" s="51"/>
      <c r="D13" s="51"/>
      <c r="E13" s="11">
        <v>9134.8700000000008</v>
      </c>
      <c r="F13" s="9"/>
      <c r="G13" s="9"/>
      <c r="H13" s="9"/>
      <c r="I13" s="9"/>
      <c r="J13" s="1"/>
    </row>
    <row r="14" spans="1:16">
      <c r="A14" s="51" t="s">
        <v>90</v>
      </c>
      <c r="B14" s="51"/>
      <c r="C14" s="51"/>
      <c r="D14" s="51"/>
      <c r="E14" s="11">
        <v>8406.43</v>
      </c>
      <c r="F14" s="9"/>
      <c r="G14" s="9"/>
      <c r="H14" s="9"/>
      <c r="I14" s="9"/>
      <c r="J14" s="1"/>
    </row>
    <row r="15" spans="1:16">
      <c r="A15" s="51" t="s">
        <v>91</v>
      </c>
      <c r="B15" s="51"/>
      <c r="C15" s="51"/>
      <c r="D15" s="51"/>
      <c r="E15" s="11">
        <v>8775.2000000000007</v>
      </c>
      <c r="F15" s="9"/>
      <c r="G15" s="9"/>
      <c r="H15" s="9"/>
      <c r="I15" s="9"/>
      <c r="J15" s="8"/>
      <c r="K15" s="10"/>
      <c r="L15" s="10"/>
      <c r="M15" s="10"/>
      <c r="N15" s="10"/>
      <c r="O15" s="10"/>
      <c r="P15" s="10"/>
    </row>
    <row r="16" spans="1:16">
      <c r="A16" s="51" t="s">
        <v>92</v>
      </c>
      <c r="B16" s="51"/>
      <c r="C16" s="51"/>
      <c r="D16" s="51"/>
      <c r="E16" s="11">
        <v>8134.43</v>
      </c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0">
      <c r="A17" s="51" t="s">
        <v>93</v>
      </c>
      <c r="B17" s="51"/>
      <c r="C17" s="51"/>
      <c r="D17" s="51"/>
      <c r="E17" s="11">
        <v>8410.19</v>
      </c>
      <c r="F17" s="9"/>
      <c r="G17" s="9"/>
      <c r="H17" s="9"/>
      <c r="I17" s="16"/>
      <c r="J17" s="1"/>
    </row>
    <row r="18" spans="1:10">
      <c r="A18" s="51" t="s">
        <v>94</v>
      </c>
      <c r="B18" s="51"/>
      <c r="C18" s="51"/>
      <c r="D18" s="51"/>
      <c r="E18" s="11">
        <v>8750.98</v>
      </c>
      <c r="F18" s="9"/>
      <c r="G18" s="9"/>
      <c r="H18" s="9"/>
      <c r="I18" s="9"/>
      <c r="J18" s="1"/>
    </row>
    <row r="19" spans="1:10">
      <c r="A19" s="51" t="s">
        <v>95</v>
      </c>
      <c r="B19" s="51"/>
      <c r="C19" s="51"/>
      <c r="D19" s="51"/>
      <c r="E19" s="11">
        <v>8369.7900000000009</v>
      </c>
      <c r="F19" s="9"/>
      <c r="G19" s="9"/>
      <c r="H19" s="9"/>
      <c r="I19" s="9"/>
      <c r="J19" s="1"/>
    </row>
    <row r="20" spans="1:10">
      <c r="A20" s="51" t="s">
        <v>96</v>
      </c>
      <c r="B20" s="51"/>
      <c r="C20" s="51"/>
      <c r="D20" s="51"/>
      <c r="E20" s="11">
        <v>12873.82</v>
      </c>
      <c r="F20" s="1"/>
      <c r="G20" s="1"/>
      <c r="H20" s="1"/>
      <c r="I20" s="1"/>
      <c r="J20" s="1"/>
    </row>
    <row r="21" spans="1:10">
      <c r="A21" s="51" t="s">
        <v>97</v>
      </c>
      <c r="B21" s="51"/>
      <c r="C21" s="51"/>
      <c r="D21" s="51"/>
      <c r="E21" s="54">
        <v>13187.7</v>
      </c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53"/>
      <c r="F22" s="1"/>
      <c r="G22" s="1"/>
      <c r="H22" s="1"/>
      <c r="I22" s="1"/>
      <c r="J22" s="1"/>
    </row>
    <row r="23" spans="1:10" ht="13" thickBot="1">
      <c r="A23" s="51" t="s">
        <v>98</v>
      </c>
      <c r="B23" s="52"/>
      <c r="C23" s="52"/>
      <c r="D23" s="52"/>
      <c r="E23" s="55">
        <f>SUM(E10:E22)</f>
        <v>123809.74</v>
      </c>
      <c r="F23" s="1"/>
      <c r="G23" s="1"/>
      <c r="H23" s="1"/>
      <c r="I23" s="1"/>
      <c r="J23" s="1"/>
    </row>
    <row r="24" spans="1:10" ht="13" thickTop="1">
      <c r="A24" s="1"/>
      <c r="B24" s="1"/>
      <c r="C24" s="1"/>
      <c r="D24" s="1"/>
      <c r="E24" s="53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B9" sqref="B9"/>
    </sheetView>
  </sheetViews>
  <sheetFormatPr defaultRowHeight="12.5"/>
  <cols>
    <col min="1" max="1" width="13.1796875" customWidth="1"/>
    <col min="2" max="2" width="13" customWidth="1"/>
    <col min="3" max="3" width="12.453125" customWidth="1"/>
    <col min="4" max="4" width="17.54296875" customWidth="1"/>
    <col min="5" max="5" width="13.26953125" customWidth="1"/>
    <col min="6" max="6" width="14.453125" customWidth="1"/>
  </cols>
  <sheetData>
    <row r="1" spans="1:7" ht="13">
      <c r="A1" s="116" t="s">
        <v>7</v>
      </c>
      <c r="B1" s="116"/>
      <c r="C1" s="116"/>
      <c r="D1" s="116"/>
      <c r="E1" s="116"/>
      <c r="F1" s="116"/>
    </row>
    <row r="2" spans="1:7" ht="13">
      <c r="A2" s="116" t="s">
        <v>140</v>
      </c>
      <c r="B2" s="116"/>
      <c r="C2" s="116"/>
      <c r="D2" s="116"/>
      <c r="E2" s="116"/>
      <c r="F2" s="116"/>
    </row>
    <row r="3" spans="1:7" ht="13">
      <c r="A3" s="116" t="s">
        <v>8</v>
      </c>
      <c r="B3" s="116"/>
      <c r="C3" s="116"/>
      <c r="D3" s="116"/>
      <c r="E3" s="116"/>
      <c r="F3" s="116"/>
    </row>
    <row r="4" spans="1:7" ht="13">
      <c r="A4" s="116" t="s">
        <v>5</v>
      </c>
      <c r="B4" s="116"/>
      <c r="C4" s="116"/>
      <c r="D4" s="116"/>
      <c r="E4" s="116"/>
      <c r="F4" s="116"/>
    </row>
    <row r="5" spans="1:7">
      <c r="A5" s="10"/>
      <c r="B5" s="10"/>
      <c r="C5" s="10"/>
      <c r="D5" s="10"/>
      <c r="E5" s="10"/>
      <c r="F5" s="10"/>
    </row>
    <row r="6" spans="1:7">
      <c r="A6" s="10"/>
      <c r="B6" s="10"/>
      <c r="C6" s="10"/>
      <c r="D6" s="10"/>
      <c r="E6" s="10"/>
      <c r="F6" s="10"/>
    </row>
    <row r="7" spans="1:7">
      <c r="A7" s="15" t="s">
        <v>141</v>
      </c>
      <c r="B7" s="10" t="s">
        <v>146</v>
      </c>
      <c r="C7" s="10"/>
      <c r="D7" s="10"/>
      <c r="E7" s="6"/>
      <c r="F7" s="6"/>
    </row>
    <row r="8" spans="1:7">
      <c r="A8" s="12"/>
      <c r="B8" s="10"/>
      <c r="C8" s="10"/>
      <c r="D8" s="10"/>
      <c r="E8" s="82"/>
      <c r="F8" s="82"/>
    </row>
    <row r="9" spans="1:7">
      <c r="A9" t="s">
        <v>142</v>
      </c>
      <c r="B9" s="51"/>
      <c r="C9" s="9"/>
      <c r="D9" s="9"/>
      <c r="E9" s="80"/>
      <c r="F9" s="70">
        <v>43692</v>
      </c>
      <c r="G9" s="81"/>
    </row>
    <row r="10" spans="1:7">
      <c r="B10" s="51" t="s">
        <v>148</v>
      </c>
      <c r="C10" s="9"/>
      <c r="D10" s="9"/>
      <c r="E10" s="80"/>
      <c r="F10" s="70"/>
      <c r="G10" s="81"/>
    </row>
    <row r="11" spans="1:7">
      <c r="A11" s="51"/>
      <c r="B11" s="51" t="s">
        <v>143</v>
      </c>
      <c r="C11" s="9"/>
      <c r="D11" s="9"/>
      <c r="E11" s="80"/>
      <c r="F11" s="70"/>
      <c r="G11" s="81"/>
    </row>
    <row r="12" spans="1:7">
      <c r="A12" s="9"/>
      <c r="B12" s="9"/>
      <c r="C12" s="9"/>
      <c r="D12" s="9"/>
      <c r="E12" s="9"/>
      <c r="F12" s="11"/>
      <c r="G12" s="1"/>
    </row>
    <row r="13" spans="1:7">
      <c r="A13" t="s">
        <v>147</v>
      </c>
      <c r="E13" s="83"/>
      <c r="F13" s="53">
        <v>25760</v>
      </c>
    </row>
    <row r="14" spans="1:7">
      <c r="B14" t="s">
        <v>144</v>
      </c>
      <c r="F14" s="85"/>
    </row>
    <row r="15" spans="1:7">
      <c r="F15" s="84"/>
    </row>
    <row r="16" spans="1:7" ht="13" thickBot="1">
      <c r="A16" t="s">
        <v>145</v>
      </c>
      <c r="F16" s="55">
        <f>F13-F9</f>
        <v>-17932</v>
      </c>
    </row>
    <row r="17" spans="6:6" ht="13" thickTop="1">
      <c r="F17" s="84"/>
    </row>
    <row r="18" spans="6:6">
      <c r="F18" s="84"/>
    </row>
    <row r="19" spans="6:6">
      <c r="F19" s="84"/>
    </row>
    <row r="20" spans="6:6">
      <c r="F20" s="84"/>
    </row>
    <row r="21" spans="6:6">
      <c r="F21" s="84"/>
    </row>
    <row r="22" spans="6:6">
      <c r="F22" s="84"/>
    </row>
    <row r="23" spans="6:6">
      <c r="F23" s="84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E19" sqref="E19"/>
    </sheetView>
  </sheetViews>
  <sheetFormatPr defaultRowHeight="12.5"/>
  <cols>
    <col min="1" max="1" width="10.7265625" customWidth="1"/>
    <col min="2" max="2" width="15.54296875" customWidth="1"/>
    <col min="3" max="3" width="10.7265625" customWidth="1"/>
    <col min="4" max="5" width="17.54296875" customWidth="1"/>
    <col min="6" max="6" width="10.7265625" customWidth="1"/>
    <col min="7" max="7" width="12.54296875" customWidth="1"/>
  </cols>
  <sheetData>
    <row r="1" spans="1:14" ht="13">
      <c r="A1" s="116" t="s">
        <v>7</v>
      </c>
      <c r="B1" s="116"/>
      <c r="C1" s="116"/>
      <c r="D1" s="116"/>
      <c r="E1" s="116"/>
      <c r="F1" s="116"/>
      <c r="G1" s="116"/>
    </row>
    <row r="2" spans="1:14" ht="13">
      <c r="A2" s="116" t="s">
        <v>151</v>
      </c>
      <c r="B2" s="116"/>
      <c r="C2" s="116"/>
      <c r="D2" s="116"/>
      <c r="E2" s="116"/>
      <c r="F2" s="116"/>
      <c r="G2" s="116"/>
    </row>
    <row r="3" spans="1:14" ht="13">
      <c r="A3" s="116" t="s">
        <v>8</v>
      </c>
      <c r="B3" s="116"/>
      <c r="C3" s="116"/>
      <c r="D3" s="116"/>
      <c r="E3" s="116"/>
      <c r="F3" s="116"/>
      <c r="G3" s="116"/>
    </row>
    <row r="4" spans="1:14" ht="13">
      <c r="A4" s="116" t="s">
        <v>5</v>
      </c>
      <c r="B4" s="116"/>
      <c r="C4" s="116"/>
      <c r="D4" s="116"/>
      <c r="E4" s="116"/>
      <c r="F4" s="116"/>
      <c r="G4" s="116"/>
    </row>
    <row r="5" spans="1:14">
      <c r="A5" s="10"/>
      <c r="B5" s="10"/>
      <c r="C5" s="10"/>
      <c r="D5" s="10"/>
      <c r="E5" s="10"/>
      <c r="F5" s="10"/>
      <c r="G5" s="10"/>
    </row>
    <row r="6" spans="1:14">
      <c r="A6" s="10"/>
      <c r="B6" s="10"/>
      <c r="C6" s="10"/>
      <c r="D6" s="10"/>
      <c r="E6" s="10"/>
      <c r="F6" s="10"/>
      <c r="G6" s="10"/>
    </row>
    <row r="7" spans="1:14">
      <c r="A7" s="15" t="s">
        <v>67</v>
      </c>
      <c r="B7" s="10" t="s">
        <v>156</v>
      </c>
      <c r="C7" s="10"/>
      <c r="D7" s="10"/>
      <c r="E7" s="10"/>
      <c r="F7" s="6"/>
      <c r="G7" s="6"/>
    </row>
    <row r="8" spans="1:14">
      <c r="A8" s="12"/>
      <c r="B8" s="10"/>
      <c r="C8" s="10"/>
      <c r="D8" s="10"/>
      <c r="E8" s="10"/>
      <c r="F8" s="6"/>
      <c r="G8" s="6"/>
    </row>
    <row r="9" spans="1:14">
      <c r="A9" s="8"/>
      <c r="B9" s="9" t="s">
        <v>154</v>
      </c>
      <c r="C9" s="9"/>
      <c r="D9" s="11"/>
      <c r="E9" s="11"/>
      <c r="F9" s="70"/>
      <c r="G9" s="70">
        <v>535753</v>
      </c>
      <c r="H9" s="1"/>
    </row>
    <row r="10" spans="1:14">
      <c r="A10" s="9"/>
      <c r="B10" s="9"/>
      <c r="C10" s="9"/>
      <c r="D10" s="11"/>
      <c r="E10" s="11"/>
      <c r="F10" s="70"/>
      <c r="G10" s="70"/>
      <c r="H10" s="1"/>
    </row>
    <row r="11" spans="1:14">
      <c r="A11" s="9"/>
      <c r="B11" s="9" t="s">
        <v>152</v>
      </c>
      <c r="C11" s="9"/>
      <c r="D11" s="11"/>
      <c r="E11" s="11"/>
      <c r="F11" s="11"/>
      <c r="G11" s="11">
        <f>358*10760</f>
        <v>3852080</v>
      </c>
      <c r="H11" s="1"/>
    </row>
    <row r="12" spans="1:14">
      <c r="A12" s="8"/>
      <c r="B12" s="9"/>
      <c r="C12" s="9"/>
      <c r="D12" s="11"/>
      <c r="E12" s="11"/>
      <c r="F12" s="11"/>
      <c r="G12" s="11"/>
      <c r="H12" s="1"/>
    </row>
    <row r="13" spans="1:14">
      <c r="A13" s="9"/>
      <c r="B13" s="9"/>
      <c r="C13" s="9"/>
      <c r="D13" s="11"/>
      <c r="E13" s="11"/>
      <c r="F13" s="11"/>
      <c r="G13" s="11"/>
      <c r="H13" s="1"/>
    </row>
    <row r="14" spans="1:14">
      <c r="A14" s="9"/>
      <c r="B14" s="9" t="s">
        <v>164</v>
      </c>
      <c r="C14" s="9"/>
      <c r="D14" s="11"/>
      <c r="E14" s="11"/>
      <c r="F14" s="11"/>
      <c r="G14" s="54">
        <f>358*5665</f>
        <v>2028070</v>
      </c>
      <c r="H14" s="9"/>
    </row>
    <row r="15" spans="1:14">
      <c r="A15" s="9"/>
      <c r="B15" s="9"/>
      <c r="C15" s="9"/>
      <c r="D15" s="11"/>
      <c r="E15" s="11"/>
      <c r="F15" s="11"/>
      <c r="G15" s="11"/>
      <c r="H15" s="8"/>
      <c r="I15" s="10"/>
      <c r="J15" s="10"/>
      <c r="K15" s="10"/>
      <c r="L15" s="10"/>
      <c r="M15" s="10"/>
      <c r="N15" s="10"/>
    </row>
    <row r="16" spans="1:14" ht="13" thickBot="1">
      <c r="A16" s="9"/>
      <c r="B16" s="9" t="s">
        <v>153</v>
      </c>
      <c r="C16" s="9"/>
      <c r="D16" s="11"/>
      <c r="E16" s="11"/>
      <c r="F16" s="11"/>
      <c r="G16" s="89">
        <f>G14-G11</f>
        <v>-1824010</v>
      </c>
      <c r="H16" s="9"/>
      <c r="I16" s="10"/>
      <c r="J16" s="10"/>
      <c r="K16" s="10"/>
      <c r="L16" s="10"/>
      <c r="M16" s="10"/>
      <c r="N16" s="10"/>
    </row>
    <row r="17" spans="1:8" ht="13" thickTop="1">
      <c r="A17" s="8"/>
      <c r="B17" s="9"/>
      <c r="C17" s="9"/>
      <c r="D17" s="11"/>
      <c r="E17" s="11"/>
      <c r="F17" s="11"/>
      <c r="G17" s="11"/>
      <c r="H17" s="1"/>
    </row>
    <row r="18" spans="1:8">
      <c r="A18" s="9"/>
      <c r="B18" s="9"/>
      <c r="C18" s="9"/>
      <c r="D18" s="11"/>
      <c r="E18" s="11"/>
      <c r="F18" s="11"/>
      <c r="G18" s="11"/>
      <c r="H18" s="1"/>
    </row>
    <row r="19" spans="1:8">
      <c r="A19" s="9"/>
      <c r="B19" s="9"/>
      <c r="C19" s="9"/>
      <c r="D19" s="11"/>
      <c r="E19" s="11"/>
      <c r="F19" s="11"/>
      <c r="G19" s="11"/>
      <c r="H19" s="1"/>
    </row>
    <row r="20" spans="1:8">
      <c r="A20" s="1"/>
      <c r="B20" s="1"/>
      <c r="C20" s="1"/>
      <c r="D20" s="53"/>
      <c r="E20" s="53"/>
      <c r="F20" s="53"/>
      <c r="G20" s="53"/>
      <c r="H20" s="1"/>
    </row>
    <row r="21" spans="1:8">
      <c r="A21" s="1"/>
      <c r="B21" s="1" t="s">
        <v>162</v>
      </c>
      <c r="C21" s="1"/>
      <c r="D21" s="53"/>
      <c r="E21" s="53"/>
      <c r="F21" s="53"/>
      <c r="G21" s="53"/>
      <c r="H21" s="1"/>
    </row>
    <row r="22" spans="1:8">
      <c r="A22" s="1"/>
      <c r="C22" s="1"/>
      <c r="D22" s="92" t="s">
        <v>158</v>
      </c>
      <c r="E22" s="92" t="s">
        <v>159</v>
      </c>
      <c r="F22" s="53"/>
      <c r="G22" s="92" t="s">
        <v>160</v>
      </c>
      <c r="H22" s="1"/>
    </row>
    <row r="23" spans="1:8">
      <c r="A23" s="1"/>
      <c r="B23" s="1" t="s">
        <v>157</v>
      </c>
      <c r="C23" s="1"/>
      <c r="D23" s="81">
        <f>39.51+65.54</f>
        <v>105.05000000000001</v>
      </c>
      <c r="E23" s="53">
        <f>626674.41</f>
        <v>626674.41</v>
      </c>
      <c r="F23" s="53"/>
      <c r="G23" s="53">
        <f>E23/D23</f>
        <v>5965.487006187529</v>
      </c>
      <c r="H23" s="1"/>
    </row>
    <row r="24" spans="1:8">
      <c r="A24" s="1"/>
      <c r="B24" s="1" t="s">
        <v>161</v>
      </c>
      <c r="C24" s="1"/>
      <c r="D24" s="90">
        <f>10.15+36.88+15.24+45.36</f>
        <v>107.63</v>
      </c>
      <c r="E24" s="85">
        <v>578056</v>
      </c>
      <c r="F24" s="53"/>
      <c r="G24" s="85">
        <f>E24/D24</f>
        <v>5370.7702313481377</v>
      </c>
      <c r="H24" s="1"/>
    </row>
    <row r="25" spans="1:8">
      <c r="A25" s="1"/>
      <c r="B25" s="1"/>
      <c r="C25" s="1"/>
      <c r="D25" s="53"/>
      <c r="E25" s="53"/>
      <c r="F25" s="53"/>
      <c r="G25" s="53"/>
      <c r="H25" s="1"/>
    </row>
    <row r="26" spans="1:8" ht="13" thickBot="1">
      <c r="A26" s="1"/>
      <c r="B26" s="9" t="s">
        <v>163</v>
      </c>
      <c r="C26" s="1"/>
      <c r="D26" s="91">
        <f>SUM(D23:D25)</f>
        <v>212.68</v>
      </c>
      <c r="E26" s="55">
        <f>SUM(E23:E25)</f>
        <v>1204730.4100000001</v>
      </c>
      <c r="F26" s="53"/>
      <c r="G26" s="55">
        <f>E26/D26</f>
        <v>5664.5213936430328</v>
      </c>
      <c r="H26" s="1"/>
    </row>
    <row r="27" spans="1:8" ht="13" thickTop="1">
      <c r="A27" s="1"/>
      <c r="B27" s="1"/>
      <c r="C27" s="1"/>
      <c r="D27" s="53"/>
      <c r="E27" s="53"/>
      <c r="F27" s="53"/>
      <c r="G27" s="53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mergeCells count="4">
    <mergeCell ref="A1:G1"/>
    <mergeCell ref="A2:G2"/>
    <mergeCell ref="A3:G3"/>
    <mergeCell ref="A4:G4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Revenue Requirement</vt:lpstr>
      <vt:lpstr>RevReq-Orig Comp Presentation</vt:lpstr>
      <vt:lpstr>RevReq-AG 1-26 Update</vt:lpstr>
      <vt:lpstr>RevReq-Staff 3-7 Update</vt:lpstr>
      <vt:lpstr>Payroll Expense</vt:lpstr>
      <vt:lpstr>LTD Int - Other than HQ Bldg</vt:lpstr>
      <vt:lpstr>Utilities Expense</vt:lpstr>
      <vt:lpstr>Depr Exp Old HQ</vt:lpstr>
      <vt:lpstr>ROW Maint</vt:lpstr>
      <vt:lpstr>'Revenue Requirement'!Print_Area</vt:lpstr>
      <vt:lpstr>'RevReq-AG 1-26 Update'!Print_Area</vt:lpstr>
      <vt:lpstr>'RevReq-Orig Comp Presentation'!Print_Area</vt:lpstr>
      <vt:lpstr>'RevReq-Staff 3-7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michael.west</cp:lastModifiedBy>
  <cp:lastPrinted>2022-01-06T13:21:09Z</cp:lastPrinted>
  <dcterms:created xsi:type="dcterms:W3CDTF">2007-02-19T14:00:53Z</dcterms:created>
  <dcterms:modified xsi:type="dcterms:W3CDTF">2022-01-10T14:14:52Z</dcterms:modified>
</cp:coreProperties>
</file>