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JPEC\Rate Case 2021-00358\COSS &amp; Rates\"/>
    </mc:Choice>
  </mc:AlternateContent>
  <xr:revisionPtr revIDLastSave="0" documentId="13_ncr:1_{BA54C777-F615-43B2-83F4-B6B66B9F1655}" xr6:coauthVersionLast="47" xr6:coauthVersionMax="47" xr10:uidLastSave="{00000000-0000-0000-0000-000000000000}"/>
  <bookViews>
    <workbookView xWindow="-108" yWindow="-108" windowWidth="23256" windowHeight="12576" tabRatio="741" xr2:uid="{00000000-000D-0000-FFFF-FFFF00000000}"/>
  </bookViews>
  <sheets>
    <sheet name="Present and Proposed Rates" sheetId="61" r:id="rId1"/>
    <sheet name="R" sheetId="60" r:id="rId2"/>
    <sheet name="C-1" sheetId="65" r:id="rId3"/>
    <sheet name="C-3" sheetId="66" r:id="rId4"/>
    <sheet name="D" sheetId="67" r:id="rId5"/>
    <sheet name="D Direct" sheetId="68" r:id="rId6"/>
    <sheet name="I-E" sheetId="75" r:id="rId7"/>
    <sheet name="Lighting" sheetId="43" r:id="rId8"/>
    <sheet name="Incr-R" sheetId="79" r:id="rId9"/>
    <sheet name="List" sheetId="73" r:id="rId10"/>
    <sheet name="Notice Tables" sheetId="70" r:id="rId11"/>
    <sheet name="Summary" sheetId="13" r:id="rId12"/>
    <sheet name="Billing Determ" sheetId="74" r:id="rId13"/>
  </sheets>
  <definedNames>
    <definedName name="_xlnm.Print_Area" localSheetId="2">'C-1'!$A$1:$R$32</definedName>
    <definedName name="_xlnm.Print_Area" localSheetId="3">'C-3'!$A$1:$S$32</definedName>
    <definedName name="_xlnm.Print_Area" localSheetId="4">D!$A$1:$S$40</definedName>
    <definedName name="_xlnm.Print_Area" localSheetId="5">'D Direct'!$A$1:$S$42</definedName>
    <definedName name="_xlnm.Print_Area" localSheetId="6">'I-E'!$A$1:$S$37</definedName>
    <definedName name="_xlnm.Print_Area" localSheetId="8">'Incr-R'!$A$1:$K$39</definedName>
    <definedName name="_xlnm.Print_Area" localSheetId="7">Lighting!$A$1:$R$22</definedName>
    <definedName name="_xlnm.Print_Area" localSheetId="0">'Present and Proposed Rates'!$A$1:$Q$50</definedName>
    <definedName name="_xlnm.Print_Area" localSheetId="1">'R'!$A$1:$S$29</definedName>
    <definedName name="_xlnm.Print_Area" localSheetId="11">Summary!$A$1:$K$16</definedName>
    <definedName name="_xlnm.Print_Titles" localSheetId="8">'Incr-R'!$1:$1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3" l="1"/>
  <c r="A2" i="43"/>
  <c r="U27" i="61" l="1"/>
  <c r="T27" i="61"/>
  <c r="U26" i="61"/>
  <c r="U25" i="61"/>
  <c r="T25" i="61"/>
  <c r="T26" i="61"/>
  <c r="P54" i="61"/>
  <c r="H32" i="70"/>
  <c r="J32" i="70"/>
  <c r="K32" i="70"/>
  <c r="E44" i="70"/>
  <c r="E45" i="70"/>
  <c r="E46" i="70"/>
  <c r="E47" i="70"/>
  <c r="E48" i="70"/>
  <c r="E43" i="70"/>
  <c r="E42" i="70"/>
  <c r="E41" i="70"/>
  <c r="E40" i="70"/>
  <c r="E38" i="70"/>
  <c r="E25" i="70"/>
  <c r="E24" i="70"/>
  <c r="E23" i="70"/>
  <c r="E27" i="70"/>
  <c r="E28" i="70"/>
  <c r="E29" i="70"/>
  <c r="E30" i="70"/>
  <c r="E31" i="70"/>
  <c r="E32" i="70"/>
  <c r="E33" i="70"/>
  <c r="E34" i="70"/>
  <c r="E35" i="70"/>
  <c r="E36" i="70"/>
  <c r="E37" i="70"/>
  <c r="E26" i="70"/>
  <c r="B26" i="70"/>
  <c r="J34" i="61"/>
  <c r="H34" i="61"/>
  <c r="E20" i="70" s="1"/>
  <c r="H33" i="61"/>
  <c r="E19" i="70" s="1"/>
  <c r="H19" i="61"/>
  <c r="D20" i="70"/>
  <c r="D21" i="70"/>
  <c r="E21" i="70"/>
  <c r="D22" i="70"/>
  <c r="E22" i="70"/>
  <c r="D19" i="70"/>
  <c r="C20" i="70"/>
  <c r="C21" i="70"/>
  <c r="C22" i="70"/>
  <c r="C19" i="70"/>
  <c r="B19" i="70"/>
  <c r="I31" i="70"/>
  <c r="H31" i="70"/>
  <c r="H15" i="70"/>
  <c r="I30" i="70"/>
  <c r="I29" i="70"/>
  <c r="I28" i="70"/>
  <c r="I27" i="70"/>
  <c r="I26" i="70"/>
  <c r="J16" i="70"/>
  <c r="I16" i="70"/>
  <c r="D18" i="75"/>
  <c r="D22" i="68"/>
  <c r="P22" i="68" s="1"/>
  <c r="D22" i="67"/>
  <c r="D18" i="66"/>
  <c r="D18" i="65"/>
  <c r="D16" i="60"/>
  <c r="C38" i="61"/>
  <c r="B38" i="61"/>
  <c r="AC9" i="61"/>
  <c r="AC8" i="61"/>
  <c r="AC7" i="61"/>
  <c r="AC10" i="61"/>
  <c r="D11" i="13"/>
  <c r="C11" i="13"/>
  <c r="E13" i="13"/>
  <c r="D13" i="13"/>
  <c r="C13" i="13"/>
  <c r="H10" i="61" l="1"/>
  <c r="H35" i="61"/>
  <c r="H20" i="61"/>
  <c r="H18" i="61"/>
  <c r="R15" i="61"/>
  <c r="R12" i="61"/>
  <c r="T50" i="61"/>
  <c r="H16" i="61"/>
  <c r="H13" i="61"/>
  <c r="H9" i="61"/>
  <c r="J16" i="61" l="1"/>
  <c r="J13" i="61"/>
  <c r="J10" i="61"/>
  <c r="J9" i="61"/>
  <c r="H12" i="61"/>
  <c r="J12" i="61" s="1"/>
  <c r="AB10" i="61"/>
  <c r="H15" i="61" l="1"/>
  <c r="J15" i="61" s="1"/>
  <c r="W9" i="61" l="1"/>
  <c r="AA9" i="61" s="1"/>
  <c r="AB9" i="61" s="1"/>
  <c r="W7" i="61"/>
  <c r="AA8" i="61" l="1"/>
  <c r="AB8" i="61" s="1"/>
  <c r="Y10" i="61"/>
  <c r="AA7" i="61"/>
  <c r="AB7" i="61" s="1"/>
  <c r="H27" i="61"/>
  <c r="S26" i="68" s="1"/>
  <c r="H36" i="61"/>
  <c r="H23" i="61"/>
  <c r="H22" i="61"/>
  <c r="H21" i="61"/>
  <c r="J26" i="68"/>
  <c r="G26" i="68"/>
  <c r="G27" i="61"/>
  <c r="G21" i="75"/>
  <c r="G33" i="75"/>
  <c r="P23" i="75"/>
  <c r="P22" i="75"/>
  <c r="P21" i="75"/>
  <c r="D23" i="75"/>
  <c r="D22" i="75"/>
  <c r="D21" i="75"/>
  <c r="Q49" i="74"/>
  <c r="Q44" i="74"/>
  <c r="Q43" i="74"/>
  <c r="Q42" i="74"/>
  <c r="F44" i="74"/>
  <c r="G44" i="74"/>
  <c r="H44" i="74"/>
  <c r="I44" i="74"/>
  <c r="J44" i="74"/>
  <c r="K44" i="74"/>
  <c r="L44" i="74"/>
  <c r="M44" i="74"/>
  <c r="N44" i="74"/>
  <c r="O44" i="74"/>
  <c r="P44" i="74"/>
  <c r="E44" i="74"/>
  <c r="J27" i="61" l="1"/>
  <c r="E22" i="75"/>
  <c r="E17" i="75"/>
  <c r="D21" i="68"/>
  <c r="D17" i="68" s="1"/>
  <c r="G38" i="68"/>
  <c r="G33" i="68"/>
  <c r="E33" i="68" s="1"/>
  <c r="G32" i="68"/>
  <c r="E32" i="68" s="1"/>
  <c r="G31" i="68"/>
  <c r="E31" i="68" s="1"/>
  <c r="G30" i="68"/>
  <c r="E30" i="68" s="1"/>
  <c r="D41" i="67"/>
  <c r="D12" i="68"/>
  <c r="D43" i="68" s="1"/>
  <c r="I29" i="67"/>
  <c r="I30" i="67"/>
  <c r="I31" i="67"/>
  <c r="I28" i="67"/>
  <c r="Q31" i="67"/>
  <c r="Q30" i="67"/>
  <c r="Q29" i="67"/>
  <c r="Q28" i="67"/>
  <c r="E29" i="67"/>
  <c r="E30" i="67"/>
  <c r="E31" i="67"/>
  <c r="E28" i="67"/>
  <c r="I21" i="66"/>
  <c r="I22" i="66"/>
  <c r="I23" i="66"/>
  <c r="I20" i="66"/>
  <c r="Q23" i="66"/>
  <c r="Q22" i="66"/>
  <c r="Q21" i="66"/>
  <c r="Q20" i="66"/>
  <c r="E21" i="66"/>
  <c r="E22" i="66"/>
  <c r="E23" i="66"/>
  <c r="E20" i="66"/>
  <c r="D33" i="66"/>
  <c r="D33" i="65"/>
  <c r="I21" i="65"/>
  <c r="I22" i="65"/>
  <c r="I23" i="65"/>
  <c r="I20" i="65"/>
  <c r="P23" i="65"/>
  <c r="P22" i="65"/>
  <c r="P21" i="65"/>
  <c r="P20" i="65"/>
  <c r="E21" i="65"/>
  <c r="E22" i="65"/>
  <c r="E23" i="65"/>
  <c r="E20" i="65"/>
  <c r="D30" i="60"/>
  <c r="I19" i="60"/>
  <c r="I20" i="60"/>
  <c r="I21" i="60"/>
  <c r="I18" i="60"/>
  <c r="Q21" i="60"/>
  <c r="Q20" i="60"/>
  <c r="Q19" i="60"/>
  <c r="Q18" i="60"/>
  <c r="E19" i="60"/>
  <c r="E20" i="60"/>
  <c r="E21" i="60"/>
  <c r="E18" i="60"/>
  <c r="D11" i="60"/>
  <c r="F26" i="61"/>
  <c r="E25" i="68" s="1"/>
  <c r="G25" i="68" s="1"/>
  <c r="G27" i="68" s="1"/>
  <c r="F28" i="61"/>
  <c r="E17" i="68" s="1"/>
  <c r="F29" i="61"/>
  <c r="E18" i="68" s="1"/>
  <c r="F30" i="61"/>
  <c r="E19" i="68" s="1"/>
  <c r="G19" i="68" s="1"/>
  <c r="F31" i="61"/>
  <c r="E20" i="68" s="1"/>
  <c r="G20" i="68" s="1"/>
  <c r="F25" i="61"/>
  <c r="E12" i="68" s="1"/>
  <c r="P20" i="68"/>
  <c r="P19" i="68"/>
  <c r="P122" i="74"/>
  <c r="O122" i="74"/>
  <c r="N122" i="74"/>
  <c r="M122" i="74"/>
  <c r="L122" i="74"/>
  <c r="K122" i="74"/>
  <c r="J122" i="74"/>
  <c r="I122" i="74"/>
  <c r="H122" i="74"/>
  <c r="G122" i="74"/>
  <c r="F122" i="74"/>
  <c r="E122" i="74"/>
  <c r="P110" i="74"/>
  <c r="O110" i="74"/>
  <c r="N110" i="74"/>
  <c r="M110" i="74"/>
  <c r="L110" i="74"/>
  <c r="K110" i="74"/>
  <c r="J110" i="74"/>
  <c r="I110" i="74"/>
  <c r="H110" i="74"/>
  <c r="G110" i="74"/>
  <c r="F110" i="74"/>
  <c r="E110" i="74"/>
  <c r="P98" i="74"/>
  <c r="O98" i="74"/>
  <c r="N98" i="74"/>
  <c r="M98" i="74"/>
  <c r="L98" i="74"/>
  <c r="K98" i="74"/>
  <c r="J98" i="74"/>
  <c r="I98" i="74"/>
  <c r="H98" i="74"/>
  <c r="G98" i="74"/>
  <c r="F98" i="74"/>
  <c r="E98" i="74"/>
  <c r="P86" i="74"/>
  <c r="O86" i="74"/>
  <c r="N86" i="74"/>
  <c r="M86" i="74"/>
  <c r="L86" i="74"/>
  <c r="K86" i="74"/>
  <c r="J86" i="74"/>
  <c r="I86" i="74"/>
  <c r="H86" i="74"/>
  <c r="G86" i="74"/>
  <c r="F86" i="74"/>
  <c r="E86" i="74"/>
  <c r="P74" i="74"/>
  <c r="O74" i="74"/>
  <c r="N74" i="74"/>
  <c r="M74" i="74"/>
  <c r="L74" i="74"/>
  <c r="K74" i="74"/>
  <c r="J74" i="74"/>
  <c r="I74" i="74"/>
  <c r="H74" i="74"/>
  <c r="G74" i="74"/>
  <c r="F74" i="74"/>
  <c r="E74" i="74"/>
  <c r="P62" i="74"/>
  <c r="O62" i="74"/>
  <c r="N62" i="74"/>
  <c r="M62" i="74"/>
  <c r="L62" i="74"/>
  <c r="K62" i="74"/>
  <c r="J62" i="74"/>
  <c r="I62" i="74"/>
  <c r="H62" i="74"/>
  <c r="G62" i="74"/>
  <c r="F62" i="74"/>
  <c r="E62" i="74"/>
  <c r="P38" i="74"/>
  <c r="O38" i="74"/>
  <c r="N38" i="74"/>
  <c r="M38" i="74"/>
  <c r="L38" i="74"/>
  <c r="K38" i="74"/>
  <c r="J38" i="74"/>
  <c r="I38" i="74"/>
  <c r="H38" i="74"/>
  <c r="G38" i="74"/>
  <c r="F38" i="74"/>
  <c r="E38" i="74"/>
  <c r="P26" i="74"/>
  <c r="O26" i="74"/>
  <c r="N26" i="74"/>
  <c r="M26" i="74"/>
  <c r="L26" i="74"/>
  <c r="K26" i="74"/>
  <c r="J26" i="74"/>
  <c r="I26" i="74"/>
  <c r="H26" i="74"/>
  <c r="G26" i="74"/>
  <c r="F26" i="74"/>
  <c r="E26" i="74"/>
  <c r="F14" i="74"/>
  <c r="G14" i="74"/>
  <c r="H14" i="74"/>
  <c r="I14" i="74"/>
  <c r="J14" i="74"/>
  <c r="K14" i="74"/>
  <c r="L14" i="74"/>
  <c r="M14" i="74"/>
  <c r="N14" i="74"/>
  <c r="O14" i="74"/>
  <c r="P14" i="74"/>
  <c r="E14" i="74"/>
  <c r="Q121" i="74"/>
  <c r="R121" i="74" s="1"/>
  <c r="Q120" i="74"/>
  <c r="R120" i="74" s="1"/>
  <c r="Q119" i="74"/>
  <c r="R119" i="74" s="1"/>
  <c r="Q118" i="74"/>
  <c r="R118" i="74" s="1"/>
  <c r="Q117" i="74"/>
  <c r="R117" i="74" s="1"/>
  <c r="Q116" i="74"/>
  <c r="R116" i="74" s="1"/>
  <c r="Q115" i="74"/>
  <c r="R115" i="74" s="1"/>
  <c r="Q114" i="74"/>
  <c r="R114" i="74" s="1"/>
  <c r="Q109" i="74"/>
  <c r="R109" i="74" s="1"/>
  <c r="Q108" i="74"/>
  <c r="R108" i="74" s="1"/>
  <c r="Q107" i="74"/>
  <c r="R107" i="74" s="1"/>
  <c r="Q106" i="74"/>
  <c r="R106" i="74" s="1"/>
  <c r="Q105" i="74"/>
  <c r="Q104" i="74"/>
  <c r="R104" i="74" s="1"/>
  <c r="Q103" i="74"/>
  <c r="R103" i="74" s="1"/>
  <c r="Q102" i="74"/>
  <c r="R102" i="74" s="1"/>
  <c r="Q97" i="74"/>
  <c r="R97" i="74" s="1"/>
  <c r="Q96" i="74"/>
  <c r="R96" i="74" s="1"/>
  <c r="Q95" i="74"/>
  <c r="R95" i="74" s="1"/>
  <c r="Q94" i="74"/>
  <c r="R94" i="74" s="1"/>
  <c r="Q93" i="74"/>
  <c r="R93" i="74" s="1"/>
  <c r="Q92" i="74"/>
  <c r="R92" i="74" s="1"/>
  <c r="Q91" i="74"/>
  <c r="R91" i="74" s="1"/>
  <c r="Q90" i="74"/>
  <c r="R90" i="74" s="1"/>
  <c r="Q85" i="74"/>
  <c r="R85" i="74" s="1"/>
  <c r="Q84" i="74"/>
  <c r="R84" i="74" s="1"/>
  <c r="Q83" i="74"/>
  <c r="R83" i="74" s="1"/>
  <c r="Q82" i="74"/>
  <c r="R82" i="74" s="1"/>
  <c r="Q81" i="74"/>
  <c r="R81" i="74" s="1"/>
  <c r="Q80" i="74"/>
  <c r="R80" i="74" s="1"/>
  <c r="Q79" i="74"/>
  <c r="R79" i="74" s="1"/>
  <c r="Q78" i="74"/>
  <c r="R78" i="74" s="1"/>
  <c r="Q73" i="74"/>
  <c r="R73" i="74" s="1"/>
  <c r="Q72" i="74"/>
  <c r="R72" i="74" s="1"/>
  <c r="Q71" i="74"/>
  <c r="R71" i="74" s="1"/>
  <c r="Q70" i="74"/>
  <c r="R70" i="74" s="1"/>
  <c r="Q69" i="74"/>
  <c r="R69" i="74" s="1"/>
  <c r="Q68" i="74"/>
  <c r="R68" i="74" s="1"/>
  <c r="Q67" i="74"/>
  <c r="R67" i="74" s="1"/>
  <c r="Q66" i="74"/>
  <c r="R66" i="74" s="1"/>
  <c r="Q61" i="74"/>
  <c r="R61" i="74" s="1"/>
  <c r="Q60" i="74"/>
  <c r="R60" i="74" s="1"/>
  <c r="Q59" i="74"/>
  <c r="R59" i="74" s="1"/>
  <c r="Q58" i="74"/>
  <c r="R58" i="74" s="1"/>
  <c r="Q57" i="74"/>
  <c r="R57" i="74" s="1"/>
  <c r="Q56" i="74"/>
  <c r="R56" i="74" s="1"/>
  <c r="Q55" i="74"/>
  <c r="R55" i="74" s="1"/>
  <c r="Q54" i="74"/>
  <c r="R54" i="74" s="1"/>
  <c r="Q37" i="74"/>
  <c r="R37" i="74" s="1"/>
  <c r="Q36" i="74"/>
  <c r="R36" i="74" s="1"/>
  <c r="Q35" i="74"/>
  <c r="R35" i="74" s="1"/>
  <c r="Q34" i="74"/>
  <c r="R34" i="74" s="1"/>
  <c r="Q33" i="74"/>
  <c r="R33" i="74" s="1"/>
  <c r="Q32" i="74"/>
  <c r="R32" i="74" s="1"/>
  <c r="Q31" i="74"/>
  <c r="R31" i="74" s="1"/>
  <c r="Q30" i="74"/>
  <c r="R30" i="74" s="1"/>
  <c r="Q25" i="74"/>
  <c r="R25" i="74" s="1"/>
  <c r="Q24" i="74"/>
  <c r="R24" i="74" s="1"/>
  <c r="Q23" i="74"/>
  <c r="R23" i="74" s="1"/>
  <c r="Q22" i="74"/>
  <c r="R22" i="74" s="1"/>
  <c r="Q21" i="74"/>
  <c r="R21" i="74" s="1"/>
  <c r="Q20" i="74"/>
  <c r="R20" i="74" s="1"/>
  <c r="Q19" i="74"/>
  <c r="R19" i="74" s="1"/>
  <c r="Q18" i="74"/>
  <c r="R18" i="74" s="1"/>
  <c r="Q7" i="74"/>
  <c r="R7" i="74" s="1"/>
  <c r="Q8" i="74"/>
  <c r="R8" i="74" s="1"/>
  <c r="Q9" i="74"/>
  <c r="Q10" i="74"/>
  <c r="R10" i="74" s="1"/>
  <c r="Q11" i="74"/>
  <c r="R11" i="74" s="1"/>
  <c r="Q12" i="74"/>
  <c r="R12" i="74" s="1"/>
  <c r="Q13" i="74"/>
  <c r="R13" i="74" s="1"/>
  <c r="Q6" i="74"/>
  <c r="R6" i="74" s="1"/>
  <c r="J32" i="68" l="1"/>
  <c r="G22" i="75"/>
  <c r="G17" i="68"/>
  <c r="P12" i="68"/>
  <c r="Q122" i="74"/>
  <c r="R122" i="74" s="1"/>
  <c r="S30" i="68"/>
  <c r="S33" i="68"/>
  <c r="R105" i="74"/>
  <c r="Q26" i="74"/>
  <c r="R26" i="74" s="1"/>
  <c r="Q86" i="74"/>
  <c r="R86" i="74" s="1"/>
  <c r="Q110" i="74"/>
  <c r="R110" i="74" s="1"/>
  <c r="Q62" i="74"/>
  <c r="R62" i="74" s="1"/>
  <c r="P21" i="68"/>
  <c r="R9" i="74"/>
  <c r="Q38" i="74"/>
  <c r="R38" i="74" s="1"/>
  <c r="Q74" i="74"/>
  <c r="R74" i="74" s="1"/>
  <c r="Q98" i="74"/>
  <c r="R98" i="74" s="1"/>
  <c r="P25" i="68"/>
  <c r="G12" i="68"/>
  <c r="S32" i="68"/>
  <c r="Q14" i="74"/>
  <c r="R14" i="74" s="1"/>
  <c r="Q32" i="68" l="1"/>
  <c r="P32" i="68" s="1"/>
  <c r="I32" i="68"/>
  <c r="P17" i="68"/>
  <c r="J33" i="68"/>
  <c r="J30" i="68"/>
  <c r="S31" i="68"/>
  <c r="J31" i="68"/>
  <c r="Q31" i="68" l="1"/>
  <c r="P31" i="68" s="1"/>
  <c r="I31" i="68"/>
  <c r="Q30" i="68"/>
  <c r="P30" i="68" s="1"/>
  <c r="I30" i="68"/>
  <c r="Q33" i="68"/>
  <c r="P33" i="68" s="1"/>
  <c r="I33" i="68"/>
  <c r="G18" i="68"/>
  <c r="P18" i="68"/>
  <c r="R22" i="43"/>
  <c r="Q38" i="61" s="1"/>
  <c r="G21" i="68" l="1"/>
  <c r="I18" i="43"/>
  <c r="D16" i="43"/>
  <c r="E12" i="75"/>
  <c r="G36" i="61"/>
  <c r="G35" i="61"/>
  <c r="G34" i="61"/>
  <c r="G33" i="61"/>
  <c r="D17" i="75"/>
  <c r="G28" i="75"/>
  <c r="E28" i="75" s="1"/>
  <c r="G27" i="75"/>
  <c r="E27" i="75" s="1"/>
  <c r="G26" i="75"/>
  <c r="E26" i="75" s="1"/>
  <c r="G25" i="75"/>
  <c r="E25" i="75" s="1"/>
  <c r="E21" i="68" l="1"/>
  <c r="G36" i="68"/>
  <c r="E11" i="13" s="1"/>
  <c r="J21" i="75"/>
  <c r="S21" i="75"/>
  <c r="I17" i="75"/>
  <c r="Q17" i="75"/>
  <c r="I22" i="75"/>
  <c r="J22" i="75" s="1"/>
  <c r="Q22" i="75"/>
  <c r="S22" i="75" s="1"/>
  <c r="I13" i="43"/>
  <c r="L13" i="43" s="1"/>
  <c r="R13" i="43" s="1"/>
  <c r="G40" i="68" l="1"/>
  <c r="G42" i="68" s="1"/>
  <c r="L25" i="61"/>
  <c r="C8" i="70"/>
  <c r="C9" i="70"/>
  <c r="C10" i="70"/>
  <c r="C11" i="70"/>
  <c r="C12" i="70"/>
  <c r="C13" i="70"/>
  <c r="C14" i="70"/>
  <c r="C15" i="70"/>
  <c r="C16" i="70"/>
  <c r="C17" i="70"/>
  <c r="C18" i="70"/>
  <c r="C7" i="70"/>
  <c r="E7" i="70"/>
  <c r="H27" i="70"/>
  <c r="H28" i="70"/>
  <c r="H29" i="70"/>
  <c r="H30" i="70"/>
  <c r="H26" i="70"/>
  <c r="H11" i="70"/>
  <c r="H12" i="70"/>
  <c r="H13" i="70"/>
  <c r="H14" i="70"/>
  <c r="H16" i="70"/>
  <c r="H10" i="70"/>
  <c r="G7" i="79" l="1"/>
  <c r="G11" i="79" s="1"/>
  <c r="E7" i="79"/>
  <c r="E9" i="79" s="1"/>
  <c r="D7" i="79"/>
  <c r="D35" i="79" s="1"/>
  <c r="C9" i="79"/>
  <c r="C10" i="79" s="1"/>
  <c r="C11" i="79" s="1"/>
  <c r="C12" i="79" s="1"/>
  <c r="A1" i="79"/>
  <c r="G12" i="79" l="1"/>
  <c r="E12" i="79"/>
  <c r="C13" i="79"/>
  <c r="C14" i="79" s="1"/>
  <c r="G10" i="79"/>
  <c r="G35" i="79"/>
  <c r="G8" i="79"/>
  <c r="E8" i="79"/>
  <c r="G9" i="79"/>
  <c r="E11" i="79"/>
  <c r="E10" i="79"/>
  <c r="D8" i="79"/>
  <c r="D9" i="79"/>
  <c r="F9" i="79" s="1"/>
  <c r="D10" i="79"/>
  <c r="D11" i="79"/>
  <c r="D12" i="79"/>
  <c r="D31" i="79"/>
  <c r="D16" i="79"/>
  <c r="D36" i="79"/>
  <c r="D17" i="79"/>
  <c r="D20" i="79"/>
  <c r="G30" i="79"/>
  <c r="G21" i="79"/>
  <c r="G37" i="79"/>
  <c r="G18" i="79"/>
  <c r="D23" i="79"/>
  <c r="G34" i="79"/>
  <c r="D13" i="79"/>
  <c r="D19" i="79"/>
  <c r="G25" i="79"/>
  <c r="G16" i="79"/>
  <c r="G22" i="79"/>
  <c r="G26" i="79"/>
  <c r="G38" i="79"/>
  <c r="G13" i="79"/>
  <c r="G28" i="79"/>
  <c r="G32" i="79"/>
  <c r="G14" i="79"/>
  <c r="G17" i="79"/>
  <c r="G20" i="79"/>
  <c r="G24" i="79"/>
  <c r="G29" i="79"/>
  <c r="G33" i="79"/>
  <c r="G36" i="79"/>
  <c r="C15" i="79"/>
  <c r="C16" i="79" s="1"/>
  <c r="E14" i="79"/>
  <c r="D38" i="79"/>
  <c r="D34" i="79"/>
  <c r="D30" i="79"/>
  <c r="D26" i="79"/>
  <c r="D22" i="79"/>
  <c r="D18" i="79"/>
  <c r="D14" i="79"/>
  <c r="D37" i="79"/>
  <c r="D33" i="79"/>
  <c r="D29" i="79"/>
  <c r="D15" i="79"/>
  <c r="D25" i="79"/>
  <c r="D27" i="79"/>
  <c r="D32" i="79"/>
  <c r="E13" i="79"/>
  <c r="D21" i="79"/>
  <c r="D24" i="79"/>
  <c r="D28" i="79"/>
  <c r="G15" i="79"/>
  <c r="G19" i="79"/>
  <c r="G23" i="79"/>
  <c r="G27" i="79"/>
  <c r="G31" i="79"/>
  <c r="F12" i="79" l="1"/>
  <c r="F8" i="79"/>
  <c r="F10" i="79"/>
  <c r="F11" i="79"/>
  <c r="E15" i="79"/>
  <c r="F15" i="79" s="1"/>
  <c r="F13" i="79"/>
  <c r="F14" i="79"/>
  <c r="C17" i="79"/>
  <c r="E16" i="79"/>
  <c r="F16" i="79" s="1"/>
  <c r="C18" i="79" l="1"/>
  <c r="E17" i="79"/>
  <c r="F17" i="79" s="1"/>
  <c r="C19" i="79" l="1"/>
  <c r="E18" i="79"/>
  <c r="F18" i="79" s="1"/>
  <c r="C20" i="79" l="1"/>
  <c r="E19" i="79"/>
  <c r="F19" i="79" s="1"/>
  <c r="C21" i="79" l="1"/>
  <c r="E20" i="79"/>
  <c r="F20" i="79" s="1"/>
  <c r="C22" i="79" l="1"/>
  <c r="E21" i="79"/>
  <c r="F21" i="79" s="1"/>
  <c r="C23" i="79" l="1"/>
  <c r="E22" i="79"/>
  <c r="F22" i="79" s="1"/>
  <c r="C24" i="79" l="1"/>
  <c r="E23" i="79"/>
  <c r="F23" i="79" s="1"/>
  <c r="C25" i="79" l="1"/>
  <c r="E24" i="79"/>
  <c r="F24" i="79" s="1"/>
  <c r="C26" i="79" l="1"/>
  <c r="E25" i="79"/>
  <c r="F25" i="79" s="1"/>
  <c r="C27" i="79" l="1"/>
  <c r="E26" i="79"/>
  <c r="F26" i="79" s="1"/>
  <c r="C28" i="79" l="1"/>
  <c r="E27" i="79"/>
  <c r="F27" i="79" s="1"/>
  <c r="C29" i="79" l="1"/>
  <c r="E28" i="79"/>
  <c r="F28" i="79" s="1"/>
  <c r="C30" i="79" l="1"/>
  <c r="E29" i="79"/>
  <c r="F29" i="79" s="1"/>
  <c r="C31" i="79" l="1"/>
  <c r="E30" i="79"/>
  <c r="F30" i="79" s="1"/>
  <c r="E31" i="79" l="1"/>
  <c r="F31" i="79" s="1"/>
  <c r="C32" i="79"/>
  <c r="C33" i="79" l="1"/>
  <c r="E32" i="79"/>
  <c r="F32" i="79" s="1"/>
  <c r="C34" i="79" l="1"/>
  <c r="E33" i="79"/>
  <c r="F33" i="79" s="1"/>
  <c r="C35" i="79" l="1"/>
  <c r="E34" i="79"/>
  <c r="F34" i="79" s="1"/>
  <c r="E35" i="79" l="1"/>
  <c r="F35" i="79" s="1"/>
  <c r="C36" i="79"/>
  <c r="C37" i="79" l="1"/>
  <c r="E36" i="79"/>
  <c r="F36" i="79" s="1"/>
  <c r="C38" i="79" l="1"/>
  <c r="E37" i="79"/>
  <c r="F37" i="79" s="1"/>
  <c r="E38" i="79" l="1"/>
  <c r="F38" i="79" s="1"/>
  <c r="G31" i="67" l="1"/>
  <c r="G30" i="67"/>
  <c r="G29" i="67"/>
  <c r="G28" i="67"/>
  <c r="G36" i="67"/>
  <c r="E20" i="67"/>
  <c r="G20" i="67" s="1"/>
  <c r="E19" i="67"/>
  <c r="E18" i="67"/>
  <c r="E17" i="67"/>
  <c r="P19" i="67"/>
  <c r="D21" i="67"/>
  <c r="D25" i="67"/>
  <c r="D17" i="67" s="1"/>
  <c r="E25" i="67"/>
  <c r="E17" i="66"/>
  <c r="E12" i="66"/>
  <c r="G23" i="66"/>
  <c r="G22" i="66"/>
  <c r="G21" i="66"/>
  <c r="G20" i="66"/>
  <c r="G28" i="66"/>
  <c r="D17" i="66"/>
  <c r="D12" i="66"/>
  <c r="G28" i="65"/>
  <c r="G23" i="65"/>
  <c r="G22" i="65"/>
  <c r="G21" i="65"/>
  <c r="G20" i="65"/>
  <c r="D17" i="65"/>
  <c r="D12" i="65"/>
  <c r="G21" i="60"/>
  <c r="G20" i="60"/>
  <c r="G19" i="60"/>
  <c r="G18" i="60"/>
  <c r="G25" i="60"/>
  <c r="D15" i="60"/>
  <c r="D18" i="67" l="1"/>
  <c r="P18" i="67" s="1"/>
  <c r="C10" i="13"/>
  <c r="P25" i="67"/>
  <c r="G25" i="67"/>
  <c r="P20" i="67"/>
  <c r="P21" i="67"/>
  <c r="G19" i="67"/>
  <c r="G18" i="67" l="1"/>
  <c r="D12" i="75"/>
  <c r="D12" i="67"/>
  <c r="S28" i="75"/>
  <c r="J28" i="75"/>
  <c r="I28" i="75" s="1"/>
  <c r="J27" i="75"/>
  <c r="S26" i="75"/>
  <c r="J26" i="75"/>
  <c r="I26" i="75" s="1"/>
  <c r="S25" i="75"/>
  <c r="J25" i="75"/>
  <c r="I25" i="75" s="1"/>
  <c r="S31" i="67"/>
  <c r="J31" i="67"/>
  <c r="J30" i="67"/>
  <c r="S29" i="67"/>
  <c r="J29" i="67"/>
  <c r="S28" i="67"/>
  <c r="J28" i="67"/>
  <c r="S23" i="66"/>
  <c r="J23" i="66"/>
  <c r="J22" i="66"/>
  <c r="S22" i="66" s="1"/>
  <c r="S21" i="66"/>
  <c r="J21" i="66"/>
  <c r="S20" i="66"/>
  <c r="J20" i="66"/>
  <c r="S23" i="65"/>
  <c r="J23" i="65"/>
  <c r="R23" i="65" s="1"/>
  <c r="J22" i="65"/>
  <c r="S21" i="65"/>
  <c r="J21" i="65"/>
  <c r="R21" i="65" s="1"/>
  <c r="S20" i="65"/>
  <c r="J20" i="65"/>
  <c r="R20" i="65" s="1"/>
  <c r="J20" i="60"/>
  <c r="S20" i="60" s="1"/>
  <c r="S19" i="60"/>
  <c r="J19" i="60"/>
  <c r="S18" i="60"/>
  <c r="G19" i="61"/>
  <c r="G21" i="61"/>
  <c r="G20" i="61"/>
  <c r="G22" i="61"/>
  <c r="A1" i="70"/>
  <c r="A1" i="13"/>
  <c r="A1" i="43"/>
  <c r="A1" i="75"/>
  <c r="A1" i="68"/>
  <c r="A1" i="66"/>
  <c r="A1" i="65"/>
  <c r="A1" i="60"/>
  <c r="G29" i="61" l="1"/>
  <c r="I18" i="68" s="1"/>
  <c r="J18" i="68" s="1"/>
  <c r="H29" i="61"/>
  <c r="G26" i="61"/>
  <c r="I25" i="68" s="1"/>
  <c r="J25" i="68" s="1"/>
  <c r="J27" i="68" s="1"/>
  <c r="H26" i="61"/>
  <c r="Q25" i="68" s="1"/>
  <c r="S25" i="68" s="1"/>
  <c r="S27" i="68" s="1"/>
  <c r="G30" i="61"/>
  <c r="I19" i="68" s="1"/>
  <c r="J19" i="68" s="1"/>
  <c r="H30" i="61"/>
  <c r="H28" i="61"/>
  <c r="G28" i="61"/>
  <c r="I17" i="68" s="1"/>
  <c r="J17" i="68" s="1"/>
  <c r="S27" i="75"/>
  <c r="I27" i="75"/>
  <c r="S22" i="65"/>
  <c r="R22" i="65"/>
  <c r="S30" i="67"/>
  <c r="E14" i="70"/>
  <c r="Q25" i="67"/>
  <c r="S25" i="67" s="1"/>
  <c r="J22" i="61"/>
  <c r="D17" i="70"/>
  <c r="I19" i="67"/>
  <c r="J19" i="67" s="1"/>
  <c r="D16" i="70"/>
  <c r="I18" i="67"/>
  <c r="J18" i="67" s="1"/>
  <c r="E16" i="70"/>
  <c r="Q18" i="67"/>
  <c r="S18" i="67" s="1"/>
  <c r="D15" i="70"/>
  <c r="I17" i="67"/>
  <c r="D14" i="70"/>
  <c r="I25" i="67"/>
  <c r="J25" i="67" s="1"/>
  <c r="E15" i="70"/>
  <c r="Q17" i="67"/>
  <c r="I22" i="61"/>
  <c r="E17" i="70"/>
  <c r="Q19" i="67"/>
  <c r="S19" i="67" s="1"/>
  <c r="J18" i="60"/>
  <c r="J20" i="61"/>
  <c r="J19" i="61"/>
  <c r="J21" i="61"/>
  <c r="I19" i="61"/>
  <c r="I20" i="61"/>
  <c r="I21" i="61"/>
  <c r="D7" i="70"/>
  <c r="G10" i="61"/>
  <c r="Q17" i="68" l="1"/>
  <c r="S17" i="68" s="1"/>
  <c r="J28" i="61"/>
  <c r="Q19" i="68"/>
  <c r="S19" i="68" s="1"/>
  <c r="J30" i="61"/>
  <c r="I30" i="61"/>
  <c r="Q18" i="68"/>
  <c r="S18" i="68" s="1"/>
  <c r="J29" i="61"/>
  <c r="D8" i="70"/>
  <c r="D12" i="13"/>
  <c r="D10" i="13"/>
  <c r="D8" i="13"/>
  <c r="D7" i="13"/>
  <c r="D9" i="13"/>
  <c r="A8" i="13"/>
  <c r="B8" i="13"/>
  <c r="A9" i="13"/>
  <c r="B9" i="13"/>
  <c r="A10" i="13"/>
  <c r="B10" i="13"/>
  <c r="A11" i="13"/>
  <c r="B11" i="13"/>
  <c r="A12" i="13"/>
  <c r="B12" i="13"/>
  <c r="A13" i="13"/>
  <c r="B13" i="13"/>
  <c r="B7" i="13"/>
  <c r="A7" i="13"/>
  <c r="I15" i="13"/>
  <c r="J15" i="13" s="1"/>
  <c r="H42" i="61"/>
  <c r="H41" i="61"/>
  <c r="G42" i="61"/>
  <c r="G41" i="61"/>
  <c r="C41" i="61"/>
  <c r="B41" i="61"/>
  <c r="C44" i="61"/>
  <c r="B44" i="61"/>
  <c r="C12" i="13"/>
  <c r="I12" i="75"/>
  <c r="J12" i="75" s="1"/>
  <c r="C33" i="61"/>
  <c r="B33" i="61"/>
  <c r="A3" i="75"/>
  <c r="A2" i="75"/>
  <c r="P17" i="75"/>
  <c r="A3" i="68"/>
  <c r="A2" i="68"/>
  <c r="C25" i="61"/>
  <c r="B25" i="61"/>
  <c r="E12" i="67"/>
  <c r="A3" i="67"/>
  <c r="A2" i="67"/>
  <c r="C9" i="13"/>
  <c r="A3" i="66"/>
  <c r="A2" i="66"/>
  <c r="C18" i="61"/>
  <c r="B18" i="61"/>
  <c r="B13" i="70" s="1"/>
  <c r="C15" i="61"/>
  <c r="B15" i="61"/>
  <c r="B11" i="70" s="1"/>
  <c r="G23" i="61"/>
  <c r="G18" i="61"/>
  <c r="G16" i="61"/>
  <c r="G15" i="61"/>
  <c r="C8" i="13"/>
  <c r="A3" i="65"/>
  <c r="A2" i="65"/>
  <c r="G13" i="61"/>
  <c r="G12" i="61"/>
  <c r="P15" i="60"/>
  <c r="A3" i="60"/>
  <c r="A2" i="60"/>
  <c r="C12" i="61"/>
  <c r="C9" i="61"/>
  <c r="B12" i="61"/>
  <c r="B9" i="70" s="1"/>
  <c r="B9" i="61"/>
  <c r="B7" i="70" s="1"/>
  <c r="Q17" i="66" l="1"/>
  <c r="E12" i="70"/>
  <c r="G25" i="61"/>
  <c r="I12" i="68" s="1"/>
  <c r="J12" i="68" s="1"/>
  <c r="D9" i="70"/>
  <c r="E9" i="70"/>
  <c r="D10" i="70"/>
  <c r="E10" i="70"/>
  <c r="G31" i="61"/>
  <c r="I20" i="68" s="1"/>
  <c r="J20" i="68" s="1"/>
  <c r="J21" i="68" s="1"/>
  <c r="I21" i="68" s="1"/>
  <c r="H31" i="61"/>
  <c r="E8" i="70"/>
  <c r="H7" i="79"/>
  <c r="Q12" i="66"/>
  <c r="E11" i="70"/>
  <c r="Q26" i="75"/>
  <c r="Q25" i="75"/>
  <c r="Q28" i="75"/>
  <c r="Q27" i="75"/>
  <c r="I12" i="66"/>
  <c r="J12" i="66" s="1"/>
  <c r="D11" i="70"/>
  <c r="D18" i="70"/>
  <c r="I20" i="67"/>
  <c r="J20" i="67" s="1"/>
  <c r="I17" i="66"/>
  <c r="J17" i="66" s="1"/>
  <c r="D12" i="70"/>
  <c r="E18" i="70"/>
  <c r="Q20" i="67"/>
  <c r="S20" i="67" s="1"/>
  <c r="J18" i="61"/>
  <c r="D13" i="70"/>
  <c r="J17" i="75"/>
  <c r="J41" i="61"/>
  <c r="I41" i="61"/>
  <c r="O17" i="65"/>
  <c r="C7" i="13"/>
  <c r="J42" i="61"/>
  <c r="I39" i="61"/>
  <c r="J39" i="61"/>
  <c r="I42" i="61"/>
  <c r="P12" i="75"/>
  <c r="G12" i="75"/>
  <c r="G17" i="75"/>
  <c r="I12" i="67"/>
  <c r="J12" i="67" s="1"/>
  <c r="J23" i="61"/>
  <c r="I16" i="61"/>
  <c r="I15" i="61"/>
  <c r="I23" i="61"/>
  <c r="I10" i="61"/>
  <c r="I44" i="61"/>
  <c r="J17" i="67"/>
  <c r="I17" i="65"/>
  <c r="J17" i="65" s="1"/>
  <c r="I12" i="65"/>
  <c r="J12" i="65" s="1"/>
  <c r="I15" i="60"/>
  <c r="J21" i="60"/>
  <c r="I11" i="60"/>
  <c r="J11" i="60" s="1"/>
  <c r="P12" i="65"/>
  <c r="Q11" i="60"/>
  <c r="P17" i="67"/>
  <c r="S17" i="67" s="1"/>
  <c r="S21" i="67" s="1"/>
  <c r="Q21" i="67" s="1"/>
  <c r="P12" i="67"/>
  <c r="G17" i="67"/>
  <c r="G21" i="67" s="1"/>
  <c r="E21" i="67" s="1"/>
  <c r="G12" i="67"/>
  <c r="G17" i="66"/>
  <c r="G12" i="66"/>
  <c r="E17" i="65"/>
  <c r="G17" i="65" s="1"/>
  <c r="E12" i="65"/>
  <c r="G12" i="65" s="1"/>
  <c r="E15" i="60"/>
  <c r="G15" i="60" s="1"/>
  <c r="E11" i="60"/>
  <c r="P17" i="66"/>
  <c r="P12" i="66"/>
  <c r="O12" i="65"/>
  <c r="S21" i="60"/>
  <c r="P11" i="60"/>
  <c r="I12" i="61"/>
  <c r="I9" i="61"/>
  <c r="H16" i="13"/>
  <c r="I31" i="61"/>
  <c r="J36" i="68" l="1"/>
  <c r="M25" i="61" s="1"/>
  <c r="J21" i="67"/>
  <c r="I21" i="67" s="1"/>
  <c r="Q20" i="68"/>
  <c r="S20" i="68" s="1"/>
  <c r="S21" i="68" s="1"/>
  <c r="Q21" i="68" s="1"/>
  <c r="J31" i="61"/>
  <c r="I13" i="61"/>
  <c r="P17" i="65"/>
  <c r="R17" i="65" s="1"/>
  <c r="J40" i="68"/>
  <c r="J42" i="68" s="1"/>
  <c r="H12" i="79"/>
  <c r="I12" i="79" s="1"/>
  <c r="J12" i="79" s="1"/>
  <c r="K12" i="79" s="1"/>
  <c r="H10" i="79"/>
  <c r="I10" i="79" s="1"/>
  <c r="J10" i="79" s="1"/>
  <c r="K10" i="79" s="1"/>
  <c r="H11" i="79"/>
  <c r="I11" i="79" s="1"/>
  <c r="J11" i="79" s="1"/>
  <c r="K11" i="79" s="1"/>
  <c r="H9" i="79"/>
  <c r="I9" i="79" s="1"/>
  <c r="J9" i="79" s="1"/>
  <c r="K9" i="79" s="1"/>
  <c r="H13" i="79"/>
  <c r="I13" i="79" s="1"/>
  <c r="J13" i="79" s="1"/>
  <c r="K13" i="79" s="1"/>
  <c r="H8" i="79"/>
  <c r="I8" i="79" s="1"/>
  <c r="J8" i="79" s="1"/>
  <c r="K8" i="79" s="1"/>
  <c r="H14" i="79"/>
  <c r="I14" i="79" s="1"/>
  <c r="J14" i="79" s="1"/>
  <c r="K14" i="79" s="1"/>
  <c r="H16" i="79"/>
  <c r="I16" i="79" s="1"/>
  <c r="J16" i="79" s="1"/>
  <c r="K16" i="79" s="1"/>
  <c r="H15" i="79"/>
  <c r="I15" i="79" s="1"/>
  <c r="J15" i="79" s="1"/>
  <c r="K15" i="79" s="1"/>
  <c r="H17" i="79"/>
  <c r="I17" i="79" s="1"/>
  <c r="J17" i="79" s="1"/>
  <c r="K17" i="79" s="1"/>
  <c r="H18" i="79"/>
  <c r="I18" i="79" s="1"/>
  <c r="J18" i="79" s="1"/>
  <c r="K18" i="79" s="1"/>
  <c r="H19" i="79"/>
  <c r="I19" i="79" s="1"/>
  <c r="J19" i="79" s="1"/>
  <c r="K19" i="79" s="1"/>
  <c r="H20" i="79"/>
  <c r="I20" i="79" s="1"/>
  <c r="J20" i="79" s="1"/>
  <c r="K20" i="79" s="1"/>
  <c r="H21" i="79"/>
  <c r="I21" i="79" s="1"/>
  <c r="J21" i="79" s="1"/>
  <c r="K21" i="79" s="1"/>
  <c r="H22" i="79"/>
  <c r="I22" i="79" s="1"/>
  <c r="J22" i="79" s="1"/>
  <c r="K22" i="79" s="1"/>
  <c r="H23" i="79"/>
  <c r="I23" i="79" s="1"/>
  <c r="J23" i="79" s="1"/>
  <c r="K23" i="79" s="1"/>
  <c r="H24" i="79"/>
  <c r="I24" i="79" s="1"/>
  <c r="J24" i="79" s="1"/>
  <c r="K24" i="79" s="1"/>
  <c r="H25" i="79"/>
  <c r="I25" i="79" s="1"/>
  <c r="J25" i="79" s="1"/>
  <c r="K25" i="79" s="1"/>
  <c r="H26" i="79"/>
  <c r="I26" i="79" s="1"/>
  <c r="J26" i="79" s="1"/>
  <c r="K26" i="79" s="1"/>
  <c r="H27" i="79"/>
  <c r="I27" i="79" s="1"/>
  <c r="J27" i="79" s="1"/>
  <c r="K27" i="79" s="1"/>
  <c r="H28" i="79"/>
  <c r="I28" i="79" s="1"/>
  <c r="J28" i="79" s="1"/>
  <c r="K28" i="79" s="1"/>
  <c r="H29" i="79"/>
  <c r="I29" i="79" s="1"/>
  <c r="J29" i="79" s="1"/>
  <c r="K29" i="79" s="1"/>
  <c r="H30" i="79"/>
  <c r="I30" i="79" s="1"/>
  <c r="J30" i="79" s="1"/>
  <c r="K30" i="79" s="1"/>
  <c r="H31" i="79"/>
  <c r="I31" i="79" s="1"/>
  <c r="J31" i="79" s="1"/>
  <c r="K31" i="79" s="1"/>
  <c r="H32" i="79"/>
  <c r="I32" i="79" s="1"/>
  <c r="J32" i="79" s="1"/>
  <c r="K32" i="79" s="1"/>
  <c r="H33" i="79"/>
  <c r="I33" i="79" s="1"/>
  <c r="J33" i="79" s="1"/>
  <c r="K33" i="79" s="1"/>
  <c r="H34" i="79"/>
  <c r="I34" i="79" s="1"/>
  <c r="J34" i="79" s="1"/>
  <c r="K34" i="79" s="1"/>
  <c r="H35" i="79"/>
  <c r="I35" i="79" s="1"/>
  <c r="J35" i="79" s="1"/>
  <c r="K35" i="79" s="1"/>
  <c r="H36" i="79"/>
  <c r="I36" i="79" s="1"/>
  <c r="J36" i="79" s="1"/>
  <c r="K36" i="79" s="1"/>
  <c r="H37" i="79"/>
  <c r="I37" i="79" s="1"/>
  <c r="J37" i="79" s="1"/>
  <c r="K37" i="79" s="1"/>
  <c r="H38" i="79"/>
  <c r="I38" i="79" s="1"/>
  <c r="J38" i="79" s="1"/>
  <c r="K38" i="79" s="1"/>
  <c r="H25" i="61"/>
  <c r="Q12" i="68" s="1"/>
  <c r="S12" i="68" s="1"/>
  <c r="E13" i="70"/>
  <c r="I18" i="61"/>
  <c r="Q12" i="67"/>
  <c r="S12" i="67" s="1"/>
  <c r="I33" i="61"/>
  <c r="S17" i="75"/>
  <c r="I36" i="61"/>
  <c r="J36" i="61"/>
  <c r="I38" i="61"/>
  <c r="J38" i="61"/>
  <c r="G34" i="67"/>
  <c r="E10" i="13" s="1"/>
  <c r="F10" i="13" s="1"/>
  <c r="G10" i="13" s="1"/>
  <c r="J34" i="67"/>
  <c r="M18" i="61" s="1"/>
  <c r="C16" i="13"/>
  <c r="G26" i="66"/>
  <c r="E9" i="13" s="1"/>
  <c r="F9" i="13" s="1"/>
  <c r="G9" i="13" s="1"/>
  <c r="J26" i="66"/>
  <c r="J31" i="75"/>
  <c r="M33" i="61" s="1"/>
  <c r="I35" i="61"/>
  <c r="J35" i="61"/>
  <c r="G31" i="75"/>
  <c r="E12" i="13" s="1"/>
  <c r="S12" i="66"/>
  <c r="J26" i="61"/>
  <c r="S17" i="66"/>
  <c r="I47" i="61"/>
  <c r="D16" i="13"/>
  <c r="R12" i="65"/>
  <c r="I48" i="61"/>
  <c r="I46" i="61"/>
  <c r="G26" i="65"/>
  <c r="E8" i="13" s="1"/>
  <c r="F8" i="13" s="1"/>
  <c r="G8" i="13" s="1"/>
  <c r="I45" i="61"/>
  <c r="F11" i="13"/>
  <c r="G11" i="13" s="1"/>
  <c r="Q15" i="60"/>
  <c r="I26" i="61"/>
  <c r="S11" i="60"/>
  <c r="J26" i="65"/>
  <c r="G11" i="60"/>
  <c r="J15" i="60"/>
  <c r="J23" i="60" s="1"/>
  <c r="S36" i="68" l="1"/>
  <c r="N25" i="61" s="1"/>
  <c r="J25" i="61"/>
  <c r="I25" i="61"/>
  <c r="S34" i="67"/>
  <c r="N18" i="61" s="1"/>
  <c r="S26" i="66"/>
  <c r="N15" i="61" s="1"/>
  <c r="Q12" i="75"/>
  <c r="S12" i="75" s="1"/>
  <c r="S31" i="75" s="1"/>
  <c r="S33" i="75" s="1"/>
  <c r="O33" i="61" s="1"/>
  <c r="J33" i="61"/>
  <c r="G23" i="60"/>
  <c r="I13" i="13"/>
  <c r="J13" i="13" s="1"/>
  <c r="F13" i="13"/>
  <c r="G13" i="13" s="1"/>
  <c r="I12" i="13"/>
  <c r="J12" i="13" s="1"/>
  <c r="F12" i="13"/>
  <c r="G12" i="13" s="1"/>
  <c r="G35" i="75"/>
  <c r="G37" i="75" s="1"/>
  <c r="L33" i="61"/>
  <c r="J35" i="75"/>
  <c r="J37" i="75" s="1"/>
  <c r="G38" i="67"/>
  <c r="G40" i="67" s="1"/>
  <c r="L18" i="61"/>
  <c r="G30" i="66"/>
  <c r="G32" i="66" s="1"/>
  <c r="L15" i="61"/>
  <c r="M15" i="61"/>
  <c r="I9" i="13"/>
  <c r="J9" i="13" s="1"/>
  <c r="J30" i="66"/>
  <c r="J32" i="66" s="1"/>
  <c r="I11" i="13"/>
  <c r="J11" i="13" s="1"/>
  <c r="R26" i="65"/>
  <c r="N12" i="61" s="1"/>
  <c r="L12" i="61"/>
  <c r="S15" i="60"/>
  <c r="S23" i="60" s="1"/>
  <c r="S30" i="60" s="1"/>
  <c r="G30" i="65"/>
  <c r="G32" i="65" s="1"/>
  <c r="J38" i="67"/>
  <c r="J40" i="67" s="1"/>
  <c r="M9" i="61"/>
  <c r="J30" i="65"/>
  <c r="J32" i="65" s="1"/>
  <c r="M12" i="61"/>
  <c r="I8" i="13"/>
  <c r="J8" i="13" s="1"/>
  <c r="S33" i="61" l="1"/>
  <c r="I15" i="70"/>
  <c r="E7" i="13"/>
  <c r="I7" i="13" s="1"/>
  <c r="G30" i="60"/>
  <c r="U30" i="60" s="1"/>
  <c r="S38" i="68"/>
  <c r="S42" i="68" s="1"/>
  <c r="Q25" i="61" s="1"/>
  <c r="S36" i="67"/>
  <c r="S38" i="67" s="1"/>
  <c r="N33" i="61"/>
  <c r="S35" i="75"/>
  <c r="P33" i="61" s="1"/>
  <c r="L9" i="61"/>
  <c r="J27" i="60"/>
  <c r="J29" i="60" s="1"/>
  <c r="S25" i="60"/>
  <c r="O9" i="61" s="1"/>
  <c r="S9" i="61" s="1"/>
  <c r="S37" i="75"/>
  <c r="Q33" i="61" s="1"/>
  <c r="J31" i="70" s="1"/>
  <c r="S28" i="66"/>
  <c r="S32" i="66" s="1"/>
  <c r="R28" i="65"/>
  <c r="O12" i="61" s="1"/>
  <c r="S12" i="61" s="1"/>
  <c r="I10" i="13"/>
  <c r="J10" i="13" s="1"/>
  <c r="N9" i="61"/>
  <c r="G27" i="60"/>
  <c r="G29" i="60" s="1"/>
  <c r="J15" i="70" l="1"/>
  <c r="K31" i="70"/>
  <c r="F7" i="13"/>
  <c r="S40" i="68"/>
  <c r="P25" i="61" s="1"/>
  <c r="I11" i="70"/>
  <c r="O25" i="61"/>
  <c r="I14" i="70" s="1"/>
  <c r="O18" i="61"/>
  <c r="S18" i="61" s="1"/>
  <c r="S40" i="67"/>
  <c r="Q18" i="61" s="1"/>
  <c r="J29" i="70" s="1"/>
  <c r="I10" i="70"/>
  <c r="S27" i="60"/>
  <c r="P9" i="61" s="1"/>
  <c r="J10" i="70" s="1"/>
  <c r="K26" i="70" s="1"/>
  <c r="S29" i="60"/>
  <c r="Q9" i="61" s="1"/>
  <c r="J26" i="70" s="1"/>
  <c r="S30" i="66"/>
  <c r="P15" i="61" s="1"/>
  <c r="J12" i="70" s="1"/>
  <c r="K28" i="70" s="1"/>
  <c r="O15" i="61"/>
  <c r="S15" i="61" s="1"/>
  <c r="Q15" i="61"/>
  <c r="J28" i="70" s="1"/>
  <c r="P18" i="61"/>
  <c r="J13" i="70" s="1"/>
  <c r="K29" i="70" s="1"/>
  <c r="R30" i="65"/>
  <c r="P12" i="61" s="1"/>
  <c r="J11" i="70" s="1"/>
  <c r="K27" i="70" s="1"/>
  <c r="R32" i="65"/>
  <c r="G7" i="13"/>
  <c r="J7" i="13"/>
  <c r="I13" i="70" l="1"/>
  <c r="I12" i="70"/>
  <c r="S50" i="61"/>
  <c r="J14" i="70"/>
  <c r="K30" i="70" s="1"/>
  <c r="J30" i="70"/>
  <c r="Q12" i="61"/>
  <c r="J27" i="70" s="1"/>
  <c r="I16" i="43" l="1"/>
  <c r="I14" i="13" l="1"/>
  <c r="J14" i="13" s="1"/>
  <c r="L38" i="61"/>
  <c r="L50" i="61" s="1"/>
  <c r="I20" i="43"/>
  <c r="I22" i="43"/>
  <c r="L16" i="43"/>
  <c r="M38" i="61" s="1"/>
  <c r="M50" i="61" s="1"/>
  <c r="R16" i="43"/>
  <c r="N38" i="61" s="1"/>
  <c r="L20" i="43" l="1"/>
  <c r="L22" i="43" s="1"/>
  <c r="E16" i="13"/>
  <c r="I16" i="13"/>
  <c r="R18" i="43"/>
  <c r="O38" i="61" s="1"/>
  <c r="N50" i="61"/>
  <c r="R20" i="43" l="1"/>
  <c r="P38" i="61" s="1"/>
  <c r="F16" i="13"/>
  <c r="G16" i="13" s="1"/>
  <c r="J16" i="13"/>
  <c r="O50" i="61" l="1"/>
  <c r="O54" i="61" s="1"/>
  <c r="I17" i="70" l="1"/>
  <c r="P50" i="61"/>
  <c r="J17" i="70" s="1"/>
</calcChain>
</file>

<file path=xl/sharedStrings.xml><?xml version="1.0" encoding="utf-8"?>
<sst xmlns="http://schemas.openxmlformats.org/spreadsheetml/2006/main" count="896" uniqueCount="187">
  <si>
    <t>Billing</t>
  </si>
  <si>
    <t>Calculated</t>
  </si>
  <si>
    <t>Description</t>
  </si>
  <si>
    <t>Units</t>
  </si>
  <si>
    <t>Rate</t>
  </si>
  <si>
    <t>Billings</t>
  </si>
  <si>
    <t>Energy Charge</t>
  </si>
  <si>
    <t>kWh</t>
  </si>
  <si>
    <t>Customer Charge</t>
  </si>
  <si>
    <t>Per kWh</t>
  </si>
  <si>
    <t>Difference</t>
  </si>
  <si>
    <t>Customer Class</t>
  </si>
  <si>
    <t>Current  Rate Calculated Billings</t>
  </si>
  <si>
    <t>Lights</t>
  </si>
  <si>
    <t>Per Light</t>
  </si>
  <si>
    <t>Revenue Per Books</t>
  </si>
  <si>
    <t>Percentage Difference</t>
  </si>
  <si>
    <t>Percent Difference</t>
  </si>
  <si>
    <t>Test Year Rate</t>
  </si>
  <si>
    <t>Test Year Rate Calculated Billings</t>
  </si>
  <si>
    <t>Revenue</t>
  </si>
  <si>
    <t>Present and Proposed Rates</t>
  </si>
  <si>
    <t>Rate Class</t>
  </si>
  <si>
    <t>Rates</t>
  </si>
  <si>
    <t xml:space="preserve">Billing  </t>
  </si>
  <si>
    <t>Present</t>
  </si>
  <si>
    <t>Proposed</t>
  </si>
  <si>
    <t>Increase</t>
  </si>
  <si>
    <t>Classification</t>
  </si>
  <si>
    <t>Code</t>
  </si>
  <si>
    <t>Unit</t>
  </si>
  <si>
    <t>$</t>
  </si>
  <si>
    <t>%</t>
  </si>
  <si>
    <t>TOTAL</t>
  </si>
  <si>
    <t>Total Rate Revenue</t>
  </si>
  <si>
    <t>Rate Code</t>
  </si>
  <si>
    <t>Total</t>
  </si>
  <si>
    <t>Avg Incr/(Decr) Per Customer Per Month</t>
  </si>
  <si>
    <t>Revenues</t>
  </si>
  <si>
    <t xml:space="preserve">Present </t>
  </si>
  <si>
    <t>Energy Charge (per kWh)</t>
  </si>
  <si>
    <t>Demand Charge (per kW)</t>
  </si>
  <si>
    <t>Proposed Rates</t>
  </si>
  <si>
    <t>Avg Incr/(Decr) Per Light Per Month</t>
  </si>
  <si>
    <t>Avg Bill</t>
  </si>
  <si>
    <t>FAC</t>
  </si>
  <si>
    <t>Customers</t>
  </si>
  <si>
    <t>per Customer</t>
  </si>
  <si>
    <t>Demand Charge</t>
  </si>
  <si>
    <t>kW</t>
  </si>
  <si>
    <t>Per kW</t>
  </si>
  <si>
    <t>Other</t>
  </si>
  <si>
    <t>ES</t>
  </si>
  <si>
    <t>Annual</t>
  </si>
  <si>
    <t>Monthly</t>
  </si>
  <si>
    <t xml:space="preserve">Test Year </t>
  </si>
  <si>
    <t>Over TY</t>
  </si>
  <si>
    <t>Test Year</t>
  </si>
  <si>
    <t>Present Rate</t>
  </si>
  <si>
    <t>Difference from Present Rates</t>
  </si>
  <si>
    <t>Percent Change from Present Rates</t>
  </si>
  <si>
    <t>Incr (Decr)</t>
  </si>
  <si>
    <t>Over Pres</t>
  </si>
  <si>
    <t>Customer</t>
  </si>
  <si>
    <t>Energy</t>
  </si>
  <si>
    <t>Customer Charge (per month)</t>
  </si>
  <si>
    <t>Percent</t>
  </si>
  <si>
    <t>Public Notice of Proposed Rate Revisions</t>
  </si>
  <si>
    <t>Average</t>
  </si>
  <si>
    <t>Usage (kWh)</t>
  </si>
  <si>
    <t>The amount of the change requested in both dollar amounts and percentage change for each customer classification to which the proposed rates will apply is set forth below:</t>
  </si>
  <si>
    <t>Dollars</t>
  </si>
  <si>
    <t>#</t>
  </si>
  <si>
    <t xml:space="preserve">Energy </t>
  </si>
  <si>
    <t xml:space="preserve">Customer </t>
  </si>
  <si>
    <t>Present Base Rates</t>
  </si>
  <si>
    <t>Proposed Base Rates</t>
  </si>
  <si>
    <t>Monthly Base Rate Increase by KWH</t>
  </si>
  <si>
    <t>Reconciliation of Booked vs. Calculated Billings</t>
  </si>
  <si>
    <t>JACKSON ENERGY COOPERATIVE</t>
  </si>
  <si>
    <t>OL</t>
  </si>
  <si>
    <t>BILLING DETERMINANTS</t>
  </si>
  <si>
    <t>CUSTOMERS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</si>
  <si>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</si>
  <si>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</si>
  <si>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</si>
  <si>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</si>
  <si>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</si>
  <si>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</si>
  <si>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</si>
  <si>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</si>
  <si>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</si>
  <si>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</si>
  <si>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</si>
  <si>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</si>
  <si>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</si>
  <si>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ENERGY (KWH)</t>
  </si>
  <si>
    <t>REVENUE ($)</t>
  </si>
  <si>
    <t>FAC ($)</t>
  </si>
  <si>
    <t>ES ($)</t>
  </si>
  <si>
    <t>All Hours</t>
  </si>
  <si>
    <t>NCP</t>
  </si>
  <si>
    <t>Residential</t>
  </si>
  <si>
    <t>JACKSON PURCHASE ENERGY CORPORATION</t>
  </si>
  <si>
    <t>R - Residential</t>
  </si>
  <si>
    <t>R</t>
  </si>
  <si>
    <t>C-1 Small Commercial Single Phase</t>
  </si>
  <si>
    <t>C1</t>
  </si>
  <si>
    <t>C-3 Small Commerical Three Phase</t>
  </si>
  <si>
    <t>C3</t>
  </si>
  <si>
    <t>D - Commercial and Industrial Demand &lt; 3,000 kW</t>
  </si>
  <si>
    <t>D</t>
  </si>
  <si>
    <t>I-E - Large Commercial Existing</t>
  </si>
  <si>
    <t>I-E</t>
  </si>
  <si>
    <t>L - Large Commercial and Industrial 3,000 - 5,000 kW</t>
  </si>
  <si>
    <t>L</t>
  </si>
  <si>
    <t>OL - Outdoor Lighting</t>
  </si>
  <si>
    <t>Energy Charge 1st 200 (per kWh)</t>
  </si>
  <si>
    <t>Energy Charge 2nd 200 (per kWh)</t>
  </si>
  <si>
    <t>Energy Charge 3rd 200 (per kWh)</t>
  </si>
  <si>
    <t>Energy Charge Over 600 (per kWh)</t>
  </si>
  <si>
    <t>Demand Charge 1st 3000 ($)</t>
  </si>
  <si>
    <t>Demand Charge Over 3000 (per kW)</t>
  </si>
  <si>
    <t>NonFAC PPA</t>
  </si>
  <si>
    <t>MRSM</t>
  </si>
  <si>
    <t>ENERGY - Residential, School, Church or Farm (KWH)</t>
  </si>
  <si>
    <t>ENERGY - Other Than Res, Sch, Church or Farm (KWH)</t>
  </si>
  <si>
    <t>BILLED DEMAND (KW) - NCP</t>
  </si>
  <si>
    <t>MRSM ($)</t>
  </si>
  <si>
    <t>NON-FAC PPA ($)</t>
  </si>
  <si>
    <t>1st 200</t>
  </si>
  <si>
    <t>2nd 200</t>
  </si>
  <si>
    <t>3rd 200</t>
  </si>
  <si>
    <t>Over 600</t>
  </si>
  <si>
    <t>Subtotal</t>
  </si>
  <si>
    <t>C-3 Small Commercial Three Phase</t>
  </si>
  <si>
    <t>Charge</t>
  </si>
  <si>
    <t>Facilities Charge (per month)</t>
  </si>
  <si>
    <t>Service Charge (per month)</t>
  </si>
  <si>
    <t>D - DIRECT SERVED</t>
  </si>
  <si>
    <t>First 3000 KW</t>
  </si>
  <si>
    <t>Over 3000 KW</t>
  </si>
  <si>
    <t>I-E - Large Commercial Existing - Total</t>
  </si>
  <si>
    <t>I-E - Large Commercial Existing - Over 3,000</t>
  </si>
  <si>
    <t>Demand Charge Minimum (per month)</t>
  </si>
  <si>
    <t>Minimum</t>
  </si>
  <si>
    <t>Billed (Act or Min)</t>
  </si>
  <si>
    <t>Actual</t>
  </si>
  <si>
    <t>Target</t>
  </si>
  <si>
    <t>Variance</t>
  </si>
  <si>
    <t xml:space="preserve">Customer Charge </t>
  </si>
  <si>
    <t>Current</t>
  </si>
  <si>
    <t>COS</t>
  </si>
  <si>
    <t>Movement</t>
  </si>
  <si>
    <t>various</t>
  </si>
  <si>
    <t>Avg</t>
  </si>
  <si>
    <t xml:space="preserve">The amount of the average usage and the effect upon the average bill for each customer </t>
  </si>
  <si>
    <t>classification to which the proposed rates will apply is set forth below:</t>
  </si>
  <si>
    <t>250W HPS</t>
  </si>
  <si>
    <t>100W HPS</t>
  </si>
  <si>
    <t>250W HPS Flood</t>
  </si>
  <si>
    <t>1,000W Metal - Flood</t>
  </si>
  <si>
    <t>LED 6000-9000 Lumens</t>
  </si>
  <si>
    <t>LED 9,300 - 15,000 Lumens</t>
  </si>
  <si>
    <t>LED Flood 14,000 -23,000 Lumens</t>
  </si>
  <si>
    <t>175W Metal</t>
  </si>
  <si>
    <t>150W Metal</t>
  </si>
  <si>
    <t>400W Metal</t>
  </si>
  <si>
    <t>175 MV</t>
  </si>
  <si>
    <t>400 MV</t>
  </si>
  <si>
    <t>L - Large Commercial &amp; Industrial 3,000 - 5,000 kW</t>
  </si>
  <si>
    <t>SPC-A Small Power Production Or Cogen Less than 100 kW</t>
  </si>
  <si>
    <t>Base Payment (per kWh)</t>
  </si>
  <si>
    <t>Capacity at Distr 15kV or Below (per kW)</t>
  </si>
  <si>
    <t>Capacity at Transm above 25kV (per kW)</t>
  </si>
  <si>
    <t>SPC-B Small Power Production Or Cogen Greater than 100 kW</t>
  </si>
  <si>
    <t>Cable Television Attachment Tariff (CTAT)</t>
  </si>
  <si>
    <t>Three-party Pole Attachment</t>
  </si>
  <si>
    <t>Two-party Pole Attachment</t>
  </si>
  <si>
    <t>Two-party Anchor Attachment</t>
  </si>
  <si>
    <t>Three-party Anchor Attachment</t>
  </si>
  <si>
    <t>Two-party Ground Attachment</t>
  </si>
  <si>
    <t>Three-party Ground Attachment</t>
  </si>
  <si>
    <t>(Not Avail)</t>
  </si>
  <si>
    <t>Rate Schedule</t>
  </si>
  <si>
    <t>NA</t>
  </si>
  <si>
    <t>D - Commercial and Industrial - Direct 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</si>
</sst>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0"/>
    <numFmt numFmtId="166" formatCode="0.0%"/>
    <numFmt numFmtId="167" formatCode="0.000%"/>
    <numFmt numFmtId="168" formatCode="_(* #,##0_);_(* \(#,##0\);_(* &quot;-&quot;??_);_(@_)"/>
    <numFmt numFmtId="169" formatCode="_(* #,##0.00000_);_(* \(#,##0.00000\);_(* &quot;-&quot;??_);_(@_)"/>
    <numFmt numFmtId="170" formatCode="&quot;$&quot;#,##0.00"/>
    <numFmt numFmtId="171" formatCode="0.000000"/>
    <numFmt numFmtId="172" formatCode="0.00000"/>
    <numFmt numFmtId="173" formatCode="&quot;$&quot;#,##0"/>
    <numFmt numFmtId="174" formatCode="_(* #,##0.000000_);_(* \(#,##0.000000\);_(* &quot;-&quot;??_);_(@_)"/>
    <numFmt numFmtId="175" formatCode="&quot;$&quot;#,##0.000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i/>
      <u/>
      <sz val="12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sz val="10"/>
      <color rgb="FF000099"/>
      <name val="Arial"/>
      <family val="2"/>
    </font>
    <font>
      <sz val="10"/>
      <color rgb="FF92D050"/>
      <name val="Arial"/>
      <family val="2"/>
    </font>
    <font>
      <sz val="10"/>
      <color rgb="FF0033CC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2"/>
      <color rgb="FF0000FF"/>
      <name val="Times New Roman"/>
      <family val="1"/>
    </font>
    <font>
      <b/>
      <u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10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2" xfId="0" applyFont="1" applyBorder="1" applyAlignment="1">
      <alignment wrapText="1"/>
    </xf>
    <xf numFmtId="41" fontId="5" fillId="0" borderId="0" xfId="0" applyNumberFormat="1" applyFont="1"/>
    <xf numFmtId="44" fontId="5" fillId="0" borderId="0" xfId="4" applyNumberFormat="1" applyFont="1"/>
    <xf numFmtId="44" fontId="5" fillId="0" borderId="0" xfId="0" applyNumberFormat="1" applyFont="1"/>
    <xf numFmtId="164" fontId="5" fillId="0" borderId="0" xfId="0" applyNumberFormat="1" applyFont="1"/>
    <xf numFmtId="0" fontId="6" fillId="0" borderId="2" xfId="0" applyFont="1" applyBorder="1"/>
    <xf numFmtId="41" fontId="6" fillId="0" borderId="2" xfId="0" applyNumberFormat="1" applyFont="1" applyBorder="1"/>
    <xf numFmtId="168" fontId="5" fillId="0" borderId="0" xfId="1" applyNumberFormat="1" applyFont="1"/>
    <xf numFmtId="44" fontId="5" fillId="0" borderId="0" xfId="0" applyNumberFormat="1" applyFont="1" applyBorder="1"/>
    <xf numFmtId="164" fontId="5" fillId="0" borderId="0" xfId="0" applyNumberFormat="1" applyFont="1" applyBorder="1"/>
    <xf numFmtId="0" fontId="5" fillId="0" borderId="0" xfId="0" applyFont="1" applyBorder="1"/>
    <xf numFmtId="168" fontId="5" fillId="0" borderId="0" xfId="0" applyNumberFormat="1" applyFont="1"/>
    <xf numFmtId="43" fontId="5" fillId="0" borderId="0" xfId="0" applyNumberFormat="1" applyFont="1"/>
    <xf numFmtId="164" fontId="5" fillId="0" borderId="0" xfId="9" applyNumberFormat="1" applyFont="1"/>
    <xf numFmtId="10" fontId="5" fillId="0" borderId="0" xfId="9" applyNumberFormat="1" applyFont="1" applyBorder="1"/>
    <xf numFmtId="164" fontId="5" fillId="0" borderId="3" xfId="0" applyNumberFormat="1" applyFont="1" applyBorder="1"/>
    <xf numFmtId="10" fontId="5" fillId="0" borderId="0" xfId="9" applyNumberFormat="1" applyFont="1"/>
    <xf numFmtId="43" fontId="5" fillId="0" borderId="0" xfId="1" applyFont="1"/>
    <xf numFmtId="0" fontId="5" fillId="0" borderId="0" xfId="0" applyFont="1" applyFill="1"/>
    <xf numFmtId="0" fontId="4" fillId="0" borderId="2" xfId="0" applyFont="1" applyBorder="1" applyAlignment="1">
      <alignment horizontal="right" wrapText="1"/>
    </xf>
    <xf numFmtId="164" fontId="5" fillId="0" borderId="0" xfId="4" applyNumberFormat="1" applyFont="1"/>
    <xf numFmtId="41" fontId="5" fillId="0" borderId="0" xfId="0" applyNumberFormat="1" applyFont="1" applyBorder="1"/>
    <xf numFmtId="165" fontId="5" fillId="0" borderId="0" xfId="0" applyNumberFormat="1" applyFont="1" applyBorder="1"/>
    <xf numFmtId="44" fontId="5" fillId="0" borderId="0" xfId="4" applyFont="1" applyBorder="1"/>
    <xf numFmtId="43" fontId="5" fillId="0" borderId="0" xfId="1" applyFont="1" applyBorder="1"/>
    <xf numFmtId="164" fontId="5" fillId="0" borderId="0" xfId="4" applyNumberFormat="1" applyFont="1" applyBorder="1" applyAlignment="1">
      <alignment horizontal="right"/>
    </xf>
    <xf numFmtId="0" fontId="4" fillId="0" borderId="0" xfId="0" applyFont="1" applyBorder="1"/>
    <xf numFmtId="44" fontId="5" fillId="0" borderId="0" xfId="4" applyNumberFormat="1" applyFont="1" applyBorder="1"/>
    <xf numFmtId="168" fontId="5" fillId="0" borderId="0" xfId="1" applyNumberFormat="1" applyFont="1" applyBorder="1"/>
    <xf numFmtId="0" fontId="5" fillId="0" borderId="0" xfId="0" applyFont="1" applyFill="1" applyBorder="1"/>
    <xf numFmtId="41" fontId="5" fillId="0" borderId="0" xfId="0" applyNumberFormat="1" applyFont="1" applyBorder="1" applyAlignment="1">
      <alignment horizontal="right"/>
    </xf>
    <xf numFmtId="164" fontId="5" fillId="0" borderId="0" xfId="4" applyNumberFormat="1" applyFont="1" applyBorder="1"/>
    <xf numFmtId="168" fontId="5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17" fontId="5" fillId="0" borderId="0" xfId="0" applyNumberFormat="1" applyFont="1" applyBorder="1"/>
    <xf numFmtId="168" fontId="5" fillId="0" borderId="0" xfId="0" applyNumberFormat="1" applyFont="1" applyBorder="1"/>
    <xf numFmtId="0" fontId="5" fillId="0" borderId="0" xfId="0" applyFont="1" applyFill="1" applyBorder="1" applyAlignment="1">
      <alignment horizontal="left"/>
    </xf>
    <xf numFmtId="44" fontId="5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41" fontId="5" fillId="0" borderId="0" xfId="0" applyNumberFormat="1" applyFont="1" applyFill="1"/>
    <xf numFmtId="164" fontId="5" fillId="0" borderId="0" xfId="0" applyNumberFormat="1" applyFont="1" applyFill="1"/>
    <xf numFmtId="168" fontId="5" fillId="0" borderId="0" xfId="1" applyNumberFormat="1" applyFont="1" applyFill="1"/>
    <xf numFmtId="164" fontId="5" fillId="0" borderId="0" xfId="0" applyNumberFormat="1" applyFont="1" applyFill="1" applyBorder="1"/>
    <xf numFmtId="168" fontId="5" fillId="0" borderId="0" xfId="1" applyNumberFormat="1" applyFont="1" applyFill="1" applyBorder="1"/>
    <xf numFmtId="0" fontId="4" fillId="0" borderId="0" xfId="0" quotePrefix="1" applyFont="1" applyFill="1"/>
    <xf numFmtId="168" fontId="5" fillId="0" borderId="0" xfId="0" applyNumberFormat="1" applyFont="1" applyFill="1"/>
    <xf numFmtId="165" fontId="5" fillId="0" borderId="0" xfId="0" applyNumberFormat="1" applyFont="1" applyFill="1"/>
    <xf numFmtId="164" fontId="5" fillId="0" borderId="0" xfId="9" applyNumberFormat="1" applyFont="1" applyFill="1"/>
    <xf numFmtId="10" fontId="5" fillId="0" borderId="0" xfId="9" applyNumberFormat="1" applyFont="1" applyFill="1" applyBorder="1"/>
    <xf numFmtId="164" fontId="5" fillId="0" borderId="2" xfId="0" applyNumberFormat="1" applyFont="1" applyFill="1" applyBorder="1"/>
    <xf numFmtId="164" fontId="5" fillId="0" borderId="0" xfId="9" applyNumberFormat="1" applyFont="1" applyFill="1" applyBorder="1"/>
    <xf numFmtId="167" fontId="5" fillId="0" borderId="0" xfId="9" applyNumberFormat="1" applyFont="1" applyFill="1" applyBorder="1"/>
    <xf numFmtId="44" fontId="5" fillId="0" borderId="0" xfId="4" applyFont="1"/>
    <xf numFmtId="171" fontId="5" fillId="0" borderId="0" xfId="0" applyNumberFormat="1" applyFont="1" applyBorder="1"/>
    <xf numFmtId="164" fontId="5" fillId="0" borderId="0" xfId="1" applyNumberFormat="1" applyFont="1"/>
    <xf numFmtId="164" fontId="5" fillId="0" borderId="0" xfId="4" applyNumberFormat="1" applyFont="1" applyFill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/>
    <xf numFmtId="165" fontId="5" fillId="0" borderId="0" xfId="0" applyNumberFormat="1" applyFont="1" applyFill="1" applyBorder="1"/>
    <xf numFmtId="41" fontId="5" fillId="0" borderId="3" xfId="0" applyNumberFormat="1" applyFont="1" applyFill="1" applyBorder="1"/>
    <xf numFmtId="164" fontId="5" fillId="0" borderId="3" xfId="0" applyNumberFormat="1" applyFont="1" applyFill="1" applyBorder="1"/>
    <xf numFmtId="10" fontId="5" fillId="0" borderId="3" xfId="9" applyNumberFormat="1" applyFont="1" applyFill="1" applyBorder="1"/>
    <xf numFmtId="164" fontId="5" fillId="0" borderId="3" xfId="4" applyNumberFormat="1" applyFont="1" applyFill="1" applyBorder="1"/>
    <xf numFmtId="2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168" fontId="5" fillId="0" borderId="0" xfId="1" applyNumberFormat="1" applyFont="1" applyFill="1" applyBorder="1" applyAlignment="1">
      <alignment horizontal="right"/>
    </xf>
    <xf numFmtId="44" fontId="5" fillId="0" borderId="0" xfId="4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44" fontId="5" fillId="0" borderId="0" xfId="4" applyFont="1" applyFill="1"/>
    <xf numFmtId="168" fontId="5" fillId="0" borderId="0" xfId="9" applyNumberFormat="1" applyFont="1"/>
    <xf numFmtId="168" fontId="5" fillId="0" borderId="0" xfId="0" applyNumberFormat="1" applyFont="1" applyFill="1" applyBorder="1" applyAlignment="1">
      <alignment horizontal="left"/>
    </xf>
    <xf numFmtId="10" fontId="5" fillId="0" borderId="0" xfId="9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69" fontId="5" fillId="0" borderId="0" xfId="1" applyNumberFormat="1" applyFont="1"/>
    <xf numFmtId="0" fontId="4" fillId="0" borderId="0" xfId="0" applyFont="1" applyFill="1" applyBorder="1" applyAlignment="1">
      <alignment horizontal="right"/>
    </xf>
    <xf numFmtId="41" fontId="5" fillId="0" borderId="0" xfId="0" applyNumberFormat="1" applyFont="1" applyFill="1" applyBorder="1"/>
    <xf numFmtId="44" fontId="5" fillId="0" borderId="0" xfId="0" applyNumberFormat="1" applyFont="1" applyFill="1" applyBorder="1"/>
    <xf numFmtId="0" fontId="4" fillId="0" borderId="0" xfId="0" applyFont="1" applyFill="1" applyBorder="1"/>
    <xf numFmtId="4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/>
    <xf numFmtId="170" fontId="5" fillId="0" borderId="0" xfId="0" applyNumberFormat="1" applyFont="1" applyFill="1" applyBorder="1"/>
    <xf numFmtId="0" fontId="4" fillId="0" borderId="0" xfId="0" quotePrefix="1" applyFont="1" applyFill="1" applyBorder="1"/>
    <xf numFmtId="168" fontId="5" fillId="0" borderId="0" xfId="0" applyNumberFormat="1" applyFont="1" applyFill="1" applyBorder="1"/>
    <xf numFmtId="0" fontId="8" fillId="0" borderId="0" xfId="0" applyFont="1"/>
    <xf numFmtId="0" fontId="4" fillId="0" borderId="0" xfId="0" applyFont="1" applyBorder="1" applyAlignment="1">
      <alignment horizontal="right"/>
    </xf>
    <xf numFmtId="164" fontId="5" fillId="0" borderId="0" xfId="5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1" fontId="5" fillId="0" borderId="0" xfId="0" applyNumberFormat="1" applyFont="1" applyFill="1" applyAlignment="1">
      <alignment horizontal="right"/>
    </xf>
    <xf numFmtId="164" fontId="5" fillId="0" borderId="0" xfId="4" applyNumberFormat="1" applyFont="1" applyFill="1" applyAlignment="1">
      <alignment horizontal="right"/>
    </xf>
    <xf numFmtId="164" fontId="5" fillId="0" borderId="0" xfId="4" applyNumberFormat="1" applyFont="1" applyFill="1"/>
    <xf numFmtId="10" fontId="5" fillId="0" borderId="0" xfId="9" applyNumberFormat="1" applyFont="1" applyFill="1"/>
    <xf numFmtId="41" fontId="5" fillId="0" borderId="0" xfId="0" applyNumberFormat="1" applyFont="1" applyFill="1" applyBorder="1" applyAlignment="1">
      <alignment horizontal="right"/>
    </xf>
    <xf numFmtId="44" fontId="5" fillId="0" borderId="0" xfId="4" applyNumberFormat="1" applyFont="1" applyFill="1"/>
    <xf numFmtId="0" fontId="8" fillId="0" borderId="0" xfId="0" applyFont="1" applyAlignment="1">
      <alignment horizontal="center"/>
    </xf>
    <xf numFmtId="0" fontId="6" fillId="0" borderId="0" xfId="0" applyFont="1" applyFill="1"/>
    <xf numFmtId="44" fontId="5" fillId="0" borderId="0" xfId="4" applyFont="1" applyAlignment="1">
      <alignment horizontal="center"/>
    </xf>
    <xf numFmtId="9" fontId="5" fillId="0" borderId="0" xfId="9" applyFont="1"/>
    <xf numFmtId="0" fontId="5" fillId="0" borderId="0" xfId="8" applyFont="1"/>
    <xf numFmtId="0" fontId="5" fillId="0" borderId="0" xfId="8" applyFont="1" applyFill="1"/>
    <xf numFmtId="10" fontId="5" fillId="0" borderId="0" xfId="12" applyNumberFormat="1" applyFont="1"/>
    <xf numFmtId="0" fontId="8" fillId="0" borderId="0" xfId="8" applyFont="1"/>
    <xf numFmtId="0" fontId="4" fillId="0" borderId="2" xfId="8" applyFont="1" applyBorder="1" applyAlignment="1">
      <alignment horizontal="center"/>
    </xf>
    <xf numFmtId="0" fontId="4" fillId="0" borderId="0" xfId="8" applyFont="1" applyAlignment="1">
      <alignment horizontal="right"/>
    </xf>
    <xf numFmtId="0" fontId="4" fillId="0" borderId="0" xfId="8" applyFont="1"/>
    <xf numFmtId="0" fontId="4" fillId="0" borderId="0" xfId="8" applyFont="1" applyAlignment="1">
      <alignment horizontal="center"/>
    </xf>
    <xf numFmtId="0" fontId="4" fillId="0" borderId="0" xfId="8" applyFont="1" applyFill="1" applyAlignment="1">
      <alignment horizontal="right"/>
    </xf>
    <xf numFmtId="0" fontId="4" fillId="0" borderId="2" xfId="8" applyFont="1" applyBorder="1"/>
    <xf numFmtId="0" fontId="4" fillId="0" borderId="2" xfId="8" applyFont="1" applyBorder="1" applyAlignment="1">
      <alignment horizontal="right"/>
    </xf>
    <xf numFmtId="0" fontId="5" fillId="0" borderId="0" xfId="7" applyFont="1" applyFill="1"/>
    <xf numFmtId="43" fontId="5" fillId="0" borderId="0" xfId="3" applyFont="1"/>
    <xf numFmtId="164" fontId="5" fillId="0" borderId="0" xfId="8" applyNumberFormat="1" applyFont="1" applyFill="1"/>
    <xf numFmtId="169" fontId="5" fillId="0" borderId="0" xfId="3" applyNumberFormat="1" applyFont="1"/>
    <xf numFmtId="0" fontId="5" fillId="2" borderId="0" xfId="7" applyFont="1" applyFill="1"/>
    <xf numFmtId="0" fontId="5" fillId="2" borderId="0" xfId="8" applyFont="1" applyFill="1"/>
    <xf numFmtId="164" fontId="5" fillId="2" borderId="0" xfId="5" applyNumberFormat="1" applyFont="1" applyFill="1"/>
    <xf numFmtId="0" fontId="5" fillId="0" borderId="0" xfId="8" applyFont="1" applyAlignment="1">
      <alignment horizontal="center"/>
    </xf>
    <xf numFmtId="0" fontId="5" fillId="0" borderId="3" xfId="8" applyFont="1" applyBorder="1" applyAlignment="1">
      <alignment vertical="center"/>
    </xf>
    <xf numFmtId="164" fontId="5" fillId="0" borderId="3" xfId="8" applyNumberFormat="1" applyFont="1" applyBorder="1" applyAlignment="1">
      <alignment vertical="center"/>
    </xf>
    <xf numFmtId="164" fontId="5" fillId="0" borderId="3" xfId="8" applyNumberFormat="1" applyFont="1" applyFill="1" applyBorder="1" applyAlignment="1">
      <alignment vertical="center"/>
    </xf>
    <xf numFmtId="166" fontId="5" fillId="0" borderId="3" xfId="12" applyNumberFormat="1" applyFont="1" applyBorder="1" applyAlignment="1">
      <alignment vertical="center"/>
    </xf>
    <xf numFmtId="0" fontId="5" fillId="0" borderId="0" xfId="8" applyFont="1" applyAlignment="1">
      <alignment vertical="center"/>
    </xf>
    <xf numFmtId="41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166" fontId="5" fillId="0" borderId="0" xfId="8" applyNumberFormat="1" applyFont="1" applyFill="1"/>
    <xf numFmtId="164" fontId="5" fillId="0" borderId="0" xfId="8" applyNumberFormat="1" applyFont="1"/>
    <xf numFmtId="5" fontId="5" fillId="0" borderId="0" xfId="4" applyNumberFormat="1" applyFont="1" applyFill="1"/>
    <xf numFmtId="5" fontId="5" fillId="2" borderId="0" xfId="4" applyNumberFormat="1" applyFont="1" applyFill="1"/>
    <xf numFmtId="170" fontId="5" fillId="0" borderId="0" xfId="0" applyNumberFormat="1" applyFont="1" applyBorder="1"/>
    <xf numFmtId="0" fontId="5" fillId="0" borderId="0" xfId="1" applyNumberFormat="1" applyFont="1" applyFill="1" applyAlignment="1">
      <alignment horizontal="center"/>
    </xf>
    <xf numFmtId="0" fontId="5" fillId="0" borderId="0" xfId="11" applyNumberFormat="1" applyFont="1" applyFill="1" applyAlignment="1">
      <alignment horizontal="center"/>
    </xf>
    <xf numFmtId="0" fontId="5" fillId="2" borderId="0" xfId="11" applyNumberFormat="1" applyFont="1" applyFill="1" applyAlignment="1">
      <alignment horizontal="center"/>
    </xf>
    <xf numFmtId="10" fontId="5" fillId="2" borderId="0" xfId="11" applyNumberFormat="1" applyFont="1" applyFill="1" applyAlignment="1">
      <alignment horizontal="center"/>
    </xf>
    <xf numFmtId="0" fontId="5" fillId="0" borderId="3" xfId="8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5" fillId="0" borderId="5" xfId="0" applyFont="1" applyBorder="1"/>
    <xf numFmtId="164" fontId="5" fillId="0" borderId="5" xfId="0" applyNumberFormat="1" applyFont="1" applyBorder="1"/>
    <xf numFmtId="164" fontId="5" fillId="0" borderId="5" xfId="0" applyNumberFormat="1" applyFont="1" applyFill="1" applyBorder="1"/>
    <xf numFmtId="44" fontId="5" fillId="0" borderId="5" xfId="0" applyNumberFormat="1" applyFont="1" applyBorder="1"/>
    <xf numFmtId="164" fontId="5" fillId="0" borderId="5" xfId="9" applyNumberFormat="1" applyFont="1" applyBorder="1"/>
    <xf numFmtId="10" fontId="5" fillId="0" borderId="5" xfId="9" applyNumberFormat="1" applyFont="1" applyBorder="1"/>
    <xf numFmtId="0" fontId="11" fillId="0" borderId="0" xfId="0" applyFont="1" applyFill="1"/>
    <xf numFmtId="0" fontId="6" fillId="0" borderId="0" xfId="0" applyFont="1" applyFill="1" applyAlignment="1">
      <alignment horizontal="right"/>
    </xf>
    <xf numFmtId="41" fontId="6" fillId="0" borderId="0" xfId="0" applyNumberFormat="1" applyFont="1" applyFill="1" applyAlignment="1">
      <alignment horizontal="right"/>
    </xf>
    <xf numFmtId="44" fontId="6" fillId="0" borderId="0" xfId="4" applyFont="1" applyFill="1"/>
    <xf numFmtId="168" fontId="5" fillId="0" borderId="5" xfId="1" applyNumberFormat="1" applyFont="1" applyBorder="1"/>
    <xf numFmtId="0" fontId="4" fillId="0" borderId="3" xfId="0" applyFont="1" applyFill="1" applyBorder="1"/>
    <xf numFmtId="168" fontId="5" fillId="0" borderId="3" xfId="0" applyNumberFormat="1" applyFont="1" applyFill="1" applyBorder="1"/>
    <xf numFmtId="0" fontId="4" fillId="0" borderId="0" xfId="0" applyFont="1" applyBorder="1" applyAlignment="1"/>
    <xf numFmtId="0" fontId="4" fillId="0" borderId="0" xfId="0" applyFont="1" applyFill="1" applyBorder="1" applyAlignment="1"/>
    <xf numFmtId="164" fontId="5" fillId="0" borderId="0" xfId="5" applyNumberFormat="1" applyFont="1" applyFill="1"/>
    <xf numFmtId="41" fontId="4" fillId="0" borderId="0" xfId="0" applyNumberFormat="1" applyFont="1" applyBorder="1" applyAlignment="1">
      <alignment horizontal="right" wrapText="1"/>
    </xf>
    <xf numFmtId="164" fontId="5" fillId="0" borderId="0" xfId="9" applyNumberFormat="1" applyFont="1" applyBorder="1"/>
    <xf numFmtId="0" fontId="6" fillId="0" borderId="2" xfId="0" applyFont="1" applyBorder="1" applyAlignment="1">
      <alignment horizontal="right" wrapText="1"/>
    </xf>
    <xf numFmtId="41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44" fontId="5" fillId="0" borderId="0" xfId="4" applyNumberFormat="1" applyFont="1" applyAlignment="1">
      <alignment horizontal="right"/>
    </xf>
    <xf numFmtId="170" fontId="5" fillId="0" borderId="0" xfId="0" applyNumberFormat="1" applyFont="1" applyBorder="1" applyAlignment="1">
      <alignment horizontal="right"/>
    </xf>
    <xf numFmtId="41" fontId="5" fillId="0" borderId="0" xfId="0" applyNumberFormat="1" applyFont="1" applyAlignment="1">
      <alignment horizontal="right"/>
    </xf>
    <xf numFmtId="0" fontId="4" fillId="0" borderId="0" xfId="8" applyFont="1" applyFill="1"/>
    <xf numFmtId="0" fontId="4" fillId="0" borderId="2" xfId="8" applyFont="1" applyFill="1" applyBorder="1" applyAlignment="1">
      <alignment horizontal="right"/>
    </xf>
    <xf numFmtId="166" fontId="5" fillId="0" borderId="0" xfId="9" applyNumberFormat="1" applyFont="1" applyFill="1"/>
    <xf numFmtId="168" fontId="4" fillId="0" borderId="0" xfId="0" applyNumberFormat="1" applyFont="1" applyBorder="1" applyAlignment="1">
      <alignment horizontal="right" wrapText="1"/>
    </xf>
    <xf numFmtId="0" fontId="5" fillId="0" borderId="0" xfId="8" applyFont="1" applyAlignment="1">
      <alignment horizontal="right"/>
    </xf>
    <xf numFmtId="168" fontId="5" fillId="0" borderId="3" xfId="1" applyNumberFormat="1" applyFont="1" applyFill="1" applyBorder="1"/>
    <xf numFmtId="0" fontId="5" fillId="0" borderId="0" xfId="8" applyFont="1" applyBorder="1" applyAlignment="1">
      <alignment vertical="center"/>
    </xf>
    <xf numFmtId="0" fontId="5" fillId="0" borderId="0" xfId="8" applyFont="1" applyBorder="1" applyAlignment="1">
      <alignment horizontal="center" vertical="center"/>
    </xf>
    <xf numFmtId="164" fontId="5" fillId="0" borderId="0" xfId="8" applyNumberFormat="1" applyFont="1" applyBorder="1" applyAlignment="1">
      <alignment vertical="center"/>
    </xf>
    <xf numFmtId="164" fontId="5" fillId="0" borderId="0" xfId="8" applyNumberFormat="1" applyFont="1" applyFill="1" applyBorder="1" applyAlignment="1">
      <alignment vertical="center"/>
    </xf>
    <xf numFmtId="166" fontId="5" fillId="0" borderId="0" xfId="12" applyNumberFormat="1" applyFont="1" applyBorder="1" applyAlignment="1">
      <alignment vertical="center"/>
    </xf>
    <xf numFmtId="7" fontId="5" fillId="0" borderId="0" xfId="4" applyNumberFormat="1" applyFont="1" applyFill="1"/>
    <xf numFmtId="0" fontId="12" fillId="0" borderId="0" xfId="0" applyFont="1" applyFill="1"/>
    <xf numFmtId="0" fontId="7" fillId="0" borderId="0" xfId="0" applyFont="1" applyFill="1"/>
    <xf numFmtId="0" fontId="13" fillId="0" borderId="0" xfId="0" applyFont="1" applyFill="1"/>
    <xf numFmtId="43" fontId="7" fillId="0" borderId="0" xfId="3" applyFont="1" applyFill="1"/>
    <xf numFmtId="0" fontId="14" fillId="0" borderId="0" xfId="0" applyFont="1"/>
    <xf numFmtId="172" fontId="14" fillId="0" borderId="0" xfId="0" applyNumberFormat="1" applyFont="1"/>
    <xf numFmtId="43" fontId="14" fillId="0" borderId="0" xfId="1" applyFont="1"/>
    <xf numFmtId="166" fontId="14" fillId="0" borderId="0" xfId="9" applyNumberFormat="1" applyFont="1"/>
    <xf numFmtId="170" fontId="14" fillId="0" borderId="0" xfId="0" applyNumberFormat="1" applyFont="1"/>
    <xf numFmtId="173" fontId="14" fillId="0" borderId="0" xfId="0" applyNumberFormat="1" applyFont="1"/>
    <xf numFmtId="0" fontId="7" fillId="0" borderId="4" xfId="0" applyFont="1" applyBorder="1"/>
    <xf numFmtId="173" fontId="14" fillId="0" borderId="4" xfId="0" applyNumberFormat="1" applyFont="1" applyBorder="1"/>
    <xf numFmtId="168" fontId="0" fillId="0" borderId="0" xfId="1" applyNumberFormat="1" applyFont="1"/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6" fillId="0" borderId="7" xfId="0" applyFont="1" applyBorder="1" applyAlignment="1">
      <alignment horizontal="right"/>
    </xf>
    <xf numFmtId="0" fontId="0" fillId="0" borderId="0" xfId="0" applyAlignment="1">
      <alignment vertical="top" wrapText="1"/>
    </xf>
    <xf numFmtId="0" fontId="14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Alignment="1">
      <alignment horizontal="center"/>
    </xf>
    <xf numFmtId="0" fontId="5" fillId="0" borderId="0" xfId="8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13" applyFont="1"/>
    <xf numFmtId="0" fontId="4" fillId="0" borderId="0" xfId="8" applyFont="1" applyFill="1" applyAlignment="1">
      <alignment horizontal="center"/>
    </xf>
    <xf numFmtId="0" fontId="5" fillId="0" borderId="0" xfId="8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174" fontId="5" fillId="0" borderId="0" xfId="3" applyNumberFormat="1" applyFont="1"/>
    <xf numFmtId="168" fontId="14" fillId="0" borderId="0" xfId="1" applyNumberFormat="1" applyFont="1"/>
    <xf numFmtId="0" fontId="16" fillId="0" borderId="0" xfId="0" applyFont="1"/>
    <xf numFmtId="0" fontId="15" fillId="0" borderId="0" xfId="0" applyFont="1" applyAlignment="1">
      <alignment horizontal="right"/>
    </xf>
    <xf numFmtId="168" fontId="15" fillId="0" borderId="0" xfId="1" applyNumberFormat="1" applyFont="1" applyAlignment="1">
      <alignment horizontal="right"/>
    </xf>
    <xf numFmtId="168" fontId="18" fillId="3" borderId="0" xfId="1" applyNumberFormat="1" applyFont="1" applyFill="1"/>
    <xf numFmtId="0" fontId="14" fillId="0" borderId="4" xfId="0" applyFont="1" applyBorder="1"/>
    <xf numFmtId="0" fontId="3" fillId="0" borderId="4" xfId="0" applyFont="1" applyFill="1" applyBorder="1"/>
    <xf numFmtId="0" fontId="14" fillId="0" borderId="4" xfId="0" applyFont="1" applyFill="1" applyBorder="1"/>
    <xf numFmtId="168" fontId="14" fillId="0" borderId="4" xfId="1" applyNumberFormat="1" applyFont="1" applyBorder="1"/>
    <xf numFmtId="0" fontId="14" fillId="0" borderId="0" xfId="0" applyFont="1" applyBorder="1"/>
    <xf numFmtId="0" fontId="3" fillId="0" borderId="0" xfId="0" applyFont="1" applyFill="1" applyBorder="1"/>
    <xf numFmtId="0" fontId="14" fillId="0" borderId="0" xfId="0" applyFont="1" applyFill="1" applyBorder="1"/>
    <xf numFmtId="168" fontId="14" fillId="0" borderId="0" xfId="1" applyNumberFormat="1" applyFont="1" applyBorder="1"/>
    <xf numFmtId="0" fontId="19" fillId="0" borderId="4" xfId="0" applyFont="1" applyFill="1" applyBorder="1"/>
    <xf numFmtId="43" fontId="20" fillId="0" borderId="0" xfId="1" applyFont="1" applyFill="1" applyAlignment="1">
      <alignment horizontal="center"/>
    </xf>
    <xf numFmtId="9" fontId="14" fillId="0" borderId="0" xfId="9" applyFont="1" applyBorder="1"/>
    <xf numFmtId="0" fontId="20" fillId="0" borderId="0" xfId="0" applyFont="1" applyFill="1" applyAlignment="1">
      <alignment horizontal="center"/>
    </xf>
    <xf numFmtId="168" fontId="14" fillId="0" borderId="0" xfId="0" applyNumberFormat="1" applyFont="1" applyBorder="1"/>
    <xf numFmtId="175" fontId="5" fillId="0" borderId="0" xfId="0" applyNumberFormat="1" applyFont="1" applyBorder="1"/>
    <xf numFmtId="0" fontId="5" fillId="0" borderId="4" xfId="0" applyFont="1" applyBorder="1"/>
    <xf numFmtId="164" fontId="5" fillId="0" borderId="4" xfId="0" applyNumberFormat="1" applyFont="1" applyBorder="1"/>
    <xf numFmtId="41" fontId="5" fillId="0" borderId="4" xfId="0" applyNumberFormat="1" applyFont="1" applyBorder="1"/>
    <xf numFmtId="0" fontId="8" fillId="0" borderId="0" xfId="15" applyFont="1"/>
    <xf numFmtId="0" fontId="3" fillId="0" borderId="0" xfId="15" applyAlignment="1">
      <alignment horizontal="center"/>
    </xf>
    <xf numFmtId="0" fontId="3" fillId="0" borderId="0" xfId="15"/>
    <xf numFmtId="0" fontId="8" fillId="0" borderId="0" xfId="15" applyFont="1" applyAlignment="1">
      <alignment horizontal="left"/>
    </xf>
    <xf numFmtId="0" fontId="12" fillId="0" borderId="8" xfId="15" applyFont="1" applyBorder="1" applyAlignment="1">
      <alignment horizontal="center" vertical="center"/>
    </xf>
    <xf numFmtId="0" fontId="12" fillId="0" borderId="9" xfId="15" applyFont="1" applyBorder="1" applyAlignment="1">
      <alignment horizontal="center" vertical="center"/>
    </xf>
    <xf numFmtId="0" fontId="12" fillId="0" borderId="29" xfId="15" applyFont="1" applyBorder="1" applyAlignment="1">
      <alignment horizontal="center" vertical="center"/>
    </xf>
    <xf numFmtId="0" fontId="12" fillId="0" borderId="30" xfId="15" applyFont="1" applyBorder="1" applyAlignment="1">
      <alignment horizontal="center" vertical="center"/>
    </xf>
    <xf numFmtId="0" fontId="12" fillId="0" borderId="31" xfId="15" applyFont="1" applyBorder="1" applyAlignment="1">
      <alignment horizontal="center" vertical="center"/>
    </xf>
    <xf numFmtId="0" fontId="12" fillId="0" borderId="31" xfId="15" applyFont="1" applyFill="1" applyBorder="1" applyAlignment="1">
      <alignment horizontal="center" vertical="center"/>
    </xf>
    <xf numFmtId="0" fontId="12" fillId="0" borderId="32" xfId="15" applyFont="1" applyFill="1" applyBorder="1" applyAlignment="1">
      <alignment horizontal="center" vertical="center"/>
    </xf>
    <xf numFmtId="0" fontId="12" fillId="0" borderId="0" xfId="15" applyFont="1"/>
    <xf numFmtId="0" fontId="12" fillId="0" borderId="10" xfId="15" applyFont="1" applyBorder="1" applyAlignment="1">
      <alignment horizontal="center" vertical="center"/>
    </xf>
    <xf numFmtId="0" fontId="12" fillId="0" borderId="11" xfId="15" applyFont="1" applyBorder="1" applyAlignment="1">
      <alignment horizontal="center" vertical="center"/>
    </xf>
    <xf numFmtId="44" fontId="21" fillId="0" borderId="11" xfId="15" applyNumberFormat="1" applyFont="1" applyBorder="1" applyAlignment="1">
      <alignment horizontal="center" vertical="center"/>
    </xf>
    <xf numFmtId="0" fontId="21" fillId="0" borderId="11" xfId="15" applyFont="1" applyBorder="1" applyAlignment="1">
      <alignment horizontal="center" vertical="center"/>
    </xf>
    <xf numFmtId="0" fontId="12" fillId="0" borderId="11" xfId="15" applyFont="1" applyFill="1" applyBorder="1" applyAlignment="1">
      <alignment horizontal="center" vertical="center"/>
    </xf>
    <xf numFmtId="0" fontId="12" fillId="0" borderId="33" xfId="15" applyFont="1" applyFill="1" applyBorder="1" applyAlignment="1">
      <alignment horizontal="center" vertical="center"/>
    </xf>
    <xf numFmtId="0" fontId="3" fillId="0" borderId="12" xfId="15" applyBorder="1" applyAlignment="1">
      <alignment horizontal="center"/>
    </xf>
    <xf numFmtId="168" fontId="0" fillId="0" borderId="13" xfId="16" applyNumberFormat="1" applyFont="1" applyBorder="1"/>
    <xf numFmtId="44" fontId="3" fillId="0" borderId="14" xfId="15" applyNumberFormat="1" applyFont="1" applyBorder="1"/>
    <xf numFmtId="44" fontId="3" fillId="0" borderId="0" xfId="15" applyNumberFormat="1" applyFont="1" applyBorder="1"/>
    <xf numFmtId="44" fontId="3" fillId="0" borderId="5" xfId="15" applyNumberFormat="1" applyFont="1" applyBorder="1"/>
    <xf numFmtId="44" fontId="3" fillId="0" borderId="14" xfId="17" applyFont="1" applyBorder="1"/>
    <xf numFmtId="44" fontId="3" fillId="0" borderId="5" xfId="17" applyNumberFormat="1" applyFont="1" applyBorder="1"/>
    <xf numFmtId="44" fontId="3" fillId="0" borderId="14" xfId="17" applyNumberFormat="1" applyFont="1" applyBorder="1"/>
    <xf numFmtId="166" fontId="3" fillId="0" borderId="15" xfId="18" applyNumberFormat="1" applyFont="1" applyBorder="1"/>
    <xf numFmtId="0" fontId="3" fillId="0" borderId="10" xfId="15" applyBorder="1" applyAlignment="1">
      <alignment horizontal="center"/>
    </xf>
    <xf numFmtId="168" fontId="0" fillId="0" borderId="11" xfId="16" applyNumberFormat="1" applyFont="1" applyBorder="1"/>
    <xf numFmtId="44" fontId="3" fillId="0" borderId="16" xfId="15" applyNumberFormat="1" applyFont="1" applyBorder="1"/>
    <xf numFmtId="44" fontId="3" fillId="0" borderId="19" xfId="15" applyNumberFormat="1" applyFont="1" applyBorder="1"/>
    <xf numFmtId="44" fontId="3" fillId="0" borderId="17" xfId="15" applyNumberFormat="1" applyFont="1" applyBorder="1"/>
    <xf numFmtId="44" fontId="3" fillId="0" borderId="16" xfId="17" applyFont="1" applyBorder="1"/>
    <xf numFmtId="44" fontId="3" fillId="0" borderId="17" xfId="17" applyNumberFormat="1" applyFont="1" applyBorder="1"/>
    <xf numFmtId="44" fontId="3" fillId="0" borderId="16" xfId="17" applyNumberFormat="1" applyFont="1" applyBorder="1"/>
    <xf numFmtId="166" fontId="3" fillId="0" borderId="18" xfId="18" applyNumberFormat="1" applyFont="1" applyBorder="1"/>
    <xf numFmtId="44" fontId="3" fillId="0" borderId="0" xfId="15" applyNumberFormat="1"/>
    <xf numFmtId="44" fontId="17" fillId="0" borderId="0" xfId="15" applyNumberFormat="1" applyFont="1"/>
    <xf numFmtId="43" fontId="3" fillId="0" borderId="0" xfId="15" applyNumberFormat="1"/>
    <xf numFmtId="9" fontId="0" fillId="0" borderId="0" xfId="18" applyFont="1"/>
    <xf numFmtId="43" fontId="5" fillId="0" borderId="0" xfId="9" applyNumberFormat="1" applyFont="1"/>
    <xf numFmtId="43" fontId="5" fillId="0" borderId="0" xfId="8" applyNumberFormat="1" applyFont="1"/>
    <xf numFmtId="0" fontId="0" fillId="0" borderId="0" xfId="0" applyAlignment="1">
      <alignment horizontal="center" vertical="top" wrapText="1"/>
    </xf>
    <xf numFmtId="43" fontId="3" fillId="0" borderId="0" xfId="1" applyFont="1" applyFill="1"/>
    <xf numFmtId="174" fontId="3" fillId="0" borderId="0" xfId="3" applyNumberFormat="1" applyFont="1"/>
    <xf numFmtId="0" fontId="13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14" fillId="0" borderId="0" xfId="0" applyFont="1" applyAlignment="1">
      <alignment horizontal="left" vertical="top"/>
    </xf>
    <xf numFmtId="166" fontId="5" fillId="0" borderId="0" xfId="9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6" fillId="0" borderId="0" xfId="0" applyNumberFormat="1" applyFont="1" applyFill="1"/>
    <xf numFmtId="175" fontId="6" fillId="0" borderId="4" xfId="0" applyNumberFormat="1" applyFont="1" applyBorder="1"/>
    <xf numFmtId="41" fontId="5" fillId="4" borderId="0" xfId="0" applyNumberFormat="1" applyFont="1" applyFill="1" applyBorder="1"/>
    <xf numFmtId="170" fontId="5" fillId="4" borderId="0" xfId="0" applyNumberFormat="1" applyFont="1" applyFill="1" applyBorder="1"/>
    <xf numFmtId="170" fontId="5" fillId="4" borderId="0" xfId="0" applyNumberFormat="1" applyFont="1" applyFill="1" applyBorder="1" applyAlignment="1">
      <alignment horizontal="right"/>
    </xf>
    <xf numFmtId="41" fontId="5" fillId="0" borderId="4" xfId="0" applyNumberFormat="1" applyFont="1" applyFill="1" applyBorder="1"/>
    <xf numFmtId="168" fontId="23" fillId="3" borderId="0" xfId="1" applyNumberFormat="1" applyFont="1" applyFill="1"/>
    <xf numFmtId="43" fontId="4" fillId="0" borderId="0" xfId="8" applyNumberFormat="1" applyFont="1"/>
    <xf numFmtId="43" fontId="5" fillId="0" borderId="0" xfId="8" applyNumberFormat="1" applyFont="1" applyFill="1"/>
    <xf numFmtId="43" fontId="5" fillId="0" borderId="0" xfId="1" applyFont="1" applyFill="1"/>
    <xf numFmtId="9" fontId="5" fillId="0" borderId="0" xfId="9" applyFont="1" applyFill="1"/>
    <xf numFmtId="43" fontId="23" fillId="3" borderId="0" xfId="1" applyFont="1" applyFill="1"/>
    <xf numFmtId="2" fontId="5" fillId="0" borderId="0" xfId="8" applyNumberFormat="1" applyFont="1"/>
    <xf numFmtId="174" fontId="5" fillId="0" borderId="0" xfId="1" applyNumberFormat="1" applyFont="1"/>
    <xf numFmtId="0" fontId="4" fillId="0" borderId="0" xfId="8" applyFont="1" applyAlignment="1">
      <alignment horizontal="right" indent="1"/>
    </xf>
    <xf numFmtId="10" fontId="5" fillId="0" borderId="0" xfId="0" applyNumberFormat="1" applyFont="1"/>
    <xf numFmtId="166" fontId="5" fillId="2" borderId="0" xfId="9" applyNumberFormat="1" applyFont="1" applyFill="1"/>
    <xf numFmtId="0" fontId="24" fillId="0" borderId="0" xfId="8" applyFont="1"/>
    <xf numFmtId="41" fontId="6" fillId="0" borderId="0" xfId="0" applyNumberFormat="1" applyFont="1" applyFill="1"/>
    <xf numFmtId="41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168" fontId="6" fillId="0" borderId="0" xfId="1" applyNumberFormat="1" applyFont="1" applyBorder="1"/>
    <xf numFmtId="166" fontId="14" fillId="0" borderId="4" xfId="9" applyNumberFormat="1" applyFont="1" applyBorder="1"/>
    <xf numFmtId="10" fontId="5" fillId="0" borderId="3" xfId="9" applyNumberFormat="1" applyFont="1" applyBorder="1" applyAlignment="1">
      <alignment vertical="center"/>
    </xf>
    <xf numFmtId="44" fontId="5" fillId="0" borderId="0" xfId="5" applyNumberFormat="1" applyFont="1"/>
    <xf numFmtId="43" fontId="3" fillId="0" borderId="35" xfId="1" applyFont="1" applyFill="1" applyBorder="1"/>
    <xf numFmtId="0" fontId="3" fillId="0" borderId="2" xfId="0" applyFont="1" applyFill="1" applyBorder="1"/>
    <xf numFmtId="174" fontId="3" fillId="0" borderId="37" xfId="3" applyNumberFormat="1" applyFont="1" applyBorder="1"/>
    <xf numFmtId="0" fontId="14" fillId="0" borderId="36" xfId="0" applyFont="1" applyBorder="1"/>
    <xf numFmtId="0" fontId="14" fillId="0" borderId="2" xfId="0" applyFont="1" applyBorder="1"/>
    <xf numFmtId="0" fontId="12" fillId="0" borderId="4" xfId="0" applyFont="1" applyFill="1" applyBorder="1"/>
    <xf numFmtId="0" fontId="12" fillId="0" borderId="37" xfId="0" applyFont="1" applyFill="1" applyBorder="1" applyAlignment="1">
      <alignment horizontal="right"/>
    </xf>
    <xf numFmtId="43" fontId="3" fillId="0" borderId="5" xfId="1" applyFont="1" applyFill="1" applyBorder="1"/>
    <xf numFmtId="174" fontId="3" fillId="0" borderId="5" xfId="3" applyNumberFormat="1" applyFont="1" applyBorder="1"/>
    <xf numFmtId="43" fontId="3" fillId="0" borderId="5" xfId="1" applyFont="1" applyBorder="1"/>
    <xf numFmtId="43" fontId="3" fillId="0" borderId="35" xfId="1" applyFont="1" applyBorder="1"/>
    <xf numFmtId="174" fontId="3" fillId="0" borderId="5" xfId="1" applyNumberFormat="1" applyFont="1" applyBorder="1"/>
    <xf numFmtId="0" fontId="14" fillId="0" borderId="37" xfId="0" applyFont="1" applyBorder="1"/>
    <xf numFmtId="0" fontId="14" fillId="0" borderId="0" xfId="0" applyFont="1" applyBorder="1" applyAlignment="1"/>
    <xf numFmtId="174" fontId="3" fillId="0" borderId="35" xfId="3" applyNumberFormat="1" applyFont="1" applyBorder="1"/>
    <xf numFmtId="43" fontId="14" fillId="0" borderId="5" xfId="1" applyFont="1" applyBorder="1"/>
    <xf numFmtId="43" fontId="14" fillId="0" borderId="37" xfId="1" applyFont="1" applyBorder="1"/>
    <xf numFmtId="43" fontId="14" fillId="0" borderId="35" xfId="1" applyFont="1" applyBorder="1"/>
    <xf numFmtId="43" fontId="14" fillId="0" borderId="5" xfId="1" applyFont="1" applyBorder="1" applyAlignment="1">
      <alignment horizontal="right"/>
    </xf>
    <xf numFmtId="0" fontId="12" fillId="0" borderId="36" xfId="0" applyFont="1" applyFill="1" applyBorder="1" applyAlignment="1">
      <alignment horizontal="right"/>
    </xf>
    <xf numFmtId="43" fontId="3" fillId="0" borderId="34" xfId="1" applyFont="1" applyFill="1" applyBorder="1"/>
    <xf numFmtId="174" fontId="3" fillId="0" borderId="36" xfId="3" applyNumberFormat="1" applyFont="1" applyBorder="1"/>
    <xf numFmtId="43" fontId="3" fillId="0" borderId="14" xfId="1" applyFont="1" applyFill="1" applyBorder="1"/>
    <xf numFmtId="174" fontId="3" fillId="0" borderId="14" xfId="3" applyNumberFormat="1" applyFont="1" applyBorder="1"/>
    <xf numFmtId="43" fontId="3" fillId="0" borderId="14" xfId="1" applyFont="1" applyBorder="1"/>
    <xf numFmtId="43" fontId="3" fillId="0" borderId="34" xfId="3" applyFont="1" applyBorder="1"/>
    <xf numFmtId="43" fontId="3" fillId="0" borderId="34" xfId="1" applyFont="1" applyBorder="1"/>
    <xf numFmtId="174" fontId="3" fillId="0" borderId="34" xfId="3" applyNumberFormat="1" applyFont="1" applyBorder="1"/>
    <xf numFmtId="43" fontId="14" fillId="0" borderId="14" xfId="1" applyFont="1" applyBorder="1"/>
    <xf numFmtId="43" fontId="14" fillId="0" borderId="36" xfId="1" applyFont="1" applyBorder="1"/>
    <xf numFmtId="43" fontId="14" fillId="0" borderId="34" xfId="1" applyFont="1" applyBorder="1"/>
    <xf numFmtId="43" fontId="14" fillId="0" borderId="14" xfId="1" applyFont="1" applyBorder="1" applyAlignment="1">
      <alignment horizontal="right"/>
    </xf>
    <xf numFmtId="0" fontId="12" fillId="0" borderId="40" xfId="0" applyFont="1" applyFill="1" applyBorder="1"/>
    <xf numFmtId="0" fontId="14" fillId="0" borderId="30" xfId="0" applyFont="1" applyBorder="1"/>
    <xf numFmtId="0" fontId="3" fillId="0" borderId="13" xfId="0" applyFont="1" applyFill="1" applyBorder="1" applyAlignment="1">
      <alignment wrapText="1"/>
    </xf>
    <xf numFmtId="0" fontId="3" fillId="0" borderId="30" xfId="0" applyFont="1" applyFill="1" applyBorder="1" applyAlignment="1">
      <alignment wrapText="1"/>
    </xf>
    <xf numFmtId="0" fontId="14" fillId="0" borderId="13" xfId="0" applyFont="1" applyBorder="1" applyAlignment="1"/>
    <xf numFmtId="0" fontId="3" fillId="0" borderId="13" xfId="0" applyFont="1" applyFill="1" applyBorder="1"/>
    <xf numFmtId="0" fontId="14" fillId="0" borderId="13" xfId="0" applyFont="1" applyBorder="1"/>
    <xf numFmtId="168" fontId="3" fillId="0" borderId="0" xfId="1" applyNumberFormat="1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 wrapText="1"/>
    </xf>
    <xf numFmtId="0" fontId="4" fillId="0" borderId="2" xfId="8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25" xfId="15" applyFont="1" applyBorder="1" applyAlignment="1">
      <alignment horizontal="center" vertical="center"/>
    </xf>
    <xf numFmtId="0" fontId="12" fillId="0" borderId="26" xfId="15" applyFont="1" applyBorder="1" applyAlignment="1">
      <alignment horizontal="center" vertical="center"/>
    </xf>
    <xf numFmtId="0" fontId="12" fillId="0" borderId="27" xfId="15" applyFont="1" applyBorder="1" applyAlignment="1">
      <alignment horizontal="center" vertical="center"/>
    </xf>
    <xf numFmtId="0" fontId="12" fillId="0" borderId="27" xfId="15" applyFont="1" applyFill="1" applyBorder="1" applyAlignment="1">
      <alignment horizontal="center" vertical="center"/>
    </xf>
    <xf numFmtId="0" fontId="12" fillId="0" borderId="28" xfId="15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39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</cellXfs>
  <cellStyles count="20">
    <cellStyle name="Comma" xfId="1" builtinId="3"/>
    <cellStyle name="Comma 2" xfId="2" xr:uid="{00000000-0005-0000-0000-000001000000}"/>
    <cellStyle name="Comma 3" xfId="3" xr:uid="{00000000-0005-0000-0000-000002000000}"/>
    <cellStyle name="Comma 3 2" xfId="16" xr:uid="{00000000-0005-0000-0000-000003000000}"/>
    <cellStyle name="Comma 4" xfId="14" xr:uid="{00000000-0005-0000-0000-000004000000}"/>
    <cellStyle name="Currency" xfId="4" builtinId="4"/>
    <cellStyle name="Currency 2" xfId="5" xr:uid="{00000000-0005-0000-0000-000006000000}"/>
    <cellStyle name="Currency 2 2" xfId="17" xr:uid="{00000000-0005-0000-0000-000007000000}"/>
    <cellStyle name="Currency 3" xfId="6" xr:uid="{00000000-0005-0000-0000-000008000000}"/>
    <cellStyle name="Normal" xfId="0" builtinId="0"/>
    <cellStyle name="Normal 2" xfId="7" xr:uid="{00000000-0005-0000-0000-00000A000000}"/>
    <cellStyle name="Normal 2 2" xfId="15" xr:uid="{00000000-0005-0000-0000-00000B000000}"/>
    <cellStyle name="Normal 3" xfId="8" xr:uid="{00000000-0005-0000-0000-00000C000000}"/>
    <cellStyle name="Normal 4" xfId="13" xr:uid="{00000000-0005-0000-0000-00000D000000}"/>
    <cellStyle name="Percent" xfId="9" builtinId="5"/>
    <cellStyle name="Percent 2" xfId="10" xr:uid="{00000000-0005-0000-0000-00000F000000}"/>
    <cellStyle name="Percent 2 2" xfId="11" xr:uid="{00000000-0005-0000-0000-000010000000}"/>
    <cellStyle name="Percent 3" xfId="12" xr:uid="{00000000-0005-0000-0000-000011000000}"/>
    <cellStyle name="Percent 3 2" xfId="18" xr:uid="{00000000-0005-0000-0000-000012000000}"/>
    <cellStyle name="Percent 4" xfId="19" xr:uid="{00000000-0005-0000-0000-000013000000}"/>
  </cellStyles>
  <dxfs count="0"/>
  <tableStyles count="0" defaultTableStyle="TableStyleMedium9" defaultPivotStyle="PivotStyleLight16"/>
  <colors>
    <mruColors>
      <color rgb="FF0000FF"/>
      <color rgb="FFFFFFCC"/>
      <color rgb="FFF93D4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76"/>
  <sheetViews>
    <sheetView tabSelected="1" view="pageBreakPreview" zoomScale="60" zoomScaleNormal="75" workbookViewId="0">
      <selection activeCell="A27" sqref="A27"/>
    </sheetView>
  </sheetViews>
  <sheetFormatPr defaultColWidth="9.109375" defaultRowHeight="15.6" x14ac:dyDescent="0.3"/>
  <cols>
    <col min="1" max="1" width="3.88671875" style="211" customWidth="1"/>
    <col min="2" max="2" width="39.109375" style="112" customWidth="1"/>
    <col min="3" max="3" width="8.33203125" style="130" customWidth="1"/>
    <col min="4" max="4" width="35.6640625" style="112" customWidth="1"/>
    <col min="5" max="5" width="1.5546875" style="112" customWidth="1"/>
    <col min="6" max="6" width="12.109375" style="112" customWidth="1"/>
    <col min="7" max="7" width="14.109375" style="113" customWidth="1"/>
    <col min="8" max="8" width="12.6640625" style="112" customWidth="1"/>
    <col min="9" max="9" width="12" style="112" hidden="1" customWidth="1"/>
    <col min="10" max="10" width="13.44140625" style="112" customWidth="1"/>
    <col min="11" max="11" width="1.5546875" style="112" customWidth="1"/>
    <col min="12" max="12" width="15.44140625" style="112" bestFit="1" customWidth="1"/>
    <col min="13" max="13" width="14.33203125" style="112" customWidth="1"/>
    <col min="14" max="14" width="16.109375" style="112" bestFit="1" customWidth="1"/>
    <col min="15" max="15" width="14.33203125" style="112" customWidth="1"/>
    <col min="16" max="16" width="11.44140625" style="112" bestFit="1" customWidth="1"/>
    <col min="17" max="17" width="10.6640625" style="113" bestFit="1" customWidth="1"/>
    <col min="18" max="18" width="12.21875" style="112" customWidth="1"/>
    <col min="19" max="19" width="16.21875" style="112" bestFit="1" customWidth="1"/>
    <col min="20" max="20" width="14.6640625" style="112" customWidth="1"/>
    <col min="21" max="21" width="16.109375" style="112" bestFit="1" customWidth="1"/>
    <col min="22" max="22" width="15.33203125" style="112" customWidth="1"/>
    <col min="23" max="23" width="22" style="112" customWidth="1"/>
    <col min="24" max="24" width="13" style="112" customWidth="1"/>
    <col min="25" max="25" width="9.109375" style="112"/>
    <col min="26" max="26" width="4.6640625" style="112" customWidth="1"/>
    <col min="27" max="27" width="13.5546875" style="112" customWidth="1"/>
    <col min="28" max="28" width="22.33203125" style="112" customWidth="1"/>
    <col min="29" max="30" width="9.109375" style="112"/>
    <col min="31" max="31" width="11.44140625" style="112" customWidth="1"/>
    <col min="32" max="32" width="12.44140625" style="112" customWidth="1"/>
    <col min="33" max="33" width="11.44140625" style="112" customWidth="1"/>
    <col min="34" max="34" width="16.109375" style="112" customWidth="1"/>
    <col min="35" max="35" width="11.44140625" style="112" customWidth="1"/>
    <col min="36" max="36" width="12.109375" style="112" customWidth="1"/>
    <col min="37" max="37" width="11.44140625" style="112" customWidth="1"/>
    <col min="38" max="16384" width="9.109375" style="112"/>
  </cols>
  <sheetData>
    <row r="1" spans="1:29" ht="17.399999999999999" x14ac:dyDescent="0.3">
      <c r="A1" s="97" t="s">
        <v>103</v>
      </c>
      <c r="C1" s="119"/>
      <c r="F1" s="118"/>
      <c r="G1" s="176"/>
      <c r="H1" s="119"/>
      <c r="I1" s="118"/>
      <c r="J1" s="118"/>
      <c r="N1" s="118"/>
    </row>
    <row r="2" spans="1:29" ht="17.399999999999999" x14ac:dyDescent="0.3">
      <c r="A2" s="115" t="s">
        <v>21</v>
      </c>
      <c r="H2" s="113"/>
      <c r="I2" s="113"/>
      <c r="U2" s="180"/>
      <c r="V2" s="180"/>
    </row>
    <row r="3" spans="1:29" x14ac:dyDescent="0.3">
      <c r="U3" s="26"/>
      <c r="V3" s="139"/>
      <c r="W3" s="22"/>
    </row>
    <row r="4" spans="1:29" x14ac:dyDescent="0.3">
      <c r="B4" s="362" t="s">
        <v>22</v>
      </c>
      <c r="C4" s="362"/>
      <c r="D4" s="362"/>
      <c r="F4" s="362" t="s">
        <v>23</v>
      </c>
      <c r="G4" s="362"/>
      <c r="H4" s="362"/>
      <c r="I4" s="362"/>
      <c r="J4" s="362"/>
      <c r="L4" s="362" t="s">
        <v>38</v>
      </c>
      <c r="M4" s="362"/>
      <c r="N4" s="362"/>
      <c r="O4" s="362"/>
      <c r="P4" s="362"/>
      <c r="Q4" s="362"/>
    </row>
    <row r="5" spans="1:29" x14ac:dyDescent="0.3">
      <c r="E5" s="128"/>
      <c r="K5" s="128"/>
      <c r="Q5" s="112"/>
    </row>
    <row r="6" spans="1:29" s="118" customFormat="1" x14ac:dyDescent="0.3">
      <c r="A6" s="214"/>
      <c r="C6" s="119"/>
      <c r="D6" s="119" t="s">
        <v>24</v>
      </c>
      <c r="E6" s="128"/>
      <c r="F6" s="117" t="s">
        <v>55</v>
      </c>
      <c r="G6" s="120" t="s">
        <v>25</v>
      </c>
      <c r="H6" s="117" t="s">
        <v>26</v>
      </c>
      <c r="I6" s="117" t="s">
        <v>61</v>
      </c>
      <c r="J6" s="117" t="s">
        <v>61</v>
      </c>
      <c r="K6" s="128"/>
      <c r="L6" s="120" t="s">
        <v>57</v>
      </c>
      <c r="M6" s="120" t="s">
        <v>39</v>
      </c>
      <c r="N6" s="117" t="s">
        <v>26</v>
      </c>
      <c r="O6" s="117" t="s">
        <v>27</v>
      </c>
      <c r="P6" s="117" t="s">
        <v>27</v>
      </c>
      <c r="Q6" s="117" t="s">
        <v>27</v>
      </c>
      <c r="R6" s="119"/>
      <c r="T6" s="112"/>
      <c r="U6" s="112"/>
      <c r="V6" s="311" t="s">
        <v>150</v>
      </c>
      <c r="Y6" s="118" t="s">
        <v>153</v>
      </c>
      <c r="AA6" s="117" t="s">
        <v>4</v>
      </c>
      <c r="AB6" s="308" t="s">
        <v>27</v>
      </c>
    </row>
    <row r="7" spans="1:29" s="118" customFormat="1" x14ac:dyDescent="0.3">
      <c r="A7" s="214"/>
      <c r="B7" s="121" t="s">
        <v>28</v>
      </c>
      <c r="C7" s="116" t="s">
        <v>29</v>
      </c>
      <c r="D7" s="116" t="s">
        <v>30</v>
      </c>
      <c r="E7" s="128"/>
      <c r="F7" s="122" t="s">
        <v>4</v>
      </c>
      <c r="G7" s="177" t="s">
        <v>4</v>
      </c>
      <c r="H7" s="122" t="s">
        <v>4</v>
      </c>
      <c r="I7" s="122" t="s">
        <v>56</v>
      </c>
      <c r="J7" s="122" t="s">
        <v>62</v>
      </c>
      <c r="K7" s="128"/>
      <c r="L7" s="122" t="s">
        <v>20</v>
      </c>
      <c r="M7" s="122" t="s">
        <v>20</v>
      </c>
      <c r="N7" s="122" t="s">
        <v>20</v>
      </c>
      <c r="O7" s="122" t="s">
        <v>31</v>
      </c>
      <c r="P7" s="122" t="s">
        <v>32</v>
      </c>
      <c r="Q7" s="122" t="s">
        <v>44</v>
      </c>
      <c r="R7" s="119"/>
      <c r="U7" s="112"/>
      <c r="V7" s="112" t="s">
        <v>151</v>
      </c>
      <c r="W7" s="301">
        <f>G9</f>
        <v>16.399999999999999</v>
      </c>
      <c r="Y7" s="111">
        <v>0.25</v>
      </c>
      <c r="Z7" s="112"/>
      <c r="AA7" s="23">
        <f>W7+(W9)*Y7</f>
        <v>22.689999999999998</v>
      </c>
      <c r="AB7" s="23">
        <f>AA7-W7</f>
        <v>6.2899999999999991</v>
      </c>
      <c r="AC7" s="291">
        <f>AB7/W7</f>
        <v>0.38353658536585367</v>
      </c>
    </row>
    <row r="8" spans="1:29" x14ac:dyDescent="0.3">
      <c r="E8" s="128"/>
      <c r="G8" s="112"/>
      <c r="K8" s="128"/>
      <c r="V8" s="112" t="s">
        <v>152</v>
      </c>
      <c r="W8" s="305">
        <v>41.56</v>
      </c>
      <c r="Y8" s="111">
        <v>0.33</v>
      </c>
      <c r="AA8" s="23">
        <f>W7+W9*Y8</f>
        <v>24.7028</v>
      </c>
      <c r="AB8" s="283">
        <f>AA8-W7</f>
        <v>8.3028000000000013</v>
      </c>
      <c r="AC8" s="291">
        <f>AB8/W7</f>
        <v>0.50626829268292695</v>
      </c>
    </row>
    <row r="9" spans="1:29" s="113" customFormat="1" x14ac:dyDescent="0.3">
      <c r="A9" s="211">
        <v>1</v>
      </c>
      <c r="B9" s="2" t="str">
        <f>List!B5</f>
        <v>R - Residential</v>
      </c>
      <c r="C9" s="143" t="str">
        <f>List!C5</f>
        <v>R</v>
      </c>
      <c r="D9" s="112" t="s">
        <v>137</v>
      </c>
      <c r="E9" s="128"/>
      <c r="F9" s="23">
        <v>16.399999999999999</v>
      </c>
      <c r="G9" s="23">
        <v>16.399999999999999</v>
      </c>
      <c r="H9" s="23">
        <f>ROUND(G9*R9,2)</f>
        <v>21.25</v>
      </c>
      <c r="I9" s="124">
        <f>H9-F9</f>
        <v>4.8500000000000014</v>
      </c>
      <c r="J9" s="23">
        <f>ROUND(H9-G9,2)</f>
        <v>4.8499999999999996</v>
      </c>
      <c r="K9" s="128"/>
      <c r="L9" s="99">
        <f>'R'!G23</f>
        <v>43026550.522124998</v>
      </c>
      <c r="M9" s="99">
        <f>'R'!J23</f>
        <v>43026550.522124998</v>
      </c>
      <c r="N9" s="99">
        <f>'R'!S23</f>
        <v>49554329.204033002</v>
      </c>
      <c r="O9" s="99">
        <f>'R'!S25</f>
        <v>6527778.681908004</v>
      </c>
      <c r="P9" s="291">
        <f>'R'!S27</f>
        <v>0.15171512944202456</v>
      </c>
      <c r="Q9" s="187">
        <f>'R'!S29</f>
        <v>21.416948053307973</v>
      </c>
      <c r="R9" s="87">
        <v>1.2958230424381103</v>
      </c>
      <c r="S9" s="82">
        <f>O9-T9</f>
        <v>-290.60809199605137</v>
      </c>
      <c r="T9" s="26">
        <v>6528069.29</v>
      </c>
      <c r="U9" s="112"/>
      <c r="V9" s="23" t="s">
        <v>149</v>
      </c>
      <c r="W9" s="302">
        <f>W8-W7</f>
        <v>25.160000000000004</v>
      </c>
      <c r="Y9" s="304">
        <v>0.5</v>
      </c>
      <c r="AA9" s="303">
        <f>W7+W9*Y9</f>
        <v>28.98</v>
      </c>
      <c r="AB9" s="302">
        <f>AA9-W7</f>
        <v>12.580000000000002</v>
      </c>
      <c r="AC9" s="178">
        <f>AB9/W7</f>
        <v>0.76707317073170744</v>
      </c>
    </row>
    <row r="10" spans="1:29" s="113" customFormat="1" x14ac:dyDescent="0.3">
      <c r="A10" s="211"/>
      <c r="B10" s="123"/>
      <c r="C10" s="144"/>
      <c r="D10" s="112" t="s">
        <v>40</v>
      </c>
      <c r="E10" s="128"/>
      <c r="F10" s="219">
        <v>0.10077999999999999</v>
      </c>
      <c r="G10" s="219">
        <f>F10</f>
        <v>0.10077999999999999</v>
      </c>
      <c r="H10" s="219">
        <f>ROUND(G10*R10,6)</f>
        <v>0.114872</v>
      </c>
      <c r="I10" s="126">
        <f>H10-F10</f>
        <v>1.4092000000000007E-2</v>
      </c>
      <c r="J10" s="219">
        <f>ROUND(H10-G10,6)</f>
        <v>1.4092E-2</v>
      </c>
      <c r="K10" s="128"/>
      <c r="L10" s="99"/>
      <c r="M10" s="99"/>
      <c r="N10" s="99"/>
      <c r="O10" s="99"/>
      <c r="P10" s="291"/>
      <c r="Q10" s="140"/>
      <c r="R10" s="87">
        <v>1.1398299999999999</v>
      </c>
      <c r="S10" s="82"/>
      <c r="T10" s="104"/>
      <c r="U10" s="112"/>
      <c r="V10" s="23" t="s">
        <v>26</v>
      </c>
      <c r="Y10" s="304">
        <f>(AA10-W7)/W9</f>
        <v>0.1927662957074722</v>
      </c>
      <c r="AA10" s="305">
        <v>21.25</v>
      </c>
      <c r="AB10" s="302">
        <f>AA10-W7</f>
        <v>4.8500000000000014</v>
      </c>
      <c r="AC10" s="178">
        <f>AB10/W7</f>
        <v>0.29573170731707327</v>
      </c>
    </row>
    <row r="11" spans="1:29" s="113" customFormat="1" ht="9" customHeight="1" x14ac:dyDescent="0.3">
      <c r="A11" s="211"/>
      <c r="B11" s="127"/>
      <c r="C11" s="145"/>
      <c r="D11" s="128"/>
      <c r="E11" s="128"/>
      <c r="F11" s="128"/>
      <c r="G11" s="128"/>
      <c r="H11" s="128"/>
      <c r="I11" s="128"/>
      <c r="J11" s="128"/>
      <c r="K11" s="128"/>
      <c r="L11" s="129"/>
      <c r="M11" s="129"/>
      <c r="N11" s="129"/>
      <c r="O11" s="129"/>
      <c r="P11" s="310"/>
      <c r="Q11" s="141"/>
      <c r="R11" s="87"/>
      <c r="S11" s="64"/>
      <c r="T11" s="104"/>
      <c r="U11" s="112"/>
      <c r="V11" s="112"/>
    </row>
    <row r="12" spans="1:29" s="113" customFormat="1" x14ac:dyDescent="0.3">
      <c r="A12" s="211">
        <v>2</v>
      </c>
      <c r="B12" s="2" t="str">
        <f>List!B6</f>
        <v>C-1 Small Commercial Single Phase</v>
      </c>
      <c r="C12" s="144" t="str">
        <f>List!C6</f>
        <v>C1</v>
      </c>
      <c r="D12" s="112" t="s">
        <v>137</v>
      </c>
      <c r="E12" s="128"/>
      <c r="F12" s="23">
        <v>16.399999999999999</v>
      </c>
      <c r="G12" s="23">
        <f>F12</f>
        <v>16.399999999999999</v>
      </c>
      <c r="H12" s="23">
        <f>ROUND(G12*R12,2)</f>
        <v>21.25</v>
      </c>
      <c r="I12" s="124">
        <f>H12-F12</f>
        <v>4.8500000000000014</v>
      </c>
      <c r="J12" s="23">
        <f>ROUND(H12-G12,2)</f>
        <v>4.8499999999999996</v>
      </c>
      <c r="K12" s="128"/>
      <c r="L12" s="99">
        <f>'C-1'!G26</f>
        <v>4178987.6114430004</v>
      </c>
      <c r="M12" s="99">
        <f>'C-1'!J26</f>
        <v>4178987.6114430004</v>
      </c>
      <c r="N12" s="99">
        <f>'C-1'!R26</f>
        <v>4771500.9503029995</v>
      </c>
      <c r="O12" s="99">
        <f>'C-1'!R28</f>
        <v>592513.33885999909</v>
      </c>
      <c r="P12" s="291">
        <f>'C-1'!R30</f>
        <v>0.14178394241647554</v>
      </c>
      <c r="Q12" s="187">
        <f>'C-1'!R32</f>
        <v>14.367791140910281</v>
      </c>
      <c r="R12" s="87">
        <f>R9</f>
        <v>1.2958230424381103</v>
      </c>
      <c r="S12" s="82">
        <f>O12-T12</f>
        <v>18.308859999058768</v>
      </c>
      <c r="T12" s="26">
        <v>592495.03</v>
      </c>
      <c r="U12" s="112"/>
      <c r="V12" s="282"/>
    </row>
    <row r="13" spans="1:29" s="113" customFormat="1" x14ac:dyDescent="0.3">
      <c r="A13" s="211"/>
      <c r="B13" s="123"/>
      <c r="C13" s="144"/>
      <c r="D13" s="112" t="s">
        <v>40</v>
      </c>
      <c r="E13" s="128"/>
      <c r="F13" s="219">
        <v>0.102176</v>
      </c>
      <c r="G13" s="219">
        <f>F13</f>
        <v>0.102176</v>
      </c>
      <c r="H13" s="219">
        <f>ROUND(G13*R13,6)</f>
        <v>0.114299</v>
      </c>
      <c r="I13" s="126">
        <f>H13-F13</f>
        <v>1.2122999999999995E-2</v>
      </c>
      <c r="J13" s="219">
        <f>ROUND(H13-G13,6)</f>
        <v>1.2123E-2</v>
      </c>
      <c r="K13" s="128"/>
      <c r="L13" s="99"/>
      <c r="M13" s="99"/>
      <c r="N13" s="99"/>
      <c r="O13" s="99"/>
      <c r="P13" s="291"/>
      <c r="Q13" s="140"/>
      <c r="R13" s="87">
        <v>1.1186499999999999</v>
      </c>
      <c r="S13" s="64"/>
      <c r="T13" s="26"/>
      <c r="U13" s="112"/>
      <c r="V13" s="283"/>
    </row>
    <row r="14" spans="1:29" s="113" customFormat="1" ht="9" customHeight="1" x14ac:dyDescent="0.3">
      <c r="A14" s="211"/>
      <c r="B14" s="127"/>
      <c r="C14" s="145"/>
      <c r="D14" s="128"/>
      <c r="E14" s="128"/>
      <c r="F14" s="128"/>
      <c r="G14" s="128"/>
      <c r="H14" s="128"/>
      <c r="I14" s="128"/>
      <c r="J14" s="128"/>
      <c r="K14" s="128"/>
      <c r="L14" s="129"/>
      <c r="M14" s="129"/>
      <c r="N14" s="129"/>
      <c r="O14" s="129"/>
      <c r="P14" s="310"/>
      <c r="Q14" s="141"/>
      <c r="R14" s="87"/>
      <c r="S14" s="64"/>
      <c r="T14" s="104"/>
      <c r="U14" s="112"/>
      <c r="V14" s="112"/>
    </row>
    <row r="15" spans="1:29" s="113" customFormat="1" x14ac:dyDescent="0.3">
      <c r="A15" s="211">
        <v>3</v>
      </c>
      <c r="B15" s="2" t="str">
        <f>List!B7</f>
        <v>C-3 Small Commercial Three Phase</v>
      </c>
      <c r="C15" s="143" t="str">
        <f>List!C7</f>
        <v>C3</v>
      </c>
      <c r="D15" s="112" t="s">
        <v>137</v>
      </c>
      <c r="E15" s="128"/>
      <c r="F15" s="23">
        <v>24.9</v>
      </c>
      <c r="G15" s="23">
        <f>F15</f>
        <v>24.9</v>
      </c>
      <c r="H15" s="23">
        <f>ROUND(G15*R15,2)</f>
        <v>32.270000000000003</v>
      </c>
      <c r="I15" s="124">
        <f>H15-F15</f>
        <v>7.3700000000000045</v>
      </c>
      <c r="J15" s="23">
        <f>ROUND(H15-G15,2)</f>
        <v>7.37</v>
      </c>
      <c r="K15" s="128"/>
      <c r="L15" s="99">
        <f>'C-3'!G26</f>
        <v>1307657.2361621996</v>
      </c>
      <c r="M15" s="99">
        <f>'C-3'!J26</f>
        <v>1307657.2361621996</v>
      </c>
      <c r="N15" s="99">
        <f>'C-3'!S26</f>
        <v>1399069.8163561996</v>
      </c>
      <c r="O15" s="99">
        <f>'C-3'!S28</f>
        <v>91412.580193999922</v>
      </c>
      <c r="P15" s="291">
        <f>'C-3'!S30</f>
        <v>6.9905612622374741E-2</v>
      </c>
      <c r="Q15" s="187">
        <f>'C-3'!S32</f>
        <v>15.636773895655136</v>
      </c>
      <c r="R15" s="87">
        <f>R9</f>
        <v>1.2958230424381103</v>
      </c>
      <c r="S15" s="82">
        <f>O15-T15</f>
        <v>9.3401939999166643</v>
      </c>
      <c r="T15" s="26">
        <v>91403.24</v>
      </c>
      <c r="U15" s="112"/>
      <c r="V15" s="112"/>
    </row>
    <row r="16" spans="1:29" s="113" customFormat="1" x14ac:dyDescent="0.3">
      <c r="A16" s="211"/>
      <c r="B16" s="123"/>
      <c r="C16" s="144"/>
      <c r="D16" s="112" t="s">
        <v>40</v>
      </c>
      <c r="E16" s="128"/>
      <c r="F16" s="219">
        <v>9.7017000000000006E-2</v>
      </c>
      <c r="G16" s="219">
        <f>F16</f>
        <v>9.7017000000000006E-2</v>
      </c>
      <c r="H16" s="219">
        <f>ROUND(G16*R16,6)</f>
        <v>0.101303</v>
      </c>
      <c r="I16" s="126">
        <f>H16-F16</f>
        <v>4.2859999999999981E-3</v>
      </c>
      <c r="J16" s="219">
        <f>ROUND(H16-G16,6)</f>
        <v>4.2859999999999999E-3</v>
      </c>
      <c r="K16" s="128"/>
      <c r="L16" s="99"/>
      <c r="M16" s="99"/>
      <c r="N16" s="99"/>
      <c r="O16" s="99"/>
      <c r="P16" s="291"/>
      <c r="Q16" s="140"/>
      <c r="R16" s="87">
        <v>1.04417504290479</v>
      </c>
      <c r="S16" s="64"/>
      <c r="T16" s="26"/>
      <c r="U16" s="112"/>
      <c r="V16" s="112"/>
    </row>
    <row r="17" spans="1:22" s="113" customFormat="1" ht="9" customHeight="1" x14ac:dyDescent="0.3">
      <c r="A17" s="211"/>
      <c r="B17" s="127"/>
      <c r="C17" s="145"/>
      <c r="D17" s="128"/>
      <c r="E17" s="128"/>
      <c r="F17" s="128"/>
      <c r="G17" s="128"/>
      <c r="H17" s="128"/>
      <c r="I17" s="128"/>
      <c r="J17" s="128"/>
      <c r="K17" s="128"/>
      <c r="L17" s="129"/>
      <c r="M17" s="129"/>
      <c r="N17" s="129"/>
      <c r="O17" s="129"/>
      <c r="P17" s="310"/>
      <c r="Q17" s="141"/>
      <c r="R17" s="87"/>
      <c r="S17" s="112"/>
      <c r="T17" s="26"/>
      <c r="U17" s="112"/>
      <c r="V17" s="112"/>
    </row>
    <row r="18" spans="1:22" s="113" customFormat="1" x14ac:dyDescent="0.3">
      <c r="A18" s="211">
        <v>4</v>
      </c>
      <c r="B18" s="363" t="str">
        <f>List!B8</f>
        <v>D - Commercial and Industrial Demand &lt; 3,000 kW</v>
      </c>
      <c r="C18" s="143" t="str">
        <f>List!C8</f>
        <v>D</v>
      </c>
      <c r="D18" s="112" t="s">
        <v>137</v>
      </c>
      <c r="E18" s="128"/>
      <c r="F18" s="23">
        <v>48.42</v>
      </c>
      <c r="G18" s="23">
        <f t="shared" ref="G18:G23" si="0">F18</f>
        <v>48.42</v>
      </c>
      <c r="H18" s="23">
        <f>G18*R18</f>
        <v>48.42</v>
      </c>
      <c r="I18" s="124">
        <f t="shared" ref="I18:I23" si="1">H18-F18</f>
        <v>0</v>
      </c>
      <c r="J18" s="23">
        <f t="shared" ref="J18:J23" si="2">H18-G18</f>
        <v>0</v>
      </c>
      <c r="K18" s="128"/>
      <c r="L18" s="99">
        <f>D!G34</f>
        <v>17431063.910097502</v>
      </c>
      <c r="M18" s="99">
        <f>D!J34</f>
        <v>17431063.910097502</v>
      </c>
      <c r="N18" s="99">
        <f>D!S34</f>
        <v>17499284.044375278</v>
      </c>
      <c r="O18" s="99">
        <f>D!S36</f>
        <v>68220.134277775884</v>
      </c>
      <c r="P18" s="291">
        <f>D!S38</f>
        <v>3.9137102950013956E-3</v>
      </c>
      <c r="Q18" s="187">
        <f>D!S40</f>
        <v>9.2239229688718076</v>
      </c>
      <c r="R18" s="87">
        <v>1</v>
      </c>
      <c r="S18" s="82">
        <f>O18-T18</f>
        <v>-2767.8757222241111</v>
      </c>
      <c r="T18" s="26">
        <v>70988.009999999995</v>
      </c>
      <c r="U18" s="112"/>
      <c r="V18" s="112"/>
    </row>
    <row r="19" spans="1:22" s="113" customFormat="1" x14ac:dyDescent="0.3">
      <c r="A19" s="211"/>
      <c r="B19" s="363"/>
      <c r="C19" s="144"/>
      <c r="D19" s="112" t="s">
        <v>41</v>
      </c>
      <c r="E19" s="128"/>
      <c r="F19" s="23">
        <v>9</v>
      </c>
      <c r="G19" s="23">
        <f t="shared" si="0"/>
        <v>9</v>
      </c>
      <c r="H19" s="23">
        <f>ROUND(G19*R19,2)</f>
        <v>9.11</v>
      </c>
      <c r="I19" s="124">
        <f t="shared" si="1"/>
        <v>0.10999999999999943</v>
      </c>
      <c r="J19" s="23">
        <f t="shared" si="2"/>
        <v>0.10999999999999943</v>
      </c>
      <c r="K19" s="128"/>
      <c r="L19" s="99"/>
      <c r="M19" s="99"/>
      <c r="N19" s="99"/>
      <c r="O19" s="99"/>
      <c r="P19" s="291"/>
      <c r="Q19" s="140"/>
      <c r="R19" s="87">
        <v>1.012718110899643</v>
      </c>
      <c r="S19" s="112"/>
      <c r="T19" s="26"/>
      <c r="U19" s="112"/>
      <c r="V19" s="112"/>
    </row>
    <row r="20" spans="1:22" s="113" customFormat="1" x14ac:dyDescent="0.3">
      <c r="A20" s="211"/>
      <c r="B20" s="123"/>
      <c r="C20" s="144"/>
      <c r="D20" s="112" t="s">
        <v>117</v>
      </c>
      <c r="E20" s="128"/>
      <c r="F20" s="219">
        <v>6.2202E-2</v>
      </c>
      <c r="G20" s="219">
        <f t="shared" si="0"/>
        <v>6.2202E-2</v>
      </c>
      <c r="H20" s="307">
        <f t="shared" ref="H20" si="3">G20*R20</f>
        <v>6.2202E-2</v>
      </c>
      <c r="I20" s="126">
        <f t="shared" si="1"/>
        <v>0</v>
      </c>
      <c r="J20" s="219">
        <f t="shared" si="2"/>
        <v>0</v>
      </c>
      <c r="K20" s="128"/>
      <c r="L20" s="99"/>
      <c r="M20" s="99"/>
      <c r="N20" s="99"/>
      <c r="O20" s="99"/>
      <c r="P20" s="291"/>
      <c r="Q20" s="140"/>
      <c r="R20" s="87">
        <v>1</v>
      </c>
      <c r="S20" s="112"/>
      <c r="U20" s="112"/>
      <c r="V20" s="112"/>
    </row>
    <row r="21" spans="1:22" s="113" customFormat="1" x14ac:dyDescent="0.3">
      <c r="A21" s="211"/>
      <c r="B21" s="123"/>
      <c r="C21" s="144"/>
      <c r="D21" s="112" t="s">
        <v>118</v>
      </c>
      <c r="E21" s="128"/>
      <c r="F21" s="219">
        <v>5.2103999999999998E-2</v>
      </c>
      <c r="G21" s="219">
        <f t="shared" si="0"/>
        <v>5.2103999999999998E-2</v>
      </c>
      <c r="H21" s="219">
        <f t="shared" ref="H21:H23" si="4">G21</f>
        <v>5.2103999999999998E-2</v>
      </c>
      <c r="I21" s="126">
        <f t="shared" si="1"/>
        <v>0</v>
      </c>
      <c r="J21" s="219">
        <f t="shared" si="2"/>
        <v>0</v>
      </c>
      <c r="K21" s="128"/>
      <c r="L21" s="99"/>
      <c r="M21" s="99"/>
      <c r="N21" s="99"/>
      <c r="O21" s="99"/>
      <c r="P21" s="291"/>
      <c r="Q21" s="140"/>
      <c r="R21" s="306"/>
      <c r="S21" s="112"/>
      <c r="U21" s="112"/>
      <c r="V21" s="112"/>
    </row>
    <row r="22" spans="1:22" s="113" customFormat="1" x14ac:dyDescent="0.3">
      <c r="A22" s="211"/>
      <c r="B22" s="123"/>
      <c r="C22" s="144"/>
      <c r="D22" s="112" t="s">
        <v>119</v>
      </c>
      <c r="E22" s="128"/>
      <c r="F22" s="219">
        <v>4.6973000000000001E-2</v>
      </c>
      <c r="G22" s="219">
        <f t="shared" si="0"/>
        <v>4.6973000000000001E-2</v>
      </c>
      <c r="H22" s="219">
        <f t="shared" si="4"/>
        <v>4.6973000000000001E-2</v>
      </c>
      <c r="I22" s="126">
        <f t="shared" si="1"/>
        <v>0</v>
      </c>
      <c r="J22" s="219">
        <f t="shared" si="2"/>
        <v>0</v>
      </c>
      <c r="K22" s="128"/>
      <c r="L22" s="99"/>
      <c r="M22" s="99"/>
      <c r="N22" s="99"/>
      <c r="O22" s="99"/>
      <c r="P22" s="291"/>
      <c r="Q22" s="140"/>
      <c r="R22" s="306"/>
      <c r="S22" s="112"/>
      <c r="U22" s="112"/>
      <c r="V22" s="112"/>
    </row>
    <row r="23" spans="1:22" s="113" customFormat="1" x14ac:dyDescent="0.3">
      <c r="A23" s="211"/>
      <c r="B23" s="123"/>
      <c r="C23" s="144"/>
      <c r="D23" s="112" t="s">
        <v>120</v>
      </c>
      <c r="E23" s="128"/>
      <c r="F23" s="219">
        <v>4.1993000000000003E-2</v>
      </c>
      <c r="G23" s="219">
        <f t="shared" si="0"/>
        <v>4.1993000000000003E-2</v>
      </c>
      <c r="H23" s="219">
        <f t="shared" si="4"/>
        <v>4.1993000000000003E-2</v>
      </c>
      <c r="I23" s="126">
        <f t="shared" si="1"/>
        <v>0</v>
      </c>
      <c r="J23" s="219">
        <f t="shared" si="2"/>
        <v>0</v>
      </c>
      <c r="K23" s="128"/>
      <c r="L23" s="99"/>
      <c r="M23" s="99"/>
      <c r="N23" s="99"/>
      <c r="O23" s="99"/>
      <c r="P23" s="291"/>
      <c r="Q23" s="140"/>
      <c r="R23" s="306"/>
      <c r="S23" s="112"/>
      <c r="U23" s="112"/>
      <c r="V23" s="112"/>
    </row>
    <row r="24" spans="1:22" s="113" customFormat="1" ht="9" customHeight="1" x14ac:dyDescent="0.3">
      <c r="A24" s="211"/>
      <c r="B24" s="127"/>
      <c r="C24" s="145"/>
      <c r="D24" s="128"/>
      <c r="E24" s="128"/>
      <c r="F24" s="128"/>
      <c r="G24" s="128"/>
      <c r="H24" s="128"/>
      <c r="I24" s="128"/>
      <c r="J24" s="128"/>
      <c r="K24" s="128"/>
      <c r="L24" s="129"/>
      <c r="M24" s="129"/>
      <c r="N24" s="129"/>
      <c r="O24" s="129"/>
      <c r="P24" s="310"/>
      <c r="Q24" s="141"/>
      <c r="R24" s="306"/>
      <c r="S24" s="112"/>
      <c r="T24" s="26"/>
      <c r="U24" s="112"/>
      <c r="V24" s="112"/>
    </row>
    <row r="25" spans="1:22" s="113" customFormat="1" x14ac:dyDescent="0.3">
      <c r="A25" s="211">
        <v>5</v>
      </c>
      <c r="B25" s="363" t="str">
        <f>List!B9</f>
        <v>D - Commercial and Industrial - Direct Served</v>
      </c>
      <c r="C25" s="144" t="str">
        <f>List!C9</f>
        <v>D</v>
      </c>
      <c r="D25" s="112" t="s">
        <v>137</v>
      </c>
      <c r="E25" s="128"/>
      <c r="F25" s="23">
        <f>F18</f>
        <v>48.42</v>
      </c>
      <c r="G25" s="23">
        <f>G18</f>
        <v>48.42</v>
      </c>
      <c r="H25" s="23">
        <f>H18</f>
        <v>48.42</v>
      </c>
      <c r="I25" s="124">
        <f>H25-F25</f>
        <v>0</v>
      </c>
      <c r="J25" s="124">
        <f>H25-G25</f>
        <v>0</v>
      </c>
      <c r="K25" s="128"/>
      <c r="L25" s="99">
        <f>'D Direct'!G36</f>
        <v>280984.99169200001</v>
      </c>
      <c r="M25" s="99">
        <f>'D Direct'!J36</f>
        <v>280984.99169200001</v>
      </c>
      <c r="N25" s="99">
        <f>'D Direct'!S36</f>
        <v>280984.99169200001</v>
      </c>
      <c r="O25" s="99">
        <f>'D Direct'!S38</f>
        <v>0</v>
      </c>
      <c r="P25" s="291">
        <f>'D Direct'!S40</f>
        <v>0</v>
      </c>
      <c r="Q25" s="187">
        <f>'D Direct'!S42</f>
        <v>0</v>
      </c>
      <c r="R25" s="306"/>
      <c r="S25" s="112"/>
      <c r="T25" s="82">
        <f>G12</f>
        <v>16.399999999999999</v>
      </c>
      <c r="U25" s="64">
        <f>H12</f>
        <v>21.25</v>
      </c>
      <c r="V25" s="112"/>
    </row>
    <row r="26" spans="1:22" s="113" customFormat="1" x14ac:dyDescent="0.3">
      <c r="A26" s="211"/>
      <c r="B26" s="363"/>
      <c r="C26" s="144"/>
      <c r="D26" s="112" t="s">
        <v>41</v>
      </c>
      <c r="E26" s="128"/>
      <c r="F26" s="23">
        <f t="shared" ref="F26:H26" si="5">F19</f>
        <v>9</v>
      </c>
      <c r="G26" s="23">
        <f t="shared" si="5"/>
        <v>9</v>
      </c>
      <c r="H26" s="23">
        <f t="shared" si="5"/>
        <v>9.11</v>
      </c>
      <c r="I26" s="126">
        <f>H26-F26</f>
        <v>0.10999999999999943</v>
      </c>
      <c r="J26" s="23">
        <f>H26-G26</f>
        <v>0.10999999999999943</v>
      </c>
      <c r="K26" s="128"/>
      <c r="L26" s="99"/>
      <c r="M26" s="99"/>
      <c r="N26" s="99"/>
      <c r="O26" s="99"/>
      <c r="P26" s="291"/>
      <c r="Q26" s="140"/>
      <c r="R26" s="306"/>
      <c r="S26" s="126"/>
      <c r="T26" s="64">
        <f>G15</f>
        <v>24.9</v>
      </c>
      <c r="U26" s="64">
        <f>H15</f>
        <v>32.270000000000003</v>
      </c>
      <c r="V26" s="112"/>
    </row>
    <row r="27" spans="1:22" s="113" customFormat="1" x14ac:dyDescent="0.3">
      <c r="A27" s="211"/>
      <c r="B27" s="123"/>
      <c r="C27" s="144"/>
      <c r="D27" s="112" t="s">
        <v>144</v>
      </c>
      <c r="E27" s="128"/>
      <c r="F27" s="13">
        <v>21000</v>
      </c>
      <c r="G27" s="13">
        <f>F27</f>
        <v>21000</v>
      </c>
      <c r="H27" s="13">
        <f>G27</f>
        <v>21000</v>
      </c>
      <c r="I27" s="13"/>
      <c r="J27" s="13">
        <f t="shared" ref="J27:J31" si="6">H27-G27</f>
        <v>0</v>
      </c>
      <c r="K27" s="128"/>
      <c r="L27" s="99"/>
      <c r="M27" s="99"/>
      <c r="N27" s="99"/>
      <c r="O27" s="99"/>
      <c r="P27" s="291"/>
      <c r="Q27" s="140"/>
      <c r="R27" s="306"/>
      <c r="S27" s="126"/>
      <c r="T27" s="23">
        <f>T26/T25</f>
        <v>1.5182926829268293</v>
      </c>
      <c r="U27" s="23">
        <f>U26/U25</f>
        <v>1.5185882352941178</v>
      </c>
      <c r="V27" s="112"/>
    </row>
    <row r="28" spans="1:22" s="113" customFormat="1" x14ac:dyDescent="0.3">
      <c r="A28" s="211"/>
      <c r="B28" s="123"/>
      <c r="C28" s="144"/>
      <c r="D28" s="112" t="s">
        <v>117</v>
      </c>
      <c r="E28" s="128"/>
      <c r="F28" s="219">
        <f t="shared" ref="F28:H31" si="7">F20</f>
        <v>6.2202E-2</v>
      </c>
      <c r="G28" s="219">
        <f t="shared" si="7"/>
        <v>6.2202E-2</v>
      </c>
      <c r="H28" s="219">
        <f t="shared" si="7"/>
        <v>6.2202E-2</v>
      </c>
      <c r="I28" s="126"/>
      <c r="J28" s="219">
        <f t="shared" si="6"/>
        <v>0</v>
      </c>
      <c r="K28" s="128"/>
      <c r="L28" s="99"/>
      <c r="M28" s="99"/>
      <c r="N28" s="99"/>
      <c r="O28" s="99"/>
      <c r="P28" s="291"/>
      <c r="Q28" s="140"/>
      <c r="R28" s="306"/>
      <c r="S28" s="126"/>
      <c r="T28" s="26"/>
      <c r="U28" s="112"/>
      <c r="V28" s="112"/>
    </row>
    <row r="29" spans="1:22" s="113" customFormat="1" x14ac:dyDescent="0.3">
      <c r="A29" s="211"/>
      <c r="B29" s="123"/>
      <c r="C29" s="144"/>
      <c r="D29" s="112" t="s">
        <v>118</v>
      </c>
      <c r="E29" s="128"/>
      <c r="F29" s="219">
        <f t="shared" si="7"/>
        <v>5.2103999999999998E-2</v>
      </c>
      <c r="G29" s="219">
        <f t="shared" si="7"/>
        <v>5.2103999999999998E-2</v>
      </c>
      <c r="H29" s="219">
        <f t="shared" si="7"/>
        <v>5.2103999999999998E-2</v>
      </c>
      <c r="I29" s="126"/>
      <c r="J29" s="219">
        <f t="shared" si="6"/>
        <v>0</v>
      </c>
      <c r="K29" s="128"/>
      <c r="L29" s="99"/>
      <c r="M29" s="99"/>
      <c r="N29" s="99"/>
      <c r="O29" s="99"/>
      <c r="P29" s="291"/>
      <c r="Q29" s="140"/>
      <c r="R29" s="306"/>
      <c r="S29" s="126"/>
      <c r="T29" s="26"/>
      <c r="U29" s="112"/>
      <c r="V29" s="112"/>
    </row>
    <row r="30" spans="1:22" s="113" customFormat="1" x14ac:dyDescent="0.3">
      <c r="A30" s="211"/>
      <c r="B30" s="123"/>
      <c r="C30" s="144"/>
      <c r="D30" s="112" t="s">
        <v>119</v>
      </c>
      <c r="E30" s="128"/>
      <c r="F30" s="219">
        <f t="shared" si="7"/>
        <v>4.6973000000000001E-2</v>
      </c>
      <c r="G30" s="219">
        <f t="shared" si="7"/>
        <v>4.6973000000000001E-2</v>
      </c>
      <c r="H30" s="219">
        <f t="shared" si="7"/>
        <v>4.6973000000000001E-2</v>
      </c>
      <c r="I30" s="124">
        <f>H30-F30</f>
        <v>0</v>
      </c>
      <c r="J30" s="219">
        <f t="shared" si="6"/>
        <v>0</v>
      </c>
      <c r="K30" s="128"/>
      <c r="L30" s="99"/>
      <c r="M30" s="99"/>
      <c r="N30" s="99"/>
      <c r="O30" s="99"/>
      <c r="P30" s="291"/>
      <c r="Q30" s="140"/>
      <c r="R30" s="306"/>
      <c r="S30" s="112"/>
      <c r="T30" s="26"/>
      <c r="U30" s="112"/>
      <c r="V30" s="112"/>
    </row>
    <row r="31" spans="1:22" s="113" customFormat="1" x14ac:dyDescent="0.3">
      <c r="A31" s="211"/>
      <c r="B31" s="123"/>
      <c r="C31" s="144"/>
      <c r="D31" s="112" t="s">
        <v>120</v>
      </c>
      <c r="E31" s="128"/>
      <c r="F31" s="219">
        <f t="shared" si="7"/>
        <v>4.1993000000000003E-2</v>
      </c>
      <c r="G31" s="219">
        <f t="shared" si="7"/>
        <v>4.1993000000000003E-2</v>
      </c>
      <c r="H31" s="219">
        <f t="shared" si="7"/>
        <v>4.1993000000000003E-2</v>
      </c>
      <c r="I31" s="124">
        <f>H31-F31</f>
        <v>0</v>
      </c>
      <c r="J31" s="219">
        <f t="shared" si="6"/>
        <v>0</v>
      </c>
      <c r="K31" s="128"/>
      <c r="L31" s="99"/>
      <c r="M31" s="99"/>
      <c r="N31" s="99"/>
      <c r="O31" s="99"/>
      <c r="P31" s="291"/>
      <c r="Q31" s="140"/>
      <c r="R31" s="306"/>
      <c r="S31" s="112"/>
      <c r="T31" s="26"/>
      <c r="U31" s="112"/>
      <c r="V31" s="112"/>
    </row>
    <row r="32" spans="1:22" s="113" customFormat="1" ht="9" customHeight="1" x14ac:dyDescent="0.3">
      <c r="A32" s="211"/>
      <c r="B32" s="127"/>
      <c r="C32" s="145"/>
      <c r="D32" s="128"/>
      <c r="E32" s="128"/>
      <c r="F32" s="128"/>
      <c r="G32" s="128"/>
      <c r="H32" s="128"/>
      <c r="I32" s="128"/>
      <c r="J32" s="128"/>
      <c r="K32" s="128"/>
      <c r="L32" s="129"/>
      <c r="M32" s="129"/>
      <c r="N32" s="129"/>
      <c r="O32" s="129"/>
      <c r="P32" s="310"/>
      <c r="Q32" s="141"/>
      <c r="R32" s="306"/>
      <c r="S32" s="112"/>
      <c r="T32" s="26"/>
      <c r="U32" s="112"/>
      <c r="V32" s="112"/>
    </row>
    <row r="33" spans="1:22" s="113" customFormat="1" x14ac:dyDescent="0.3">
      <c r="A33" s="211">
        <v>6</v>
      </c>
      <c r="B33" s="363" t="str">
        <f>List!B10</f>
        <v>I-E - Large Commercial Existing</v>
      </c>
      <c r="C33" s="144" t="str">
        <f>List!C10</f>
        <v>I-E</v>
      </c>
      <c r="D33" s="112" t="s">
        <v>138</v>
      </c>
      <c r="E33" s="128"/>
      <c r="F33" s="124">
        <v>414.97</v>
      </c>
      <c r="G33" s="124">
        <f>F33</f>
        <v>414.97</v>
      </c>
      <c r="H33" s="23">
        <f>ROUND(G33*R33,2)</f>
        <v>414.97</v>
      </c>
      <c r="I33" s="124">
        <f>H33-F33</f>
        <v>0</v>
      </c>
      <c r="J33" s="124">
        <f>H33-G33</f>
        <v>0</v>
      </c>
      <c r="K33" s="128"/>
      <c r="L33" s="99">
        <f>'I-E'!G31</f>
        <v>1586924.1040845001</v>
      </c>
      <c r="M33" s="99">
        <f>'I-E'!J31</f>
        <v>1586924.1040845001</v>
      </c>
      <c r="N33" s="99">
        <f>'I-E'!S31</f>
        <v>1608493.8781875002</v>
      </c>
      <c r="O33" s="318">
        <f>'I-E'!S33</f>
        <v>21569.774103000062</v>
      </c>
      <c r="P33" s="291">
        <f>'I-E'!S35</f>
        <v>1.3592190103788052E-2</v>
      </c>
      <c r="Q33" s="187">
        <f>'I-E'!S37</f>
        <v>1797.4811752500052</v>
      </c>
      <c r="R33" s="87">
        <v>1</v>
      </c>
      <c r="S33" s="82">
        <f>O33-T33</f>
        <v>4.6041030000633327</v>
      </c>
      <c r="T33" s="26">
        <v>21565.17</v>
      </c>
      <c r="U33" s="112"/>
      <c r="V33" s="112"/>
    </row>
    <row r="34" spans="1:22" s="113" customFormat="1" x14ac:dyDescent="0.3">
      <c r="A34" s="211"/>
      <c r="B34" s="363"/>
      <c r="C34" s="144"/>
      <c r="D34" s="112" t="s">
        <v>40</v>
      </c>
      <c r="E34" s="128"/>
      <c r="F34" s="219">
        <v>3.8124999999999999E-2</v>
      </c>
      <c r="G34" s="219">
        <f>F34</f>
        <v>3.8124999999999999E-2</v>
      </c>
      <c r="H34" s="219">
        <f>ROUND(G34*R34,6)</f>
        <v>3.9413999999999998E-2</v>
      </c>
      <c r="I34" s="124"/>
      <c r="J34" s="219">
        <f>H34-G34</f>
        <v>1.2889999999999985E-3</v>
      </c>
      <c r="K34" s="128"/>
      <c r="L34" s="99"/>
      <c r="M34" s="99"/>
      <c r="N34" s="99"/>
      <c r="O34" s="99"/>
      <c r="P34" s="291"/>
      <c r="Q34" s="187"/>
      <c r="R34" s="87">
        <v>1.0338026193016463</v>
      </c>
      <c r="S34" s="112"/>
      <c r="T34" s="112"/>
      <c r="U34" s="112"/>
      <c r="V34" s="112"/>
    </row>
    <row r="35" spans="1:22" s="113" customFormat="1" x14ac:dyDescent="0.3">
      <c r="A35" s="211"/>
      <c r="B35" s="363"/>
      <c r="C35" s="144"/>
      <c r="D35" s="112" t="s">
        <v>121</v>
      </c>
      <c r="E35" s="128"/>
      <c r="F35" s="23">
        <v>47721.03</v>
      </c>
      <c r="G35" s="23">
        <f>F35</f>
        <v>47721.03</v>
      </c>
      <c r="H35" s="23">
        <f t="shared" ref="H35" si="8">G35*R35</f>
        <v>47721.03</v>
      </c>
      <c r="I35" s="126">
        <f>H35-F35</f>
        <v>0</v>
      </c>
      <c r="J35" s="219">
        <f>H35-G35</f>
        <v>0</v>
      </c>
      <c r="K35" s="128"/>
      <c r="L35" s="99"/>
      <c r="M35" s="99"/>
      <c r="N35" s="99"/>
      <c r="O35" s="99"/>
      <c r="P35" s="291"/>
      <c r="Q35" s="140"/>
      <c r="R35" s="87">
        <v>1</v>
      </c>
      <c r="S35" s="112"/>
      <c r="T35" s="112"/>
      <c r="U35" s="112"/>
      <c r="V35" s="112"/>
    </row>
    <row r="36" spans="1:22" s="113" customFormat="1" x14ac:dyDescent="0.3">
      <c r="A36" s="211"/>
      <c r="B36" s="123"/>
      <c r="C36" s="144"/>
      <c r="D36" s="112" t="s">
        <v>122</v>
      </c>
      <c r="E36" s="128"/>
      <c r="F36" s="23">
        <v>15.913</v>
      </c>
      <c r="G36" s="23">
        <f>F36</f>
        <v>15.913</v>
      </c>
      <c r="H36" s="23">
        <f t="shared" ref="H36" si="9">G36</f>
        <v>15.913</v>
      </c>
      <c r="I36" s="124">
        <f>H36-F36</f>
        <v>0</v>
      </c>
      <c r="J36" s="23">
        <f>H36-G36</f>
        <v>0</v>
      </c>
      <c r="K36" s="128"/>
      <c r="L36" s="99"/>
      <c r="M36" s="99"/>
      <c r="N36" s="99"/>
      <c r="O36" s="99"/>
      <c r="P36" s="291"/>
      <c r="Q36" s="140"/>
      <c r="R36" s="112"/>
      <c r="S36" s="112"/>
      <c r="T36" s="112"/>
      <c r="U36" s="112"/>
      <c r="V36" s="112"/>
    </row>
    <row r="37" spans="1:22" s="113" customFormat="1" ht="9" customHeight="1" x14ac:dyDescent="0.3">
      <c r="A37" s="211"/>
      <c r="B37" s="127"/>
      <c r="C37" s="145"/>
      <c r="D37" s="128"/>
      <c r="E37" s="128"/>
      <c r="F37" s="128"/>
      <c r="G37" s="128"/>
      <c r="H37" s="128"/>
      <c r="I37" s="128"/>
      <c r="J37" s="128"/>
      <c r="K37" s="128"/>
      <c r="L37" s="129"/>
      <c r="M37" s="129"/>
      <c r="N37" s="129"/>
      <c r="O37" s="129"/>
      <c r="P37" s="310"/>
      <c r="Q37" s="141"/>
      <c r="R37" s="112"/>
      <c r="S37" s="112"/>
      <c r="T37" s="112"/>
      <c r="U37" s="112"/>
      <c r="V37" s="112"/>
    </row>
    <row r="38" spans="1:22" s="113" customFormat="1" x14ac:dyDescent="0.3">
      <c r="A38" s="211">
        <v>7</v>
      </c>
      <c r="B38" s="2" t="str">
        <f>List!B11</f>
        <v>OL - Outdoor Lighting</v>
      </c>
      <c r="C38" s="144" t="str">
        <f>List!C11</f>
        <v>OL</v>
      </c>
      <c r="D38" s="112" t="s">
        <v>154</v>
      </c>
      <c r="E38" s="128"/>
      <c r="F38" s="23">
        <v>0</v>
      </c>
      <c r="G38" s="23">
        <v>0</v>
      </c>
      <c r="H38" s="23">
        <v>0</v>
      </c>
      <c r="I38" s="124">
        <f>H38-F38</f>
        <v>0</v>
      </c>
      <c r="J38" s="23">
        <f>H38-G38</f>
        <v>0</v>
      </c>
      <c r="K38" s="128"/>
      <c r="L38" s="99">
        <f>Lighting!I16</f>
        <v>1420048.26</v>
      </c>
      <c r="M38" s="99">
        <f>Lighting!L16</f>
        <v>1420048.26</v>
      </c>
      <c r="N38" s="99">
        <f>Lighting!R16</f>
        <v>1420048.26</v>
      </c>
      <c r="O38" s="99">
        <f>Lighting!R18</f>
        <v>0</v>
      </c>
      <c r="P38" s="291">
        <f>Lighting!R20</f>
        <v>0</v>
      </c>
      <c r="Q38" s="107">
        <f>Lighting!R22</f>
        <v>0</v>
      </c>
      <c r="R38" s="112"/>
      <c r="S38" s="112"/>
      <c r="T38" s="112"/>
      <c r="U38" s="112"/>
      <c r="V38" s="112"/>
    </row>
    <row r="39" spans="1:22" s="113" customFormat="1" x14ac:dyDescent="0.3">
      <c r="A39" s="211"/>
      <c r="B39" s="123"/>
      <c r="C39" s="144"/>
      <c r="D39" s="112"/>
      <c r="E39" s="128"/>
      <c r="F39" s="219">
        <v>0</v>
      </c>
      <c r="G39" s="219">
        <v>0</v>
      </c>
      <c r="H39" s="219">
        <v>0</v>
      </c>
      <c r="I39" s="126">
        <f>H39-F39</f>
        <v>0</v>
      </c>
      <c r="J39" s="219">
        <f>H39-G39</f>
        <v>0</v>
      </c>
      <c r="K39" s="128"/>
      <c r="L39" s="99"/>
      <c r="M39" s="99"/>
      <c r="N39" s="99"/>
      <c r="O39" s="99"/>
      <c r="P39" s="291"/>
      <c r="Q39" s="140"/>
      <c r="R39" s="112"/>
      <c r="S39" s="112"/>
      <c r="T39" s="112"/>
      <c r="U39" s="112"/>
      <c r="V39" s="112"/>
    </row>
    <row r="40" spans="1:22" s="113" customFormat="1" ht="9" customHeight="1" x14ac:dyDescent="0.3">
      <c r="A40" s="211"/>
      <c r="B40" s="127"/>
      <c r="C40" s="145"/>
      <c r="D40" s="128"/>
      <c r="E40" s="128"/>
      <c r="F40" s="128"/>
      <c r="G40" s="128"/>
      <c r="H40" s="128"/>
      <c r="I40" s="128"/>
      <c r="J40" s="128"/>
      <c r="K40" s="128"/>
      <c r="L40" s="129"/>
      <c r="M40" s="129"/>
      <c r="N40" s="129"/>
      <c r="O40" s="129"/>
      <c r="P40" s="310"/>
      <c r="Q40" s="141"/>
      <c r="R40" s="112"/>
      <c r="S40" s="112"/>
      <c r="T40" s="112"/>
      <c r="U40" s="112"/>
      <c r="V40" s="112"/>
    </row>
    <row r="41" spans="1:22" s="113" customFormat="1" hidden="1" x14ac:dyDescent="0.3">
      <c r="A41" s="211">
        <v>9</v>
      </c>
      <c r="B41" s="2">
        <f>List!B13</f>
        <v>0</v>
      </c>
      <c r="C41" s="144">
        <f>List!C13</f>
        <v>0</v>
      </c>
      <c r="D41" s="112" t="s">
        <v>65</v>
      </c>
      <c r="E41" s="128"/>
      <c r="F41" s="23">
        <v>0</v>
      </c>
      <c r="G41" s="23">
        <f>F41</f>
        <v>0</v>
      </c>
      <c r="H41" s="23">
        <f>F41</f>
        <v>0</v>
      </c>
      <c r="I41" s="124">
        <f>H41-F41</f>
        <v>0</v>
      </c>
      <c r="J41" s="23">
        <f>H41-G41</f>
        <v>0</v>
      </c>
      <c r="K41" s="128"/>
      <c r="L41" s="99">
        <v>0</v>
      </c>
      <c r="M41" s="99">
        <v>0</v>
      </c>
      <c r="N41" s="99">
        <v>0</v>
      </c>
      <c r="O41" s="99">
        <v>0</v>
      </c>
      <c r="P41" s="291">
        <v>0</v>
      </c>
      <c r="Q41" s="187">
        <v>0</v>
      </c>
      <c r="R41" s="112"/>
      <c r="S41" s="112"/>
      <c r="T41" s="112"/>
      <c r="U41" s="112"/>
      <c r="V41" s="112"/>
    </row>
    <row r="42" spans="1:22" s="113" customFormat="1" hidden="1" x14ac:dyDescent="0.3">
      <c r="A42" s="211"/>
      <c r="B42" s="123"/>
      <c r="C42" s="144"/>
      <c r="D42" s="112" t="s">
        <v>40</v>
      </c>
      <c r="E42" s="128"/>
      <c r="F42" s="219">
        <v>0</v>
      </c>
      <c r="G42" s="219">
        <f>F42</f>
        <v>0</v>
      </c>
      <c r="H42" s="219">
        <f>F42</f>
        <v>0</v>
      </c>
      <c r="I42" s="126">
        <f>H42-F42</f>
        <v>0</v>
      </c>
      <c r="J42" s="219">
        <f>H42-G42</f>
        <v>0</v>
      </c>
      <c r="K42" s="128"/>
      <c r="L42" s="99"/>
      <c r="M42" s="99"/>
      <c r="N42" s="99"/>
      <c r="O42" s="99"/>
      <c r="P42" s="291"/>
      <c r="Q42" s="140"/>
      <c r="R42" s="112"/>
      <c r="S42" s="112"/>
      <c r="T42" s="112"/>
      <c r="U42" s="112"/>
      <c r="V42" s="112"/>
    </row>
    <row r="43" spans="1:22" s="113" customFormat="1" ht="8.25" hidden="1" customHeight="1" x14ac:dyDescent="0.3">
      <c r="A43" s="211"/>
      <c r="B43" s="127"/>
      <c r="C43" s="145"/>
      <c r="D43" s="128"/>
      <c r="E43" s="128"/>
      <c r="F43" s="128"/>
      <c r="G43" s="128"/>
      <c r="H43" s="128"/>
      <c r="I43" s="128"/>
      <c r="J43" s="128"/>
      <c r="K43" s="128"/>
      <c r="L43" s="129"/>
      <c r="M43" s="129"/>
      <c r="N43" s="129"/>
      <c r="O43" s="129"/>
      <c r="P43" s="310"/>
      <c r="Q43" s="141"/>
      <c r="R43" s="112"/>
      <c r="S43" s="112"/>
      <c r="T43" s="112"/>
      <c r="U43" s="112"/>
      <c r="V43" s="112"/>
    </row>
    <row r="44" spans="1:22" s="113" customFormat="1" hidden="1" x14ac:dyDescent="0.3">
      <c r="A44" s="211">
        <v>10</v>
      </c>
      <c r="B44" s="123">
        <f>List!B14</f>
        <v>0</v>
      </c>
      <c r="C44" s="144">
        <f>List!C14</f>
        <v>0</v>
      </c>
      <c r="D44" s="24"/>
      <c r="E44" s="128"/>
      <c r="F44" s="124"/>
      <c r="G44" s="124"/>
      <c r="H44" s="124"/>
      <c r="I44" s="124">
        <f>H44-F44</f>
        <v>0</v>
      </c>
      <c r="J44" s="124"/>
      <c r="K44" s="128"/>
      <c r="L44" s="166"/>
      <c r="M44" s="166"/>
      <c r="N44" s="166"/>
      <c r="O44" s="166"/>
      <c r="P44" s="178"/>
      <c r="Q44" s="107"/>
      <c r="R44" s="138"/>
      <c r="S44" s="125"/>
      <c r="T44" s="112"/>
      <c r="U44" s="112"/>
      <c r="V44" s="112"/>
    </row>
    <row r="45" spans="1:22" s="113" customFormat="1" hidden="1" x14ac:dyDescent="0.3">
      <c r="A45" s="211"/>
      <c r="B45" s="123"/>
      <c r="C45" s="144"/>
      <c r="D45" s="24"/>
      <c r="E45" s="128"/>
      <c r="F45" s="124"/>
      <c r="G45" s="124"/>
      <c r="H45" s="124"/>
      <c r="I45" s="124">
        <f>H45-F45</f>
        <v>0</v>
      </c>
      <c r="J45" s="124"/>
      <c r="K45" s="128"/>
      <c r="L45" s="99"/>
      <c r="M45" s="99"/>
      <c r="N45" s="99"/>
      <c r="O45" s="99"/>
      <c r="P45" s="291"/>
      <c r="U45" s="112"/>
    </row>
    <row r="46" spans="1:22" s="113" customFormat="1" hidden="1" x14ac:dyDescent="0.3">
      <c r="A46" s="211"/>
      <c r="B46" s="123"/>
      <c r="C46" s="144"/>
      <c r="D46" s="24"/>
      <c r="E46" s="128"/>
      <c r="F46" s="124"/>
      <c r="G46" s="124"/>
      <c r="H46" s="124"/>
      <c r="I46" s="124">
        <f>H46-F46</f>
        <v>0</v>
      </c>
      <c r="J46" s="124"/>
      <c r="K46" s="128"/>
      <c r="L46" s="99"/>
      <c r="M46" s="99"/>
      <c r="N46" s="99"/>
      <c r="O46" s="99"/>
      <c r="P46" s="291"/>
      <c r="Q46" s="53"/>
      <c r="U46" s="112"/>
    </row>
    <row r="47" spans="1:22" s="113" customFormat="1" hidden="1" x14ac:dyDescent="0.3">
      <c r="A47" s="211"/>
      <c r="B47" s="123"/>
      <c r="C47" s="144"/>
      <c r="D47" s="24"/>
      <c r="E47" s="128"/>
      <c r="F47" s="124"/>
      <c r="G47" s="124"/>
      <c r="H47" s="124"/>
      <c r="I47" s="124">
        <f>H47-F47</f>
        <v>0</v>
      </c>
      <c r="J47" s="124"/>
      <c r="K47" s="128"/>
      <c r="L47" s="99"/>
      <c r="M47" s="99"/>
      <c r="N47" s="99"/>
      <c r="O47" s="99"/>
      <c r="P47" s="291"/>
      <c r="S47" s="125"/>
      <c r="U47" s="112"/>
    </row>
    <row r="48" spans="1:22" s="113" customFormat="1" hidden="1" x14ac:dyDescent="0.3">
      <c r="A48" s="211"/>
      <c r="B48" s="123"/>
      <c r="C48" s="144"/>
      <c r="D48" s="24"/>
      <c r="E48" s="128"/>
      <c r="F48" s="124"/>
      <c r="G48" s="124"/>
      <c r="H48" s="124"/>
      <c r="I48" s="124">
        <f>H48-F48</f>
        <v>0</v>
      </c>
      <c r="J48" s="124"/>
      <c r="K48" s="128"/>
      <c r="L48" s="99"/>
      <c r="M48" s="99"/>
      <c r="N48" s="99"/>
      <c r="O48" s="99"/>
      <c r="P48" s="291"/>
      <c r="U48" s="112"/>
    </row>
    <row r="49" spans="1:37" s="113" customFormat="1" ht="9" hidden="1" customHeight="1" x14ac:dyDescent="0.3">
      <c r="A49" s="211"/>
      <c r="B49" s="127"/>
      <c r="C49" s="146"/>
      <c r="D49" s="128"/>
      <c r="E49" s="128"/>
      <c r="F49" s="128"/>
      <c r="G49" s="128"/>
      <c r="H49" s="128"/>
      <c r="I49" s="128"/>
      <c r="J49" s="128"/>
      <c r="K49" s="128"/>
      <c r="L49" s="129"/>
      <c r="M49" s="129"/>
      <c r="N49" s="129"/>
      <c r="O49" s="129"/>
      <c r="P49" s="310"/>
      <c r="Q49" s="128"/>
      <c r="U49" s="112"/>
    </row>
    <row r="50" spans="1:37" s="135" customFormat="1" ht="31.5" customHeight="1" thickBot="1" x14ac:dyDescent="0.35">
      <c r="A50" s="215">
        <v>8</v>
      </c>
      <c r="B50" s="131" t="s">
        <v>33</v>
      </c>
      <c r="C50" s="147"/>
      <c r="D50" s="131"/>
      <c r="E50" s="128"/>
      <c r="F50" s="131"/>
      <c r="G50" s="131"/>
      <c r="H50" s="131"/>
      <c r="I50" s="131"/>
      <c r="J50" s="131"/>
      <c r="K50" s="128"/>
      <c r="L50" s="132">
        <f>SUM(L9:L49)</f>
        <v>69232216.635604203</v>
      </c>
      <c r="M50" s="132">
        <f>SUM(M9:M49)</f>
        <v>69232216.635604203</v>
      </c>
      <c r="N50" s="132">
        <f>SUM(N9:N49)</f>
        <v>76533711.144947007</v>
      </c>
      <c r="O50" s="133">
        <f>SUM(O9:O49)</f>
        <v>7301494.5093427794</v>
      </c>
      <c r="P50" s="317">
        <f>O50/M50</f>
        <v>0.10546382687374224</v>
      </c>
      <c r="Q50" s="134"/>
      <c r="S50" s="133">
        <f>SUM(S9:S33)</f>
        <v>-3026.2306572211237</v>
      </c>
      <c r="T50" s="133">
        <f>SUM(T9:T33)</f>
        <v>7304563.5582926841</v>
      </c>
      <c r="U50" s="112"/>
      <c r="V50" s="138"/>
    </row>
    <row r="51" spans="1:37" s="135" customFormat="1" ht="15.75" customHeight="1" thickTop="1" x14ac:dyDescent="0.3">
      <c r="A51" s="215"/>
      <c r="B51" s="182"/>
      <c r="C51" s="183"/>
      <c r="D51" s="182"/>
      <c r="E51" s="182"/>
      <c r="F51" s="182"/>
      <c r="G51" s="182"/>
      <c r="H51" s="182"/>
      <c r="I51" s="182"/>
      <c r="J51" s="182"/>
      <c r="K51" s="182"/>
      <c r="L51" s="184"/>
      <c r="M51" s="184"/>
      <c r="N51" s="184"/>
      <c r="O51" s="185"/>
      <c r="P51" s="186"/>
      <c r="Q51" s="186"/>
      <c r="T51" s="125"/>
      <c r="U51" s="112"/>
      <c r="V51" s="138"/>
    </row>
    <row r="52" spans="1:37" x14ac:dyDescent="0.3">
      <c r="L52" s="139"/>
      <c r="M52" s="139"/>
      <c r="N52" s="139"/>
    </row>
    <row r="53" spans="1:37" x14ac:dyDescent="0.3">
      <c r="M53" s="139"/>
      <c r="N53" s="180" t="s">
        <v>148</v>
      </c>
      <c r="O53" s="300">
        <v>7304520.7397363111</v>
      </c>
      <c r="S53" s="87"/>
      <c r="T53" s="87"/>
    </row>
    <row r="54" spans="1:37" x14ac:dyDescent="0.3">
      <c r="N54" s="180" t="s">
        <v>149</v>
      </c>
      <c r="O54" s="139">
        <f>O50-O53</f>
        <v>-3026.2303935317323</v>
      </c>
      <c r="P54" s="114">
        <f>O54/O53</f>
        <v>-4.1429554400046475E-4</v>
      </c>
      <c r="S54" s="87"/>
      <c r="T54" s="87"/>
    </row>
    <row r="55" spans="1:37" x14ac:dyDescent="0.3">
      <c r="N55" s="139"/>
      <c r="P55" s="114"/>
      <c r="S55" s="87"/>
      <c r="T55" s="87"/>
    </row>
    <row r="56" spans="1:37" s="113" customFormat="1" x14ac:dyDescent="0.3">
      <c r="A56" s="211"/>
      <c r="B56" s="112"/>
      <c r="C56" s="130"/>
      <c r="D56" s="112"/>
      <c r="E56" s="112"/>
      <c r="F56" s="112"/>
      <c r="H56" s="112"/>
      <c r="I56" s="112"/>
      <c r="J56" s="112"/>
      <c r="K56" s="112"/>
      <c r="L56" s="112"/>
      <c r="M56" s="112"/>
      <c r="N56" s="112"/>
      <c r="O56" s="112"/>
      <c r="P56" s="112"/>
      <c r="S56" s="87"/>
      <c r="T56" s="87"/>
      <c r="U56" s="112"/>
      <c r="V56" s="112"/>
      <c r="AE56" s="112"/>
      <c r="AG56" s="112"/>
      <c r="AI56" s="112"/>
      <c r="AK56" s="112"/>
    </row>
    <row r="60" spans="1:37" s="113" customFormat="1" x14ac:dyDescent="0.3">
      <c r="A60" s="211"/>
      <c r="B60" s="112"/>
      <c r="C60" s="130"/>
      <c r="D60" s="112"/>
      <c r="E60" s="112"/>
      <c r="F60" s="112"/>
      <c r="H60" s="112"/>
      <c r="I60" s="112"/>
      <c r="J60" s="112"/>
      <c r="K60" s="112"/>
      <c r="L60" s="112"/>
      <c r="M60" s="112"/>
      <c r="N60" s="112"/>
      <c r="O60" s="112"/>
      <c r="P60" s="112"/>
      <c r="T60" s="112"/>
      <c r="U60" s="112"/>
      <c r="V60" s="112"/>
      <c r="AE60" s="112"/>
      <c r="AG60" s="112"/>
      <c r="AI60" s="112"/>
      <c r="AK60" s="112"/>
    </row>
    <row r="62" spans="1:37" s="113" customFormat="1" x14ac:dyDescent="0.3">
      <c r="A62" s="211"/>
      <c r="B62" s="112"/>
      <c r="C62" s="130"/>
      <c r="D62" s="112"/>
      <c r="E62" s="112"/>
      <c r="F62" s="112"/>
      <c r="H62" s="112"/>
      <c r="I62" s="112"/>
      <c r="J62" s="112"/>
      <c r="K62" s="112"/>
      <c r="L62" s="112"/>
      <c r="M62" s="112"/>
      <c r="N62" s="112"/>
      <c r="O62" s="112"/>
      <c r="P62" s="112"/>
      <c r="T62" s="112"/>
      <c r="U62" s="112"/>
      <c r="V62" s="112"/>
      <c r="AE62" s="112"/>
      <c r="AG62" s="112"/>
      <c r="AI62" s="112"/>
      <c r="AK62" s="112"/>
    </row>
    <row r="69" spans="3:7" x14ac:dyDescent="0.3">
      <c r="F69" s="130"/>
      <c r="G69" s="112"/>
    </row>
    <row r="70" spans="3:7" x14ac:dyDescent="0.3">
      <c r="F70" s="130"/>
      <c r="G70" s="112"/>
    </row>
    <row r="71" spans="3:7" x14ac:dyDescent="0.3">
      <c r="C71" s="112"/>
      <c r="F71" s="139"/>
      <c r="G71" s="138"/>
    </row>
    <row r="72" spans="3:7" x14ac:dyDescent="0.3">
      <c r="C72" s="112"/>
    </row>
    <row r="73" spans="3:7" x14ac:dyDescent="0.3">
      <c r="C73" s="112"/>
    </row>
    <row r="74" spans="3:7" x14ac:dyDescent="0.3">
      <c r="C74" s="112"/>
    </row>
    <row r="75" spans="3:7" x14ac:dyDescent="0.3">
      <c r="C75" s="112"/>
    </row>
    <row r="76" spans="3:7" x14ac:dyDescent="0.3">
      <c r="C76" s="112"/>
    </row>
  </sheetData>
  <dataConsolidate/>
  <mergeCells count="6">
    <mergeCell ref="B4:D4"/>
    <mergeCell ref="L4:Q4"/>
    <mergeCell ref="F4:J4"/>
    <mergeCell ref="B18:B19"/>
    <mergeCell ref="B33:B35"/>
    <mergeCell ref="B25:B26"/>
  </mergeCells>
  <printOptions horizontalCentered="1"/>
  <pageMargins left="0.5" right="0.5" top="1.5" bottom="0.5" header="0.3" footer="0.3"/>
  <pageSetup scale="57" orientation="landscape" r:id="rId1"/>
  <headerFooter>
    <oddFooter>&amp;RExhibit JW-9
Page &amp;P of &amp;N</oddFooter>
  </headerFooter>
  <ignoredErrors>
    <ignoredError sqref="H1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93D4F"/>
  </sheetPr>
  <dimension ref="A3:C14"/>
  <sheetViews>
    <sheetView workbookViewId="0">
      <selection sqref="A1:XFD1048576"/>
    </sheetView>
  </sheetViews>
  <sheetFormatPr defaultRowHeight="13.2" x14ac:dyDescent="0.25"/>
  <cols>
    <col min="1" max="1" width="9.109375" style="210"/>
    <col min="2" max="2" width="50.5546875" customWidth="1"/>
  </cols>
  <sheetData>
    <row r="3" spans="1:3" x14ac:dyDescent="0.25">
      <c r="B3" s="206" t="s">
        <v>4</v>
      </c>
      <c r="C3" s="206" t="s">
        <v>29</v>
      </c>
    </row>
    <row r="5" spans="1:3" x14ac:dyDescent="0.25">
      <c r="A5" s="210">
        <v>1</v>
      </c>
      <c r="B5" s="206" t="s">
        <v>104</v>
      </c>
      <c r="C5" s="207" t="s">
        <v>105</v>
      </c>
    </row>
    <row r="6" spans="1:3" x14ac:dyDescent="0.25">
      <c r="A6" s="210">
        <v>2</v>
      </c>
      <c r="B6" s="206" t="s">
        <v>106</v>
      </c>
      <c r="C6" s="207" t="s">
        <v>107</v>
      </c>
    </row>
    <row r="7" spans="1:3" x14ac:dyDescent="0.25">
      <c r="A7" s="210">
        <v>3</v>
      </c>
      <c r="B7" s="206" t="s">
        <v>135</v>
      </c>
      <c r="C7" s="207" t="s">
        <v>109</v>
      </c>
    </row>
    <row r="8" spans="1:3" x14ac:dyDescent="0.25">
      <c r="A8" s="210">
        <v>4</v>
      </c>
      <c r="B8" s="206" t="s">
        <v>110</v>
      </c>
      <c r="C8" s="207" t="s">
        <v>111</v>
      </c>
    </row>
    <row r="9" spans="1:3" x14ac:dyDescent="0.25">
      <c r="A9" s="210">
        <v>5</v>
      </c>
      <c r="B9" s="206" t="s">
        <v>186</v>
      </c>
      <c r="C9" s="207" t="s">
        <v>111</v>
      </c>
    </row>
    <row r="10" spans="1:3" x14ac:dyDescent="0.25">
      <c r="A10" s="210">
        <v>6</v>
      </c>
      <c r="B10" s="206" t="s">
        <v>112</v>
      </c>
      <c r="C10" s="207" t="s">
        <v>113</v>
      </c>
    </row>
    <row r="11" spans="1:3" x14ac:dyDescent="0.25">
      <c r="A11" s="210">
        <v>7</v>
      </c>
      <c r="B11" s="206" t="s">
        <v>116</v>
      </c>
      <c r="C11" s="208" t="s">
        <v>80</v>
      </c>
    </row>
    <row r="12" spans="1:3" x14ac:dyDescent="0.25">
      <c r="B12" s="206"/>
      <c r="C12" s="208"/>
    </row>
    <row r="13" spans="1:3" x14ac:dyDescent="0.25">
      <c r="B13" s="209"/>
      <c r="C13" s="208"/>
    </row>
    <row r="14" spans="1:3" x14ac:dyDescent="0.25">
      <c r="B14" s="209"/>
      <c r="C14" s="20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K48"/>
  <sheetViews>
    <sheetView workbookViewId="0">
      <selection activeCell="G30" sqref="G30"/>
    </sheetView>
  </sheetViews>
  <sheetFormatPr defaultRowHeight="13.2" x14ac:dyDescent="0.25"/>
  <cols>
    <col min="1" max="1" width="5" style="192" customWidth="1"/>
    <col min="2" max="2" width="29" style="192" customWidth="1"/>
    <col min="3" max="3" width="35.33203125" style="192" bestFit="1" customWidth="1"/>
    <col min="4" max="5" width="14" style="192" bestFit="1" customWidth="1"/>
    <col min="6" max="6" width="8.109375" style="192" customWidth="1"/>
    <col min="7" max="7" width="4.44140625" style="192" customWidth="1"/>
    <col min="8" max="8" width="43.109375" customWidth="1"/>
    <col min="9" max="9" width="12.44140625" customWidth="1"/>
    <col min="10" max="10" width="10.109375" style="192" customWidth="1"/>
  </cols>
  <sheetData>
    <row r="1" spans="1:10" ht="17.399999999999999" x14ac:dyDescent="0.3">
      <c r="A1" s="289" t="str">
        <f>'Present and Proposed Rates'!A1</f>
        <v>JACKSON PURCHASE ENERGY CORPORATION</v>
      </c>
      <c r="B1" s="189"/>
      <c r="C1" s="189"/>
      <c r="D1" s="209"/>
      <c r="E1" s="209"/>
      <c r="F1" s="209"/>
      <c r="G1" s="189"/>
      <c r="J1" s="189"/>
    </row>
    <row r="2" spans="1:10" x14ac:dyDescent="0.25">
      <c r="A2" s="188"/>
      <c r="B2" s="189"/>
      <c r="C2" s="189"/>
      <c r="D2" s="209"/>
      <c r="E2" s="209"/>
      <c r="F2" s="209"/>
      <c r="G2" s="189"/>
      <c r="J2" s="189"/>
    </row>
    <row r="3" spans="1:10" x14ac:dyDescent="0.25">
      <c r="A3" s="188" t="s">
        <v>67</v>
      </c>
      <c r="B3" s="189"/>
      <c r="C3" s="189"/>
      <c r="D3" s="209"/>
      <c r="E3" s="209"/>
      <c r="F3" s="209"/>
      <c r="G3" s="189"/>
      <c r="J3" s="189"/>
    </row>
    <row r="4" spans="1:10" ht="12.75" customHeight="1" x14ac:dyDescent="0.25">
      <c r="A4" s="189"/>
      <c r="B4" s="189"/>
      <c r="C4" s="189"/>
      <c r="D4" s="209"/>
      <c r="E4" s="209"/>
      <c r="F4" s="209"/>
      <c r="G4" s="189"/>
      <c r="H4" s="390" t="s">
        <v>70</v>
      </c>
      <c r="I4" s="390"/>
      <c r="J4" s="390"/>
    </row>
    <row r="5" spans="1:10" ht="12.75" customHeight="1" x14ac:dyDescent="0.25">
      <c r="A5" s="189"/>
      <c r="B5" s="351" t="s">
        <v>184</v>
      </c>
      <c r="C5" s="324" t="s">
        <v>136</v>
      </c>
      <c r="D5" s="388" t="s">
        <v>23</v>
      </c>
      <c r="E5" s="389"/>
      <c r="F5" s="288"/>
      <c r="G5" s="189"/>
      <c r="H5" s="390"/>
      <c r="I5" s="390"/>
      <c r="J5" s="390"/>
    </row>
    <row r="6" spans="1:10" x14ac:dyDescent="0.25">
      <c r="A6" s="189"/>
      <c r="B6" s="352"/>
      <c r="C6" s="323"/>
      <c r="D6" s="338" t="s">
        <v>25</v>
      </c>
      <c r="E6" s="325" t="s">
        <v>26</v>
      </c>
      <c r="F6" s="287"/>
      <c r="G6" s="189"/>
      <c r="H6" s="390"/>
      <c r="I6" s="390"/>
      <c r="J6" s="390"/>
    </row>
    <row r="7" spans="1:10" x14ac:dyDescent="0.25">
      <c r="A7" s="189"/>
      <c r="B7" s="383" t="str">
        <f>'Present and Proposed Rates'!B9</f>
        <v>R - Residential</v>
      </c>
      <c r="C7" s="226" t="str">
        <f>'Present and Proposed Rates'!D9</f>
        <v>Facilities Charge (per month)</v>
      </c>
      <c r="D7" s="339">
        <f>'Present and Proposed Rates'!G9</f>
        <v>16.399999999999999</v>
      </c>
      <c r="E7" s="319">
        <f>'Present and Proposed Rates'!H9</f>
        <v>21.25</v>
      </c>
      <c r="F7" s="285"/>
      <c r="G7" s="189"/>
    </row>
    <row r="8" spans="1:10" x14ac:dyDescent="0.25">
      <c r="A8" s="189"/>
      <c r="B8" s="384"/>
      <c r="C8" s="320" t="str">
        <f>'Present and Proposed Rates'!D10</f>
        <v>Energy Charge (per kWh)</v>
      </c>
      <c r="D8" s="340">
        <f>'Present and Proposed Rates'!G10</f>
        <v>0.10077999999999999</v>
      </c>
      <c r="E8" s="321">
        <f>'Present and Proposed Rates'!H10</f>
        <v>0.114872</v>
      </c>
      <c r="F8" s="286"/>
      <c r="G8" s="189"/>
      <c r="H8" s="192"/>
      <c r="I8" s="385" t="s">
        <v>27</v>
      </c>
      <c r="J8" s="385"/>
    </row>
    <row r="9" spans="1:10" x14ac:dyDescent="0.25">
      <c r="A9" s="189"/>
      <c r="B9" s="383" t="str">
        <f>'Present and Proposed Rates'!B12</f>
        <v>C-1 Small Commercial Single Phase</v>
      </c>
      <c r="C9" s="226" t="str">
        <f>'Present and Proposed Rates'!D12</f>
        <v>Facilities Charge (per month)</v>
      </c>
      <c r="D9" s="339">
        <f>'Present and Proposed Rates'!G12</f>
        <v>16.399999999999999</v>
      </c>
      <c r="E9" s="319">
        <f>'Present and Proposed Rates'!H12</f>
        <v>21.25</v>
      </c>
      <c r="F9" s="285"/>
      <c r="G9" s="189"/>
      <c r="H9" s="190" t="s">
        <v>184</v>
      </c>
      <c r="I9" s="203" t="s">
        <v>71</v>
      </c>
      <c r="J9" s="203" t="s">
        <v>66</v>
      </c>
    </row>
    <row r="10" spans="1:10" x14ac:dyDescent="0.25">
      <c r="A10" s="189"/>
      <c r="B10" s="384"/>
      <c r="C10" s="320" t="str">
        <f>'Present and Proposed Rates'!D13</f>
        <v>Energy Charge (per kWh)</v>
      </c>
      <c r="D10" s="340">
        <f>'Present and Proposed Rates'!G13</f>
        <v>0.102176</v>
      </c>
      <c r="E10" s="321">
        <f>'Present and Proposed Rates'!H13</f>
        <v>0.114299</v>
      </c>
      <c r="F10" s="285"/>
      <c r="G10" s="189"/>
      <c r="H10" s="290" t="str">
        <f>List!B5</f>
        <v>R - Residential</v>
      </c>
      <c r="I10" s="197">
        <f>'Present and Proposed Rates'!O9</f>
        <v>6527778.681908004</v>
      </c>
      <c r="J10" s="195">
        <f>'Present and Proposed Rates'!P9</f>
        <v>0.15171512944202456</v>
      </c>
    </row>
    <row r="11" spans="1:10" x14ac:dyDescent="0.25">
      <c r="A11" s="189"/>
      <c r="B11" s="383" t="str">
        <f>'Present and Proposed Rates'!B15</f>
        <v>C-3 Small Commercial Three Phase</v>
      </c>
      <c r="C11" s="226" t="str">
        <f>'Present and Proposed Rates'!D15</f>
        <v>Facilities Charge (per month)</v>
      </c>
      <c r="D11" s="339">
        <f>'Present and Proposed Rates'!G15</f>
        <v>24.9</v>
      </c>
      <c r="E11" s="319">
        <f>'Present and Proposed Rates'!H15</f>
        <v>32.270000000000003</v>
      </c>
      <c r="F11" s="286"/>
      <c r="G11" s="189"/>
      <c r="H11" s="290" t="str">
        <f>List!B6</f>
        <v>C-1 Small Commercial Single Phase</v>
      </c>
      <c r="I11" s="197">
        <f>'Present and Proposed Rates'!O12</f>
        <v>592513.33885999909</v>
      </c>
      <c r="J11" s="195">
        <f>'Present and Proposed Rates'!P12</f>
        <v>0.14178394241647554</v>
      </c>
    </row>
    <row r="12" spans="1:10" x14ac:dyDescent="0.25">
      <c r="A12" s="189"/>
      <c r="B12" s="384"/>
      <c r="C12" s="320" t="str">
        <f>'Present and Proposed Rates'!D16</f>
        <v>Energy Charge (per kWh)</v>
      </c>
      <c r="D12" s="340">
        <f>'Present and Proposed Rates'!G16</f>
        <v>9.7017000000000006E-2</v>
      </c>
      <c r="E12" s="321">
        <f>'Present and Proposed Rates'!H16</f>
        <v>0.101303</v>
      </c>
      <c r="F12" s="285"/>
      <c r="G12" s="189"/>
      <c r="H12" s="290" t="str">
        <f>List!B7</f>
        <v>C-3 Small Commercial Three Phase</v>
      </c>
      <c r="I12" s="197">
        <f>'Present and Proposed Rates'!O15</f>
        <v>91412.580193999922</v>
      </c>
      <c r="J12" s="195">
        <f>'Present and Proposed Rates'!P15</f>
        <v>6.9905612622374741E-2</v>
      </c>
    </row>
    <row r="13" spans="1:10" x14ac:dyDescent="0.25">
      <c r="A13" s="189"/>
      <c r="B13" s="383" t="str">
        <f>'Present and Proposed Rates'!B18</f>
        <v>D - Commercial and Industrial Demand &lt; 3,000 kW</v>
      </c>
      <c r="C13" s="226" t="str">
        <f>'Present and Proposed Rates'!D18</f>
        <v>Facilities Charge (per month)</v>
      </c>
      <c r="D13" s="339">
        <f>'Present and Proposed Rates'!G18</f>
        <v>48.42</v>
      </c>
      <c r="E13" s="319">
        <f>'Present and Proposed Rates'!H18</f>
        <v>48.42</v>
      </c>
      <c r="F13" s="285"/>
      <c r="G13" s="189"/>
      <c r="H13" s="290" t="str">
        <f>List!B8</f>
        <v>D - Commercial and Industrial Demand &lt; 3,000 kW</v>
      </c>
      <c r="I13" s="197">
        <f>'Present and Proposed Rates'!O18</f>
        <v>68220.134277775884</v>
      </c>
      <c r="J13" s="195">
        <f>'Present and Proposed Rates'!P18</f>
        <v>3.9137102950013956E-3</v>
      </c>
    </row>
    <row r="14" spans="1:10" x14ac:dyDescent="0.25">
      <c r="A14" s="189"/>
      <c r="B14" s="394"/>
      <c r="C14" s="230" t="str">
        <f>'Present and Proposed Rates'!D19</f>
        <v>Demand Charge (per kW)</v>
      </c>
      <c r="D14" s="341">
        <f>'Present and Proposed Rates'!G19</f>
        <v>9</v>
      </c>
      <c r="E14" s="326">
        <f>'Present and Proposed Rates'!H19</f>
        <v>9.11</v>
      </c>
      <c r="F14" s="286"/>
      <c r="G14" s="189"/>
      <c r="H14" s="290" t="str">
        <f>List!B9</f>
        <v>D - Commercial and Industrial - Direct Served</v>
      </c>
      <c r="I14" s="197">
        <f>'Present and Proposed Rates'!O25</f>
        <v>0</v>
      </c>
      <c r="J14" s="195">
        <f>'Present and Proposed Rates'!P25</f>
        <v>0</v>
      </c>
    </row>
    <row r="15" spans="1:10" x14ac:dyDescent="0.25">
      <c r="A15" s="189"/>
      <c r="B15" s="353"/>
      <c r="C15" s="230" t="str">
        <f>'Present and Proposed Rates'!D20</f>
        <v>Energy Charge 1st 200 (per kWh)</v>
      </c>
      <c r="D15" s="342">
        <f>'Present and Proposed Rates'!G20</f>
        <v>6.2202E-2</v>
      </c>
      <c r="E15" s="327">
        <f>'Present and Proposed Rates'!H20</f>
        <v>6.2202E-2</v>
      </c>
      <c r="F15" s="285"/>
      <c r="G15" s="189"/>
      <c r="H15" s="290" t="str">
        <f>List!B10</f>
        <v>I-E - Large Commercial Existing</v>
      </c>
      <c r="I15" s="197">
        <f>'Present and Proposed Rates'!O33</f>
        <v>21569.774103000062</v>
      </c>
      <c r="J15" s="195">
        <f>'Present and Proposed Rates'!P33</f>
        <v>1.3592190103788052E-2</v>
      </c>
    </row>
    <row r="16" spans="1:10" x14ac:dyDescent="0.25">
      <c r="A16" s="189"/>
      <c r="B16" s="353"/>
      <c r="C16" s="230" t="str">
        <f>'Present and Proposed Rates'!D21</f>
        <v>Energy Charge 2nd 200 (per kWh)</v>
      </c>
      <c r="D16" s="342">
        <f>'Present and Proposed Rates'!G21</f>
        <v>5.2103999999999998E-2</v>
      </c>
      <c r="E16" s="327">
        <f>'Present and Proposed Rates'!H21</f>
        <v>5.2103999999999998E-2</v>
      </c>
      <c r="F16" s="285"/>
      <c r="G16" s="189"/>
      <c r="H16" s="290" t="str">
        <f>List!B11</f>
        <v>OL - Outdoor Lighting</v>
      </c>
      <c r="I16" s="197">
        <f>'Present and Proposed Rates'!O38</f>
        <v>0</v>
      </c>
      <c r="J16" s="195">
        <f>'Present and Proposed Rates'!P38</f>
        <v>0</v>
      </c>
    </row>
    <row r="17" spans="1:11" x14ac:dyDescent="0.25">
      <c r="A17" s="189"/>
      <c r="B17" s="353"/>
      <c r="C17" s="230" t="str">
        <f>'Present and Proposed Rates'!D22</f>
        <v>Energy Charge 3rd 200 (per kWh)</v>
      </c>
      <c r="D17" s="342">
        <f>'Present and Proposed Rates'!G22</f>
        <v>4.6973000000000001E-2</v>
      </c>
      <c r="E17" s="327">
        <f>'Present and Proposed Rates'!H22</f>
        <v>4.6973000000000001E-2</v>
      </c>
      <c r="F17" s="285"/>
      <c r="G17" s="189"/>
      <c r="H17" s="198" t="s">
        <v>36</v>
      </c>
      <c r="I17" s="199">
        <f>'Present and Proposed Rates'!O50</f>
        <v>7301494.5093427794</v>
      </c>
      <c r="J17" s="316">
        <f>'Present and Proposed Rates'!P50</f>
        <v>0.10546382687374224</v>
      </c>
    </row>
    <row r="18" spans="1:11" ht="12.75" customHeight="1" x14ac:dyDescent="0.25">
      <c r="A18" s="189"/>
      <c r="B18" s="354"/>
      <c r="C18" s="320" t="str">
        <f>'Present and Proposed Rates'!D23</f>
        <v>Energy Charge Over 600 (per kWh)</v>
      </c>
      <c r="D18" s="340">
        <f>'Present and Proposed Rates'!G23</f>
        <v>4.1993000000000003E-2</v>
      </c>
      <c r="E18" s="321">
        <f>'Present and Proposed Rates'!H23</f>
        <v>4.1993000000000003E-2</v>
      </c>
      <c r="F18" s="286"/>
      <c r="G18" s="189"/>
      <c r="K18" s="204"/>
    </row>
    <row r="19" spans="1:11" x14ac:dyDescent="0.25">
      <c r="A19" s="189"/>
      <c r="B19" s="383" t="str">
        <f>'Present and Proposed Rates'!B33</f>
        <v>I-E - Large Commercial Existing</v>
      </c>
      <c r="C19" s="226" t="str">
        <f>'Present and Proposed Rates'!D33</f>
        <v>Service Charge (per month)</v>
      </c>
      <c r="D19" s="344">
        <f>'Present and Proposed Rates'!G33</f>
        <v>414.97</v>
      </c>
      <c r="E19" s="329">
        <f>'Present and Proposed Rates'!H33</f>
        <v>414.97</v>
      </c>
      <c r="F19" s="286"/>
      <c r="G19" s="189"/>
      <c r="I19" s="204"/>
      <c r="J19" s="204"/>
      <c r="K19" s="284"/>
    </row>
    <row r="20" spans="1:11" ht="12.75" customHeight="1" x14ac:dyDescent="0.25">
      <c r="A20" s="189"/>
      <c r="B20" s="394"/>
      <c r="C20" s="230" t="str">
        <f>'Present and Proposed Rates'!D34</f>
        <v>Energy Charge (per kWh)</v>
      </c>
      <c r="D20" s="342">
        <f>'Present and Proposed Rates'!G34</f>
        <v>3.8124999999999999E-2</v>
      </c>
      <c r="E20" s="330">
        <f>'Present and Proposed Rates'!H34</f>
        <v>3.9413999999999998E-2</v>
      </c>
      <c r="F20" s="286"/>
      <c r="G20" s="189"/>
      <c r="H20" s="204"/>
      <c r="I20" s="204"/>
      <c r="J20" s="204"/>
      <c r="K20" s="284"/>
    </row>
    <row r="21" spans="1:11" x14ac:dyDescent="0.25">
      <c r="A21" s="189"/>
      <c r="B21" s="353"/>
      <c r="C21" s="230" t="str">
        <f>'Present and Proposed Rates'!D35</f>
        <v>Demand Charge 1st 3000 ($)</v>
      </c>
      <c r="D21" s="343">
        <f>'Present and Proposed Rates'!G35</f>
        <v>47721.03</v>
      </c>
      <c r="E21" s="328">
        <f>'Present and Proposed Rates'!H35</f>
        <v>47721.03</v>
      </c>
      <c r="F21" s="286"/>
      <c r="G21" s="189"/>
      <c r="H21" s="386" t="s">
        <v>156</v>
      </c>
      <c r="I21" s="387"/>
      <c r="J21" s="387"/>
      <c r="K21" s="387"/>
    </row>
    <row r="22" spans="1:11" ht="12.75" customHeight="1" x14ac:dyDescent="0.25">
      <c r="A22" s="189"/>
      <c r="B22" s="353"/>
      <c r="C22" s="230" t="str">
        <f>'Present and Proposed Rates'!D36</f>
        <v>Demand Charge Over 3000 (per kW)</v>
      </c>
      <c r="D22" s="343">
        <f>'Present and Proposed Rates'!G36</f>
        <v>15.913</v>
      </c>
      <c r="E22" s="328">
        <f>'Present and Proposed Rates'!H36</f>
        <v>15.913</v>
      </c>
      <c r="F22" s="285"/>
      <c r="G22" s="189"/>
      <c r="H22" s="386" t="s">
        <v>157</v>
      </c>
      <c r="I22" s="387"/>
      <c r="J22" s="387"/>
      <c r="K22" s="387"/>
    </row>
    <row r="23" spans="1:11" x14ac:dyDescent="0.25">
      <c r="A23" s="189"/>
      <c r="B23" s="391" t="s">
        <v>170</v>
      </c>
      <c r="C23" s="225" t="s">
        <v>138</v>
      </c>
      <c r="D23" s="345">
        <v>414.97</v>
      </c>
      <c r="E23" s="329">
        <f>D23</f>
        <v>414.97</v>
      </c>
      <c r="F23" s="285"/>
      <c r="G23" s="189"/>
    </row>
    <row r="24" spans="1:11" x14ac:dyDescent="0.25">
      <c r="A24" s="189"/>
      <c r="B24" s="392"/>
      <c r="C24" s="229" t="s">
        <v>41</v>
      </c>
      <c r="D24" s="343">
        <v>15.62</v>
      </c>
      <c r="E24" s="328">
        <f>D24</f>
        <v>15.62</v>
      </c>
      <c r="F24" s="286"/>
      <c r="G24" s="189"/>
      <c r="H24" s="192"/>
      <c r="I24" s="201" t="s">
        <v>68</v>
      </c>
      <c r="J24" s="385" t="s">
        <v>27</v>
      </c>
      <c r="K24" s="385"/>
    </row>
    <row r="25" spans="1:11" x14ac:dyDescent="0.25">
      <c r="A25" s="189"/>
      <c r="B25" s="352"/>
      <c r="C25" s="323" t="s">
        <v>40</v>
      </c>
      <c r="D25" s="340">
        <v>3.8124999999999999E-2</v>
      </c>
      <c r="E25" s="321">
        <f>D25</f>
        <v>3.8124999999999999E-2</v>
      </c>
      <c r="F25" s="285"/>
      <c r="G25" s="189"/>
      <c r="H25" s="190" t="s">
        <v>184</v>
      </c>
      <c r="I25" s="202" t="s">
        <v>69</v>
      </c>
      <c r="J25" s="203" t="s">
        <v>71</v>
      </c>
      <c r="K25" s="203" t="s">
        <v>66</v>
      </c>
    </row>
    <row r="26" spans="1:11" x14ac:dyDescent="0.25">
      <c r="A26" s="189"/>
      <c r="B26" s="355" t="str">
        <f>'Present and Proposed Rates'!B38</f>
        <v>OL - Outdoor Lighting</v>
      </c>
      <c r="C26" s="230" t="s">
        <v>159</v>
      </c>
      <c r="D26" s="343">
        <v>10.98</v>
      </c>
      <c r="E26" s="326">
        <f>D26</f>
        <v>10.98</v>
      </c>
      <c r="F26" s="285"/>
      <c r="G26" s="189"/>
      <c r="H26" s="192" t="str">
        <f>List!B5</f>
        <v>R - Residential</v>
      </c>
      <c r="I26" s="200">
        <f>'R'!D16</f>
        <v>1175.6278777539001</v>
      </c>
      <c r="J26" s="196">
        <f>'Present and Proposed Rates'!Q9</f>
        <v>21.416948053307973</v>
      </c>
      <c r="K26" s="195">
        <f t="shared" ref="K26:K30" si="0">J10</f>
        <v>0.15171512944202456</v>
      </c>
    </row>
    <row r="27" spans="1:11" x14ac:dyDescent="0.25">
      <c r="A27" s="189"/>
      <c r="B27" s="356"/>
      <c r="C27" s="332" t="s">
        <v>158</v>
      </c>
      <c r="D27" s="343">
        <v>15.25</v>
      </c>
      <c r="E27" s="326">
        <f t="shared" ref="E27:E37" si="1">D27</f>
        <v>15.25</v>
      </c>
      <c r="F27" s="285"/>
      <c r="G27" s="189"/>
      <c r="H27" s="192" t="str">
        <f>List!B6</f>
        <v>C-1 Small Commercial Single Phase</v>
      </c>
      <c r="I27" s="200">
        <f>'C-1'!D18</f>
        <v>785.10196658502878</v>
      </c>
      <c r="J27" s="196">
        <f>'Present and Proposed Rates'!Q12</f>
        <v>14.367791140910281</v>
      </c>
      <c r="K27" s="195">
        <f t="shared" si="0"/>
        <v>0.14178394241647554</v>
      </c>
    </row>
    <row r="28" spans="1:11" ht="12.75" customHeight="1" x14ac:dyDescent="0.25">
      <c r="A28" s="189"/>
      <c r="B28" s="356"/>
      <c r="C28" s="229" t="s">
        <v>160</v>
      </c>
      <c r="D28" s="343">
        <v>16.010000000000002</v>
      </c>
      <c r="E28" s="326">
        <f t="shared" si="1"/>
        <v>16.010000000000002</v>
      </c>
      <c r="F28" s="285"/>
      <c r="G28" s="189"/>
      <c r="H28" s="192" t="str">
        <f>List!B7</f>
        <v>C-3 Small Commercial Three Phase</v>
      </c>
      <c r="I28" s="200">
        <f>'C-3'!D18</f>
        <v>1928.7853232979814</v>
      </c>
      <c r="J28" s="196">
        <f>'Present and Proposed Rates'!Q15</f>
        <v>15.636773895655136</v>
      </c>
      <c r="K28" s="195">
        <f t="shared" si="0"/>
        <v>6.9905612622374741E-2</v>
      </c>
    </row>
    <row r="29" spans="1:11" x14ac:dyDescent="0.25">
      <c r="A29" s="189"/>
      <c r="B29" s="356"/>
      <c r="C29" s="230" t="s">
        <v>161</v>
      </c>
      <c r="D29" s="343">
        <v>40.1</v>
      </c>
      <c r="E29" s="326">
        <f t="shared" si="1"/>
        <v>40.1</v>
      </c>
      <c r="F29" s="286"/>
      <c r="G29" s="189"/>
      <c r="H29" s="192" t="str">
        <f>List!B8</f>
        <v>D - Commercial and Industrial Demand &lt; 3,000 kW</v>
      </c>
      <c r="I29" s="200">
        <f>D!D22</f>
        <v>23805.452541914547</v>
      </c>
      <c r="J29" s="196">
        <f>'Present and Proposed Rates'!Q18</f>
        <v>9.2239229688718076</v>
      </c>
      <c r="K29" s="195">
        <f t="shared" si="0"/>
        <v>3.9137102950013956E-3</v>
      </c>
    </row>
    <row r="30" spans="1:11" x14ac:dyDescent="0.25">
      <c r="A30" s="189"/>
      <c r="B30" s="356"/>
      <c r="C30" s="230" t="s">
        <v>162</v>
      </c>
      <c r="D30" s="343">
        <v>11.19</v>
      </c>
      <c r="E30" s="326">
        <f t="shared" si="1"/>
        <v>11.19</v>
      </c>
      <c r="F30" s="285"/>
      <c r="G30" s="189"/>
      <c r="H30" s="192" t="str">
        <f>List!B9</f>
        <v>D - Commercial and Industrial - Direct Served</v>
      </c>
      <c r="I30" s="200">
        <f>'D Direct'!D22</f>
        <v>32520.5</v>
      </c>
      <c r="J30" s="196">
        <f>'Present and Proposed Rates'!Q25</f>
        <v>0</v>
      </c>
      <c r="K30" s="195">
        <f t="shared" si="0"/>
        <v>0</v>
      </c>
    </row>
    <row r="31" spans="1:11" x14ac:dyDescent="0.25">
      <c r="A31" s="189"/>
      <c r="B31" s="356"/>
      <c r="C31" s="230" t="s">
        <v>163</v>
      </c>
      <c r="D31" s="343">
        <v>13.68</v>
      </c>
      <c r="E31" s="326">
        <f t="shared" si="1"/>
        <v>13.68</v>
      </c>
      <c r="F31" s="285"/>
      <c r="G31" s="189"/>
      <c r="H31" s="192" t="str">
        <f>List!B10</f>
        <v>I-E - Large Commercial Existing</v>
      </c>
      <c r="I31" s="200">
        <f>'I-E'!D18</f>
        <v>1394477.25</v>
      </c>
      <c r="J31" s="196">
        <f>'Present and Proposed Rates'!Q33</f>
        <v>1797.4811752500052</v>
      </c>
      <c r="K31" s="195">
        <f>'Present and Proposed Rates'!P33</f>
        <v>1.3592190103788052E-2</v>
      </c>
    </row>
    <row r="32" spans="1:11" x14ac:dyDescent="0.25">
      <c r="A32" s="189"/>
      <c r="B32" s="356"/>
      <c r="C32" s="230" t="s">
        <v>164</v>
      </c>
      <c r="D32" s="343">
        <v>19.3</v>
      </c>
      <c r="E32" s="326">
        <f t="shared" si="1"/>
        <v>19.3</v>
      </c>
      <c r="F32" s="285"/>
      <c r="G32" s="189"/>
      <c r="H32" s="192" t="str">
        <f>List!B11</f>
        <v>OL - Outdoor Lighting</v>
      </c>
      <c r="I32" s="358" t="s">
        <v>185</v>
      </c>
      <c r="J32" s="196">
        <f>'Present and Proposed Rates'!O38</f>
        <v>0</v>
      </c>
      <c r="K32" s="195">
        <f>'Present and Proposed Rates'!P38</f>
        <v>0</v>
      </c>
    </row>
    <row r="33" spans="1:10" x14ac:dyDescent="0.25">
      <c r="A33" s="189"/>
      <c r="B33" s="356"/>
      <c r="C33" s="230" t="s">
        <v>165</v>
      </c>
      <c r="D33" s="343">
        <v>18.579999999999998</v>
      </c>
      <c r="E33" s="326">
        <f t="shared" si="1"/>
        <v>18.579999999999998</v>
      </c>
      <c r="F33" s="285"/>
      <c r="G33" s="189"/>
      <c r="J33" s="191"/>
    </row>
    <row r="34" spans="1:10" x14ac:dyDescent="0.25">
      <c r="A34" s="189"/>
      <c r="B34" s="357"/>
      <c r="C34" s="230" t="s">
        <v>166</v>
      </c>
      <c r="D34" s="343">
        <v>18</v>
      </c>
      <c r="E34" s="326">
        <f t="shared" si="1"/>
        <v>18</v>
      </c>
      <c r="F34" s="285"/>
      <c r="G34" s="189"/>
    </row>
    <row r="35" spans="1:10" x14ac:dyDescent="0.25">
      <c r="A35" s="189"/>
      <c r="B35" s="357"/>
      <c r="C35" s="230" t="s">
        <v>167</v>
      </c>
      <c r="D35" s="343">
        <v>27.07</v>
      </c>
      <c r="E35" s="326">
        <f t="shared" si="1"/>
        <v>27.07</v>
      </c>
      <c r="F35" s="285"/>
      <c r="G35" s="189"/>
    </row>
    <row r="36" spans="1:10" x14ac:dyDescent="0.25">
      <c r="B36" s="356"/>
      <c r="C36" s="230" t="s">
        <v>168</v>
      </c>
      <c r="D36" s="343">
        <v>11.43</v>
      </c>
      <c r="E36" s="326">
        <f t="shared" si="1"/>
        <v>11.43</v>
      </c>
      <c r="F36" s="285"/>
    </row>
    <row r="37" spans="1:10" x14ac:dyDescent="0.25">
      <c r="B37" s="357"/>
      <c r="C37" s="229" t="s">
        <v>169</v>
      </c>
      <c r="D37" s="343">
        <v>17.68</v>
      </c>
      <c r="E37" s="326">
        <f t="shared" si="1"/>
        <v>17.68</v>
      </c>
      <c r="F37" s="285"/>
    </row>
    <row r="38" spans="1:10" x14ac:dyDescent="0.25">
      <c r="B38" s="391" t="s">
        <v>171</v>
      </c>
      <c r="C38" s="225" t="s">
        <v>172</v>
      </c>
      <c r="D38" s="346">
        <v>1.694E-2</v>
      </c>
      <c r="E38" s="333">
        <f>D38</f>
        <v>1.694E-2</v>
      </c>
      <c r="F38" s="285"/>
      <c r="J38" s="194"/>
    </row>
    <row r="39" spans="1:10" x14ac:dyDescent="0.25">
      <c r="B39" s="393"/>
      <c r="C39" s="323"/>
      <c r="D39" s="322"/>
      <c r="E39" s="331"/>
      <c r="F39" s="285"/>
      <c r="J39" s="193"/>
    </row>
    <row r="40" spans="1:10" x14ac:dyDescent="0.25">
      <c r="B40" s="391" t="s">
        <v>175</v>
      </c>
      <c r="C40" s="225" t="s">
        <v>172</v>
      </c>
      <c r="D40" s="346">
        <v>1.694E-2</v>
      </c>
      <c r="E40" s="333">
        <f>D40</f>
        <v>1.694E-2</v>
      </c>
      <c r="F40" s="285"/>
    </row>
    <row r="41" spans="1:10" x14ac:dyDescent="0.25">
      <c r="B41" s="392"/>
      <c r="C41" s="229" t="s">
        <v>173</v>
      </c>
      <c r="D41" s="347">
        <v>4.12</v>
      </c>
      <c r="E41" s="334">
        <f>D41</f>
        <v>4.12</v>
      </c>
      <c r="F41" s="285"/>
    </row>
    <row r="42" spans="1:10" x14ac:dyDescent="0.25">
      <c r="B42" s="352"/>
      <c r="C42" s="323" t="s">
        <v>174</v>
      </c>
      <c r="D42" s="348">
        <v>4.04</v>
      </c>
      <c r="E42" s="335">
        <f>D42</f>
        <v>4.04</v>
      </c>
      <c r="F42" s="285"/>
    </row>
    <row r="43" spans="1:10" x14ac:dyDescent="0.25">
      <c r="B43" s="391" t="s">
        <v>176</v>
      </c>
      <c r="C43" s="225" t="s">
        <v>178</v>
      </c>
      <c r="D43" s="349">
        <v>4.84</v>
      </c>
      <c r="E43" s="336">
        <f>D43</f>
        <v>4.84</v>
      </c>
      <c r="F43" s="285"/>
      <c r="G43" s="196"/>
    </row>
    <row r="44" spans="1:10" x14ac:dyDescent="0.25">
      <c r="B44" s="392"/>
      <c r="C44" s="229" t="s">
        <v>177</v>
      </c>
      <c r="D44" s="347">
        <v>4.09</v>
      </c>
      <c r="E44" s="334">
        <f>D44</f>
        <v>4.09</v>
      </c>
    </row>
    <row r="45" spans="1:10" x14ac:dyDescent="0.25">
      <c r="B45" s="357"/>
      <c r="C45" s="229" t="s">
        <v>179</v>
      </c>
      <c r="D45" s="347">
        <v>5.88</v>
      </c>
      <c r="E45" s="334">
        <f t="shared" ref="E45:E48" si="2">D45</f>
        <v>5.88</v>
      </c>
    </row>
    <row r="46" spans="1:10" x14ac:dyDescent="0.25">
      <c r="B46" s="357"/>
      <c r="C46" s="229" t="s">
        <v>180</v>
      </c>
      <c r="D46" s="350" t="s">
        <v>183</v>
      </c>
      <c r="E46" s="337" t="str">
        <f t="shared" si="2"/>
        <v>(Not Avail)</v>
      </c>
    </row>
    <row r="47" spans="1:10" x14ac:dyDescent="0.25">
      <c r="B47" s="357"/>
      <c r="C47" s="229" t="s">
        <v>181</v>
      </c>
      <c r="D47" s="347">
        <v>0.24</v>
      </c>
      <c r="E47" s="334">
        <f t="shared" si="2"/>
        <v>0.24</v>
      </c>
    </row>
    <row r="48" spans="1:10" x14ac:dyDescent="0.25">
      <c r="B48" s="352"/>
      <c r="C48" s="323" t="s">
        <v>182</v>
      </c>
      <c r="D48" s="348">
        <v>0.16</v>
      </c>
      <c r="E48" s="335">
        <f t="shared" si="2"/>
        <v>0.16</v>
      </c>
    </row>
  </sheetData>
  <mergeCells count="15">
    <mergeCell ref="B38:B39"/>
    <mergeCell ref="B40:B41"/>
    <mergeCell ref="B43:B44"/>
    <mergeCell ref="B13:B14"/>
    <mergeCell ref="B19:B20"/>
    <mergeCell ref="B11:B12"/>
    <mergeCell ref="J24:K24"/>
    <mergeCell ref="H21:K21"/>
    <mergeCell ref="H22:K22"/>
    <mergeCell ref="D5:E5"/>
    <mergeCell ref="I8:J8"/>
    <mergeCell ref="H4:J6"/>
    <mergeCell ref="B7:B8"/>
    <mergeCell ref="B9:B10"/>
    <mergeCell ref="B23:B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R41"/>
  <sheetViews>
    <sheetView view="pageBreakPreview" zoomScale="85" zoomScaleNormal="75" zoomScaleSheetLayoutView="85" workbookViewId="0">
      <selection activeCell="D23" sqref="D23"/>
    </sheetView>
  </sheetViews>
  <sheetFormatPr defaultColWidth="9.109375" defaultRowHeight="15.6" x14ac:dyDescent="0.3"/>
  <cols>
    <col min="1" max="1" width="41.5546875" style="2" customWidth="1"/>
    <col min="2" max="2" width="11.109375" style="76" bestFit="1" customWidth="1"/>
    <col min="3" max="4" width="14.44140625" style="2" bestFit="1" customWidth="1"/>
    <col min="5" max="5" width="18.5546875" style="2" bestFit="1" customWidth="1"/>
    <col min="6" max="6" width="11.44140625" style="2" bestFit="1" customWidth="1"/>
    <col min="7" max="7" width="12" style="2" bestFit="1" customWidth="1"/>
    <col min="8" max="8" width="19.109375" style="2" hidden="1" customWidth="1"/>
    <col min="9" max="9" width="15.88671875" style="2" hidden="1" customWidth="1"/>
    <col min="10" max="10" width="15.6640625" style="2" hidden="1" customWidth="1"/>
    <col min="11" max="11" width="4.5546875" style="2" customWidth="1"/>
    <col min="12" max="12" width="20" style="2" customWidth="1"/>
    <col min="13" max="13" width="18.109375" style="2" bestFit="1" customWidth="1"/>
    <col min="14" max="14" width="15.109375" style="2" customWidth="1"/>
    <col min="15" max="16" width="9.109375" style="2"/>
    <col min="17" max="17" width="10.6640625" style="2" customWidth="1"/>
    <col min="18" max="16384" width="9.109375" style="2"/>
  </cols>
  <sheetData>
    <row r="1" spans="1:18" ht="17.399999999999999" x14ac:dyDescent="0.3">
      <c r="A1" s="97" t="str">
        <f>'Present and Proposed Rates'!A1</f>
        <v>JACKSON PURCHASE ENERGY CORPORATION</v>
      </c>
      <c r="B1" s="108"/>
    </row>
    <row r="2" spans="1:18" x14ac:dyDescent="0.3">
      <c r="A2" s="1" t="s">
        <v>78</v>
      </c>
    </row>
    <row r="5" spans="1:18" ht="57" customHeight="1" x14ac:dyDescent="0.3">
      <c r="A5" s="359" t="s">
        <v>11</v>
      </c>
      <c r="B5" s="360" t="s">
        <v>35</v>
      </c>
      <c r="C5" s="361" t="s">
        <v>7</v>
      </c>
      <c r="D5" s="361" t="s">
        <v>15</v>
      </c>
      <c r="E5" s="361" t="s">
        <v>19</v>
      </c>
      <c r="F5" s="361" t="s">
        <v>10</v>
      </c>
      <c r="G5" s="361" t="s">
        <v>16</v>
      </c>
      <c r="H5" s="25" t="s">
        <v>12</v>
      </c>
      <c r="I5" s="25" t="s">
        <v>10</v>
      </c>
      <c r="J5" s="25" t="s">
        <v>16</v>
      </c>
    </row>
    <row r="6" spans="1:18" x14ac:dyDescent="0.3">
      <c r="A6" s="24"/>
      <c r="B6" s="100"/>
    </row>
    <row r="7" spans="1:18" s="24" customFormat="1" x14ac:dyDescent="0.3">
      <c r="A7" s="24" t="str">
        <f>List!B5</f>
        <v>R - Residential</v>
      </c>
      <c r="B7" s="100" t="str">
        <f>List!C5</f>
        <v>R</v>
      </c>
      <c r="C7" s="102">
        <f>'R'!D15</f>
        <v>358325499</v>
      </c>
      <c r="D7" s="103">
        <f>'R'!G25</f>
        <v>42499049.619999997</v>
      </c>
      <c r="E7" s="104">
        <f>'R'!G23</f>
        <v>43026550.522124998</v>
      </c>
      <c r="F7" s="104">
        <f t="shared" ref="F7:F13" si="0">E7-D7</f>
        <v>527500.90212500095</v>
      </c>
      <c r="G7" s="105">
        <f t="shared" ref="G7:G13" si="1">F7/D7</f>
        <v>1.2412063489456473E-2</v>
      </c>
      <c r="H7" s="104">
        <v>0</v>
      </c>
      <c r="I7" s="104">
        <f t="shared" ref="I7:I11" si="2">H7-E7</f>
        <v>-43026550.522124998</v>
      </c>
      <c r="J7" s="105">
        <f t="shared" ref="J7:J16" si="3">I7/E7</f>
        <v>-1</v>
      </c>
      <c r="L7" s="2"/>
      <c r="M7" s="309"/>
      <c r="N7" s="23"/>
      <c r="O7" s="2"/>
      <c r="P7" s="2"/>
      <c r="Q7" s="2"/>
      <c r="R7" s="2"/>
    </row>
    <row r="8" spans="1:18" s="24" customFormat="1" x14ac:dyDescent="0.3">
      <c r="A8" s="24" t="str">
        <f>List!B6</f>
        <v>C-1 Small Commercial Single Phase</v>
      </c>
      <c r="B8" s="100" t="str">
        <f>List!C6</f>
        <v>C1</v>
      </c>
      <c r="C8" s="102">
        <f>'C-1'!D17</f>
        <v>32376820</v>
      </c>
      <c r="D8" s="103">
        <f>'C-1'!G28</f>
        <v>4138755.14</v>
      </c>
      <c r="E8" s="104">
        <f>'C-1'!G26</f>
        <v>4178987.6114430004</v>
      </c>
      <c r="F8" s="104">
        <f t="shared" si="0"/>
        <v>40232.47144300025</v>
      </c>
      <c r="G8" s="105">
        <f t="shared" si="1"/>
        <v>9.7209112600462385E-3</v>
      </c>
      <c r="H8" s="53">
        <v>0</v>
      </c>
      <c r="I8" s="53">
        <f t="shared" si="2"/>
        <v>-4178987.6114430004</v>
      </c>
      <c r="J8" s="105">
        <f t="shared" si="3"/>
        <v>-1</v>
      </c>
      <c r="L8" s="2"/>
      <c r="M8" s="309"/>
      <c r="N8" s="23"/>
      <c r="O8" s="2"/>
      <c r="P8" s="2"/>
      <c r="Q8" s="2"/>
      <c r="R8" s="2"/>
    </row>
    <row r="9" spans="1:18" s="24" customFormat="1" x14ac:dyDescent="0.3">
      <c r="A9" s="24" t="str">
        <f>List!B7</f>
        <v>C-3 Small Commercial Three Phase</v>
      </c>
      <c r="B9" s="100" t="str">
        <f>List!C7</f>
        <v>C3</v>
      </c>
      <c r="C9" s="102">
        <f>'C-3'!D17</f>
        <v>11275679</v>
      </c>
      <c r="D9" s="103">
        <f>'C-3'!G28</f>
        <v>1309041.8000000003</v>
      </c>
      <c r="E9" s="104">
        <f>'C-3'!G26</f>
        <v>1307657.2361621996</v>
      </c>
      <c r="F9" s="104">
        <f t="shared" si="0"/>
        <v>-1384.5638378006406</v>
      </c>
      <c r="G9" s="105">
        <f t="shared" si="1"/>
        <v>-1.0576926098163101E-3</v>
      </c>
      <c r="H9" s="53">
        <v>0</v>
      </c>
      <c r="I9" s="53">
        <f>H9-E9</f>
        <v>-1307657.2361621996</v>
      </c>
      <c r="J9" s="105">
        <f>I9/E9</f>
        <v>-1</v>
      </c>
      <c r="L9" s="2"/>
      <c r="M9" s="309"/>
      <c r="N9" s="23"/>
      <c r="O9" s="2"/>
      <c r="P9" s="2"/>
      <c r="Q9" s="2"/>
      <c r="R9" s="2"/>
    </row>
    <row r="10" spans="1:18" s="24" customFormat="1" x14ac:dyDescent="0.3">
      <c r="A10" s="24" t="str">
        <f>List!B8</f>
        <v>D - Commercial and Industrial Demand &lt; 3,000 kW</v>
      </c>
      <c r="B10" s="100" t="str">
        <f>List!C8</f>
        <v>D</v>
      </c>
      <c r="C10" s="106">
        <f>D!D21</f>
        <v>176065127</v>
      </c>
      <c r="D10" s="218">
        <f>D!G36</f>
        <v>17261700.725300003</v>
      </c>
      <c r="E10" s="67">
        <f>D!G34</f>
        <v>17431063.910097502</v>
      </c>
      <c r="F10" s="67">
        <f t="shared" si="0"/>
        <v>169363.18479749933</v>
      </c>
      <c r="G10" s="105">
        <f t="shared" si="1"/>
        <v>9.8115004710554593E-3</v>
      </c>
      <c r="H10" s="55">
        <v>0</v>
      </c>
      <c r="I10" s="55">
        <f t="shared" si="2"/>
        <v>-17431063.910097502</v>
      </c>
      <c r="J10" s="60">
        <f t="shared" si="3"/>
        <v>-1</v>
      </c>
      <c r="L10" s="2"/>
      <c r="M10" s="309"/>
      <c r="N10" s="23"/>
      <c r="O10" s="2"/>
      <c r="P10" s="2"/>
      <c r="Q10" s="2"/>
      <c r="R10" s="2"/>
    </row>
    <row r="11" spans="1:18" s="24" customFormat="1" x14ac:dyDescent="0.3">
      <c r="A11" s="24" t="str">
        <f>List!B9</f>
        <v>D - Commercial and Industrial - Direct Served</v>
      </c>
      <c r="B11" s="100" t="str">
        <f>List!C9</f>
        <v>D</v>
      </c>
      <c r="C11" s="106">
        <f>'D Direct'!D21</f>
        <v>390246</v>
      </c>
      <c r="D11" s="218">
        <f>'D Direct'!G38</f>
        <v>281019.07</v>
      </c>
      <c r="E11" s="67">
        <f>'D Direct'!G36</f>
        <v>280984.99169200001</v>
      </c>
      <c r="F11" s="67">
        <f t="shared" si="0"/>
        <v>-34.078307999996468</v>
      </c>
      <c r="G11" s="105">
        <f t="shared" si="1"/>
        <v>-1.2126688768842793E-4</v>
      </c>
      <c r="H11" s="55">
        <v>0</v>
      </c>
      <c r="I11" s="55">
        <f t="shared" si="2"/>
        <v>-280984.99169200001</v>
      </c>
      <c r="J11" s="60">
        <f t="shared" si="3"/>
        <v>-1</v>
      </c>
      <c r="L11" s="2"/>
      <c r="M11" s="309"/>
      <c r="N11" s="23"/>
      <c r="O11" s="2"/>
      <c r="P11" s="2"/>
      <c r="Q11" s="2"/>
      <c r="R11" s="2"/>
    </row>
    <row r="12" spans="1:18" s="24" customFormat="1" x14ac:dyDescent="0.3">
      <c r="A12" s="24" t="str">
        <f>List!B10</f>
        <v>I-E - Large Commercial Existing</v>
      </c>
      <c r="B12" s="100" t="str">
        <f>List!C10</f>
        <v>I-E</v>
      </c>
      <c r="C12" s="102">
        <f>'I-E'!D17</f>
        <v>16733727</v>
      </c>
      <c r="D12" s="218">
        <f>'I-E'!G33</f>
        <v>1588746.9799999997</v>
      </c>
      <c r="E12" s="67">
        <f>'I-E'!G31</f>
        <v>1586924.1040845001</v>
      </c>
      <c r="F12" s="67">
        <f t="shared" si="0"/>
        <v>-1822.8759154996369</v>
      </c>
      <c r="G12" s="105">
        <f t="shared" si="1"/>
        <v>-1.1473670373237388E-3</v>
      </c>
      <c r="H12" s="104">
        <v>0</v>
      </c>
      <c r="I12" s="104">
        <f t="shared" ref="I12:I13" si="4">H12-E12</f>
        <v>-1586924.1040845001</v>
      </c>
      <c r="J12" s="105">
        <f t="shared" ref="J12:J13" si="5">I12/E12</f>
        <v>-1</v>
      </c>
      <c r="L12" s="2"/>
      <c r="M12" s="309"/>
      <c r="N12" s="23"/>
      <c r="O12" s="2"/>
      <c r="P12" s="2"/>
      <c r="Q12" s="2"/>
      <c r="R12" s="2"/>
    </row>
    <row r="13" spans="1:18" s="24" customFormat="1" x14ac:dyDescent="0.3">
      <c r="A13" s="24" t="str">
        <f>List!B11</f>
        <v>OL - Outdoor Lighting</v>
      </c>
      <c r="B13" s="100" t="str">
        <f>List!C11</f>
        <v>OL</v>
      </c>
      <c r="C13" s="102">
        <f>Lighting!D16</f>
        <v>7879125</v>
      </c>
      <c r="D13" s="103">
        <f>Lighting!I18</f>
        <v>1420048.26</v>
      </c>
      <c r="E13" s="104">
        <f>Lighting!I16</f>
        <v>1420048.26</v>
      </c>
      <c r="F13" s="104">
        <f t="shared" si="0"/>
        <v>0</v>
      </c>
      <c r="G13" s="105">
        <f t="shared" si="1"/>
        <v>0</v>
      </c>
      <c r="H13" s="53">
        <v>0</v>
      </c>
      <c r="I13" s="53">
        <f t="shared" si="4"/>
        <v>-1420048.26</v>
      </c>
      <c r="J13" s="105">
        <f t="shared" si="5"/>
        <v>-1</v>
      </c>
      <c r="L13" s="2"/>
      <c r="M13" s="7"/>
      <c r="N13" s="23"/>
      <c r="O13" s="2"/>
      <c r="P13" s="2"/>
      <c r="Q13" s="2"/>
      <c r="R13" s="2"/>
    </row>
    <row r="14" spans="1:18" s="24" customFormat="1" x14ac:dyDescent="0.3">
      <c r="B14" s="100"/>
      <c r="C14" s="102"/>
      <c r="D14" s="103"/>
      <c r="E14" s="104"/>
      <c r="F14" s="104"/>
      <c r="G14" s="105"/>
      <c r="H14" s="53">
        <v>0</v>
      </c>
      <c r="I14" s="53">
        <f>H14-E14</f>
        <v>0</v>
      </c>
      <c r="J14" s="105" t="e">
        <f>I14/E14</f>
        <v>#DIV/0!</v>
      </c>
      <c r="L14" s="2"/>
      <c r="M14" s="7"/>
      <c r="N14" s="2"/>
      <c r="O14" s="2"/>
      <c r="P14" s="2"/>
      <c r="Q14" s="2"/>
      <c r="R14" s="2"/>
    </row>
    <row r="15" spans="1:18" s="24" customFormat="1" x14ac:dyDescent="0.3">
      <c r="B15" s="100"/>
      <c r="C15" s="106"/>
      <c r="D15" s="78"/>
      <c r="E15" s="55"/>
      <c r="F15" s="104"/>
      <c r="G15" s="105"/>
      <c r="H15" s="55">
        <v>0</v>
      </c>
      <c r="I15" s="55">
        <f t="shared" ref="I15" si="6">H15-E15</f>
        <v>0</v>
      </c>
      <c r="J15" s="60" t="e">
        <f t="shared" ref="J15" si="7">I15/E15</f>
        <v>#DIV/0!</v>
      </c>
      <c r="L15" s="2"/>
      <c r="M15" s="2"/>
      <c r="N15" s="2"/>
      <c r="O15" s="2"/>
      <c r="P15" s="2"/>
      <c r="Q15" s="2"/>
      <c r="R15" s="2"/>
    </row>
    <row r="16" spans="1:18" s="24" customFormat="1" ht="16.2" thickBot="1" x14ac:dyDescent="0.35">
      <c r="A16" s="24" t="s">
        <v>33</v>
      </c>
      <c r="B16" s="100"/>
      <c r="C16" s="71">
        <f>SUM(C7:C15)</f>
        <v>603046223</v>
      </c>
      <c r="D16" s="74">
        <f>SUM(D7:D15)</f>
        <v>68498361.595300004</v>
      </c>
      <c r="E16" s="181">
        <f>SUM(E7:E15)</f>
        <v>69232216.635604203</v>
      </c>
      <c r="F16" s="72">
        <f>SUM(F7:F15)</f>
        <v>733855.04030420026</v>
      </c>
      <c r="G16" s="73">
        <f>F16/D16</f>
        <v>1.0713468515348453E-2</v>
      </c>
      <c r="H16" s="74">
        <f>SUM(H7:H15)</f>
        <v>0</v>
      </c>
      <c r="I16" s="72">
        <f>SUM(I7:I15)</f>
        <v>-69232216.635604203</v>
      </c>
      <c r="J16" s="73">
        <f t="shared" si="3"/>
        <v>-1</v>
      </c>
      <c r="L16" s="2"/>
      <c r="M16" s="2"/>
      <c r="N16" s="2"/>
      <c r="O16" s="2"/>
      <c r="P16" s="2"/>
      <c r="Q16" s="2"/>
      <c r="R16" s="2"/>
    </row>
    <row r="17" spans="1:12" ht="16.2" thickTop="1" x14ac:dyDescent="0.3">
      <c r="E17" s="10"/>
      <c r="H17" s="10"/>
    </row>
    <row r="18" spans="1:12" ht="15.75" customHeight="1" x14ac:dyDescent="0.3">
      <c r="C18" s="53"/>
      <c r="D18" s="13"/>
      <c r="E18" s="13"/>
      <c r="H18" s="43"/>
    </row>
    <row r="19" spans="1:12" ht="15.75" customHeight="1" x14ac:dyDescent="0.3">
      <c r="C19" s="53"/>
      <c r="D19" s="13"/>
      <c r="E19" s="13"/>
      <c r="G19" s="17"/>
      <c r="H19" s="84"/>
    </row>
    <row r="20" spans="1:12" ht="15.75" customHeight="1" x14ac:dyDescent="0.3">
      <c r="C20" s="53"/>
      <c r="D20" s="13"/>
      <c r="E20" s="13"/>
      <c r="F20" s="17"/>
      <c r="H20" s="85"/>
    </row>
    <row r="21" spans="1:12" ht="15.75" customHeight="1" x14ac:dyDescent="0.3">
      <c r="C21" s="53"/>
      <c r="D21" s="13"/>
      <c r="E21" s="13"/>
      <c r="F21" s="83"/>
      <c r="G21" s="22"/>
      <c r="H21" s="27"/>
      <c r="L21" s="13"/>
    </row>
    <row r="22" spans="1:12" ht="15.75" customHeight="1" x14ac:dyDescent="0.3">
      <c r="C22" s="17"/>
      <c r="D22" s="17"/>
      <c r="F22" s="17"/>
    </row>
    <row r="23" spans="1:12" x14ac:dyDescent="0.3">
      <c r="A23" s="39"/>
      <c r="C23" s="53"/>
      <c r="D23" s="53"/>
      <c r="E23" s="101"/>
      <c r="F23" s="16"/>
      <c r="G23" s="16"/>
      <c r="H23" s="16"/>
      <c r="I23" s="16"/>
      <c r="J23" s="16"/>
    </row>
    <row r="24" spans="1:12" x14ac:dyDescent="0.3">
      <c r="A24" s="32"/>
      <c r="B24" s="292"/>
      <c r="C24" s="167"/>
      <c r="D24" s="179"/>
      <c r="E24" s="80"/>
      <c r="F24" s="80"/>
      <c r="G24" s="80"/>
      <c r="H24" s="80"/>
      <c r="I24" s="80"/>
      <c r="J24" s="80"/>
    </row>
    <row r="25" spans="1:12" x14ac:dyDescent="0.3">
      <c r="C25" s="98"/>
      <c r="D25" s="98"/>
      <c r="E25" s="98"/>
      <c r="F25" s="98"/>
      <c r="G25" s="98"/>
      <c r="H25" s="98"/>
      <c r="I25" s="16"/>
      <c r="J25" s="16"/>
    </row>
    <row r="26" spans="1:12" x14ac:dyDescent="0.3">
      <c r="A26" s="81"/>
      <c r="B26" s="86"/>
      <c r="C26" s="36"/>
      <c r="D26" s="38"/>
      <c r="E26" s="20"/>
      <c r="F26" s="37"/>
      <c r="G26" s="37"/>
      <c r="H26" s="20"/>
      <c r="I26" s="37"/>
      <c r="J26" s="20"/>
    </row>
    <row r="27" spans="1:12" x14ac:dyDescent="0.3">
      <c r="A27" s="81"/>
      <c r="B27" s="86"/>
      <c r="C27" s="36"/>
      <c r="D27" s="31"/>
      <c r="E27" s="55"/>
      <c r="F27" s="67"/>
      <c r="G27" s="60"/>
      <c r="H27" s="55"/>
      <c r="I27" s="67"/>
      <c r="J27" s="60"/>
    </row>
    <row r="28" spans="1:12" x14ac:dyDescent="0.3">
      <c r="A28" s="81"/>
      <c r="B28" s="86"/>
      <c r="C28" s="36"/>
      <c r="D28" s="38"/>
      <c r="E28" s="20"/>
      <c r="F28" s="55"/>
      <c r="G28" s="55"/>
      <c r="H28" s="20"/>
      <c r="I28" s="67"/>
      <c r="J28" s="60"/>
    </row>
    <row r="29" spans="1:12" x14ac:dyDescent="0.3">
      <c r="A29" s="81"/>
      <c r="B29" s="86"/>
      <c r="C29" s="36"/>
      <c r="D29" s="31"/>
      <c r="E29" s="55"/>
      <c r="F29" s="55"/>
      <c r="G29" s="55"/>
      <c r="H29" s="55"/>
      <c r="I29" s="67"/>
      <c r="J29" s="60"/>
    </row>
    <row r="30" spans="1:12" x14ac:dyDescent="0.3">
      <c r="A30" s="81"/>
      <c r="B30" s="86"/>
      <c r="C30" s="36"/>
      <c r="D30" s="38"/>
      <c r="E30" s="20"/>
      <c r="F30" s="55"/>
      <c r="G30" s="55"/>
      <c r="H30" s="20"/>
      <c r="I30" s="67"/>
      <c r="J30" s="60"/>
    </row>
    <row r="31" spans="1:12" x14ac:dyDescent="0.3">
      <c r="A31" s="81"/>
      <c r="B31" s="86"/>
      <c r="C31" s="36"/>
      <c r="D31" s="31"/>
      <c r="E31" s="55"/>
      <c r="F31" s="55"/>
      <c r="G31" s="55"/>
      <c r="H31" s="55"/>
      <c r="I31" s="67"/>
      <c r="J31" s="60"/>
    </row>
    <row r="32" spans="1:12" x14ac:dyDescent="0.3">
      <c r="A32" s="81"/>
      <c r="B32" s="86"/>
      <c r="C32" s="38"/>
      <c r="D32" s="38"/>
      <c r="E32" s="20"/>
      <c r="F32" s="55"/>
      <c r="G32" s="55"/>
      <c r="H32" s="20"/>
      <c r="I32" s="67"/>
      <c r="J32" s="60"/>
    </row>
    <row r="33" spans="1:10" x14ac:dyDescent="0.3">
      <c r="A33" s="40"/>
      <c r="B33" s="68"/>
      <c r="C33" s="27"/>
      <c r="D33" s="33"/>
      <c r="E33" s="30"/>
      <c r="F33" s="34"/>
      <c r="G33" s="34"/>
      <c r="H33" s="30"/>
      <c r="I33" s="15"/>
      <c r="J33" s="20"/>
    </row>
    <row r="34" spans="1:10" x14ac:dyDescent="0.3">
      <c r="A34" s="39"/>
      <c r="C34" s="7"/>
      <c r="D34" s="38"/>
      <c r="E34" s="20"/>
      <c r="F34" s="13"/>
      <c r="G34" s="13"/>
      <c r="H34" s="20"/>
    </row>
    <row r="35" spans="1:10" x14ac:dyDescent="0.3">
      <c r="C35" s="7"/>
      <c r="E35" s="23"/>
      <c r="F35" s="18"/>
      <c r="H35" s="66"/>
    </row>
    <row r="36" spans="1:10" x14ac:dyDescent="0.3">
      <c r="C36" s="7"/>
      <c r="F36" s="7"/>
      <c r="G36" s="7"/>
    </row>
    <row r="38" spans="1:10" x14ac:dyDescent="0.3">
      <c r="G38" s="22"/>
    </row>
    <row r="40" spans="1:10" x14ac:dyDescent="0.3">
      <c r="A40" s="39"/>
      <c r="C40" s="64"/>
    </row>
    <row r="41" spans="1:10" x14ac:dyDescent="0.3">
      <c r="A41" s="39"/>
    </row>
  </sheetData>
  <phoneticPr fontId="0" type="noConversion"/>
  <pageMargins left="0.75" right="0.35" top="1" bottom="1" header="0.5" footer="0.5"/>
  <pageSetup orientation="landscape" r:id="rId1"/>
  <headerFooter alignWithMargins="0">
    <oddFooter>&amp;RExhibit JW-6
Page &amp;P of &amp;N</oddFooter>
  </headerFooter>
  <ignoredErrors>
    <ignoredError sqref="G16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93D4F"/>
  </sheetPr>
  <dimension ref="A1:R122"/>
  <sheetViews>
    <sheetView topLeftCell="A103" zoomScale="75" zoomScaleNormal="75" workbookViewId="0">
      <selection activeCell="I127" sqref="I127"/>
    </sheetView>
  </sheetViews>
  <sheetFormatPr defaultColWidth="9.109375" defaultRowHeight="13.2" x14ac:dyDescent="0.25"/>
  <cols>
    <col min="1" max="1" width="4.88671875" style="192" customWidth="1"/>
    <col min="2" max="2" width="8.109375" style="192" customWidth="1"/>
    <col min="3" max="3" width="52" style="192" bestFit="1" customWidth="1"/>
    <col min="4" max="4" width="9.109375" style="205"/>
    <col min="5" max="5" width="16.109375" style="192" customWidth="1"/>
    <col min="6" max="8" width="14" style="192" customWidth="1"/>
    <col min="9" max="9" width="17.88671875" style="192" customWidth="1"/>
    <col min="10" max="10" width="14" style="192" customWidth="1"/>
    <col min="11" max="11" width="16.44140625" style="192" customWidth="1"/>
    <col min="12" max="12" width="15.5546875" style="192" customWidth="1"/>
    <col min="13" max="15" width="14" style="192" customWidth="1"/>
    <col min="16" max="16" width="15.109375" style="192" customWidth="1"/>
    <col min="17" max="17" width="17.33203125" style="192" customWidth="1"/>
    <col min="18" max="18" width="14" style="220" bestFit="1" customWidth="1"/>
    <col min="19" max="16384" width="9.109375" style="213"/>
  </cols>
  <sheetData>
    <row r="1" spans="1:18" x14ac:dyDescent="0.25">
      <c r="A1" s="188" t="s">
        <v>103</v>
      </c>
    </row>
    <row r="2" spans="1:18" x14ac:dyDescent="0.25">
      <c r="A2" s="221" t="s">
        <v>81</v>
      </c>
    </row>
    <row r="4" spans="1:18" x14ac:dyDescent="0.25">
      <c r="B4" s="221" t="s">
        <v>82</v>
      </c>
    </row>
    <row r="5" spans="1:18" x14ac:dyDescent="0.25">
      <c r="E5" s="222" t="s">
        <v>83</v>
      </c>
      <c r="F5" s="222" t="s">
        <v>84</v>
      </c>
      <c r="G5" s="222" t="s">
        <v>85</v>
      </c>
      <c r="H5" s="222" t="s">
        <v>86</v>
      </c>
      <c r="I5" s="222" t="s">
        <v>87</v>
      </c>
      <c r="J5" s="222" t="s">
        <v>88</v>
      </c>
      <c r="K5" s="222" t="s">
        <v>89</v>
      </c>
      <c r="L5" s="222" t="s">
        <v>90</v>
      </c>
      <c r="M5" s="222" t="s">
        <v>91</v>
      </c>
      <c r="N5" s="222" t="s">
        <v>92</v>
      </c>
      <c r="O5" s="222" t="s">
        <v>93</v>
      </c>
      <c r="P5" s="222" t="s">
        <v>94</v>
      </c>
      <c r="Q5" s="222" t="s">
        <v>33</v>
      </c>
      <c r="R5" s="223" t="s">
        <v>95</v>
      </c>
    </row>
    <row r="6" spans="1:18" x14ac:dyDescent="0.25">
      <c r="B6" s="208">
        <v>1</v>
      </c>
      <c r="C6" s="206" t="s">
        <v>104</v>
      </c>
      <c r="D6" s="208" t="s">
        <v>105</v>
      </c>
      <c r="E6" s="224">
        <v>25428</v>
      </c>
      <c r="F6" s="224">
        <v>25436</v>
      </c>
      <c r="G6" s="224">
        <v>25423</v>
      </c>
      <c r="H6" s="224">
        <v>25409</v>
      </c>
      <c r="I6" s="224">
        <v>25378</v>
      </c>
      <c r="J6" s="224">
        <v>25398</v>
      </c>
      <c r="K6" s="224">
        <v>25422</v>
      </c>
      <c r="L6" s="224">
        <v>25401</v>
      </c>
      <c r="M6" s="224">
        <v>25381</v>
      </c>
      <c r="N6" s="224">
        <v>25380</v>
      </c>
      <c r="O6" s="224">
        <v>25386</v>
      </c>
      <c r="P6" s="224">
        <v>25353</v>
      </c>
      <c r="Q6" s="220">
        <f>SUM(E6:P6)</f>
        <v>304795</v>
      </c>
      <c r="R6" s="220">
        <f>Q6/12</f>
        <v>25399.583333333332</v>
      </c>
    </row>
    <row r="7" spans="1:18" x14ac:dyDescent="0.25">
      <c r="B7" s="208">
        <v>2</v>
      </c>
      <c r="C7" s="206" t="s">
        <v>106</v>
      </c>
      <c r="D7" s="208" t="s">
        <v>107</v>
      </c>
      <c r="E7" s="224">
        <v>3437</v>
      </c>
      <c r="F7" s="224">
        <v>3426</v>
      </c>
      <c r="G7" s="224">
        <v>3416</v>
      </c>
      <c r="H7" s="224">
        <v>3429</v>
      </c>
      <c r="I7" s="224">
        <v>3437</v>
      </c>
      <c r="J7" s="224">
        <v>3430</v>
      </c>
      <c r="K7" s="224">
        <v>3420</v>
      </c>
      <c r="L7" s="224">
        <v>3437</v>
      </c>
      <c r="M7" s="224">
        <v>3433</v>
      </c>
      <c r="N7" s="224">
        <v>3443</v>
      </c>
      <c r="O7" s="224">
        <v>3461</v>
      </c>
      <c r="P7" s="224">
        <v>3470</v>
      </c>
      <c r="Q7" s="220">
        <f t="shared" ref="Q7:Q14" si="0">SUM(E7:P7)</f>
        <v>41239</v>
      </c>
      <c r="R7" s="220">
        <f t="shared" ref="R7:R14" si="1">Q7/12</f>
        <v>3436.5833333333335</v>
      </c>
    </row>
    <row r="8" spans="1:18" x14ac:dyDescent="0.25">
      <c r="B8" s="208">
        <v>3</v>
      </c>
      <c r="C8" s="206" t="s">
        <v>108</v>
      </c>
      <c r="D8" s="208" t="s">
        <v>109</v>
      </c>
      <c r="E8" s="224">
        <v>485</v>
      </c>
      <c r="F8" s="224">
        <v>483</v>
      </c>
      <c r="G8" s="224">
        <v>484</v>
      </c>
      <c r="H8" s="224">
        <v>485</v>
      </c>
      <c r="I8" s="224">
        <v>483</v>
      </c>
      <c r="J8" s="224">
        <v>483</v>
      </c>
      <c r="K8" s="224">
        <v>486</v>
      </c>
      <c r="L8" s="224">
        <v>489</v>
      </c>
      <c r="M8" s="224">
        <v>491</v>
      </c>
      <c r="N8" s="224">
        <v>491</v>
      </c>
      <c r="O8" s="224">
        <v>492</v>
      </c>
      <c r="P8" s="224">
        <v>494</v>
      </c>
      <c r="Q8" s="220">
        <f t="shared" si="0"/>
        <v>5846</v>
      </c>
      <c r="R8" s="220">
        <f t="shared" si="1"/>
        <v>487.16666666666669</v>
      </c>
    </row>
    <row r="9" spans="1:18" x14ac:dyDescent="0.25">
      <c r="B9" s="208">
        <v>4</v>
      </c>
      <c r="C9" s="206" t="s">
        <v>110</v>
      </c>
      <c r="D9" s="208" t="s">
        <v>111</v>
      </c>
      <c r="E9" s="224">
        <v>614</v>
      </c>
      <c r="F9" s="224">
        <v>614</v>
      </c>
      <c r="G9" s="224">
        <v>613</v>
      </c>
      <c r="H9" s="224">
        <v>611</v>
      </c>
      <c r="I9" s="224">
        <v>610</v>
      </c>
      <c r="J9" s="224">
        <v>611</v>
      </c>
      <c r="K9" s="224">
        <v>608</v>
      </c>
      <c r="L9" s="224">
        <v>610</v>
      </c>
      <c r="M9" s="224">
        <v>613</v>
      </c>
      <c r="N9" s="224">
        <v>630</v>
      </c>
      <c r="O9" s="224">
        <v>631</v>
      </c>
      <c r="P9" s="224">
        <v>631</v>
      </c>
      <c r="Q9" s="220">
        <f t="shared" si="0"/>
        <v>7396</v>
      </c>
      <c r="R9" s="220">
        <f t="shared" si="1"/>
        <v>616.33333333333337</v>
      </c>
    </row>
    <row r="10" spans="1:18" x14ac:dyDescent="0.25">
      <c r="B10" s="208">
        <v>6</v>
      </c>
      <c r="C10" s="206" t="s">
        <v>139</v>
      </c>
      <c r="D10" s="208" t="s">
        <v>111</v>
      </c>
      <c r="E10" s="224">
        <v>1</v>
      </c>
      <c r="F10" s="224">
        <v>1</v>
      </c>
      <c r="G10" s="224">
        <v>1</v>
      </c>
      <c r="H10" s="224">
        <v>1</v>
      </c>
      <c r="I10" s="224">
        <v>1</v>
      </c>
      <c r="J10" s="224">
        <v>1</v>
      </c>
      <c r="K10" s="224">
        <v>1</v>
      </c>
      <c r="L10" s="224">
        <v>1</v>
      </c>
      <c r="M10" s="224">
        <v>1</v>
      </c>
      <c r="N10" s="224">
        <v>1</v>
      </c>
      <c r="O10" s="224">
        <v>1</v>
      </c>
      <c r="P10" s="224">
        <v>1</v>
      </c>
      <c r="Q10" s="220">
        <f t="shared" si="0"/>
        <v>12</v>
      </c>
      <c r="R10" s="220">
        <f t="shared" si="1"/>
        <v>1</v>
      </c>
    </row>
    <row r="11" spans="1:18" x14ac:dyDescent="0.25">
      <c r="B11" s="208">
        <v>5</v>
      </c>
      <c r="C11" s="206" t="s">
        <v>112</v>
      </c>
      <c r="D11" s="208" t="s">
        <v>113</v>
      </c>
      <c r="E11" s="224">
        <v>1</v>
      </c>
      <c r="F11" s="224">
        <v>1</v>
      </c>
      <c r="G11" s="224">
        <v>1</v>
      </c>
      <c r="H11" s="224">
        <v>1</v>
      </c>
      <c r="I11" s="224">
        <v>1</v>
      </c>
      <c r="J11" s="224">
        <v>1</v>
      </c>
      <c r="K11" s="224">
        <v>1</v>
      </c>
      <c r="L11" s="224">
        <v>1</v>
      </c>
      <c r="M11" s="224">
        <v>1</v>
      </c>
      <c r="N11" s="224">
        <v>1</v>
      </c>
      <c r="O11" s="224">
        <v>1</v>
      </c>
      <c r="P11" s="224">
        <v>1</v>
      </c>
      <c r="Q11" s="220">
        <f t="shared" si="0"/>
        <v>12</v>
      </c>
      <c r="R11" s="220">
        <f t="shared" si="1"/>
        <v>1</v>
      </c>
    </row>
    <row r="12" spans="1:18" x14ac:dyDescent="0.25">
      <c r="B12" s="208">
        <v>7</v>
      </c>
      <c r="C12" s="206" t="s">
        <v>114</v>
      </c>
      <c r="D12" s="208" t="s">
        <v>115</v>
      </c>
      <c r="E12" s="224">
        <v>0</v>
      </c>
      <c r="F12" s="224">
        <v>0</v>
      </c>
      <c r="G12" s="224">
        <v>0</v>
      </c>
      <c r="H12" s="224">
        <v>0</v>
      </c>
      <c r="I12" s="224">
        <v>0</v>
      </c>
      <c r="J12" s="224">
        <v>0</v>
      </c>
      <c r="K12" s="224">
        <v>0</v>
      </c>
      <c r="L12" s="224">
        <v>0</v>
      </c>
      <c r="M12" s="224">
        <v>0</v>
      </c>
      <c r="N12" s="224">
        <v>0</v>
      </c>
      <c r="O12" s="224">
        <v>0</v>
      </c>
      <c r="P12" s="224">
        <v>0</v>
      </c>
      <c r="Q12" s="220">
        <f t="shared" si="0"/>
        <v>0</v>
      </c>
      <c r="R12" s="220">
        <f t="shared" si="1"/>
        <v>0</v>
      </c>
    </row>
    <row r="13" spans="1:18" x14ac:dyDescent="0.25">
      <c r="B13" s="208">
        <v>8</v>
      </c>
      <c r="C13" s="206" t="s">
        <v>116</v>
      </c>
      <c r="D13" s="208" t="s">
        <v>80</v>
      </c>
      <c r="E13" s="224">
        <v>89</v>
      </c>
      <c r="F13" s="224">
        <v>89</v>
      </c>
      <c r="G13" s="224">
        <v>89</v>
      </c>
      <c r="H13" s="224">
        <v>88</v>
      </c>
      <c r="I13" s="224">
        <v>88</v>
      </c>
      <c r="J13" s="224">
        <v>87</v>
      </c>
      <c r="K13" s="224">
        <v>85</v>
      </c>
      <c r="L13" s="224">
        <v>84</v>
      </c>
      <c r="M13" s="224">
        <v>86</v>
      </c>
      <c r="N13" s="224">
        <v>88</v>
      </c>
      <c r="O13" s="224">
        <v>89</v>
      </c>
      <c r="P13" s="224">
        <v>90</v>
      </c>
      <c r="Q13" s="220">
        <f t="shared" si="0"/>
        <v>1052</v>
      </c>
      <c r="R13" s="220">
        <f t="shared" si="1"/>
        <v>87.666666666666671</v>
      </c>
    </row>
    <row r="14" spans="1:18" x14ac:dyDescent="0.25">
      <c r="B14" s="225"/>
      <c r="C14" s="226" t="s">
        <v>33</v>
      </c>
      <c r="D14" s="227"/>
      <c r="E14" s="228">
        <f>SUM(E6:E13)</f>
        <v>30055</v>
      </c>
      <c r="F14" s="228">
        <f t="shared" ref="F14:P14" si="2">SUM(F6:F13)</f>
        <v>30050</v>
      </c>
      <c r="G14" s="228">
        <f t="shared" si="2"/>
        <v>30027</v>
      </c>
      <c r="H14" s="228">
        <f t="shared" si="2"/>
        <v>30024</v>
      </c>
      <c r="I14" s="228">
        <f t="shared" si="2"/>
        <v>29998</v>
      </c>
      <c r="J14" s="228">
        <f t="shared" si="2"/>
        <v>30011</v>
      </c>
      <c r="K14" s="228">
        <f t="shared" si="2"/>
        <v>30023</v>
      </c>
      <c r="L14" s="228">
        <f t="shared" si="2"/>
        <v>30023</v>
      </c>
      <c r="M14" s="228">
        <f t="shared" si="2"/>
        <v>30006</v>
      </c>
      <c r="N14" s="228">
        <f t="shared" si="2"/>
        <v>30034</v>
      </c>
      <c r="O14" s="228">
        <f t="shared" si="2"/>
        <v>30061</v>
      </c>
      <c r="P14" s="228">
        <f t="shared" si="2"/>
        <v>30040</v>
      </c>
      <c r="Q14" s="228">
        <f t="shared" si="0"/>
        <v>360352</v>
      </c>
      <c r="R14" s="228">
        <f t="shared" si="1"/>
        <v>30029.333333333332</v>
      </c>
    </row>
    <row r="16" spans="1:18" x14ac:dyDescent="0.25">
      <c r="B16" s="221" t="s">
        <v>96</v>
      </c>
    </row>
    <row r="17" spans="2:18" x14ac:dyDescent="0.25">
      <c r="E17" s="222" t="s">
        <v>83</v>
      </c>
      <c r="F17" s="222" t="s">
        <v>84</v>
      </c>
      <c r="G17" s="222" t="s">
        <v>85</v>
      </c>
      <c r="H17" s="222" t="s">
        <v>86</v>
      </c>
      <c r="I17" s="222" t="s">
        <v>87</v>
      </c>
      <c r="J17" s="222" t="s">
        <v>88</v>
      </c>
      <c r="K17" s="222" t="s">
        <v>89</v>
      </c>
      <c r="L17" s="222" t="s">
        <v>90</v>
      </c>
      <c r="M17" s="222" t="s">
        <v>91</v>
      </c>
      <c r="N17" s="222" t="s">
        <v>92</v>
      </c>
      <c r="O17" s="222" t="s">
        <v>93</v>
      </c>
      <c r="P17" s="222" t="s">
        <v>94</v>
      </c>
      <c r="Q17" s="222" t="s">
        <v>33</v>
      </c>
      <c r="R17" s="223" t="s">
        <v>95</v>
      </c>
    </row>
    <row r="18" spans="2:18" x14ac:dyDescent="0.25">
      <c r="B18" s="208">
        <v>1</v>
      </c>
      <c r="C18" s="206" t="s">
        <v>104</v>
      </c>
      <c r="D18" s="208" t="s">
        <v>105</v>
      </c>
      <c r="E18" s="224">
        <v>34687089</v>
      </c>
      <c r="F18" s="224">
        <v>34460112</v>
      </c>
      <c r="G18" s="224">
        <v>28588348</v>
      </c>
      <c r="H18" s="224">
        <v>24272536</v>
      </c>
      <c r="I18" s="224">
        <v>20087262</v>
      </c>
      <c r="J18" s="224">
        <v>26839067</v>
      </c>
      <c r="K18" s="224">
        <v>33368379</v>
      </c>
      <c r="L18" s="224">
        <v>36492170</v>
      </c>
      <c r="M18" s="224">
        <v>35918086</v>
      </c>
      <c r="N18" s="224">
        <v>30105836</v>
      </c>
      <c r="O18" s="224">
        <v>22669057</v>
      </c>
      <c r="P18" s="224">
        <v>30837557</v>
      </c>
      <c r="Q18" s="220">
        <f>SUM(E18:P18)</f>
        <v>358325499</v>
      </c>
      <c r="R18" s="220">
        <f>Q18/12</f>
        <v>29860458.25</v>
      </c>
    </row>
    <row r="19" spans="2:18" x14ac:dyDescent="0.25">
      <c r="B19" s="208">
        <v>2</v>
      </c>
      <c r="C19" s="206" t="s">
        <v>106</v>
      </c>
      <c r="D19" s="208" t="s">
        <v>107</v>
      </c>
      <c r="E19" s="224">
        <v>2938461</v>
      </c>
      <c r="F19" s="224">
        <v>2884840</v>
      </c>
      <c r="G19" s="224">
        <v>2371375</v>
      </c>
      <c r="H19" s="224">
        <v>2194039</v>
      </c>
      <c r="I19" s="224">
        <v>2164345</v>
      </c>
      <c r="J19" s="224">
        <v>2535317</v>
      </c>
      <c r="K19" s="224">
        <v>2965674</v>
      </c>
      <c r="L19" s="224">
        <v>3121035</v>
      </c>
      <c r="M19" s="224">
        <v>3135583</v>
      </c>
      <c r="N19" s="224">
        <v>2800578</v>
      </c>
      <c r="O19" s="224">
        <v>2440433</v>
      </c>
      <c r="P19" s="224">
        <v>2825140</v>
      </c>
      <c r="Q19" s="220">
        <f t="shared" ref="Q19:Q26" si="3">SUM(E19:P19)</f>
        <v>32376820</v>
      </c>
      <c r="R19" s="220">
        <f t="shared" ref="R19:R26" si="4">Q19/12</f>
        <v>2698068.3333333335</v>
      </c>
    </row>
    <row r="20" spans="2:18" x14ac:dyDescent="0.25">
      <c r="B20" s="208">
        <v>3</v>
      </c>
      <c r="C20" s="206" t="s">
        <v>108</v>
      </c>
      <c r="D20" s="208" t="s">
        <v>109</v>
      </c>
      <c r="E20" s="224">
        <v>864105</v>
      </c>
      <c r="F20" s="224">
        <v>844599</v>
      </c>
      <c r="G20" s="224">
        <v>760149</v>
      </c>
      <c r="H20" s="224">
        <v>784612</v>
      </c>
      <c r="I20" s="224">
        <v>951348</v>
      </c>
      <c r="J20" s="224">
        <v>931706</v>
      </c>
      <c r="K20" s="224">
        <v>1174594</v>
      </c>
      <c r="L20" s="224">
        <v>1272637</v>
      </c>
      <c r="M20" s="224">
        <v>1108410</v>
      </c>
      <c r="N20" s="224">
        <v>898981</v>
      </c>
      <c r="O20" s="224">
        <v>853688</v>
      </c>
      <c r="P20" s="224">
        <v>830850</v>
      </c>
      <c r="Q20" s="220">
        <f t="shared" si="3"/>
        <v>11275679</v>
      </c>
      <c r="R20" s="220">
        <f t="shared" si="4"/>
        <v>939639.91666666663</v>
      </c>
    </row>
    <row r="21" spans="2:18" x14ac:dyDescent="0.25">
      <c r="B21" s="208">
        <v>4</v>
      </c>
      <c r="C21" s="206" t="s">
        <v>110</v>
      </c>
      <c r="D21" s="208" t="s">
        <v>111</v>
      </c>
      <c r="E21" s="224">
        <v>15078753</v>
      </c>
      <c r="F21" s="224">
        <v>13505658</v>
      </c>
      <c r="G21" s="224">
        <v>13399399</v>
      </c>
      <c r="H21" s="224">
        <v>12839085</v>
      </c>
      <c r="I21" s="224">
        <v>14794836</v>
      </c>
      <c r="J21" s="224">
        <v>14144618</v>
      </c>
      <c r="K21" s="224">
        <v>16739225</v>
      </c>
      <c r="L21" s="224">
        <v>16633070</v>
      </c>
      <c r="M21" s="224">
        <v>15872509</v>
      </c>
      <c r="N21" s="224">
        <v>14271000</v>
      </c>
      <c r="O21" s="224">
        <v>13896578</v>
      </c>
      <c r="P21" s="224">
        <v>14890396</v>
      </c>
      <c r="Q21" s="220">
        <f t="shared" si="3"/>
        <v>176065127</v>
      </c>
      <c r="R21" s="220">
        <f t="shared" si="4"/>
        <v>14672093.916666666</v>
      </c>
    </row>
    <row r="22" spans="2:18" x14ac:dyDescent="0.25">
      <c r="B22" s="208">
        <v>6</v>
      </c>
      <c r="C22" s="206" t="s">
        <v>139</v>
      </c>
      <c r="D22" s="208" t="s">
        <v>111</v>
      </c>
      <c r="E22" s="224">
        <v>14381</v>
      </c>
      <c r="F22" s="224">
        <v>10117</v>
      </c>
      <c r="G22" s="224">
        <v>7480</v>
      </c>
      <c r="H22" s="224">
        <v>1917</v>
      </c>
      <c r="I22" s="224">
        <v>4881</v>
      </c>
      <c r="J22" s="224">
        <v>10064</v>
      </c>
      <c r="K22" s="224">
        <v>11812</v>
      </c>
      <c r="L22" s="224">
        <v>11703</v>
      </c>
      <c r="M22" s="224">
        <v>11485</v>
      </c>
      <c r="N22" s="224">
        <v>192312</v>
      </c>
      <c r="O22" s="224">
        <v>11157</v>
      </c>
      <c r="P22" s="224">
        <v>102937</v>
      </c>
      <c r="Q22" s="220">
        <f t="shared" si="3"/>
        <v>390246</v>
      </c>
      <c r="R22" s="220">
        <f t="shared" si="4"/>
        <v>32520.5</v>
      </c>
    </row>
    <row r="23" spans="2:18" x14ac:dyDescent="0.25">
      <c r="B23" s="208">
        <v>5</v>
      </c>
      <c r="C23" s="206" t="s">
        <v>112</v>
      </c>
      <c r="D23" s="208" t="s">
        <v>113</v>
      </c>
      <c r="E23" s="224">
        <v>838360</v>
      </c>
      <c r="F23" s="224">
        <v>1329665</v>
      </c>
      <c r="G23" s="224">
        <v>1557983</v>
      </c>
      <c r="H23" s="224">
        <v>1628584</v>
      </c>
      <c r="I23" s="224">
        <v>1445737</v>
      </c>
      <c r="J23" s="224">
        <v>1356357</v>
      </c>
      <c r="K23" s="224">
        <v>1381036</v>
      </c>
      <c r="L23" s="224">
        <v>1443549</v>
      </c>
      <c r="M23" s="224">
        <v>1427489</v>
      </c>
      <c r="N23" s="224">
        <v>1500200</v>
      </c>
      <c r="O23" s="224">
        <v>1367010</v>
      </c>
      <c r="P23" s="224">
        <v>1457757</v>
      </c>
      <c r="Q23" s="220">
        <f t="shared" si="3"/>
        <v>16733727</v>
      </c>
      <c r="R23" s="220">
        <f t="shared" si="4"/>
        <v>1394477.25</v>
      </c>
    </row>
    <row r="24" spans="2:18" x14ac:dyDescent="0.25">
      <c r="B24" s="208">
        <v>7</v>
      </c>
      <c r="C24" s="206" t="s">
        <v>114</v>
      </c>
      <c r="D24" s="208" t="s">
        <v>115</v>
      </c>
      <c r="E24" s="224">
        <v>0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L24" s="224">
        <v>0</v>
      </c>
      <c r="M24" s="224">
        <v>0</v>
      </c>
      <c r="N24" s="224">
        <v>0</v>
      </c>
      <c r="O24" s="224">
        <v>0</v>
      </c>
      <c r="P24" s="224">
        <v>0</v>
      </c>
      <c r="Q24" s="220">
        <f t="shared" si="3"/>
        <v>0</v>
      </c>
      <c r="R24" s="220">
        <f t="shared" si="4"/>
        <v>0</v>
      </c>
    </row>
    <row r="25" spans="2:18" x14ac:dyDescent="0.25">
      <c r="B25" s="208">
        <v>8</v>
      </c>
      <c r="C25" s="206" t="s">
        <v>116</v>
      </c>
      <c r="D25" s="208" t="s">
        <v>80</v>
      </c>
      <c r="E25" s="224">
        <v>664474</v>
      </c>
      <c r="F25" s="224">
        <v>660157</v>
      </c>
      <c r="G25" s="224">
        <v>658952</v>
      </c>
      <c r="H25" s="224">
        <v>658350</v>
      </c>
      <c r="I25" s="224">
        <v>657079</v>
      </c>
      <c r="J25" s="224">
        <v>657151</v>
      </c>
      <c r="K25" s="224">
        <v>660146</v>
      </c>
      <c r="L25" s="224">
        <v>654252</v>
      </c>
      <c r="M25" s="224">
        <v>653143</v>
      </c>
      <c r="N25" s="224">
        <v>652976</v>
      </c>
      <c r="O25" s="224">
        <v>651806</v>
      </c>
      <c r="P25" s="224">
        <v>650639</v>
      </c>
      <c r="Q25" s="220">
        <f t="shared" si="3"/>
        <v>7879125</v>
      </c>
      <c r="R25" s="220">
        <f t="shared" si="4"/>
        <v>656593.75</v>
      </c>
    </row>
    <row r="26" spans="2:18" x14ac:dyDescent="0.25">
      <c r="B26" s="225"/>
      <c r="C26" s="226" t="s">
        <v>33</v>
      </c>
      <c r="D26" s="227"/>
      <c r="E26" s="228">
        <f>SUM(E18:E25)</f>
        <v>55085623</v>
      </c>
      <c r="F26" s="228">
        <f t="shared" ref="F26" si="5">SUM(F18:F25)</f>
        <v>53695148</v>
      </c>
      <c r="G26" s="228">
        <f t="shared" ref="G26" si="6">SUM(G18:G25)</f>
        <v>47343686</v>
      </c>
      <c r="H26" s="228">
        <f t="shared" ref="H26" si="7">SUM(H18:H25)</f>
        <v>42379123</v>
      </c>
      <c r="I26" s="228">
        <f t="shared" ref="I26" si="8">SUM(I18:I25)</f>
        <v>40105488</v>
      </c>
      <c r="J26" s="228">
        <f t="shared" ref="J26" si="9">SUM(J18:J25)</f>
        <v>46474280</v>
      </c>
      <c r="K26" s="228">
        <f t="shared" ref="K26" si="10">SUM(K18:K25)</f>
        <v>56300866</v>
      </c>
      <c r="L26" s="228">
        <f t="shared" ref="L26" si="11">SUM(L18:L25)</f>
        <v>59628416</v>
      </c>
      <c r="M26" s="228">
        <f t="shared" ref="M26" si="12">SUM(M18:M25)</f>
        <v>58126705</v>
      </c>
      <c r="N26" s="228">
        <f t="shared" ref="N26" si="13">SUM(N18:N25)</f>
        <v>50421883</v>
      </c>
      <c r="O26" s="228">
        <f t="shared" ref="O26" si="14">SUM(O18:O25)</f>
        <v>41889729</v>
      </c>
      <c r="P26" s="228">
        <f t="shared" ref="P26" si="15">SUM(P18:P25)</f>
        <v>51595276</v>
      </c>
      <c r="Q26" s="228">
        <f t="shared" si="3"/>
        <v>603046223</v>
      </c>
      <c r="R26" s="228">
        <f t="shared" si="4"/>
        <v>50253851.916666664</v>
      </c>
    </row>
    <row r="28" spans="2:18" x14ac:dyDescent="0.25">
      <c r="B28" s="221" t="s">
        <v>97</v>
      </c>
    </row>
    <row r="29" spans="2:18" x14ac:dyDescent="0.25">
      <c r="E29" s="222" t="s">
        <v>83</v>
      </c>
      <c r="F29" s="222" t="s">
        <v>84</v>
      </c>
      <c r="G29" s="222" t="s">
        <v>85</v>
      </c>
      <c r="H29" s="222" t="s">
        <v>86</v>
      </c>
      <c r="I29" s="222" t="s">
        <v>87</v>
      </c>
      <c r="J29" s="222" t="s">
        <v>88</v>
      </c>
      <c r="K29" s="222" t="s">
        <v>89</v>
      </c>
      <c r="L29" s="222" t="s">
        <v>90</v>
      </c>
      <c r="M29" s="222" t="s">
        <v>91</v>
      </c>
      <c r="N29" s="222" t="s">
        <v>92</v>
      </c>
      <c r="O29" s="222" t="s">
        <v>93</v>
      </c>
      <c r="P29" s="222" t="s">
        <v>94</v>
      </c>
      <c r="Q29" s="222" t="s">
        <v>33</v>
      </c>
      <c r="R29" s="223" t="s">
        <v>95</v>
      </c>
    </row>
    <row r="30" spans="2:18" x14ac:dyDescent="0.25">
      <c r="B30" s="208">
        <v>1</v>
      </c>
      <c r="C30" s="206" t="s">
        <v>104</v>
      </c>
      <c r="D30" s="208" t="s">
        <v>105</v>
      </c>
      <c r="E30" s="224">
        <v>4224838.78</v>
      </c>
      <c r="F30" s="224">
        <v>4090796.31</v>
      </c>
      <c r="G30" s="224">
        <v>3424849.21</v>
      </c>
      <c r="H30" s="224">
        <v>2885048.16</v>
      </c>
      <c r="I30" s="224">
        <v>2420632.6999999997</v>
      </c>
      <c r="J30" s="224">
        <v>3183813.04</v>
      </c>
      <c r="K30" s="224">
        <v>3953957.3000000003</v>
      </c>
      <c r="L30" s="224">
        <v>4276605.1900000004</v>
      </c>
      <c r="M30" s="224">
        <v>4111841.47</v>
      </c>
      <c r="N30" s="224">
        <v>3556190.44</v>
      </c>
      <c r="O30" s="224">
        <v>2750257.9400000004</v>
      </c>
      <c r="P30" s="224">
        <v>3620219.08</v>
      </c>
      <c r="Q30" s="220">
        <f>SUM(E30:P30)</f>
        <v>42499049.619999997</v>
      </c>
      <c r="R30" s="220">
        <f>Q30/12</f>
        <v>3541587.4683333333</v>
      </c>
    </row>
    <row r="31" spans="2:18" x14ac:dyDescent="0.25">
      <c r="B31" s="208">
        <v>2</v>
      </c>
      <c r="C31" s="206" t="s">
        <v>106</v>
      </c>
      <c r="D31" s="208" t="s">
        <v>107</v>
      </c>
      <c r="E31" s="224">
        <v>383895.75000000006</v>
      </c>
      <c r="F31" s="224">
        <v>370534.92000000004</v>
      </c>
      <c r="G31" s="224">
        <v>309868.26</v>
      </c>
      <c r="H31" s="224">
        <v>284164.15000000002</v>
      </c>
      <c r="I31" s="224">
        <v>280273.09000000003</v>
      </c>
      <c r="J31" s="224">
        <v>326440.25000000006</v>
      </c>
      <c r="K31" s="224">
        <v>377085.45</v>
      </c>
      <c r="L31" s="224">
        <v>396074.45</v>
      </c>
      <c r="M31" s="224">
        <v>385387.26</v>
      </c>
      <c r="N31" s="224">
        <v>354329.33</v>
      </c>
      <c r="O31" s="224">
        <v>313206.67000000004</v>
      </c>
      <c r="P31" s="224">
        <v>357495.56</v>
      </c>
      <c r="Q31" s="220">
        <f t="shared" ref="Q31:Q38" si="16">SUM(E31:P31)</f>
        <v>4138755.14</v>
      </c>
      <c r="R31" s="220">
        <f t="shared" ref="R31:R38" si="17">Q31/12</f>
        <v>344896.26166666666</v>
      </c>
    </row>
    <row r="32" spans="2:18" x14ac:dyDescent="0.25">
      <c r="B32" s="208">
        <v>3</v>
      </c>
      <c r="C32" s="206" t="s">
        <v>108</v>
      </c>
      <c r="D32" s="208" t="s">
        <v>109</v>
      </c>
      <c r="E32" s="224">
        <v>106573.2</v>
      </c>
      <c r="F32" s="224">
        <v>102428.37</v>
      </c>
      <c r="G32" s="224">
        <v>91854.97</v>
      </c>
      <c r="H32" s="224">
        <v>92595.22</v>
      </c>
      <c r="I32" s="224">
        <v>109383.87999999999</v>
      </c>
      <c r="J32" s="224">
        <v>108832.53</v>
      </c>
      <c r="K32" s="224">
        <v>132996.01</v>
      </c>
      <c r="L32" s="224">
        <v>144344.21000000002</v>
      </c>
      <c r="M32" s="224">
        <v>122852.13</v>
      </c>
      <c r="N32" s="224">
        <v>103203.91</v>
      </c>
      <c r="O32" s="224">
        <v>97514.54</v>
      </c>
      <c r="P32" s="224">
        <v>96462.83</v>
      </c>
      <c r="Q32" s="220">
        <f t="shared" si="16"/>
        <v>1309041.8000000003</v>
      </c>
      <c r="R32" s="220">
        <f t="shared" si="17"/>
        <v>109086.81666666669</v>
      </c>
    </row>
    <row r="33" spans="2:18" x14ac:dyDescent="0.25">
      <c r="B33" s="208">
        <v>4</v>
      </c>
      <c r="C33" s="206" t="s">
        <v>110</v>
      </c>
      <c r="D33" s="208" t="s">
        <v>111</v>
      </c>
      <c r="E33" s="224">
        <v>1527290.6505600002</v>
      </c>
      <c r="F33" s="224">
        <v>1382262.7124600001</v>
      </c>
      <c r="G33" s="224">
        <v>1362183.0622799997</v>
      </c>
      <c r="H33" s="224">
        <v>1298521.4100000001</v>
      </c>
      <c r="I33" s="224">
        <v>1431576.72</v>
      </c>
      <c r="J33" s="224">
        <v>1426736.93</v>
      </c>
      <c r="K33" s="224">
        <v>1577060.39</v>
      </c>
      <c r="L33" s="224">
        <v>1597649.7400000002</v>
      </c>
      <c r="M33" s="224">
        <v>1501567.55</v>
      </c>
      <c r="N33" s="224">
        <v>1433254.51</v>
      </c>
      <c r="O33" s="224">
        <v>1334251.7</v>
      </c>
      <c r="P33" s="224">
        <v>1389345.35</v>
      </c>
      <c r="Q33" s="220">
        <f t="shared" si="16"/>
        <v>17261700.725300003</v>
      </c>
      <c r="R33" s="220">
        <f t="shared" si="17"/>
        <v>1438475.060441667</v>
      </c>
    </row>
    <row r="34" spans="2:18" x14ac:dyDescent="0.25">
      <c r="B34" s="208">
        <v>6</v>
      </c>
      <c r="C34" s="206" t="s">
        <v>139</v>
      </c>
      <c r="D34" s="208" t="s">
        <v>111</v>
      </c>
      <c r="E34" s="224">
        <v>22128.089999999997</v>
      </c>
      <c r="F34" s="224">
        <v>21788.87</v>
      </c>
      <c r="G34" s="224">
        <v>21589.8</v>
      </c>
      <c r="H34" s="224">
        <v>21234.87</v>
      </c>
      <c r="I34" s="224">
        <v>21424.03</v>
      </c>
      <c r="J34" s="224">
        <v>21794.3</v>
      </c>
      <c r="K34" s="224">
        <v>21879.539999999997</v>
      </c>
      <c r="L34" s="224">
        <v>21896.379999999997</v>
      </c>
      <c r="M34" s="224">
        <v>21886.309999999998</v>
      </c>
      <c r="N34" s="224">
        <v>34524.68</v>
      </c>
      <c r="O34" s="224">
        <v>21832.89</v>
      </c>
      <c r="P34" s="224">
        <v>29039.309999999998</v>
      </c>
      <c r="Q34" s="220">
        <f t="shared" si="16"/>
        <v>281019.07</v>
      </c>
      <c r="R34" s="220">
        <f t="shared" si="17"/>
        <v>23418.255833333333</v>
      </c>
    </row>
    <row r="35" spans="2:18" x14ac:dyDescent="0.25">
      <c r="B35" s="208">
        <v>5</v>
      </c>
      <c r="C35" s="206" t="s">
        <v>112</v>
      </c>
      <c r="D35" s="208" t="s">
        <v>113</v>
      </c>
      <c r="E35" s="224">
        <v>89951.73</v>
      </c>
      <c r="F35" s="224">
        <v>143961.57999999999</v>
      </c>
      <c r="G35" s="224">
        <v>149079.13</v>
      </c>
      <c r="H35" s="224">
        <v>154090.50999999998</v>
      </c>
      <c r="I35" s="224">
        <v>132712.4</v>
      </c>
      <c r="J35" s="224">
        <v>129635.67</v>
      </c>
      <c r="K35" s="224">
        <v>129139.81999999999</v>
      </c>
      <c r="L35" s="224">
        <v>136348.63999999998</v>
      </c>
      <c r="M35" s="224">
        <v>129159.38</v>
      </c>
      <c r="N35" s="224">
        <v>135227.41</v>
      </c>
      <c r="O35" s="224">
        <v>125015.9</v>
      </c>
      <c r="P35" s="224">
        <v>134424.81</v>
      </c>
      <c r="Q35" s="220">
        <f t="shared" si="16"/>
        <v>1588746.9799999997</v>
      </c>
      <c r="R35" s="220">
        <f t="shared" si="17"/>
        <v>132395.58166666664</v>
      </c>
    </row>
    <row r="36" spans="2:18" x14ac:dyDescent="0.25">
      <c r="B36" s="208">
        <v>7</v>
      </c>
      <c r="C36" s="206" t="s">
        <v>114</v>
      </c>
      <c r="D36" s="208" t="s">
        <v>115</v>
      </c>
      <c r="E36" s="224">
        <v>0</v>
      </c>
      <c r="F36" s="224">
        <v>0</v>
      </c>
      <c r="G36" s="224">
        <v>0</v>
      </c>
      <c r="H36" s="224">
        <v>0</v>
      </c>
      <c r="I36" s="224">
        <v>0</v>
      </c>
      <c r="J36" s="224">
        <v>0</v>
      </c>
      <c r="K36" s="224">
        <v>0</v>
      </c>
      <c r="L36" s="224">
        <v>0</v>
      </c>
      <c r="M36" s="224">
        <v>0</v>
      </c>
      <c r="N36" s="224">
        <v>0</v>
      </c>
      <c r="O36" s="224">
        <v>0</v>
      </c>
      <c r="P36" s="224">
        <v>0</v>
      </c>
      <c r="Q36" s="220">
        <f t="shared" si="16"/>
        <v>0</v>
      </c>
      <c r="R36" s="220">
        <f t="shared" si="17"/>
        <v>0</v>
      </c>
    </row>
    <row r="37" spans="2:18" x14ac:dyDescent="0.25">
      <c r="B37" s="208">
        <v>8</v>
      </c>
      <c r="C37" s="206" t="s">
        <v>116</v>
      </c>
      <c r="D37" s="208" t="s">
        <v>80</v>
      </c>
      <c r="E37" s="224">
        <v>120156.48</v>
      </c>
      <c r="F37" s="224">
        <v>118960.04</v>
      </c>
      <c r="G37" s="224">
        <v>118767.31999999999</v>
      </c>
      <c r="H37" s="224">
        <v>118496.70999999999</v>
      </c>
      <c r="I37" s="224">
        <v>117260.99999999999</v>
      </c>
      <c r="J37" s="224">
        <v>118440.49999999999</v>
      </c>
      <c r="K37" s="224">
        <v>117801.43999999999</v>
      </c>
      <c r="L37" s="224">
        <v>118263.47999999998</v>
      </c>
      <c r="M37" s="224">
        <v>117851.98999999999</v>
      </c>
      <c r="N37" s="224">
        <v>118067.29999999999</v>
      </c>
      <c r="O37" s="224">
        <v>118090.28</v>
      </c>
      <c r="P37" s="224">
        <v>117891.72</v>
      </c>
      <c r="Q37" s="220">
        <f t="shared" si="16"/>
        <v>1420048.26</v>
      </c>
      <c r="R37" s="220">
        <f t="shared" si="17"/>
        <v>118337.355</v>
      </c>
    </row>
    <row r="38" spans="2:18" x14ac:dyDescent="0.25">
      <c r="B38" s="225"/>
      <c r="C38" s="226" t="s">
        <v>33</v>
      </c>
      <c r="D38" s="227"/>
      <c r="E38" s="228">
        <f>SUM(E30:E37)</f>
        <v>6474834.6805600012</v>
      </c>
      <c r="F38" s="228">
        <f t="shared" ref="F38" si="18">SUM(F30:F37)</f>
        <v>6230732.8024600009</v>
      </c>
      <c r="G38" s="228">
        <f t="shared" ref="G38" si="19">SUM(G30:G37)</f>
        <v>5478191.7522799997</v>
      </c>
      <c r="H38" s="228">
        <f t="shared" ref="H38" si="20">SUM(H30:H37)</f>
        <v>4854151.03</v>
      </c>
      <c r="I38" s="228">
        <f t="shared" ref="I38" si="21">SUM(I30:I37)</f>
        <v>4513263.82</v>
      </c>
      <c r="J38" s="228">
        <f t="shared" ref="J38" si="22">SUM(J30:J37)</f>
        <v>5315693.22</v>
      </c>
      <c r="K38" s="228">
        <f t="shared" ref="K38" si="23">SUM(K30:K37)</f>
        <v>6309919.9500000002</v>
      </c>
      <c r="L38" s="228">
        <f t="shared" ref="L38" si="24">SUM(L30:L37)</f>
        <v>6691182.0899999999</v>
      </c>
      <c r="M38" s="228">
        <f t="shared" ref="M38" si="25">SUM(M30:M37)</f>
        <v>6390546.0899999999</v>
      </c>
      <c r="N38" s="228">
        <f t="shared" ref="N38" si="26">SUM(N30:N37)</f>
        <v>5734797.5800000001</v>
      </c>
      <c r="O38" s="228">
        <f t="shared" ref="O38" si="27">SUM(O30:O37)</f>
        <v>4760169.9200000009</v>
      </c>
      <c r="P38" s="228">
        <f t="shared" ref="P38" si="28">SUM(P30:P37)</f>
        <v>5744878.6599999992</v>
      </c>
      <c r="Q38" s="228">
        <f t="shared" si="16"/>
        <v>68498361.595300004</v>
      </c>
      <c r="R38" s="228">
        <f t="shared" si="17"/>
        <v>5708196.799608334</v>
      </c>
    </row>
    <row r="39" spans="2:18" x14ac:dyDescent="0.25">
      <c r="B39" s="229"/>
      <c r="C39" s="230"/>
      <c r="D39" s="231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32"/>
    </row>
    <row r="40" spans="2:18" x14ac:dyDescent="0.25">
      <c r="B40" s="221" t="s">
        <v>127</v>
      </c>
    </row>
    <row r="41" spans="2:18" x14ac:dyDescent="0.25">
      <c r="E41" s="222" t="s">
        <v>83</v>
      </c>
      <c r="F41" s="222" t="s">
        <v>84</v>
      </c>
      <c r="G41" s="222" t="s">
        <v>85</v>
      </c>
      <c r="H41" s="222" t="s">
        <v>86</v>
      </c>
      <c r="I41" s="222" t="s">
        <v>87</v>
      </c>
      <c r="J41" s="222" t="s">
        <v>88</v>
      </c>
      <c r="K41" s="222" t="s">
        <v>89</v>
      </c>
      <c r="L41" s="222" t="s">
        <v>90</v>
      </c>
      <c r="M41" s="222" t="s">
        <v>91</v>
      </c>
      <c r="N41" s="222" t="s">
        <v>92</v>
      </c>
      <c r="O41" s="222" t="s">
        <v>93</v>
      </c>
      <c r="P41" s="222" t="s">
        <v>94</v>
      </c>
      <c r="Q41" s="222" t="s">
        <v>33</v>
      </c>
      <c r="R41" s="223" t="s">
        <v>95</v>
      </c>
    </row>
    <row r="42" spans="2:18" x14ac:dyDescent="0.25">
      <c r="B42" s="234">
        <v>9</v>
      </c>
      <c r="C42" s="206" t="s">
        <v>110</v>
      </c>
      <c r="D42" s="208" t="s">
        <v>111</v>
      </c>
      <c r="E42" s="224">
        <v>49373.515555555554</v>
      </c>
      <c r="F42" s="224">
        <v>47744.923333333332</v>
      </c>
      <c r="G42" s="224">
        <v>48509.967777777783</v>
      </c>
      <c r="H42" s="224">
        <v>49078.842222222214</v>
      </c>
      <c r="I42" s="224">
        <v>51563.494444444448</v>
      </c>
      <c r="J42" s="224">
        <v>52369.70888888889</v>
      </c>
      <c r="K42" s="224">
        <v>53886.317777777775</v>
      </c>
      <c r="L42" s="224">
        <v>55035.912222222221</v>
      </c>
      <c r="M42" s="224">
        <v>55490.306666666671</v>
      </c>
      <c r="N42" s="224">
        <v>55487.547777777778</v>
      </c>
      <c r="O42" s="224">
        <v>51646.491111111107</v>
      </c>
      <c r="P42" s="224">
        <v>49996.011111111118</v>
      </c>
      <c r="Q42" s="220">
        <f>SUM(E42:P42)</f>
        <v>620183.0388888889</v>
      </c>
      <c r="R42" s="220">
        <v>51502.480833333328</v>
      </c>
    </row>
    <row r="43" spans="2:18" x14ac:dyDescent="0.25">
      <c r="B43" s="234">
        <v>0</v>
      </c>
      <c r="C43" s="206" t="s">
        <v>142</v>
      </c>
      <c r="D43" s="208" t="s">
        <v>113</v>
      </c>
      <c r="E43" s="224">
        <v>2076.2640000000001</v>
      </c>
      <c r="F43" s="224">
        <v>5040</v>
      </c>
      <c r="G43" s="224">
        <v>4795.2</v>
      </c>
      <c r="H43" s="224">
        <v>5064</v>
      </c>
      <c r="I43" s="224">
        <v>4374.72</v>
      </c>
      <c r="J43" s="224">
        <v>4288.32</v>
      </c>
      <c r="K43" s="224">
        <v>4273.92</v>
      </c>
      <c r="L43" s="224">
        <v>4453.92</v>
      </c>
      <c r="M43" s="224">
        <v>4412</v>
      </c>
      <c r="N43" s="224">
        <v>4484</v>
      </c>
      <c r="O43" s="224">
        <v>4299.84</v>
      </c>
      <c r="P43" s="224">
        <v>4537.4399999999996</v>
      </c>
      <c r="Q43" s="220">
        <f>SUM(E43:P43)</f>
        <v>52099.623999999996</v>
      </c>
      <c r="R43" s="220">
        <v>1630.25</v>
      </c>
    </row>
    <row r="44" spans="2:18" x14ac:dyDescent="0.25">
      <c r="B44" s="234">
        <v>15.91</v>
      </c>
      <c r="C44" s="206" t="s">
        <v>143</v>
      </c>
      <c r="D44" s="208" t="s">
        <v>113</v>
      </c>
      <c r="E44" s="224">
        <f>IF(E43&lt;3000,0,(E43-3000))</f>
        <v>0</v>
      </c>
      <c r="F44" s="224">
        <f t="shared" ref="F44:P44" si="29">IF(F43&lt;3000,0,(F43-3000))</f>
        <v>2040</v>
      </c>
      <c r="G44" s="224">
        <f t="shared" si="29"/>
        <v>1795.1999999999998</v>
      </c>
      <c r="H44" s="224">
        <f t="shared" si="29"/>
        <v>2064</v>
      </c>
      <c r="I44" s="224">
        <f t="shared" si="29"/>
        <v>1374.7200000000003</v>
      </c>
      <c r="J44" s="224">
        <f t="shared" si="29"/>
        <v>1288.3199999999997</v>
      </c>
      <c r="K44" s="224">
        <f t="shared" si="29"/>
        <v>1273.92</v>
      </c>
      <c r="L44" s="224">
        <f t="shared" si="29"/>
        <v>1453.92</v>
      </c>
      <c r="M44" s="224">
        <f t="shared" si="29"/>
        <v>1412</v>
      </c>
      <c r="N44" s="224">
        <f t="shared" si="29"/>
        <v>1484</v>
      </c>
      <c r="O44" s="224">
        <f t="shared" si="29"/>
        <v>1299.8400000000001</v>
      </c>
      <c r="P44" s="224">
        <f t="shared" si="29"/>
        <v>1537.4399999999996</v>
      </c>
      <c r="Q44" s="220">
        <f>SUM(E44:P44)</f>
        <v>17023.36</v>
      </c>
      <c r="R44" s="220">
        <v>3210.9150661545027</v>
      </c>
    </row>
    <row r="45" spans="2:18" x14ac:dyDescent="0.25">
      <c r="B45" s="225"/>
      <c r="C45" s="226" t="s">
        <v>33</v>
      </c>
      <c r="D45" s="227"/>
      <c r="E45" s="228">
        <v>56682.95444444444</v>
      </c>
      <c r="F45" s="228">
        <v>52462.453205292361</v>
      </c>
      <c r="G45" s="228">
        <v>54173.938033859718</v>
      </c>
      <c r="H45" s="228">
        <v>53303.32</v>
      </c>
      <c r="I45" s="228">
        <v>54816.962222222224</v>
      </c>
      <c r="J45" s="228">
        <v>57178.370256081944</v>
      </c>
      <c r="K45" s="228">
        <v>58782.652094181249</v>
      </c>
      <c r="L45" s="228">
        <v>59824.542503912366</v>
      </c>
      <c r="M45" s="228">
        <v>59855.866794707639</v>
      </c>
      <c r="N45" s="228">
        <v>57873.893461374297</v>
      </c>
      <c r="O45" s="228">
        <v>55142.363589415269</v>
      </c>
      <c r="P45" s="228">
        <v>56026.434188362502</v>
      </c>
      <c r="Q45" s="225">
        <v>676123.75079385389</v>
      </c>
      <c r="R45" s="228">
        <v>56343.645899487834</v>
      </c>
    </row>
    <row r="46" spans="2:18" x14ac:dyDescent="0.25">
      <c r="B46" s="229"/>
      <c r="C46" s="230"/>
      <c r="D46" s="231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29"/>
      <c r="R46" s="232"/>
    </row>
    <row r="47" spans="2:18" x14ac:dyDescent="0.25">
      <c r="B47" s="221" t="s">
        <v>127</v>
      </c>
    </row>
    <row r="48" spans="2:18" x14ac:dyDescent="0.25">
      <c r="E48" s="222" t="s">
        <v>83</v>
      </c>
      <c r="F48" s="222" t="s">
        <v>84</v>
      </c>
      <c r="G48" s="222" t="s">
        <v>85</v>
      </c>
      <c r="H48" s="222" t="s">
        <v>86</v>
      </c>
      <c r="I48" s="222" t="s">
        <v>87</v>
      </c>
      <c r="J48" s="222" t="s">
        <v>88</v>
      </c>
      <c r="K48" s="222" t="s">
        <v>89</v>
      </c>
      <c r="L48" s="222" t="s">
        <v>90</v>
      </c>
      <c r="M48" s="222" t="s">
        <v>91</v>
      </c>
      <c r="N48" s="222" t="s">
        <v>92</v>
      </c>
      <c r="O48" s="222" t="s">
        <v>93</v>
      </c>
      <c r="P48" s="222" t="s">
        <v>94</v>
      </c>
      <c r="Q48" s="222" t="s">
        <v>33</v>
      </c>
      <c r="R48" s="223" t="s">
        <v>95</v>
      </c>
    </row>
    <row r="49" spans="2:18" x14ac:dyDescent="0.25">
      <c r="B49" s="236">
        <v>9</v>
      </c>
      <c r="C49" s="206" t="s">
        <v>139</v>
      </c>
      <c r="D49" s="207" t="s">
        <v>111</v>
      </c>
      <c r="E49" s="224">
        <v>43</v>
      </c>
      <c r="F49" s="224">
        <v>43</v>
      </c>
      <c r="G49" s="224">
        <v>43</v>
      </c>
      <c r="H49" s="224">
        <v>22</v>
      </c>
      <c r="I49" s="224">
        <v>22</v>
      </c>
      <c r="J49" s="224">
        <v>22</v>
      </c>
      <c r="K49" s="224">
        <v>22</v>
      </c>
      <c r="L49" s="224">
        <v>22</v>
      </c>
      <c r="M49" s="224">
        <v>22</v>
      </c>
      <c r="N49" s="224">
        <v>1717</v>
      </c>
      <c r="O49" s="224">
        <v>32</v>
      </c>
      <c r="P49" s="224">
        <v>1739</v>
      </c>
      <c r="Q49" s="220">
        <f>SUM(E49:P49)</f>
        <v>3749</v>
      </c>
      <c r="R49" s="220">
        <v>2129.4166666666665</v>
      </c>
    </row>
    <row r="50" spans="2:18" x14ac:dyDescent="0.25">
      <c r="B50" s="225"/>
      <c r="C50" s="226" t="s">
        <v>33</v>
      </c>
      <c r="D50" s="227"/>
      <c r="E50" s="228">
        <v>3067</v>
      </c>
      <c r="F50" s="228">
        <v>1825</v>
      </c>
      <c r="G50" s="228">
        <v>1782</v>
      </c>
      <c r="H50" s="228">
        <v>1793</v>
      </c>
      <c r="I50" s="228">
        <v>3154</v>
      </c>
      <c r="J50" s="228">
        <v>1901</v>
      </c>
      <c r="K50" s="228">
        <v>3089</v>
      </c>
      <c r="L50" s="228">
        <v>1814</v>
      </c>
      <c r="M50" s="228">
        <v>1771</v>
      </c>
      <c r="N50" s="228">
        <v>1760</v>
      </c>
      <c r="O50" s="228">
        <v>1804</v>
      </c>
      <c r="P50" s="228">
        <v>1793</v>
      </c>
      <c r="Q50" s="225">
        <v>25553</v>
      </c>
      <c r="R50" s="228">
        <v>2129.4166666666665</v>
      </c>
    </row>
    <row r="51" spans="2:18" x14ac:dyDescent="0.25">
      <c r="B51" s="229"/>
      <c r="C51" s="230"/>
      <c r="D51" s="231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29"/>
      <c r="R51" s="232"/>
    </row>
    <row r="52" spans="2:18" x14ac:dyDescent="0.25">
      <c r="B52" s="221" t="s">
        <v>125</v>
      </c>
    </row>
    <row r="53" spans="2:18" x14ac:dyDescent="0.25">
      <c r="E53" s="222" t="s">
        <v>83</v>
      </c>
      <c r="F53" s="222" t="s">
        <v>84</v>
      </c>
      <c r="G53" s="222" t="s">
        <v>85</v>
      </c>
      <c r="H53" s="222" t="s">
        <v>86</v>
      </c>
      <c r="I53" s="222" t="s">
        <v>87</v>
      </c>
      <c r="J53" s="222" t="s">
        <v>88</v>
      </c>
      <c r="K53" s="222" t="s">
        <v>89</v>
      </c>
      <c r="L53" s="222" t="s">
        <v>90</v>
      </c>
      <c r="M53" s="222" t="s">
        <v>91</v>
      </c>
      <c r="N53" s="222" t="s">
        <v>92</v>
      </c>
      <c r="O53" s="222" t="s">
        <v>93</v>
      </c>
      <c r="P53" s="222" t="s">
        <v>94</v>
      </c>
      <c r="Q53" s="222" t="s">
        <v>33</v>
      </c>
      <c r="R53" s="223" t="s">
        <v>95</v>
      </c>
    </row>
    <row r="54" spans="2:18" x14ac:dyDescent="0.25">
      <c r="B54" s="208">
        <v>1</v>
      </c>
      <c r="C54" s="206" t="s">
        <v>104</v>
      </c>
      <c r="D54" s="208" t="s">
        <v>105</v>
      </c>
      <c r="E54" s="224">
        <v>34687534</v>
      </c>
      <c r="F54" s="224">
        <v>34460593</v>
      </c>
      <c r="G54" s="224">
        <v>28588893</v>
      </c>
      <c r="H54" s="224">
        <v>24273051</v>
      </c>
      <c r="I54" s="224">
        <v>20087777</v>
      </c>
      <c r="J54" s="224">
        <v>26839582</v>
      </c>
      <c r="K54" s="224">
        <v>33368894</v>
      </c>
      <c r="L54" s="224">
        <v>36492725</v>
      </c>
      <c r="M54" s="224">
        <v>35918669</v>
      </c>
      <c r="N54" s="224">
        <v>30106423</v>
      </c>
      <c r="O54" s="224">
        <v>22669661</v>
      </c>
      <c r="P54" s="224">
        <v>30838287</v>
      </c>
      <c r="Q54" s="220">
        <f>SUM(E54:P54)</f>
        <v>358332089</v>
      </c>
      <c r="R54" s="220">
        <f>Q54/12</f>
        <v>29861007.416666668</v>
      </c>
    </row>
    <row r="55" spans="2:18" x14ac:dyDescent="0.25">
      <c r="B55" s="208">
        <v>2</v>
      </c>
      <c r="C55" s="206" t="s">
        <v>106</v>
      </c>
      <c r="D55" s="208" t="s">
        <v>107</v>
      </c>
      <c r="E55" s="224">
        <v>818259</v>
      </c>
      <c r="F55" s="224">
        <v>807395</v>
      </c>
      <c r="G55" s="224">
        <v>704442</v>
      </c>
      <c r="H55" s="224">
        <v>539505</v>
      </c>
      <c r="I55" s="224">
        <v>541218</v>
      </c>
      <c r="J55" s="224">
        <v>625148</v>
      </c>
      <c r="K55" s="224">
        <v>801673</v>
      </c>
      <c r="L55" s="224">
        <v>845038</v>
      </c>
      <c r="M55" s="224">
        <v>873501</v>
      </c>
      <c r="N55" s="224">
        <v>861707</v>
      </c>
      <c r="O55" s="224">
        <v>682758</v>
      </c>
      <c r="P55" s="224">
        <v>833235</v>
      </c>
      <c r="Q55" s="220">
        <f t="shared" ref="Q55:Q62" si="30">SUM(E55:P55)</f>
        <v>8933879</v>
      </c>
      <c r="R55" s="220">
        <f t="shared" ref="R55:R62" si="31">Q55/12</f>
        <v>744489.91666666663</v>
      </c>
    </row>
    <row r="56" spans="2:18" x14ac:dyDescent="0.25">
      <c r="B56" s="208">
        <v>3</v>
      </c>
      <c r="C56" s="206" t="s">
        <v>108</v>
      </c>
      <c r="D56" s="208" t="s">
        <v>109</v>
      </c>
      <c r="E56" s="224">
        <v>81240</v>
      </c>
      <c r="F56" s="224">
        <v>61315</v>
      </c>
      <c r="G56" s="224">
        <v>72804</v>
      </c>
      <c r="H56" s="224">
        <v>44364</v>
      </c>
      <c r="I56" s="224">
        <v>54103</v>
      </c>
      <c r="J56" s="224">
        <v>66450</v>
      </c>
      <c r="K56" s="224">
        <v>102366</v>
      </c>
      <c r="L56" s="224">
        <v>137858</v>
      </c>
      <c r="M56" s="224">
        <v>128481</v>
      </c>
      <c r="N56" s="224">
        <v>112483</v>
      </c>
      <c r="O56" s="224">
        <v>117653</v>
      </c>
      <c r="P56" s="224">
        <v>91751</v>
      </c>
      <c r="Q56" s="220">
        <f t="shared" si="30"/>
        <v>1070868</v>
      </c>
      <c r="R56" s="220">
        <f t="shared" si="31"/>
        <v>89239</v>
      </c>
    </row>
    <row r="57" spans="2:18" x14ac:dyDescent="0.25">
      <c r="B57" s="208">
        <v>4</v>
      </c>
      <c r="C57" s="206" t="s">
        <v>110</v>
      </c>
      <c r="D57" s="208" t="s">
        <v>111</v>
      </c>
      <c r="E57" s="224">
        <v>1978135</v>
      </c>
      <c r="F57" s="224">
        <v>1732318</v>
      </c>
      <c r="G57" s="224">
        <v>1747880</v>
      </c>
      <c r="H57" s="224">
        <v>1680285</v>
      </c>
      <c r="I57" s="224">
        <v>2045541</v>
      </c>
      <c r="J57" s="224">
        <v>1943019</v>
      </c>
      <c r="K57" s="224">
        <v>2502332</v>
      </c>
      <c r="L57" s="224">
        <v>2708457</v>
      </c>
      <c r="M57" s="224">
        <v>3027375</v>
      </c>
      <c r="N57" s="224">
        <v>2415443</v>
      </c>
      <c r="O57" s="224">
        <v>2015909</v>
      </c>
      <c r="P57" s="224">
        <v>2013301</v>
      </c>
      <c r="Q57" s="220">
        <f t="shared" si="30"/>
        <v>25809995</v>
      </c>
      <c r="R57" s="220">
        <f t="shared" si="31"/>
        <v>2150832.9166666665</v>
      </c>
    </row>
    <row r="58" spans="2:18" x14ac:dyDescent="0.25">
      <c r="B58" s="208">
        <v>6</v>
      </c>
      <c r="C58" s="206" t="s">
        <v>139</v>
      </c>
      <c r="D58" s="208" t="s">
        <v>111</v>
      </c>
      <c r="E58" s="224">
        <v>0</v>
      </c>
      <c r="F58" s="224">
        <v>0</v>
      </c>
      <c r="G58" s="224">
        <v>0</v>
      </c>
      <c r="H58" s="224">
        <v>0</v>
      </c>
      <c r="I58" s="224">
        <v>0</v>
      </c>
      <c r="J58" s="224">
        <v>0</v>
      </c>
      <c r="K58" s="224">
        <v>0</v>
      </c>
      <c r="L58" s="224">
        <v>0</v>
      </c>
      <c r="M58" s="224">
        <v>0</v>
      </c>
      <c r="N58" s="224">
        <v>0</v>
      </c>
      <c r="O58" s="224">
        <v>0</v>
      </c>
      <c r="P58" s="224">
        <v>0</v>
      </c>
      <c r="Q58" s="220">
        <f t="shared" si="30"/>
        <v>0</v>
      </c>
      <c r="R58" s="220">
        <f t="shared" si="31"/>
        <v>0</v>
      </c>
    </row>
    <row r="59" spans="2:18" x14ac:dyDescent="0.25">
      <c r="B59" s="208">
        <v>5</v>
      </c>
      <c r="C59" s="206" t="s">
        <v>112</v>
      </c>
      <c r="D59" s="208" t="s">
        <v>113</v>
      </c>
      <c r="E59" s="224">
        <v>0</v>
      </c>
      <c r="F59" s="224">
        <v>0</v>
      </c>
      <c r="G59" s="224">
        <v>0</v>
      </c>
      <c r="H59" s="224">
        <v>0</v>
      </c>
      <c r="I59" s="224">
        <v>0</v>
      </c>
      <c r="J59" s="224">
        <v>0</v>
      </c>
      <c r="K59" s="224">
        <v>0</v>
      </c>
      <c r="L59" s="224">
        <v>0</v>
      </c>
      <c r="M59" s="224">
        <v>0</v>
      </c>
      <c r="N59" s="224">
        <v>0</v>
      </c>
      <c r="O59" s="224">
        <v>0</v>
      </c>
      <c r="P59" s="224">
        <v>0</v>
      </c>
      <c r="Q59" s="220">
        <f t="shared" si="30"/>
        <v>0</v>
      </c>
      <c r="R59" s="220">
        <f t="shared" si="31"/>
        <v>0</v>
      </c>
    </row>
    <row r="60" spans="2:18" x14ac:dyDescent="0.25">
      <c r="B60" s="208">
        <v>7</v>
      </c>
      <c r="C60" s="206" t="s">
        <v>114</v>
      </c>
      <c r="D60" s="208" t="s">
        <v>115</v>
      </c>
      <c r="E60" s="224">
        <v>0</v>
      </c>
      <c r="F60" s="224">
        <v>0</v>
      </c>
      <c r="G60" s="224">
        <v>0</v>
      </c>
      <c r="H60" s="224">
        <v>0</v>
      </c>
      <c r="I60" s="224">
        <v>0</v>
      </c>
      <c r="J60" s="224">
        <v>0</v>
      </c>
      <c r="K60" s="224">
        <v>0</v>
      </c>
      <c r="L60" s="224">
        <v>0</v>
      </c>
      <c r="M60" s="224">
        <v>0</v>
      </c>
      <c r="N60" s="224">
        <v>0</v>
      </c>
      <c r="O60" s="224">
        <v>0</v>
      </c>
      <c r="P60" s="224">
        <v>0</v>
      </c>
      <c r="Q60" s="220">
        <f t="shared" si="30"/>
        <v>0</v>
      </c>
      <c r="R60" s="220">
        <f t="shared" si="31"/>
        <v>0</v>
      </c>
    </row>
    <row r="61" spans="2:18" x14ac:dyDescent="0.25">
      <c r="B61" s="208">
        <v>8</v>
      </c>
      <c r="C61" s="206" t="s">
        <v>116</v>
      </c>
      <c r="D61" s="208" t="s">
        <v>80</v>
      </c>
      <c r="E61" s="224">
        <v>657669</v>
      </c>
      <c r="F61" s="224">
        <v>653316</v>
      </c>
      <c r="G61" s="224">
        <v>652047</v>
      </c>
      <c r="H61" s="224">
        <v>651475</v>
      </c>
      <c r="I61" s="224">
        <v>650203</v>
      </c>
      <c r="J61" s="224">
        <v>650276</v>
      </c>
      <c r="K61" s="224">
        <v>653271</v>
      </c>
      <c r="L61" s="224">
        <v>647214</v>
      </c>
      <c r="M61" s="224">
        <v>646215</v>
      </c>
      <c r="N61" s="224">
        <v>646044</v>
      </c>
      <c r="O61" s="224">
        <v>644857</v>
      </c>
      <c r="P61" s="224">
        <v>643729</v>
      </c>
      <c r="Q61" s="220">
        <f t="shared" si="30"/>
        <v>7796316</v>
      </c>
      <c r="R61" s="220">
        <f t="shared" si="31"/>
        <v>649693</v>
      </c>
    </row>
    <row r="62" spans="2:18" x14ac:dyDescent="0.25">
      <c r="B62" s="225"/>
      <c r="C62" s="226" t="s">
        <v>33</v>
      </c>
      <c r="D62" s="227"/>
      <c r="E62" s="228">
        <f>SUM(E54:E61)</f>
        <v>38222837</v>
      </c>
      <c r="F62" s="228">
        <f t="shared" ref="F62" si="32">SUM(F54:F61)</f>
        <v>37714937</v>
      </c>
      <c r="G62" s="228">
        <f t="shared" ref="G62" si="33">SUM(G54:G61)</f>
        <v>31766066</v>
      </c>
      <c r="H62" s="228">
        <f t="shared" ref="H62" si="34">SUM(H54:H61)</f>
        <v>27188680</v>
      </c>
      <c r="I62" s="228">
        <f t="shared" ref="I62" si="35">SUM(I54:I61)</f>
        <v>23378842</v>
      </c>
      <c r="J62" s="228">
        <f t="shared" ref="J62" si="36">SUM(J54:J61)</f>
        <v>30124475</v>
      </c>
      <c r="K62" s="228">
        <f t="shared" ref="K62" si="37">SUM(K54:K61)</f>
        <v>37428536</v>
      </c>
      <c r="L62" s="228">
        <f t="shared" ref="L62" si="38">SUM(L54:L61)</f>
        <v>40831292</v>
      </c>
      <c r="M62" s="228">
        <f t="shared" ref="M62" si="39">SUM(M54:M61)</f>
        <v>40594241</v>
      </c>
      <c r="N62" s="228">
        <f t="shared" ref="N62" si="40">SUM(N54:N61)</f>
        <v>34142100</v>
      </c>
      <c r="O62" s="228">
        <f t="shared" ref="O62" si="41">SUM(O54:O61)</f>
        <v>26130838</v>
      </c>
      <c r="P62" s="228">
        <f t="shared" ref="P62" si="42">SUM(P54:P61)</f>
        <v>34420303</v>
      </c>
      <c r="Q62" s="228">
        <f t="shared" si="30"/>
        <v>401943147</v>
      </c>
      <c r="R62" s="228">
        <f t="shared" si="31"/>
        <v>33495262.25</v>
      </c>
    </row>
    <row r="63" spans="2:18" x14ac:dyDescent="0.25">
      <c r="B63" s="229"/>
      <c r="C63" s="230"/>
      <c r="D63" s="231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29"/>
      <c r="R63" s="232"/>
    </row>
    <row r="64" spans="2:18" x14ac:dyDescent="0.25">
      <c r="B64" s="221" t="s">
        <v>126</v>
      </c>
    </row>
    <row r="65" spans="2:18" x14ac:dyDescent="0.25">
      <c r="E65" s="222" t="s">
        <v>83</v>
      </c>
      <c r="F65" s="222" t="s">
        <v>84</v>
      </c>
      <c r="G65" s="222" t="s">
        <v>85</v>
      </c>
      <c r="H65" s="222" t="s">
        <v>86</v>
      </c>
      <c r="I65" s="222" t="s">
        <v>87</v>
      </c>
      <c r="J65" s="222" t="s">
        <v>88</v>
      </c>
      <c r="K65" s="222" t="s">
        <v>89</v>
      </c>
      <c r="L65" s="222" t="s">
        <v>90</v>
      </c>
      <c r="M65" s="222" t="s">
        <v>91</v>
      </c>
      <c r="N65" s="222" t="s">
        <v>92</v>
      </c>
      <c r="O65" s="222" t="s">
        <v>93</v>
      </c>
      <c r="P65" s="222" t="s">
        <v>94</v>
      </c>
      <c r="Q65" s="222" t="s">
        <v>33</v>
      </c>
      <c r="R65" s="223" t="s">
        <v>95</v>
      </c>
    </row>
    <row r="66" spans="2:18" x14ac:dyDescent="0.25">
      <c r="B66" s="208">
        <v>1</v>
      </c>
      <c r="C66" s="206" t="s">
        <v>104</v>
      </c>
      <c r="D66" s="208" t="s">
        <v>105</v>
      </c>
      <c r="E66" s="224">
        <v>0</v>
      </c>
      <c r="F66" s="224">
        <v>0</v>
      </c>
      <c r="G66" s="224">
        <v>0</v>
      </c>
      <c r="H66" s="224">
        <v>0</v>
      </c>
      <c r="I66" s="224">
        <v>0</v>
      </c>
      <c r="J66" s="224">
        <v>0</v>
      </c>
      <c r="K66" s="224">
        <v>0</v>
      </c>
      <c r="L66" s="224">
        <v>0</v>
      </c>
      <c r="M66" s="224">
        <v>0</v>
      </c>
      <c r="N66" s="224">
        <v>0</v>
      </c>
      <c r="O66" s="224">
        <v>0</v>
      </c>
      <c r="P66" s="224">
        <v>0</v>
      </c>
      <c r="Q66" s="220">
        <f>SUM(E66:P66)</f>
        <v>0</v>
      </c>
      <c r="R66" s="220">
        <f>Q66/12</f>
        <v>0</v>
      </c>
    </row>
    <row r="67" spans="2:18" x14ac:dyDescent="0.25">
      <c r="B67" s="208">
        <v>2</v>
      </c>
      <c r="C67" s="206" t="s">
        <v>106</v>
      </c>
      <c r="D67" s="208" t="s">
        <v>107</v>
      </c>
      <c r="E67" s="224">
        <v>2126467</v>
      </c>
      <c r="F67" s="224">
        <v>2083710</v>
      </c>
      <c r="G67" s="224">
        <v>1673198</v>
      </c>
      <c r="H67" s="224">
        <v>1660799</v>
      </c>
      <c r="I67" s="224">
        <v>1629393</v>
      </c>
      <c r="J67" s="224">
        <v>1916434</v>
      </c>
      <c r="K67" s="224">
        <v>2170266</v>
      </c>
      <c r="L67" s="224">
        <v>2282385</v>
      </c>
      <c r="M67" s="224">
        <v>2268332</v>
      </c>
      <c r="N67" s="224">
        <v>1945121</v>
      </c>
      <c r="O67" s="224">
        <v>1763925</v>
      </c>
      <c r="P67" s="224">
        <v>1997990</v>
      </c>
      <c r="Q67" s="220">
        <f t="shared" ref="Q67:Q74" si="43">SUM(E67:P67)</f>
        <v>23518020</v>
      </c>
      <c r="R67" s="220">
        <f t="shared" ref="R67:R74" si="44">Q67/12</f>
        <v>1959835</v>
      </c>
    </row>
    <row r="68" spans="2:18" x14ac:dyDescent="0.25">
      <c r="B68" s="208">
        <v>3</v>
      </c>
      <c r="C68" s="206" t="s">
        <v>108</v>
      </c>
      <c r="D68" s="208" t="s">
        <v>109</v>
      </c>
      <c r="E68" s="224">
        <v>782865</v>
      </c>
      <c r="F68" s="224">
        <v>783284</v>
      </c>
      <c r="G68" s="224">
        <v>687345</v>
      </c>
      <c r="H68" s="224">
        <v>740248</v>
      </c>
      <c r="I68" s="224">
        <v>897245</v>
      </c>
      <c r="J68" s="224">
        <v>865256</v>
      </c>
      <c r="K68" s="224">
        <v>1072228</v>
      </c>
      <c r="L68" s="224">
        <v>1134779</v>
      </c>
      <c r="M68" s="224">
        <v>979929</v>
      </c>
      <c r="N68" s="224">
        <v>786498</v>
      </c>
      <c r="O68" s="224">
        <v>736035</v>
      </c>
      <c r="P68" s="224">
        <v>739099</v>
      </c>
      <c r="Q68" s="220">
        <f t="shared" si="43"/>
        <v>10204811</v>
      </c>
      <c r="R68" s="220">
        <f t="shared" si="44"/>
        <v>850400.91666666663</v>
      </c>
    </row>
    <row r="69" spans="2:18" x14ac:dyDescent="0.25">
      <c r="B69" s="208">
        <v>4</v>
      </c>
      <c r="C69" s="206" t="s">
        <v>110</v>
      </c>
      <c r="D69" s="208" t="s">
        <v>111</v>
      </c>
      <c r="E69" s="224">
        <v>13100713</v>
      </c>
      <c r="F69" s="224">
        <v>11773435</v>
      </c>
      <c r="G69" s="224">
        <v>11651614</v>
      </c>
      <c r="H69" s="224">
        <v>11158895</v>
      </c>
      <c r="I69" s="224">
        <v>12749390</v>
      </c>
      <c r="J69" s="224">
        <v>12201694</v>
      </c>
      <c r="K69" s="224">
        <v>14236988</v>
      </c>
      <c r="L69" s="224">
        <v>13924708</v>
      </c>
      <c r="M69" s="224">
        <v>12845229</v>
      </c>
      <c r="N69" s="224">
        <v>11855652</v>
      </c>
      <c r="O69" s="224">
        <v>11880764</v>
      </c>
      <c r="P69" s="224">
        <v>12877190</v>
      </c>
      <c r="Q69" s="220">
        <f t="shared" si="43"/>
        <v>150256272</v>
      </c>
      <c r="R69" s="220">
        <f t="shared" si="44"/>
        <v>12521356</v>
      </c>
    </row>
    <row r="70" spans="2:18" x14ac:dyDescent="0.25">
      <c r="B70" s="208">
        <v>6</v>
      </c>
      <c r="C70" s="206" t="s">
        <v>139</v>
      </c>
      <c r="D70" s="208" t="s">
        <v>111</v>
      </c>
      <c r="E70" s="224">
        <v>14381</v>
      </c>
      <c r="F70" s="224">
        <v>10117</v>
      </c>
      <c r="G70" s="224">
        <v>7480</v>
      </c>
      <c r="H70" s="224">
        <v>1917</v>
      </c>
      <c r="I70" s="224">
        <v>4881</v>
      </c>
      <c r="J70" s="224">
        <v>10064</v>
      </c>
      <c r="K70" s="224">
        <v>11812</v>
      </c>
      <c r="L70" s="224">
        <v>11703</v>
      </c>
      <c r="M70" s="224">
        <v>11485</v>
      </c>
      <c r="N70" s="224">
        <v>192312</v>
      </c>
      <c r="O70" s="224">
        <v>11157</v>
      </c>
      <c r="P70" s="224">
        <v>102937</v>
      </c>
      <c r="Q70" s="220">
        <f t="shared" si="43"/>
        <v>390246</v>
      </c>
      <c r="R70" s="220">
        <f t="shared" si="44"/>
        <v>32520.5</v>
      </c>
    </row>
    <row r="71" spans="2:18" x14ac:dyDescent="0.25">
      <c r="B71" s="208">
        <v>5</v>
      </c>
      <c r="C71" s="206" t="s">
        <v>112</v>
      </c>
      <c r="D71" s="208" t="s">
        <v>113</v>
      </c>
      <c r="E71" s="224">
        <v>838360</v>
      </c>
      <c r="F71" s="224">
        <v>1329665</v>
      </c>
      <c r="G71" s="224">
        <v>1557983</v>
      </c>
      <c r="H71" s="224">
        <v>1628584</v>
      </c>
      <c r="I71" s="224">
        <v>1445737</v>
      </c>
      <c r="J71" s="224">
        <v>1356357</v>
      </c>
      <c r="K71" s="224">
        <v>1381036</v>
      </c>
      <c r="L71" s="224">
        <v>1443549</v>
      </c>
      <c r="M71" s="224">
        <v>1427489</v>
      </c>
      <c r="N71" s="224">
        <v>1500200</v>
      </c>
      <c r="O71" s="224">
        <v>1367010</v>
      </c>
      <c r="P71" s="224">
        <v>1457757</v>
      </c>
      <c r="Q71" s="220">
        <f t="shared" si="43"/>
        <v>16733727</v>
      </c>
      <c r="R71" s="220">
        <f t="shared" si="44"/>
        <v>1394477.25</v>
      </c>
    </row>
    <row r="72" spans="2:18" x14ac:dyDescent="0.25">
      <c r="B72" s="208">
        <v>7</v>
      </c>
      <c r="C72" s="206" t="s">
        <v>114</v>
      </c>
      <c r="D72" s="208" t="s">
        <v>115</v>
      </c>
      <c r="E72" s="224">
        <v>0</v>
      </c>
      <c r="F72" s="224">
        <v>0</v>
      </c>
      <c r="G72" s="224">
        <v>0</v>
      </c>
      <c r="H72" s="224">
        <v>0</v>
      </c>
      <c r="I72" s="224">
        <v>0</v>
      </c>
      <c r="J72" s="224">
        <v>0</v>
      </c>
      <c r="K72" s="224">
        <v>0</v>
      </c>
      <c r="L72" s="224">
        <v>0</v>
      </c>
      <c r="M72" s="224">
        <v>0</v>
      </c>
      <c r="N72" s="224">
        <v>0</v>
      </c>
      <c r="O72" s="224">
        <v>0</v>
      </c>
      <c r="P72" s="224">
        <v>0</v>
      </c>
      <c r="Q72" s="220">
        <f t="shared" si="43"/>
        <v>0</v>
      </c>
      <c r="R72" s="220">
        <f t="shared" si="44"/>
        <v>0</v>
      </c>
    </row>
    <row r="73" spans="2:18" x14ac:dyDescent="0.25">
      <c r="B73" s="208">
        <v>8</v>
      </c>
      <c r="C73" s="206" t="s">
        <v>116</v>
      </c>
      <c r="D73" s="208" t="s">
        <v>80</v>
      </c>
      <c r="E73" s="224">
        <v>0</v>
      </c>
      <c r="F73" s="224">
        <v>0</v>
      </c>
      <c r="G73" s="224">
        <v>0</v>
      </c>
      <c r="H73" s="224">
        <v>0</v>
      </c>
      <c r="I73" s="224">
        <v>0</v>
      </c>
      <c r="J73" s="224">
        <v>0</v>
      </c>
      <c r="K73" s="224">
        <v>0</v>
      </c>
      <c r="L73" s="224">
        <v>0</v>
      </c>
      <c r="M73" s="224">
        <v>0</v>
      </c>
      <c r="N73" s="224">
        <v>0</v>
      </c>
      <c r="O73" s="224">
        <v>0</v>
      </c>
      <c r="P73" s="224">
        <v>0</v>
      </c>
      <c r="Q73" s="220">
        <f t="shared" si="43"/>
        <v>0</v>
      </c>
      <c r="R73" s="220">
        <f t="shared" si="44"/>
        <v>0</v>
      </c>
    </row>
    <row r="74" spans="2:18" x14ac:dyDescent="0.25">
      <c r="B74" s="225"/>
      <c r="C74" s="226" t="s">
        <v>33</v>
      </c>
      <c r="D74" s="233"/>
      <c r="E74" s="228">
        <f>SUM(E66:E73)</f>
        <v>16862786</v>
      </c>
      <c r="F74" s="228">
        <f t="shared" ref="F74" si="45">SUM(F66:F73)</f>
        <v>15980211</v>
      </c>
      <c r="G74" s="228">
        <f t="shared" ref="G74" si="46">SUM(G66:G73)</f>
        <v>15577620</v>
      </c>
      <c r="H74" s="228">
        <f t="shared" ref="H74" si="47">SUM(H66:H73)</f>
        <v>15190443</v>
      </c>
      <c r="I74" s="228">
        <f t="shared" ref="I74" si="48">SUM(I66:I73)</f>
        <v>16726646</v>
      </c>
      <c r="J74" s="228">
        <f t="shared" ref="J74" si="49">SUM(J66:J73)</f>
        <v>16349805</v>
      </c>
      <c r="K74" s="228">
        <f t="shared" ref="K74" si="50">SUM(K66:K73)</f>
        <v>18872330</v>
      </c>
      <c r="L74" s="228">
        <f t="shared" ref="L74" si="51">SUM(L66:L73)</f>
        <v>18797124</v>
      </c>
      <c r="M74" s="228">
        <f t="shared" ref="M74" si="52">SUM(M66:M73)</f>
        <v>17532464</v>
      </c>
      <c r="N74" s="228">
        <f t="shared" ref="N74" si="53">SUM(N66:N73)</f>
        <v>16279783</v>
      </c>
      <c r="O74" s="228">
        <f t="shared" ref="O74" si="54">SUM(O66:O73)</f>
        <v>15758891</v>
      </c>
      <c r="P74" s="228">
        <f t="shared" ref="P74" si="55">SUM(P66:P73)</f>
        <v>17174973</v>
      </c>
      <c r="Q74" s="228">
        <f t="shared" si="43"/>
        <v>201103076</v>
      </c>
      <c r="R74" s="228">
        <f t="shared" si="44"/>
        <v>16758589.666666666</v>
      </c>
    </row>
    <row r="76" spans="2:18" x14ac:dyDescent="0.25">
      <c r="B76" s="221" t="s">
        <v>98</v>
      </c>
    </row>
    <row r="77" spans="2:18" x14ac:dyDescent="0.25">
      <c r="E77" s="222" t="s">
        <v>83</v>
      </c>
      <c r="F77" s="222" t="s">
        <v>84</v>
      </c>
      <c r="G77" s="222" t="s">
        <v>85</v>
      </c>
      <c r="H77" s="222" t="s">
        <v>86</v>
      </c>
      <c r="I77" s="222" t="s">
        <v>87</v>
      </c>
      <c r="J77" s="222" t="s">
        <v>88</v>
      </c>
      <c r="K77" s="222" t="s">
        <v>89</v>
      </c>
      <c r="L77" s="222" t="s">
        <v>90</v>
      </c>
      <c r="M77" s="222" t="s">
        <v>91</v>
      </c>
      <c r="N77" s="222" t="s">
        <v>92</v>
      </c>
      <c r="O77" s="222" t="s">
        <v>93</v>
      </c>
      <c r="P77" s="222" t="s">
        <v>94</v>
      </c>
      <c r="Q77" s="222" t="s">
        <v>33</v>
      </c>
      <c r="R77" s="223" t="s">
        <v>95</v>
      </c>
    </row>
    <row r="78" spans="2:18" x14ac:dyDescent="0.25">
      <c r="B78" s="208">
        <v>1</v>
      </c>
      <c r="C78" s="206" t="s">
        <v>104</v>
      </c>
      <c r="D78" s="208" t="s">
        <v>105</v>
      </c>
      <c r="E78" s="224">
        <v>113038.23249600001</v>
      </c>
      <c r="F78" s="224">
        <v>15368.491446</v>
      </c>
      <c r="G78" s="224">
        <v>39078.292300000001</v>
      </c>
      <c r="H78" s="224">
        <v>-776.66115200000002</v>
      </c>
      <c r="I78" s="224">
        <v>11309.418451000001</v>
      </c>
      <c r="J78" s="224">
        <v>8508.1474940000007</v>
      </c>
      <c r="K78" s="224">
        <v>52856.328095999997</v>
      </c>
      <c r="L78" s="224">
        <v>7663.31034</v>
      </c>
      <c r="M78" s="224">
        <v>-30817.160946</v>
      </c>
      <c r="N78" s="224">
        <v>7195.1554670000005</v>
      </c>
      <c r="O78" s="224">
        <v>24391.797731999999</v>
      </c>
      <c r="P78" s="224">
        <v>40983.480057000001</v>
      </c>
      <c r="Q78" s="220">
        <f>SUM(E78:P78)</f>
        <v>288798.83178100002</v>
      </c>
      <c r="R78" s="220">
        <f>Q78/12</f>
        <v>24066.569315083336</v>
      </c>
    </row>
    <row r="79" spans="2:18" x14ac:dyDescent="0.25">
      <c r="B79" s="208">
        <v>2</v>
      </c>
      <c r="C79" s="206" t="s">
        <v>106</v>
      </c>
      <c r="D79" s="208" t="s">
        <v>107</v>
      </c>
      <c r="E79" s="224">
        <v>9596.8620340000016</v>
      </c>
      <c r="F79" s="224">
        <v>1289.43283</v>
      </c>
      <c r="G79" s="224">
        <v>3250.2338799999998</v>
      </c>
      <c r="H79" s="224">
        <v>-70.409728000000001</v>
      </c>
      <c r="I79" s="224">
        <v>1222.053993</v>
      </c>
      <c r="J79" s="224">
        <v>805.68149400000004</v>
      </c>
      <c r="K79" s="224">
        <v>4707.5513759999994</v>
      </c>
      <c r="L79" s="224">
        <v>656.75882999999999</v>
      </c>
      <c r="M79" s="224">
        <v>-2695.6927140000003</v>
      </c>
      <c r="N79" s="224">
        <v>670.83189200000004</v>
      </c>
      <c r="O79" s="224">
        <v>2632.6309080000001</v>
      </c>
      <c r="P79" s="224">
        <v>3762.6980250000006</v>
      </c>
      <c r="Q79" s="220">
        <f t="shared" ref="Q79:Q86" si="56">SUM(E79:P79)</f>
        <v>25828.632819999995</v>
      </c>
      <c r="R79" s="220">
        <f t="shared" ref="R79:R86" si="57">Q79/12</f>
        <v>2152.3860683333328</v>
      </c>
    </row>
    <row r="80" spans="2:18" x14ac:dyDescent="0.25">
      <c r="B80" s="208">
        <v>3</v>
      </c>
      <c r="C80" s="206" t="s">
        <v>108</v>
      </c>
      <c r="D80" s="208" t="s">
        <v>109</v>
      </c>
      <c r="E80" s="224">
        <v>2816.118195</v>
      </c>
      <c r="F80" s="224">
        <v>376.69115400000004</v>
      </c>
      <c r="G80" s="224">
        <v>1039.123683</v>
      </c>
      <c r="H80" s="224">
        <v>-25.107583999999999</v>
      </c>
      <c r="I80" s="224">
        <v>535.608924</v>
      </c>
      <c r="J80" s="224">
        <v>295.35080200000004</v>
      </c>
      <c r="K80" s="224">
        <v>1860.5568960000001</v>
      </c>
      <c r="L80" s="224">
        <v>267.25377000000003</v>
      </c>
      <c r="M80" s="224">
        <v>-951.01578000000006</v>
      </c>
      <c r="N80" s="224">
        <v>214.85645900000003</v>
      </c>
      <c r="O80" s="224">
        <v>918.56828799999994</v>
      </c>
      <c r="P80" s="224">
        <v>1104.19965</v>
      </c>
      <c r="Q80" s="220">
        <f t="shared" si="56"/>
        <v>8452.2044569999998</v>
      </c>
      <c r="R80" s="220">
        <f t="shared" si="57"/>
        <v>704.35037141666669</v>
      </c>
    </row>
    <row r="81" spans="2:18" x14ac:dyDescent="0.25">
      <c r="B81" s="208">
        <v>4</v>
      </c>
      <c r="C81" s="206" t="s">
        <v>110</v>
      </c>
      <c r="D81" s="208" t="s">
        <v>111</v>
      </c>
      <c r="E81" s="224">
        <v>49141.965632000007</v>
      </c>
      <c r="F81" s="224">
        <v>6023.5658379999995</v>
      </c>
      <c r="G81" s="224">
        <v>18317.108298000003</v>
      </c>
      <c r="H81" s="224">
        <v>-410.85375999999997</v>
      </c>
      <c r="I81" s="224">
        <v>8329.5461529999993</v>
      </c>
      <c r="J81" s="224">
        <v>4483.8740210000005</v>
      </c>
      <c r="K81" s="224">
        <v>26515.082880000002</v>
      </c>
      <c r="L81" s="224">
        <v>3492.9646500000003</v>
      </c>
      <c r="M81" s="224">
        <v>-13618.694232</v>
      </c>
      <c r="N81" s="224">
        <v>3410.7917050000001</v>
      </c>
      <c r="O81" s="224">
        <v>14952.820147999999</v>
      </c>
      <c r="P81" s="224">
        <v>19789.462539</v>
      </c>
      <c r="Q81" s="220">
        <f t="shared" si="56"/>
        <v>140427.63387200001</v>
      </c>
      <c r="R81" s="220">
        <f t="shared" si="57"/>
        <v>11702.302822666667</v>
      </c>
    </row>
    <row r="82" spans="2:18" x14ac:dyDescent="0.25">
      <c r="B82" s="208">
        <v>6</v>
      </c>
      <c r="C82" s="206" t="s">
        <v>139</v>
      </c>
      <c r="D82" s="208" t="s">
        <v>111</v>
      </c>
      <c r="E82" s="224">
        <v>22.41</v>
      </c>
      <c r="F82" s="224">
        <v>3.31</v>
      </c>
      <c r="G82" s="224">
        <v>3.96</v>
      </c>
      <c r="H82" s="224">
        <v>-0.13</v>
      </c>
      <c r="I82" s="224">
        <v>7.43</v>
      </c>
      <c r="J82" s="224">
        <v>1.25</v>
      </c>
      <c r="K82" s="224">
        <v>-9.1300000000000008</v>
      </c>
      <c r="L82" s="224">
        <v>5.96</v>
      </c>
      <c r="M82" s="224">
        <v>12.12</v>
      </c>
      <c r="N82" s="224">
        <v>252.12</v>
      </c>
      <c r="O82" s="224">
        <v>29.89</v>
      </c>
      <c r="P82" s="224">
        <v>190.02</v>
      </c>
      <c r="Q82" s="220">
        <f t="shared" si="56"/>
        <v>519.21</v>
      </c>
      <c r="R82" s="220">
        <f t="shared" si="57"/>
        <v>43.267500000000005</v>
      </c>
    </row>
    <row r="83" spans="2:18" x14ac:dyDescent="0.25">
      <c r="B83" s="208">
        <v>5</v>
      </c>
      <c r="C83" s="206" t="s">
        <v>112</v>
      </c>
      <c r="D83" s="208" t="s">
        <v>113</v>
      </c>
      <c r="E83" s="224">
        <v>2732.21524</v>
      </c>
      <c r="F83" s="224">
        <v>593.03058999999996</v>
      </c>
      <c r="G83" s="224">
        <v>2129.762761</v>
      </c>
      <c r="H83" s="224">
        <v>-52.114688000000001</v>
      </c>
      <c r="I83" s="224">
        <v>813.94993099999999</v>
      </c>
      <c r="J83" s="224">
        <v>429.965169</v>
      </c>
      <c r="K83" s="224">
        <v>2187.5610240000001</v>
      </c>
      <c r="L83" s="224">
        <v>303.14528999999999</v>
      </c>
      <c r="M83" s="224">
        <v>-1224.785562</v>
      </c>
      <c r="N83" s="224">
        <v>358.5478</v>
      </c>
      <c r="O83" s="224">
        <v>1470.9027599999999</v>
      </c>
      <c r="P83" s="224">
        <v>1937.3590530000001</v>
      </c>
      <c r="Q83" s="220">
        <f t="shared" si="56"/>
        <v>11679.539368000002</v>
      </c>
      <c r="R83" s="220">
        <f t="shared" si="57"/>
        <v>973.29494733333343</v>
      </c>
    </row>
    <row r="84" spans="2:18" x14ac:dyDescent="0.25">
      <c r="B84" s="208">
        <v>7</v>
      </c>
      <c r="C84" s="206" t="s">
        <v>114</v>
      </c>
      <c r="D84" s="208" t="s">
        <v>115</v>
      </c>
      <c r="E84" s="224">
        <v>0</v>
      </c>
      <c r="F84" s="224">
        <v>0</v>
      </c>
      <c r="G84" s="224">
        <v>0</v>
      </c>
      <c r="H84" s="224">
        <v>0</v>
      </c>
      <c r="I84" s="224">
        <v>0</v>
      </c>
      <c r="J84" s="224">
        <v>0</v>
      </c>
      <c r="K84" s="224">
        <v>0</v>
      </c>
      <c r="L84" s="224">
        <v>0</v>
      </c>
      <c r="M84" s="224">
        <v>0</v>
      </c>
      <c r="N84" s="224">
        <v>0</v>
      </c>
      <c r="O84" s="224">
        <v>0</v>
      </c>
      <c r="P84" s="224">
        <v>0</v>
      </c>
      <c r="Q84" s="220">
        <f t="shared" si="56"/>
        <v>0</v>
      </c>
      <c r="R84" s="220">
        <f t="shared" si="57"/>
        <v>0</v>
      </c>
    </row>
    <row r="85" spans="2:18" x14ac:dyDescent="0.25">
      <c r="B85" s="208">
        <v>8</v>
      </c>
      <c r="C85" s="206" t="s">
        <v>116</v>
      </c>
      <c r="D85" s="208" t="s">
        <v>80</v>
      </c>
      <c r="E85" s="224">
        <v>2143.3432710000002</v>
      </c>
      <c r="F85" s="224">
        <v>291.37893600000001</v>
      </c>
      <c r="G85" s="224">
        <v>891.34824900000001</v>
      </c>
      <c r="H85" s="224">
        <v>-20.847199999999997</v>
      </c>
      <c r="I85" s="224">
        <v>366.06428900000003</v>
      </c>
      <c r="J85" s="224">
        <v>206.13749200000001</v>
      </c>
      <c r="K85" s="224">
        <v>1034.781264</v>
      </c>
      <c r="L85" s="224">
        <v>135.91494</v>
      </c>
      <c r="M85" s="224">
        <v>-554.45247000000006</v>
      </c>
      <c r="N85" s="224">
        <v>154.404516</v>
      </c>
      <c r="O85" s="224">
        <v>693.86613199999999</v>
      </c>
      <c r="P85" s="224">
        <v>855.51584100000002</v>
      </c>
      <c r="Q85" s="220">
        <f t="shared" si="56"/>
        <v>6197.4552599999997</v>
      </c>
      <c r="R85" s="220">
        <f t="shared" si="57"/>
        <v>516.45460500000002</v>
      </c>
    </row>
    <row r="86" spans="2:18" x14ac:dyDescent="0.25">
      <c r="B86" s="225"/>
      <c r="C86" s="226" t="s">
        <v>33</v>
      </c>
      <c r="D86" s="227"/>
      <c r="E86" s="228">
        <f>SUM(E78:E85)</f>
        <v>179491.14686800001</v>
      </c>
      <c r="F86" s="228">
        <f t="shared" ref="F86" si="58">SUM(F78:F85)</f>
        <v>23945.900794000001</v>
      </c>
      <c r="G86" s="228">
        <f t="shared" ref="G86" si="59">SUM(G78:G85)</f>
        <v>64709.829171000005</v>
      </c>
      <c r="H86" s="228">
        <f t="shared" ref="H86" si="60">SUM(H78:H85)</f>
        <v>-1356.1241120000002</v>
      </c>
      <c r="I86" s="228">
        <f t="shared" ref="I86" si="61">SUM(I78:I85)</f>
        <v>22584.071741000003</v>
      </c>
      <c r="J86" s="228">
        <f t="shared" ref="J86" si="62">SUM(J78:J85)</f>
        <v>14730.406472000001</v>
      </c>
      <c r="K86" s="228">
        <f t="shared" ref="K86" si="63">SUM(K78:K85)</f>
        <v>89152.731535999992</v>
      </c>
      <c r="L86" s="228">
        <f t="shared" ref="L86" si="64">SUM(L78:L85)</f>
        <v>12525.30782</v>
      </c>
      <c r="M86" s="228">
        <f t="shared" ref="M86" si="65">SUM(M78:M85)</f>
        <v>-49849.681703999995</v>
      </c>
      <c r="N86" s="228">
        <f t="shared" ref="N86" si="66">SUM(N78:N85)</f>
        <v>12256.707839000002</v>
      </c>
      <c r="O86" s="228">
        <f t="shared" ref="O86" si="67">SUM(O78:O85)</f>
        <v>45090.475967999992</v>
      </c>
      <c r="P86" s="228">
        <f t="shared" ref="P86" si="68">SUM(P78:P85)</f>
        <v>68622.735165000006</v>
      </c>
      <c r="Q86" s="228">
        <f t="shared" si="56"/>
        <v>481903.50755799998</v>
      </c>
      <c r="R86" s="228">
        <f t="shared" si="57"/>
        <v>40158.625629833332</v>
      </c>
    </row>
    <row r="88" spans="2:18" x14ac:dyDescent="0.25">
      <c r="B88" s="221" t="s">
        <v>99</v>
      </c>
    </row>
    <row r="89" spans="2:18" x14ac:dyDescent="0.25">
      <c r="E89" s="222" t="s">
        <v>83</v>
      </c>
      <c r="F89" s="222" t="s">
        <v>84</v>
      </c>
      <c r="G89" s="222" t="s">
        <v>85</v>
      </c>
      <c r="H89" s="222" t="s">
        <v>86</v>
      </c>
      <c r="I89" s="222" t="s">
        <v>87</v>
      </c>
      <c r="J89" s="222" t="s">
        <v>88</v>
      </c>
      <c r="K89" s="222" t="s">
        <v>89</v>
      </c>
      <c r="L89" s="222" t="s">
        <v>90</v>
      </c>
      <c r="M89" s="222" t="s">
        <v>91</v>
      </c>
      <c r="N89" s="222" t="s">
        <v>92</v>
      </c>
      <c r="O89" s="222" t="s">
        <v>93</v>
      </c>
      <c r="P89" s="222" t="s">
        <v>94</v>
      </c>
      <c r="Q89" s="222" t="s">
        <v>33</v>
      </c>
      <c r="R89" s="223" t="s">
        <v>95</v>
      </c>
    </row>
    <row r="90" spans="2:18" x14ac:dyDescent="0.25">
      <c r="B90" s="208">
        <v>1</v>
      </c>
      <c r="C90" s="206" t="s">
        <v>104</v>
      </c>
      <c r="D90" s="208" t="s">
        <v>105</v>
      </c>
      <c r="E90" s="224">
        <v>303273.10976200004</v>
      </c>
      <c r="F90" s="224">
        <v>320449.05430700001</v>
      </c>
      <c r="G90" s="224">
        <v>208584.56332800002</v>
      </c>
      <c r="H90" s="224">
        <v>164231.463066</v>
      </c>
      <c r="I90" s="224">
        <v>133724.331489</v>
      </c>
      <c r="J90" s="224">
        <v>242844.53793600001</v>
      </c>
      <c r="K90" s="224">
        <v>235551.022746</v>
      </c>
      <c r="L90" s="224">
        <v>338615.99527500005</v>
      </c>
      <c r="M90" s="224">
        <v>203299.66654000001</v>
      </c>
      <c r="N90" s="224">
        <v>191446.74385699999</v>
      </c>
      <c r="O90" s="224">
        <v>88525.026205000002</v>
      </c>
      <c r="P90" s="224">
        <v>188236.90384799999</v>
      </c>
      <c r="Q90" s="220">
        <f>SUM(E90:P90)</f>
        <v>2618782.4183589998</v>
      </c>
      <c r="R90" s="220">
        <f>Q90/12</f>
        <v>218231.86819658332</v>
      </c>
    </row>
    <row r="91" spans="2:18" x14ac:dyDescent="0.25">
      <c r="B91" s="208">
        <v>2</v>
      </c>
      <c r="C91" s="206" t="s">
        <v>106</v>
      </c>
      <c r="D91" s="208" t="s">
        <v>107</v>
      </c>
      <c r="E91" s="224">
        <v>25745.739418000005</v>
      </c>
      <c r="F91" s="224">
        <v>26884.385395000001</v>
      </c>
      <c r="G91" s="224">
        <v>17347.261440000002</v>
      </c>
      <c r="H91" s="224">
        <v>14887.256864000001</v>
      </c>
      <c r="I91" s="224">
        <v>14449.757427</v>
      </c>
      <c r="J91" s="224">
        <v>22996.233936000004</v>
      </c>
      <c r="K91" s="224">
        <v>20978.917400999999</v>
      </c>
      <c r="L91" s="224">
        <v>29019.358017000002</v>
      </c>
      <c r="M91" s="224">
        <v>17782.77478</v>
      </c>
      <c r="N91" s="224">
        <v>17848.619252</v>
      </c>
      <c r="O91" s="224">
        <v>9554.2971149999994</v>
      </c>
      <c r="P91" s="224">
        <v>17281.797399999999</v>
      </c>
      <c r="Q91" s="220">
        <f t="shared" ref="Q91:Q98" si="69">SUM(E91:P91)</f>
        <v>234776.398445</v>
      </c>
      <c r="R91" s="220">
        <f t="shared" ref="R91:R98" si="70">Q91/12</f>
        <v>19564.699870416665</v>
      </c>
    </row>
    <row r="92" spans="2:18" x14ac:dyDescent="0.25">
      <c r="B92" s="208">
        <v>3</v>
      </c>
      <c r="C92" s="206" t="s">
        <v>108</v>
      </c>
      <c r="D92" s="208" t="s">
        <v>109</v>
      </c>
      <c r="E92" s="224">
        <v>7554.8700150000004</v>
      </c>
      <c r="F92" s="224">
        <v>7853.9261009999991</v>
      </c>
      <c r="G92" s="224">
        <v>5546.0471040000002</v>
      </c>
      <c r="H92" s="224">
        <v>5308.684792</v>
      </c>
      <c r="I92" s="224">
        <v>6333.1236360000003</v>
      </c>
      <c r="J92" s="224">
        <v>8430.0758880000012</v>
      </c>
      <c r="K92" s="224">
        <v>8291.4590459999999</v>
      </c>
      <c r="L92" s="224">
        <v>11808.798723</v>
      </c>
      <c r="M92" s="224">
        <v>6273.6005999999998</v>
      </c>
      <c r="N92" s="224">
        <v>5716.6201790000005</v>
      </c>
      <c r="O92" s="224">
        <v>3333.65164</v>
      </c>
      <c r="P92" s="224">
        <v>5071.5084000000006</v>
      </c>
      <c r="Q92" s="220">
        <f t="shared" si="69"/>
        <v>81522.366124000007</v>
      </c>
      <c r="R92" s="220">
        <f t="shared" si="70"/>
        <v>6793.530510333334</v>
      </c>
    </row>
    <row r="93" spans="2:18" x14ac:dyDescent="0.25">
      <c r="B93" s="208">
        <v>4</v>
      </c>
      <c r="C93" s="206" t="s">
        <v>110</v>
      </c>
      <c r="D93" s="208" t="s">
        <v>111</v>
      </c>
      <c r="E93" s="224">
        <v>131834.36806400001</v>
      </c>
      <c r="F93" s="224">
        <v>125589.99714699999</v>
      </c>
      <c r="G93" s="224">
        <v>97762.708224000002</v>
      </c>
      <c r="H93" s="224">
        <v>86869.89188000001</v>
      </c>
      <c r="I93" s="224">
        <v>98489.855666999996</v>
      </c>
      <c r="J93" s="224">
        <v>127981.363224</v>
      </c>
      <c r="K93" s="224">
        <v>118162.85988</v>
      </c>
      <c r="L93" s="224">
        <v>154339.13803500001</v>
      </c>
      <c r="M93" s="224">
        <v>89838.938640000008</v>
      </c>
      <c r="N93" s="224">
        <v>90749.893104999996</v>
      </c>
      <c r="O93" s="224">
        <v>54266.508065000002</v>
      </c>
      <c r="P93" s="224">
        <v>90891.557063999993</v>
      </c>
      <c r="Q93" s="220">
        <f t="shared" si="69"/>
        <v>1266777.0789950001</v>
      </c>
      <c r="R93" s="220">
        <f t="shared" si="70"/>
        <v>105564.75658291667</v>
      </c>
    </row>
    <row r="94" spans="2:18" x14ac:dyDescent="0.25">
      <c r="B94" s="208">
        <v>6</v>
      </c>
      <c r="C94" s="206" t="s">
        <v>139</v>
      </c>
      <c r="D94" s="208" t="s">
        <v>111</v>
      </c>
      <c r="E94" s="224">
        <v>182.24</v>
      </c>
      <c r="F94" s="224">
        <v>141.83000000000001</v>
      </c>
      <c r="G94" s="224">
        <v>108.19</v>
      </c>
      <c r="H94" s="224">
        <v>99.17</v>
      </c>
      <c r="I94" s="224">
        <v>95.16</v>
      </c>
      <c r="J94" s="224">
        <v>146.84</v>
      </c>
      <c r="K94" s="224">
        <v>136.07</v>
      </c>
      <c r="L94" s="224">
        <v>144.34</v>
      </c>
      <c r="M94" s="224">
        <v>101.47</v>
      </c>
      <c r="N94" s="224">
        <v>1649.46</v>
      </c>
      <c r="O94" s="224">
        <v>85.01</v>
      </c>
      <c r="P94" s="224">
        <v>1612.67</v>
      </c>
      <c r="Q94" s="220">
        <f t="shared" si="69"/>
        <v>4502.4500000000007</v>
      </c>
      <c r="R94" s="220">
        <f t="shared" si="70"/>
        <v>375.20416666666671</v>
      </c>
    </row>
    <row r="95" spans="2:18" x14ac:dyDescent="0.25">
      <c r="B95" s="208">
        <v>5</v>
      </c>
      <c r="C95" s="206" t="s">
        <v>112</v>
      </c>
      <c r="D95" s="208" t="s">
        <v>113</v>
      </c>
      <c r="E95" s="224">
        <v>7329.7814800000006</v>
      </c>
      <c r="F95" s="224">
        <v>12364.554835000001</v>
      </c>
      <c r="G95" s="224">
        <v>11367.043968</v>
      </c>
      <c r="H95" s="224">
        <v>11018.999344</v>
      </c>
      <c r="I95" s="224">
        <v>9624.2712090000005</v>
      </c>
      <c r="J95" s="224">
        <v>12272.318136</v>
      </c>
      <c r="K95" s="224">
        <v>9748.7331240000003</v>
      </c>
      <c r="L95" s="224">
        <v>13394.691171</v>
      </c>
      <c r="M95" s="224">
        <v>8079.5877399999999</v>
      </c>
      <c r="N95" s="224">
        <v>9539.7718000000004</v>
      </c>
      <c r="O95" s="224">
        <v>5338.1740499999996</v>
      </c>
      <c r="P95" s="224">
        <v>8898.1487280000001</v>
      </c>
      <c r="Q95" s="220">
        <f t="shared" si="69"/>
        <v>118976.07558500001</v>
      </c>
      <c r="R95" s="220">
        <f t="shared" si="70"/>
        <v>9914.6729654166684</v>
      </c>
    </row>
    <row r="96" spans="2:18" x14ac:dyDescent="0.25">
      <c r="B96" s="208">
        <v>7</v>
      </c>
      <c r="C96" s="206" t="s">
        <v>114</v>
      </c>
      <c r="D96" s="208" t="s">
        <v>115</v>
      </c>
      <c r="E96" s="224">
        <v>0</v>
      </c>
      <c r="F96" s="224">
        <v>0</v>
      </c>
      <c r="G96" s="224">
        <v>0</v>
      </c>
      <c r="H96" s="224">
        <v>0</v>
      </c>
      <c r="I96" s="224">
        <v>0</v>
      </c>
      <c r="J96" s="224">
        <v>0</v>
      </c>
      <c r="K96" s="224">
        <v>0</v>
      </c>
      <c r="L96" s="224">
        <v>0</v>
      </c>
      <c r="M96" s="224">
        <v>0</v>
      </c>
      <c r="N96" s="224">
        <v>0</v>
      </c>
      <c r="O96" s="224">
        <v>0</v>
      </c>
      <c r="P96" s="224">
        <v>0</v>
      </c>
      <c r="Q96" s="220">
        <f t="shared" si="69"/>
        <v>0</v>
      </c>
      <c r="R96" s="220">
        <f t="shared" si="70"/>
        <v>0</v>
      </c>
    </row>
    <row r="97" spans="2:18" x14ac:dyDescent="0.25">
      <c r="B97" s="208">
        <v>8</v>
      </c>
      <c r="C97" s="206" t="s">
        <v>116</v>
      </c>
      <c r="D97" s="208" t="s">
        <v>80</v>
      </c>
      <c r="E97" s="224">
        <v>5750.0000670000009</v>
      </c>
      <c r="F97" s="224">
        <v>6075.1854839999996</v>
      </c>
      <c r="G97" s="224">
        <v>4757.3349120000003</v>
      </c>
      <c r="H97" s="224">
        <v>4407.8798500000003</v>
      </c>
      <c r="I97" s="224">
        <v>4328.4013709999999</v>
      </c>
      <c r="J97" s="224">
        <v>5883.6972480000004</v>
      </c>
      <c r="K97" s="224">
        <v>4611.4399890000004</v>
      </c>
      <c r="L97" s="224">
        <v>6005.4987060000003</v>
      </c>
      <c r="M97" s="224">
        <v>3657.5769</v>
      </c>
      <c r="N97" s="224">
        <v>4108.1937960000005</v>
      </c>
      <c r="O97" s="224">
        <v>2518.1665849999999</v>
      </c>
      <c r="P97" s="224">
        <v>3929.3218160000001</v>
      </c>
      <c r="Q97" s="220">
        <f t="shared" si="69"/>
        <v>56032.696724000001</v>
      </c>
      <c r="R97" s="220">
        <f t="shared" si="70"/>
        <v>4669.3913936666668</v>
      </c>
    </row>
    <row r="98" spans="2:18" x14ac:dyDescent="0.25">
      <c r="B98" s="225"/>
      <c r="C98" s="226" t="s">
        <v>33</v>
      </c>
      <c r="D98" s="227"/>
      <c r="E98" s="228">
        <f>SUM(E90:E97)</f>
        <v>481670.10880600003</v>
      </c>
      <c r="F98" s="228">
        <f t="shared" ref="F98" si="71">SUM(F90:F97)</f>
        <v>499358.93326900003</v>
      </c>
      <c r="G98" s="228">
        <f t="shared" ref="G98" si="72">SUM(G90:G97)</f>
        <v>345473.14897599997</v>
      </c>
      <c r="H98" s="228">
        <f t="shared" ref="H98" si="73">SUM(H90:H97)</f>
        <v>286823.34579600004</v>
      </c>
      <c r="I98" s="228">
        <f t="shared" ref="I98" si="74">SUM(I90:I97)</f>
        <v>267044.900799</v>
      </c>
      <c r="J98" s="228">
        <f t="shared" ref="J98" si="75">SUM(J90:J97)</f>
        <v>420555.06636800006</v>
      </c>
      <c r="K98" s="228">
        <f t="shared" ref="K98" si="76">SUM(K90:K97)</f>
        <v>397480.502186</v>
      </c>
      <c r="L98" s="228">
        <f t="shared" ref="L98" si="77">SUM(L90:L97)</f>
        <v>553327.81992700009</v>
      </c>
      <c r="M98" s="228">
        <f t="shared" ref="M98" si="78">SUM(M90:M97)</f>
        <v>329033.6152</v>
      </c>
      <c r="N98" s="228">
        <f t="shared" ref="N98" si="79">SUM(N90:N97)</f>
        <v>321059.301989</v>
      </c>
      <c r="O98" s="228">
        <f t="shared" ref="O98" si="80">SUM(O90:O97)</f>
        <v>163620.83366</v>
      </c>
      <c r="P98" s="228">
        <f t="shared" ref="P98" si="81">SUM(P90:P97)</f>
        <v>315921.90725599998</v>
      </c>
      <c r="Q98" s="228">
        <f t="shared" si="69"/>
        <v>4381369.4842319991</v>
      </c>
      <c r="R98" s="228">
        <f t="shared" si="70"/>
        <v>365114.12368599995</v>
      </c>
    </row>
    <row r="100" spans="2:18" x14ac:dyDescent="0.25">
      <c r="B100" s="221" t="s">
        <v>128</v>
      </c>
    </row>
    <row r="101" spans="2:18" x14ac:dyDescent="0.25">
      <c r="E101" s="222" t="s">
        <v>83</v>
      </c>
      <c r="F101" s="222" t="s">
        <v>84</v>
      </c>
      <c r="G101" s="222" t="s">
        <v>85</v>
      </c>
      <c r="H101" s="222" t="s">
        <v>86</v>
      </c>
      <c r="I101" s="222" t="s">
        <v>87</v>
      </c>
      <c r="J101" s="222" t="s">
        <v>88</v>
      </c>
      <c r="K101" s="222" t="s">
        <v>89</v>
      </c>
      <c r="L101" s="222" t="s">
        <v>90</v>
      </c>
      <c r="M101" s="222" t="s">
        <v>91</v>
      </c>
      <c r="N101" s="222" t="s">
        <v>92</v>
      </c>
      <c r="O101" s="222" t="s">
        <v>93</v>
      </c>
      <c r="P101" s="222" t="s">
        <v>94</v>
      </c>
      <c r="Q101" s="222" t="s">
        <v>33</v>
      </c>
      <c r="R101" s="223" t="s">
        <v>95</v>
      </c>
    </row>
    <row r="102" spans="2:18" x14ac:dyDescent="0.25">
      <c r="B102" s="208">
        <v>1</v>
      </c>
      <c r="C102" s="206" t="s">
        <v>104</v>
      </c>
      <c r="D102" s="208" t="s">
        <v>105</v>
      </c>
      <c r="E102" s="224">
        <v>-72032.594385999997</v>
      </c>
      <c r="F102" s="224">
        <v>-105410.928134</v>
      </c>
      <c r="G102" s="224">
        <v>-62019.312600000005</v>
      </c>
      <c r="H102" s="224">
        <v>-85089.160157999999</v>
      </c>
      <c r="I102" s="224">
        <v>-103358.09232</v>
      </c>
      <c r="J102" s="224">
        <v>-170464.60945799999</v>
      </c>
      <c r="K102" s="224">
        <v>-178548.32191999999</v>
      </c>
      <c r="L102" s="224">
        <v>-239106.19335000002</v>
      </c>
      <c r="M102" s="224">
        <v>-149693.70379200001</v>
      </c>
      <c r="N102" s="224">
        <v>-134385.11690999998</v>
      </c>
      <c r="O102" s="224">
        <v>-116570.3</v>
      </c>
      <c r="P102" s="224">
        <v>-218137.662431</v>
      </c>
      <c r="Q102" s="220">
        <f>SUM(E102:P102)</f>
        <v>-1634815.9954590001</v>
      </c>
      <c r="R102" s="220">
        <f>Q102/12</f>
        <v>-136234.66628825001</v>
      </c>
    </row>
    <row r="103" spans="2:18" x14ac:dyDescent="0.25">
      <c r="B103" s="208">
        <v>2</v>
      </c>
      <c r="C103" s="206" t="s">
        <v>106</v>
      </c>
      <c r="D103" s="208" t="s">
        <v>107</v>
      </c>
      <c r="E103" s="224">
        <v>-6063.0191309999991</v>
      </c>
      <c r="F103" s="224">
        <v>-6880.8554799999993</v>
      </c>
      <c r="G103" s="224">
        <v>-4365.3292500000007</v>
      </c>
      <c r="H103" s="224">
        <v>-6277.8641990000006</v>
      </c>
      <c r="I103" s="224">
        <v>-8641.4561759999997</v>
      </c>
      <c r="J103" s="224">
        <v>-12634.646128</v>
      </c>
      <c r="K103" s="224">
        <v>-14155.679248</v>
      </c>
      <c r="L103" s="224">
        <v>-15510.237263999999</v>
      </c>
      <c r="M103" s="224">
        <v>-10982.217074</v>
      </c>
      <c r="N103" s="224">
        <v>-11042.357250999999</v>
      </c>
      <c r="O103" s="224">
        <v>-10778.176875000001</v>
      </c>
      <c r="P103" s="224">
        <v>-17203.986105</v>
      </c>
      <c r="Q103" s="220">
        <f t="shared" ref="Q103:Q110" si="82">SUM(E103:P103)</f>
        <v>-124535.824181</v>
      </c>
      <c r="R103" s="220">
        <f t="shared" ref="R103:R110" si="83">Q103/12</f>
        <v>-10377.985348416667</v>
      </c>
    </row>
    <row r="104" spans="2:18" x14ac:dyDescent="0.25">
      <c r="B104" s="208">
        <v>3</v>
      </c>
      <c r="C104" s="206" t="s">
        <v>108</v>
      </c>
      <c r="D104" s="208" t="s">
        <v>109</v>
      </c>
      <c r="E104" s="224">
        <v>-1783.7490749999997</v>
      </c>
      <c r="F104" s="224">
        <v>-1859.5121059999999</v>
      </c>
      <c r="G104" s="224">
        <v>-1333.901304</v>
      </c>
      <c r="H104" s="224">
        <v>-2128.6611040000003</v>
      </c>
      <c r="I104" s="224">
        <v>-3542.7991120000002</v>
      </c>
      <c r="J104" s="224">
        <v>-4366.2763700000005</v>
      </c>
      <c r="K104" s="224">
        <v>-5452.3099200000006</v>
      </c>
      <c r="L104" s="224">
        <v>-5894.1747519999999</v>
      </c>
      <c r="M104" s="224">
        <v>-3725.4693990000001</v>
      </c>
      <c r="N104" s="224">
        <v>-3433.8397279999999</v>
      </c>
      <c r="O104" s="224">
        <v>-3661.2111249999998</v>
      </c>
      <c r="P104" s="224">
        <v>-4864.1280580000002</v>
      </c>
      <c r="Q104" s="220">
        <f t="shared" si="82"/>
        <v>-42046.032053000003</v>
      </c>
      <c r="R104" s="220">
        <f t="shared" si="83"/>
        <v>-3503.836004416667</v>
      </c>
    </row>
    <row r="105" spans="2:18" x14ac:dyDescent="0.25">
      <c r="B105" s="208">
        <v>4</v>
      </c>
      <c r="C105" s="206" t="s">
        <v>110</v>
      </c>
      <c r="D105" s="208" t="s">
        <v>111</v>
      </c>
      <c r="E105" s="224">
        <v>-31110.612900999997</v>
      </c>
      <c r="F105" s="224">
        <v>-30383.796100999996</v>
      </c>
      <c r="G105" s="224">
        <v>-23701.423104000001</v>
      </c>
      <c r="H105" s="224">
        <v>-35541.901535000005</v>
      </c>
      <c r="I105" s="224">
        <v>-56704.751063999996</v>
      </c>
      <c r="J105" s="224">
        <v>-67810.402398999999</v>
      </c>
      <c r="K105" s="224">
        <v>-78394.59132800001</v>
      </c>
      <c r="L105" s="224">
        <v>-78872.857862000004</v>
      </c>
      <c r="M105" s="224">
        <v>-54333.745935000006</v>
      </c>
      <c r="N105" s="224">
        <v>-54907.480041999996</v>
      </c>
      <c r="O105" s="224">
        <v>-59681.734699999994</v>
      </c>
      <c r="P105" s="224">
        <v>-87620.566619000005</v>
      </c>
      <c r="Q105" s="220">
        <f t="shared" si="82"/>
        <v>-659063.86359000008</v>
      </c>
      <c r="R105" s="220">
        <f t="shared" si="83"/>
        <v>-54921.988632500004</v>
      </c>
    </row>
    <row r="106" spans="2:18" x14ac:dyDescent="0.25">
      <c r="B106" s="208">
        <v>6</v>
      </c>
      <c r="C106" s="206" t="s">
        <v>139</v>
      </c>
      <c r="D106" s="208" t="s">
        <v>111</v>
      </c>
      <c r="E106" s="224">
        <v>-42.38</v>
      </c>
      <c r="F106" s="224">
        <v>-50.09</v>
      </c>
      <c r="G106" s="224">
        <v>-47.94</v>
      </c>
      <c r="H106" s="224">
        <v>-34.869999999999997</v>
      </c>
      <c r="I106" s="224">
        <v>-38.36</v>
      </c>
      <c r="J106" s="224">
        <v>-44.23</v>
      </c>
      <c r="K106" s="224">
        <v>-49.35</v>
      </c>
      <c r="L106" s="224">
        <v>-48.92</v>
      </c>
      <c r="M106" s="224">
        <v>-51.83</v>
      </c>
      <c r="N106" s="224">
        <v>-848.62</v>
      </c>
      <c r="O106" s="224">
        <v>-51.13</v>
      </c>
      <c r="P106" s="224">
        <v>-461.54</v>
      </c>
      <c r="Q106" s="220">
        <f t="shared" si="82"/>
        <v>-1769.2600000000002</v>
      </c>
      <c r="R106" s="220">
        <f t="shared" si="83"/>
        <v>-147.43833333333336</v>
      </c>
    </row>
    <row r="107" spans="2:18" x14ac:dyDescent="0.25">
      <c r="B107" s="208">
        <v>5</v>
      </c>
      <c r="C107" s="206" t="s">
        <v>112</v>
      </c>
      <c r="D107" s="208" t="s">
        <v>113</v>
      </c>
      <c r="E107" s="224">
        <v>-1732.8901199999998</v>
      </c>
      <c r="F107" s="224">
        <v>-2844.1534349999997</v>
      </c>
      <c r="G107" s="224">
        <v>-2673.4988280000002</v>
      </c>
      <c r="H107" s="224">
        <v>-4349.9478640000007</v>
      </c>
      <c r="I107" s="224">
        <v>-5274.0485760000001</v>
      </c>
      <c r="J107" s="224">
        <v>-6198.5514900000007</v>
      </c>
      <c r="K107" s="224">
        <v>-6330.6690240000007</v>
      </c>
      <c r="L107" s="224">
        <v>-6368.9381880000001</v>
      </c>
      <c r="M107" s="224">
        <v>-4660.751585</v>
      </c>
      <c r="N107" s="224">
        <v>-5612.2482</v>
      </c>
      <c r="O107" s="224">
        <v>-5707.2667499999998</v>
      </c>
      <c r="P107" s="224">
        <v>-8339.8277969999999</v>
      </c>
      <c r="Q107" s="220">
        <f t="shared" si="82"/>
        <v>-60092.791857000004</v>
      </c>
      <c r="R107" s="220">
        <f t="shared" si="83"/>
        <v>-5007.7326547500006</v>
      </c>
    </row>
    <row r="108" spans="2:18" x14ac:dyDescent="0.25">
      <c r="B108" s="208">
        <v>7</v>
      </c>
      <c r="C108" s="206" t="s">
        <v>114</v>
      </c>
      <c r="D108" s="208" t="s">
        <v>115</v>
      </c>
      <c r="E108" s="224">
        <v>0</v>
      </c>
      <c r="F108" s="224">
        <v>0</v>
      </c>
      <c r="G108" s="224">
        <v>0</v>
      </c>
      <c r="H108" s="224">
        <v>0</v>
      </c>
      <c r="I108" s="224">
        <v>0</v>
      </c>
      <c r="J108" s="224">
        <v>0</v>
      </c>
      <c r="K108" s="224">
        <v>0</v>
      </c>
      <c r="L108" s="224">
        <v>0</v>
      </c>
      <c r="M108" s="224">
        <v>0</v>
      </c>
      <c r="N108" s="224">
        <v>0</v>
      </c>
      <c r="O108" s="224">
        <v>0</v>
      </c>
      <c r="P108" s="224">
        <v>0</v>
      </c>
      <c r="Q108" s="220">
        <f t="shared" si="82"/>
        <v>0</v>
      </c>
      <c r="R108" s="220">
        <f t="shared" si="83"/>
        <v>0</v>
      </c>
    </row>
    <row r="109" spans="2:18" x14ac:dyDescent="0.25">
      <c r="B109" s="208">
        <v>8</v>
      </c>
      <c r="C109" s="206" t="s">
        <v>116</v>
      </c>
      <c r="D109" s="208" t="s">
        <v>80</v>
      </c>
      <c r="E109" s="224">
        <v>-1340.329422</v>
      </c>
      <c r="F109" s="224">
        <v>-1961.2546319999999</v>
      </c>
      <c r="G109" s="224">
        <v>-1382.991687</v>
      </c>
      <c r="H109" s="224">
        <v>-2224.1356500000002</v>
      </c>
      <c r="I109" s="224">
        <v>-3240.6117519999998</v>
      </c>
      <c r="J109" s="224">
        <v>-4032.361476</v>
      </c>
      <c r="K109" s="224">
        <v>-3428.3662079999999</v>
      </c>
      <c r="L109" s="224">
        <v>-4166.7637320000003</v>
      </c>
      <c r="M109" s="224">
        <v>-2645.6042100000004</v>
      </c>
      <c r="N109" s="224">
        <v>-2823.2122799999997</v>
      </c>
      <c r="O109" s="224">
        <v>-3224.2849999999999</v>
      </c>
      <c r="P109" s="224">
        <v>-4460.3982409999999</v>
      </c>
      <c r="Q109" s="220">
        <f t="shared" si="82"/>
        <v>-34930.314290000002</v>
      </c>
      <c r="R109" s="220">
        <f t="shared" si="83"/>
        <v>-2910.8595241666667</v>
      </c>
    </row>
    <row r="110" spans="2:18" x14ac:dyDescent="0.25">
      <c r="B110" s="225"/>
      <c r="C110" s="226" t="s">
        <v>33</v>
      </c>
      <c r="D110" s="227"/>
      <c r="E110" s="228">
        <f>SUM(E102:E109)</f>
        <v>-114105.57503499999</v>
      </c>
      <c r="F110" s="228">
        <f t="shared" ref="F110" si="84">SUM(F102:F109)</f>
        <v>-149390.58988799996</v>
      </c>
      <c r="G110" s="228">
        <f t="shared" ref="G110" si="85">SUM(G102:G109)</f>
        <v>-95524.396773</v>
      </c>
      <c r="H110" s="228">
        <f t="shared" ref="H110" si="86">SUM(H102:H109)</f>
        <v>-135646.54050999999</v>
      </c>
      <c r="I110" s="228">
        <f t="shared" ref="I110" si="87">SUM(I102:I109)</f>
        <v>-180800.11899999998</v>
      </c>
      <c r="J110" s="228">
        <f t="shared" ref="J110" si="88">SUM(J102:J109)</f>
        <v>-265551.07732099999</v>
      </c>
      <c r="K110" s="228">
        <f t="shared" ref="K110" si="89">SUM(K102:K109)</f>
        <v>-286359.287648</v>
      </c>
      <c r="L110" s="228">
        <f t="shared" ref="L110" si="90">SUM(L102:L109)</f>
        <v>-349968.08514799998</v>
      </c>
      <c r="M110" s="228">
        <f t="shared" ref="M110" si="91">SUM(M102:M109)</f>
        <v>-226093.32199499998</v>
      </c>
      <c r="N110" s="228">
        <f t="shared" ref="N110" si="92">SUM(N102:N109)</f>
        <v>-213052.874411</v>
      </c>
      <c r="O110" s="228">
        <f t="shared" ref="O110" si="93">SUM(O102:O109)</f>
        <v>-199674.10445000001</v>
      </c>
      <c r="P110" s="228">
        <f t="shared" ref="P110" si="94">SUM(P102:P109)</f>
        <v>-341088.10925099999</v>
      </c>
      <c r="Q110" s="228">
        <f t="shared" si="82"/>
        <v>-2557254.0814299998</v>
      </c>
      <c r="R110" s="228">
        <f t="shared" si="83"/>
        <v>-213104.50678583331</v>
      </c>
    </row>
    <row r="112" spans="2:18" x14ac:dyDescent="0.25">
      <c r="B112" s="221" t="s">
        <v>129</v>
      </c>
    </row>
    <row r="113" spans="2:18" x14ac:dyDescent="0.25">
      <c r="E113" s="222" t="s">
        <v>83</v>
      </c>
      <c r="F113" s="222" t="s">
        <v>84</v>
      </c>
      <c r="G113" s="222" t="s">
        <v>85</v>
      </c>
      <c r="H113" s="222" t="s">
        <v>86</v>
      </c>
      <c r="I113" s="222" t="s">
        <v>87</v>
      </c>
      <c r="J113" s="222" t="s">
        <v>88</v>
      </c>
      <c r="K113" s="222" t="s">
        <v>89</v>
      </c>
      <c r="L113" s="222" t="s">
        <v>90</v>
      </c>
      <c r="M113" s="222" t="s">
        <v>91</v>
      </c>
      <c r="N113" s="222" t="s">
        <v>92</v>
      </c>
      <c r="O113" s="222" t="s">
        <v>93</v>
      </c>
      <c r="P113" s="222" t="s">
        <v>94</v>
      </c>
      <c r="Q113" s="222" t="s">
        <v>33</v>
      </c>
      <c r="R113" s="223" t="s">
        <v>95</v>
      </c>
    </row>
    <row r="114" spans="2:18" x14ac:dyDescent="0.25">
      <c r="B114" s="208">
        <v>1</v>
      </c>
      <c r="C114" s="206" t="s">
        <v>104</v>
      </c>
      <c r="D114" s="208" t="s">
        <v>105</v>
      </c>
      <c r="E114" s="224">
        <v>63200.686948000002</v>
      </c>
      <c r="F114" s="224">
        <v>67129.235163999998</v>
      </c>
      <c r="G114" s="224">
        <v>39509.850125999998</v>
      </c>
      <c r="H114" s="224">
        <v>35462.927511000002</v>
      </c>
      <c r="I114" s="224">
        <v>34149.2209</v>
      </c>
      <c r="J114" s="224">
        <v>55423.736830000002</v>
      </c>
      <c r="K114" s="224">
        <v>60297.591458000003</v>
      </c>
      <c r="L114" s="224">
        <v>69409.162949999998</v>
      </c>
      <c r="M114" s="224">
        <v>48921.227178000001</v>
      </c>
      <c r="N114" s="224">
        <v>40161.968281999994</v>
      </c>
      <c r="O114" s="224">
        <v>49782.575556000003</v>
      </c>
      <c r="P114" s="224">
        <v>79655.295320999998</v>
      </c>
      <c r="Q114" s="220">
        <f>SUM(E114:P114)</f>
        <v>643103.4782240002</v>
      </c>
      <c r="R114" s="220">
        <f>Q114/12</f>
        <v>53591.95651866668</v>
      </c>
    </row>
    <row r="115" spans="2:18" x14ac:dyDescent="0.25">
      <c r="B115" s="208">
        <v>2</v>
      </c>
      <c r="C115" s="206" t="s">
        <v>106</v>
      </c>
      <c r="D115" s="208" t="s">
        <v>107</v>
      </c>
      <c r="E115" s="224">
        <v>5365.2907720000003</v>
      </c>
      <c r="F115" s="224">
        <v>5632.4976530000004</v>
      </c>
      <c r="G115" s="224">
        <v>3285.8984800000003</v>
      </c>
      <c r="H115" s="224">
        <v>3214.6441440000003</v>
      </c>
      <c r="I115" s="224">
        <v>3690.0387000000001</v>
      </c>
      <c r="J115" s="224">
        <v>5248.3668299999999</v>
      </c>
      <c r="K115" s="224">
        <v>5370.2937730000003</v>
      </c>
      <c r="L115" s="224">
        <v>5948.3585459999995</v>
      </c>
      <c r="M115" s="224">
        <v>4279.1765459999997</v>
      </c>
      <c r="N115" s="224">
        <v>3744.3085519999995</v>
      </c>
      <c r="O115" s="224">
        <v>5372.915868</v>
      </c>
      <c r="P115" s="224">
        <v>7313.0541749999993</v>
      </c>
      <c r="Q115" s="220">
        <f t="shared" ref="Q115:Q122" si="95">SUM(E115:P115)</f>
        <v>58464.844039000003</v>
      </c>
      <c r="R115" s="220">
        <f t="shared" ref="R115:R122" si="96">Q115/12</f>
        <v>4872.0703365833333</v>
      </c>
    </row>
    <row r="116" spans="2:18" x14ac:dyDescent="0.25">
      <c r="B116" s="208">
        <v>3</v>
      </c>
      <c r="C116" s="206" t="s">
        <v>108</v>
      </c>
      <c r="D116" s="208" t="s">
        <v>109</v>
      </c>
      <c r="E116" s="224">
        <v>1574.39931</v>
      </c>
      <c r="F116" s="224">
        <v>1645.5138372000001</v>
      </c>
      <c r="G116" s="224">
        <v>1050.525918</v>
      </c>
      <c r="H116" s="224">
        <v>1146.3181320000001</v>
      </c>
      <c r="I116" s="224">
        <v>1617.2916</v>
      </c>
      <c r="J116" s="224">
        <v>1923.97289</v>
      </c>
      <c r="K116" s="224">
        <v>2122.4913580000002</v>
      </c>
      <c r="L116" s="224">
        <v>2420.555574</v>
      </c>
      <c r="M116" s="224">
        <v>1509.6544199999998</v>
      </c>
      <c r="N116" s="224">
        <v>1199.2406539999999</v>
      </c>
      <c r="O116" s="224">
        <v>1874.698848</v>
      </c>
      <c r="P116" s="224">
        <v>2146.0855499999998</v>
      </c>
      <c r="Q116" s="220">
        <f t="shared" si="95"/>
        <v>20230.748091199999</v>
      </c>
      <c r="R116" s="220">
        <f t="shared" si="96"/>
        <v>1685.8956742666667</v>
      </c>
    </row>
    <row r="117" spans="2:18" x14ac:dyDescent="0.25">
      <c r="B117" s="208">
        <v>4</v>
      </c>
      <c r="C117" s="206" t="s">
        <v>110</v>
      </c>
      <c r="D117" s="208" t="s">
        <v>111</v>
      </c>
      <c r="E117" s="224">
        <v>27473.661056000001</v>
      </c>
      <c r="F117" s="224">
        <v>26312.738874499999</v>
      </c>
      <c r="G117" s="224">
        <v>18518.100708000002</v>
      </c>
      <c r="H117" s="224">
        <v>18758.041980000002</v>
      </c>
      <c r="I117" s="224">
        <v>25151.382699999998</v>
      </c>
      <c r="J117" s="224">
        <v>29208.832344999999</v>
      </c>
      <c r="K117" s="224">
        <v>30247.951239999999</v>
      </c>
      <c r="L117" s="224">
        <v>31636.279829999999</v>
      </c>
      <c r="M117" s="224">
        <v>21618.486647999998</v>
      </c>
      <c r="N117" s="224">
        <v>19037.640729999999</v>
      </c>
      <c r="O117" s="224">
        <v>30517.093907999999</v>
      </c>
      <c r="P117" s="224">
        <v>38462.138252999997</v>
      </c>
      <c r="Q117" s="220">
        <f t="shared" si="95"/>
        <v>316942.34827249998</v>
      </c>
      <c r="R117" s="220">
        <f t="shared" si="96"/>
        <v>26411.862356041664</v>
      </c>
    </row>
    <row r="118" spans="2:18" x14ac:dyDescent="0.25">
      <c r="B118" s="208">
        <v>6</v>
      </c>
      <c r="C118" s="206" t="s">
        <v>139</v>
      </c>
      <c r="D118" s="208" t="s">
        <v>111</v>
      </c>
      <c r="E118" s="224">
        <v>22.89</v>
      </c>
      <c r="F118" s="224">
        <v>16.11</v>
      </c>
      <c r="G118" s="224">
        <v>11.91</v>
      </c>
      <c r="H118" s="224">
        <v>3.05</v>
      </c>
      <c r="I118" s="224">
        <v>7.77</v>
      </c>
      <c r="J118" s="224">
        <v>16.02</v>
      </c>
      <c r="K118" s="224">
        <v>18.8</v>
      </c>
      <c r="L118" s="224">
        <v>18.63</v>
      </c>
      <c r="M118" s="224">
        <v>27.54</v>
      </c>
      <c r="N118" s="224">
        <v>461.16</v>
      </c>
      <c r="O118" s="224">
        <v>26.75</v>
      </c>
      <c r="P118" s="224">
        <v>246.84</v>
      </c>
      <c r="Q118" s="220">
        <f t="shared" si="95"/>
        <v>877.47</v>
      </c>
      <c r="R118" s="220">
        <f t="shared" si="96"/>
        <v>73.122500000000002</v>
      </c>
    </row>
    <row r="119" spans="2:18" x14ac:dyDescent="0.25">
      <c r="B119" s="208">
        <v>5</v>
      </c>
      <c r="C119" s="206" t="s">
        <v>112</v>
      </c>
      <c r="D119" s="208" t="s">
        <v>113</v>
      </c>
      <c r="E119" s="224">
        <v>1527.4919199999999</v>
      </c>
      <c r="F119" s="224">
        <v>2590.5863195000002</v>
      </c>
      <c r="G119" s="224">
        <v>2153.1325059999999</v>
      </c>
      <c r="H119" s="224">
        <v>2379.3612240000002</v>
      </c>
      <c r="I119" s="224">
        <v>2457.7529</v>
      </c>
      <c r="J119" s="224">
        <v>2800.8772049999998</v>
      </c>
      <c r="K119" s="224">
        <v>2495.532052</v>
      </c>
      <c r="L119" s="224">
        <v>2745.6301980000003</v>
      </c>
      <c r="M119" s="224">
        <v>1944.240018</v>
      </c>
      <c r="N119" s="224">
        <v>2001.2667999999999</v>
      </c>
      <c r="O119" s="224">
        <v>3001.9539599999998</v>
      </c>
      <c r="P119" s="224">
        <v>3765.3863309999997</v>
      </c>
      <c r="Q119" s="220">
        <f t="shared" si="95"/>
        <v>29863.211433500001</v>
      </c>
      <c r="R119" s="220">
        <f t="shared" si="96"/>
        <v>2488.6009527916667</v>
      </c>
    </row>
    <row r="120" spans="2:18" x14ac:dyDescent="0.25">
      <c r="B120" s="208">
        <v>7</v>
      </c>
      <c r="C120" s="206" t="s">
        <v>114</v>
      </c>
      <c r="D120" s="208" t="s">
        <v>115</v>
      </c>
      <c r="E120" s="224">
        <v>0</v>
      </c>
      <c r="F120" s="224">
        <v>0</v>
      </c>
      <c r="G120" s="224">
        <v>0</v>
      </c>
      <c r="H120" s="224">
        <v>0</v>
      </c>
      <c r="I120" s="224">
        <v>0</v>
      </c>
      <c r="J120" s="224">
        <v>0</v>
      </c>
      <c r="K120" s="224">
        <v>0</v>
      </c>
      <c r="L120" s="224">
        <v>0</v>
      </c>
      <c r="M120" s="224">
        <v>0</v>
      </c>
      <c r="N120" s="224">
        <v>0</v>
      </c>
      <c r="O120" s="224">
        <v>0</v>
      </c>
      <c r="P120" s="224">
        <v>0</v>
      </c>
      <c r="Q120" s="220">
        <f t="shared" si="95"/>
        <v>0</v>
      </c>
      <c r="R120" s="220">
        <f t="shared" si="96"/>
        <v>0</v>
      </c>
    </row>
    <row r="121" spans="2:18" x14ac:dyDescent="0.25">
      <c r="B121" s="208">
        <v>8</v>
      </c>
      <c r="C121" s="206" t="s">
        <v>116</v>
      </c>
      <c r="D121" s="208" t="s">
        <v>80</v>
      </c>
      <c r="E121" s="224">
        <v>1198.2729180000001</v>
      </c>
      <c r="F121" s="224">
        <v>1272.659568</v>
      </c>
      <c r="G121" s="224">
        <v>901.12895400000002</v>
      </c>
      <c r="H121" s="224">
        <v>951.80497500000001</v>
      </c>
      <c r="I121" s="224">
        <v>1105.3451</v>
      </c>
      <c r="J121" s="224">
        <v>1342.8199400000001</v>
      </c>
      <c r="K121" s="224">
        <v>1180.460697</v>
      </c>
      <c r="L121" s="224">
        <v>1231.0010280000001</v>
      </c>
      <c r="M121" s="224">
        <v>880.14482999999996</v>
      </c>
      <c r="N121" s="224">
        <v>861.82269599999995</v>
      </c>
      <c r="O121" s="224">
        <v>1416.1059720000001</v>
      </c>
      <c r="P121" s="224">
        <v>1662.7520069999998</v>
      </c>
      <c r="Q121" s="220">
        <f t="shared" si="95"/>
        <v>14004.318684999998</v>
      </c>
      <c r="R121" s="220">
        <f t="shared" si="96"/>
        <v>1167.0265570833333</v>
      </c>
    </row>
    <row r="122" spans="2:18" x14ac:dyDescent="0.25">
      <c r="B122" s="225"/>
      <c r="C122" s="226" t="s">
        <v>33</v>
      </c>
      <c r="D122" s="227"/>
      <c r="E122" s="228">
        <f>SUM(E114:E121)</f>
        <v>100362.69292399999</v>
      </c>
      <c r="F122" s="228">
        <f t="shared" ref="F122" si="97">SUM(F114:F121)</f>
        <v>104599.3414162</v>
      </c>
      <c r="G122" s="228">
        <f t="shared" ref="G122" si="98">SUM(G114:G121)</f>
        <v>65430.546692000011</v>
      </c>
      <c r="H122" s="228">
        <f t="shared" ref="H122" si="99">SUM(H114:H121)</f>
        <v>61916.147966000004</v>
      </c>
      <c r="I122" s="228">
        <f t="shared" ref="I122" si="100">SUM(I114:I121)</f>
        <v>68178.801899999991</v>
      </c>
      <c r="J122" s="228">
        <f t="shared" ref="J122" si="101">SUM(J114:J121)</f>
        <v>95964.626040000003</v>
      </c>
      <c r="K122" s="228">
        <f t="shared" ref="K122" si="102">SUM(K114:K121)</f>
        <v>101733.120578</v>
      </c>
      <c r="L122" s="228">
        <f t="shared" ref="L122" si="103">SUM(L114:L121)</f>
        <v>113409.618126</v>
      </c>
      <c r="M122" s="228">
        <f t="shared" ref="M122" si="104">SUM(M114:M121)</f>
        <v>79180.469639999996</v>
      </c>
      <c r="N122" s="228">
        <f t="shared" ref="N122" si="105">SUM(N114:N121)</f>
        <v>67467.407714000001</v>
      </c>
      <c r="O122" s="228">
        <f t="shared" ref="O122" si="106">SUM(O114:O121)</f>
        <v>91992.094112000006</v>
      </c>
      <c r="P122" s="228">
        <f t="shared" ref="P122" si="107">SUM(P114:P121)</f>
        <v>133251.551637</v>
      </c>
      <c r="Q122" s="228">
        <f t="shared" si="95"/>
        <v>1083486.4187451999</v>
      </c>
      <c r="R122" s="228">
        <f t="shared" si="96"/>
        <v>90290.534895433331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34"/>
  <sheetViews>
    <sheetView view="pageBreakPreview" topLeftCell="A10" zoomScale="75" zoomScaleNormal="85" zoomScaleSheetLayoutView="75" workbookViewId="0">
      <selection activeCell="N32" sqref="N32"/>
    </sheetView>
  </sheetViews>
  <sheetFormatPr defaultColWidth="9.109375" defaultRowHeight="15.6" x14ac:dyDescent="0.3"/>
  <cols>
    <col min="1" max="1" width="4.6640625" style="2" customWidth="1"/>
    <col min="2" max="2" width="15.44140625" style="2" customWidth="1"/>
    <col min="3" max="3" width="5.33203125" style="2" customWidth="1"/>
    <col min="4" max="4" width="15" style="2" bestFit="1" customWidth="1"/>
    <col min="5" max="5" width="16.33203125" style="2" bestFit="1" customWidth="1"/>
    <col min="6" max="6" width="3.109375" style="2" customWidth="1"/>
    <col min="7" max="7" width="16.44140625" style="2" customWidth="1"/>
    <col min="8" max="8" width="2.6640625" style="2" customWidth="1"/>
    <col min="9" max="10" width="16.44140625" style="2" customWidth="1"/>
    <col min="11" max="12" width="2.88671875" style="2" customWidth="1"/>
    <col min="13" max="13" width="4.6640625" style="2" customWidth="1"/>
    <col min="14" max="14" width="15.88671875" style="2" customWidth="1"/>
    <col min="15" max="15" width="3" style="2" customWidth="1"/>
    <col min="16" max="16" width="15.6640625" style="2" customWidth="1"/>
    <col min="17" max="17" width="15.109375" style="2" customWidth="1"/>
    <col min="18" max="18" width="2.44140625" style="2" customWidth="1"/>
    <col min="19" max="19" width="17.44140625" style="2" customWidth="1"/>
    <col min="20" max="20" width="2.109375" style="2" customWidth="1"/>
    <col min="21" max="21" width="14.33203125" style="2" bestFit="1" customWidth="1"/>
    <col min="22" max="16384" width="9.109375" style="2"/>
  </cols>
  <sheetData>
    <row r="1" spans="1:19" x14ac:dyDescent="0.3">
      <c r="A1" s="1" t="str">
        <f>'Present and Proposed Rates'!A1</f>
        <v>JACKSON PURCHASE ENERGY CORPORATION</v>
      </c>
      <c r="N1" s="1"/>
    </row>
    <row r="2" spans="1:19" x14ac:dyDescent="0.3">
      <c r="A2" s="45" t="str">
        <f>List!B5</f>
        <v>R - Residential</v>
      </c>
      <c r="N2" s="24"/>
      <c r="O2" s="24"/>
      <c r="P2" s="24"/>
      <c r="Q2" s="24"/>
      <c r="R2" s="24"/>
      <c r="S2" s="24"/>
    </row>
    <row r="3" spans="1:19" ht="16.2" thickBot="1" x14ac:dyDescent="0.35">
      <c r="A3" s="212" t="str">
        <f>List!C5</f>
        <v>R</v>
      </c>
      <c r="B3" s="24"/>
      <c r="C3" s="24"/>
      <c r="N3" s="24"/>
      <c r="O3" s="24"/>
      <c r="P3" s="24"/>
      <c r="Q3" s="24"/>
      <c r="R3" s="24"/>
      <c r="S3" s="24"/>
    </row>
    <row r="4" spans="1:19" x14ac:dyDescent="0.3">
      <c r="A4" s="24"/>
      <c r="B4" s="24"/>
      <c r="C4" s="24"/>
      <c r="D4" s="364" t="s">
        <v>18</v>
      </c>
      <c r="E4" s="365"/>
      <c r="F4" s="365"/>
      <c r="G4" s="366"/>
      <c r="H4" s="293"/>
      <c r="I4" s="364" t="s">
        <v>58</v>
      </c>
      <c r="J4" s="366"/>
      <c r="K4" s="148"/>
      <c r="L4" s="293"/>
      <c r="M4" s="24"/>
      <c r="N4" s="24"/>
      <c r="O4" s="24"/>
      <c r="P4" s="364" t="s">
        <v>42</v>
      </c>
      <c r="Q4" s="365"/>
      <c r="R4" s="365"/>
      <c r="S4" s="366"/>
    </row>
    <row r="5" spans="1:19" ht="16.2" thickBot="1" x14ac:dyDescent="0.35">
      <c r="A5" s="43"/>
      <c r="B5" s="86"/>
      <c r="C5" s="293"/>
      <c r="D5" s="367"/>
      <c r="E5" s="368"/>
      <c r="F5" s="368"/>
      <c r="G5" s="369"/>
      <c r="H5" s="293"/>
      <c r="I5" s="367"/>
      <c r="J5" s="369"/>
      <c r="K5" s="148"/>
      <c r="L5" s="293"/>
      <c r="M5" s="43"/>
      <c r="N5" s="86"/>
      <c r="O5" s="293"/>
      <c r="P5" s="367"/>
      <c r="Q5" s="368"/>
      <c r="R5" s="368"/>
      <c r="S5" s="369"/>
    </row>
    <row r="6" spans="1:19" x14ac:dyDescent="0.3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49"/>
      <c r="L6" s="98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2" thickBot="1" x14ac:dyDescent="0.35">
      <c r="A7" s="5"/>
      <c r="B7" s="5"/>
      <c r="C7" s="5"/>
      <c r="D7" s="5" t="s">
        <v>3</v>
      </c>
      <c r="E7" s="370" t="s">
        <v>4</v>
      </c>
      <c r="F7" s="370"/>
      <c r="G7" s="5" t="s">
        <v>5</v>
      </c>
      <c r="H7" s="5"/>
      <c r="I7" s="5" t="s">
        <v>4</v>
      </c>
      <c r="J7" s="5" t="s">
        <v>5</v>
      </c>
      <c r="K7" s="150"/>
      <c r="L7" s="5"/>
      <c r="M7" s="5"/>
      <c r="N7" s="5"/>
      <c r="O7" s="5"/>
      <c r="P7" s="5" t="s">
        <v>3</v>
      </c>
      <c r="Q7" s="370" t="s">
        <v>4</v>
      </c>
      <c r="R7" s="370"/>
      <c r="S7" s="5" t="s">
        <v>5</v>
      </c>
    </row>
    <row r="8" spans="1:19" x14ac:dyDescent="0.3">
      <c r="K8" s="151"/>
      <c r="L8" s="16"/>
    </row>
    <row r="9" spans="1:19" x14ac:dyDescent="0.3">
      <c r="A9" s="118" t="s">
        <v>8</v>
      </c>
      <c r="K9" s="151"/>
      <c r="L9" s="16"/>
      <c r="M9" s="118" t="s">
        <v>8</v>
      </c>
    </row>
    <row r="10" spans="1:19" x14ac:dyDescent="0.3">
      <c r="D10" s="169" t="s">
        <v>46</v>
      </c>
      <c r="E10" s="169" t="s">
        <v>47</v>
      </c>
      <c r="I10" s="169" t="s">
        <v>47</v>
      </c>
      <c r="K10" s="151"/>
      <c r="L10" s="16"/>
      <c r="P10" s="6" t="s">
        <v>46</v>
      </c>
      <c r="Q10" s="6" t="s">
        <v>47</v>
      </c>
    </row>
    <row r="11" spans="1:19" x14ac:dyDescent="0.3">
      <c r="B11" s="2" t="s">
        <v>57</v>
      </c>
      <c r="D11" s="27">
        <f>'Billing Determ'!Q6</f>
        <v>304795</v>
      </c>
      <c r="E11" s="8">
        <f>'Present and Proposed Rates'!F9</f>
        <v>16.399999999999999</v>
      </c>
      <c r="G11" s="10">
        <f>D11*E11</f>
        <v>4998638</v>
      </c>
      <c r="H11" s="10"/>
      <c r="I11" s="8">
        <f>'Present and Proposed Rates'!G9</f>
        <v>16.399999999999999</v>
      </c>
      <c r="J11" s="10">
        <f>I11*D11</f>
        <v>4998638</v>
      </c>
      <c r="K11" s="152"/>
      <c r="L11" s="15"/>
      <c r="N11" s="2" t="s">
        <v>53</v>
      </c>
      <c r="P11" s="27">
        <f>D11</f>
        <v>304795</v>
      </c>
      <c r="Q11" s="8">
        <f>'Present and Proposed Rates'!H9</f>
        <v>21.25</v>
      </c>
      <c r="S11" s="10">
        <f>P11*Q11</f>
        <v>6476893.75</v>
      </c>
    </row>
    <row r="12" spans="1:19" x14ac:dyDescent="0.3">
      <c r="D12" s="7"/>
      <c r="G12" s="10"/>
      <c r="H12" s="10"/>
      <c r="J12" s="10"/>
      <c r="K12" s="152"/>
      <c r="L12" s="15"/>
      <c r="P12" s="7"/>
      <c r="S12" s="10"/>
    </row>
    <row r="13" spans="1:19" x14ac:dyDescent="0.3">
      <c r="A13" s="1" t="s">
        <v>6</v>
      </c>
      <c r="D13" s="7"/>
      <c r="G13" s="10"/>
      <c r="H13" s="10"/>
      <c r="J13" s="10"/>
      <c r="K13" s="152"/>
      <c r="L13" s="15"/>
      <c r="M13" s="1" t="s">
        <v>6</v>
      </c>
      <c r="P13" s="7"/>
      <c r="S13" s="10"/>
    </row>
    <row r="14" spans="1:19" x14ac:dyDescent="0.3">
      <c r="D14" s="170" t="s">
        <v>7</v>
      </c>
      <c r="E14" s="171" t="s">
        <v>9</v>
      </c>
      <c r="G14" s="10"/>
      <c r="H14" s="10"/>
      <c r="I14" s="171" t="s">
        <v>9</v>
      </c>
      <c r="J14" s="10"/>
      <c r="K14" s="152"/>
      <c r="L14" s="15"/>
      <c r="P14" s="12" t="s">
        <v>7</v>
      </c>
      <c r="Q14" s="11" t="s">
        <v>9</v>
      </c>
      <c r="S14" s="10"/>
    </row>
    <row r="15" spans="1:19" x14ac:dyDescent="0.3">
      <c r="B15" s="2" t="s">
        <v>100</v>
      </c>
      <c r="D15" s="27">
        <f>'Billing Determ'!Q18</f>
        <v>358325499</v>
      </c>
      <c r="E15" s="238">
        <f>'Present and Proposed Rates'!F10</f>
        <v>0.10077999999999999</v>
      </c>
      <c r="F15" s="16"/>
      <c r="G15" s="15">
        <f>D15*E15</f>
        <v>36112043.789219998</v>
      </c>
      <c r="H15" s="15"/>
      <c r="I15" s="238">
        <f>'Present and Proposed Rates'!G10</f>
        <v>0.10077999999999999</v>
      </c>
      <c r="J15" s="15">
        <f>D15*I15</f>
        <v>36112043.789219998</v>
      </c>
      <c r="K15" s="152"/>
      <c r="L15" s="15"/>
      <c r="N15" s="2" t="s">
        <v>100</v>
      </c>
      <c r="P15" s="27">
        <f>D15</f>
        <v>358325499</v>
      </c>
      <c r="Q15" s="238">
        <f>'Present and Proposed Rates'!H10</f>
        <v>0.114872</v>
      </c>
      <c r="R15" s="16"/>
      <c r="S15" s="15">
        <f>P15*Q15</f>
        <v>41161566.721128002</v>
      </c>
    </row>
    <row r="16" spans="1:19" x14ac:dyDescent="0.3">
      <c r="A16" s="1"/>
      <c r="B16" s="45"/>
      <c r="C16" s="109" t="s">
        <v>155</v>
      </c>
      <c r="D16" s="312">
        <f>D15/D11</f>
        <v>1175.6278777539001</v>
      </c>
      <c r="E16" s="58"/>
      <c r="F16" s="24"/>
      <c r="G16" s="15"/>
      <c r="H16" s="15"/>
      <c r="I16" s="15"/>
      <c r="J16" s="15"/>
      <c r="K16" s="153"/>
      <c r="L16" s="54"/>
      <c r="M16" s="1"/>
      <c r="N16" s="45"/>
      <c r="O16" s="109"/>
      <c r="P16" s="51"/>
      <c r="Q16" s="58"/>
      <c r="R16" s="24"/>
      <c r="S16" s="15"/>
    </row>
    <row r="17" spans="1:21" x14ac:dyDescent="0.3">
      <c r="A17" s="1" t="s">
        <v>51</v>
      </c>
      <c r="B17" s="45"/>
      <c r="C17" s="109"/>
      <c r="D17" s="51"/>
      <c r="E17" s="58"/>
      <c r="F17" s="24"/>
      <c r="G17" s="15"/>
      <c r="H17" s="15"/>
      <c r="I17" s="15"/>
      <c r="J17" s="15"/>
      <c r="K17" s="153"/>
      <c r="L17" s="54"/>
      <c r="M17" s="1" t="s">
        <v>51</v>
      </c>
      <c r="N17" s="45"/>
      <c r="O17" s="109"/>
      <c r="P17" s="51"/>
      <c r="Q17" s="58"/>
      <c r="R17" s="24"/>
      <c r="S17" s="15"/>
    </row>
    <row r="18" spans="1:21" x14ac:dyDescent="0.3">
      <c r="A18" s="1"/>
      <c r="B18" s="24" t="s">
        <v>45</v>
      </c>
      <c r="C18" s="109"/>
      <c r="D18" s="51"/>
      <c r="E18" s="294">
        <f>G18/D$15</f>
        <v>8.0596784930731381E-4</v>
      </c>
      <c r="F18" s="24"/>
      <c r="G18" s="15">
        <f>'Billing Determ'!Q78</f>
        <v>288798.83178100002</v>
      </c>
      <c r="H18" s="15"/>
      <c r="I18" s="294">
        <f>J18/D$15</f>
        <v>8.0596784930731381E-4</v>
      </c>
      <c r="J18" s="15">
        <f>G18</f>
        <v>288798.83178100002</v>
      </c>
      <c r="K18" s="153"/>
      <c r="L18" s="54"/>
      <c r="M18" s="1"/>
      <c r="N18" s="24" t="s">
        <v>45</v>
      </c>
      <c r="O18" s="109"/>
      <c r="P18" s="51"/>
      <c r="Q18" s="294">
        <f>S18/P$15</f>
        <v>8.0596784930731381E-4</v>
      </c>
      <c r="R18" s="24"/>
      <c r="S18" s="15">
        <f>G18</f>
        <v>288798.83178100002</v>
      </c>
    </row>
    <row r="19" spans="1:21" x14ac:dyDescent="0.3">
      <c r="A19" s="1"/>
      <c r="B19" s="24" t="s">
        <v>52</v>
      </c>
      <c r="C19" s="109"/>
      <c r="D19" s="51"/>
      <c r="E19" s="294">
        <f t="shared" ref="E19:E21" si="0">G19/D$15</f>
        <v>7.3083897899183549E-3</v>
      </c>
      <c r="F19" s="24"/>
      <c r="G19" s="54">
        <f>'Billing Determ'!Q90</f>
        <v>2618782.4183589998</v>
      </c>
      <c r="H19" s="54"/>
      <c r="I19" s="294">
        <f t="shared" ref="I19:I21" si="1">J19/D$15</f>
        <v>7.3083897899183549E-3</v>
      </c>
      <c r="J19" s="15">
        <f>G19</f>
        <v>2618782.4183589998</v>
      </c>
      <c r="K19" s="153"/>
      <c r="L19" s="54"/>
      <c r="M19" s="1"/>
      <c r="N19" s="24" t="s">
        <v>52</v>
      </c>
      <c r="O19" s="109"/>
      <c r="P19" s="51"/>
      <c r="Q19" s="294">
        <f t="shared" ref="Q19:Q21" si="2">S19/P$15</f>
        <v>7.3083897899183549E-3</v>
      </c>
      <c r="R19" s="24"/>
      <c r="S19" s="15">
        <f>G19</f>
        <v>2618782.4183589998</v>
      </c>
    </row>
    <row r="20" spans="1:21" x14ac:dyDescent="0.3">
      <c r="A20" s="1"/>
      <c r="B20" s="24" t="s">
        <v>124</v>
      </c>
      <c r="C20" s="109"/>
      <c r="D20" s="51"/>
      <c r="E20" s="294">
        <f t="shared" si="0"/>
        <v>-4.5623769450440369E-3</v>
      </c>
      <c r="F20" s="24"/>
      <c r="G20" s="54">
        <f>'Billing Determ'!Q102</f>
        <v>-1634815.9954590001</v>
      </c>
      <c r="H20" s="54"/>
      <c r="I20" s="294">
        <f t="shared" si="1"/>
        <v>-4.5623769450440369E-3</v>
      </c>
      <c r="J20" s="15">
        <f>G20</f>
        <v>-1634815.9954590001</v>
      </c>
      <c r="K20" s="153"/>
      <c r="L20" s="54"/>
      <c r="M20" s="1"/>
      <c r="N20" s="24" t="s">
        <v>80</v>
      </c>
      <c r="O20" s="109"/>
      <c r="P20" s="51"/>
      <c r="Q20" s="294">
        <f t="shared" si="2"/>
        <v>-4.5623769450440369E-3</v>
      </c>
      <c r="R20" s="24"/>
      <c r="S20" s="15">
        <f>J20</f>
        <v>-1634815.9954590001</v>
      </c>
    </row>
    <row r="21" spans="1:21" x14ac:dyDescent="0.3">
      <c r="A21" s="1"/>
      <c r="B21" s="24" t="s">
        <v>123</v>
      </c>
      <c r="C21" s="109"/>
      <c r="D21" s="51"/>
      <c r="E21" s="294">
        <f t="shared" si="0"/>
        <v>1.7947466200947094E-3</v>
      </c>
      <c r="F21" s="24"/>
      <c r="G21" s="15">
        <f>'Billing Determ'!Q114</f>
        <v>643103.4782240002</v>
      </c>
      <c r="H21" s="15"/>
      <c r="I21" s="294">
        <f t="shared" si="1"/>
        <v>1.7947466200947094E-3</v>
      </c>
      <c r="J21" s="15">
        <f>G21</f>
        <v>643103.4782240002</v>
      </c>
      <c r="K21" s="153"/>
      <c r="L21" s="54"/>
      <c r="M21" s="1"/>
      <c r="N21" s="24" t="s">
        <v>45</v>
      </c>
      <c r="O21" s="109"/>
      <c r="P21" s="51"/>
      <c r="Q21" s="294">
        <f t="shared" si="2"/>
        <v>1.7947466200947094E-3</v>
      </c>
      <c r="R21" s="24"/>
      <c r="S21" s="15">
        <f>G21</f>
        <v>643103.4782240002</v>
      </c>
    </row>
    <row r="22" spans="1:21" x14ac:dyDescent="0.3">
      <c r="A22" s="1"/>
      <c r="D22" s="22"/>
      <c r="G22" s="15"/>
      <c r="H22" s="15"/>
      <c r="I22" s="15"/>
      <c r="J22" s="15"/>
      <c r="K22" s="152"/>
      <c r="L22" s="15"/>
      <c r="M22" s="1"/>
      <c r="S22" s="15"/>
    </row>
    <row r="23" spans="1:21" ht="16.2" thickBot="1" x14ac:dyDescent="0.35">
      <c r="A23" s="1" t="s">
        <v>34</v>
      </c>
      <c r="G23" s="21">
        <f>SUM(G11:G21)</f>
        <v>43026550.522124998</v>
      </c>
      <c r="H23" s="15"/>
      <c r="I23" s="15"/>
      <c r="J23" s="21">
        <f>SUM(J11:J21)</f>
        <v>43026550.522124998</v>
      </c>
      <c r="K23" s="152"/>
      <c r="L23" s="15"/>
      <c r="M23" s="1" t="s">
        <v>34</v>
      </c>
      <c r="S23" s="21">
        <f>SUM(S11:S21)</f>
        <v>49554329.204033002</v>
      </c>
    </row>
    <row r="24" spans="1:21" ht="16.2" thickTop="1" x14ac:dyDescent="0.3">
      <c r="A24" s="1"/>
      <c r="B24" s="1"/>
      <c r="G24" s="15"/>
      <c r="H24" s="15"/>
      <c r="I24" s="15"/>
      <c r="J24" s="15"/>
      <c r="K24" s="152"/>
      <c r="L24" s="15"/>
      <c r="M24" s="1"/>
      <c r="N24" s="1"/>
      <c r="S24" s="15"/>
    </row>
    <row r="25" spans="1:21" x14ac:dyDescent="0.3">
      <c r="A25" s="32" t="s">
        <v>15</v>
      </c>
      <c r="B25" s="9"/>
      <c r="G25" s="10">
        <f>'Billing Determ'!Q30</f>
        <v>42499049.619999997</v>
      </c>
      <c r="H25" s="10"/>
      <c r="I25" s="10"/>
      <c r="J25" s="10"/>
      <c r="K25" s="152"/>
      <c r="L25" s="15"/>
      <c r="M25" s="91" t="s">
        <v>59</v>
      </c>
      <c r="N25" s="9"/>
      <c r="S25" s="26">
        <f>S23-J23</f>
        <v>6527778.681908004</v>
      </c>
    </row>
    <row r="26" spans="1:21" x14ac:dyDescent="0.3">
      <c r="A26" s="9"/>
      <c r="B26" s="9"/>
      <c r="G26" s="9"/>
      <c r="H26" s="9"/>
      <c r="I26" s="9"/>
      <c r="J26" s="9"/>
      <c r="K26" s="154"/>
      <c r="L26" s="14"/>
      <c r="M26" s="35"/>
      <c r="N26" s="9"/>
      <c r="S26" s="9"/>
    </row>
    <row r="27" spans="1:21" x14ac:dyDescent="0.3">
      <c r="A27" s="32" t="s">
        <v>10</v>
      </c>
      <c r="B27" s="9"/>
      <c r="G27" s="19">
        <f>G23-G25</f>
        <v>527500.90212500095</v>
      </c>
      <c r="H27" s="19"/>
      <c r="I27" s="19"/>
      <c r="J27" s="19">
        <f>J23-G23</f>
        <v>0</v>
      </c>
      <c r="K27" s="155"/>
      <c r="L27" s="168"/>
      <c r="M27" s="91" t="s">
        <v>60</v>
      </c>
      <c r="N27" s="9"/>
      <c r="S27" s="291">
        <f>S25/J23</f>
        <v>0.15171512944202456</v>
      </c>
    </row>
    <row r="28" spans="1:21" x14ac:dyDescent="0.3">
      <c r="A28" s="9"/>
      <c r="B28" s="9"/>
      <c r="D28" s="13"/>
      <c r="G28" s="10"/>
      <c r="H28" s="10"/>
      <c r="I28" s="10"/>
      <c r="J28" s="10"/>
      <c r="K28" s="152"/>
      <c r="L28" s="15"/>
      <c r="M28" s="24"/>
      <c r="N28" s="9"/>
      <c r="S28" s="10"/>
    </row>
    <row r="29" spans="1:21" x14ac:dyDescent="0.3">
      <c r="A29" s="32" t="s">
        <v>17</v>
      </c>
      <c r="B29" s="9"/>
      <c r="G29" s="20">
        <f>G27/G25</f>
        <v>1.2412063489456473E-2</v>
      </c>
      <c r="H29" s="20"/>
      <c r="I29" s="20"/>
      <c r="J29" s="20">
        <f>J27/G25</f>
        <v>0</v>
      </c>
      <c r="K29" s="156"/>
      <c r="L29" s="20"/>
      <c r="M29" s="45" t="s">
        <v>37</v>
      </c>
      <c r="N29" s="9"/>
      <c r="S29" s="33">
        <f>S25/P11</f>
        <v>21.416948053307973</v>
      </c>
    </row>
    <row r="30" spans="1:21" x14ac:dyDescent="0.3">
      <c r="A30" s="32"/>
      <c r="B30" s="9"/>
      <c r="D30" s="13">
        <f>D15/D11</f>
        <v>1175.6278777539001</v>
      </c>
      <c r="G30" s="29">
        <f>G23/D11</f>
        <v>141.16553920544956</v>
      </c>
      <c r="H30" s="20"/>
      <c r="I30" s="20"/>
      <c r="J30" s="20"/>
      <c r="K30" s="20"/>
      <c r="L30" s="20"/>
      <c r="M30" s="32"/>
      <c r="N30" s="9"/>
      <c r="S30" s="29">
        <f>S23/P11</f>
        <v>162.58248725875754</v>
      </c>
      <c r="U30" s="9">
        <f>S30-G30</f>
        <v>21.416948053307976</v>
      </c>
    </row>
    <row r="31" spans="1:21" x14ac:dyDescent="0.3">
      <c r="A31" s="3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S31" s="20"/>
    </row>
    <row r="32" spans="1:21" x14ac:dyDescent="0.3">
      <c r="A32" s="3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S32" s="20"/>
    </row>
    <row r="33" spans="1:20" x14ac:dyDescent="0.3">
      <c r="A33" s="3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S33" s="20"/>
    </row>
    <row r="34" spans="1:20" x14ac:dyDescent="0.3">
      <c r="A34" s="32"/>
      <c r="B34" s="9"/>
      <c r="G34" s="20"/>
      <c r="H34" s="20"/>
      <c r="I34" s="20"/>
      <c r="J34" s="20"/>
      <c r="K34" s="20"/>
      <c r="L34" s="20"/>
      <c r="M34" s="32"/>
      <c r="N34" s="9"/>
      <c r="S34" s="20"/>
    </row>
    <row r="35" spans="1:20" x14ac:dyDescent="0.3">
      <c r="A35" s="32"/>
      <c r="B35" s="9"/>
      <c r="G35" s="20"/>
      <c r="H35" s="20"/>
      <c r="I35" s="20"/>
      <c r="J35" s="20"/>
      <c r="K35" s="20"/>
      <c r="L35" s="20"/>
      <c r="M35" s="32"/>
      <c r="N35" s="9"/>
      <c r="S35" s="20"/>
    </row>
    <row r="36" spans="1:20" ht="18.75" customHeight="1" x14ac:dyDescent="0.3">
      <c r="A36" s="32"/>
      <c r="B36" s="10"/>
      <c r="G36" s="20"/>
      <c r="H36" s="20"/>
      <c r="I36" s="20"/>
      <c r="J36" s="20"/>
      <c r="K36" s="20"/>
      <c r="L36" s="20"/>
      <c r="N36" s="24"/>
    </row>
    <row r="37" spans="1:20" x14ac:dyDescent="0.3">
      <c r="E37" s="10"/>
      <c r="N37" s="24"/>
    </row>
    <row r="42" spans="1:20" x14ac:dyDescent="0.3">
      <c r="T42" s="75"/>
    </row>
    <row r="43" spans="1:20" x14ac:dyDescent="0.3">
      <c r="T43" s="75"/>
    </row>
    <row r="44" spans="1:20" x14ac:dyDescent="0.3">
      <c r="T44" s="75"/>
    </row>
    <row r="45" spans="1:20" x14ac:dyDescent="0.3">
      <c r="T45" s="75"/>
    </row>
    <row r="46" spans="1:20" x14ac:dyDescent="0.3">
      <c r="T46" s="75"/>
    </row>
    <row r="47" spans="1:20" x14ac:dyDescent="0.3">
      <c r="T47" s="75"/>
    </row>
    <row r="48" spans="1:20" x14ac:dyDescent="0.3">
      <c r="T48" s="75"/>
    </row>
    <row r="49" spans="20:20" x14ac:dyDescent="0.3">
      <c r="T49" s="75"/>
    </row>
    <row r="50" spans="20:20" x14ac:dyDescent="0.3">
      <c r="T50" s="75"/>
    </row>
    <row r="51" spans="20:20" ht="16.5" customHeight="1" x14ac:dyDescent="0.3">
      <c r="T51" s="75"/>
    </row>
    <row r="52" spans="20:20" x14ac:dyDescent="0.3">
      <c r="T52" s="75"/>
    </row>
    <row r="53" spans="20:20" x14ac:dyDescent="0.3">
      <c r="T53" s="75"/>
    </row>
    <row r="56" spans="20:20" x14ac:dyDescent="0.3">
      <c r="T56" s="40"/>
    </row>
    <row r="57" spans="20:20" x14ac:dyDescent="0.3">
      <c r="T57" s="40"/>
    </row>
    <row r="59" spans="20:20" x14ac:dyDescent="0.3">
      <c r="T59" s="40"/>
    </row>
    <row r="60" spans="20:20" x14ac:dyDescent="0.3">
      <c r="T60" s="40"/>
    </row>
    <row r="61" spans="20:20" x14ac:dyDescent="0.3">
      <c r="T61" s="40"/>
    </row>
    <row r="62" spans="20:20" x14ac:dyDescent="0.3">
      <c r="T62" s="40"/>
    </row>
    <row r="63" spans="20:20" x14ac:dyDescent="0.3">
      <c r="T63" s="40"/>
    </row>
    <row r="64" spans="20:20" x14ac:dyDescent="0.3">
      <c r="T64" s="40"/>
    </row>
    <row r="65" spans="20:20" x14ac:dyDescent="0.3">
      <c r="T65" s="40"/>
    </row>
    <row r="66" spans="20:20" x14ac:dyDescent="0.3">
      <c r="T66" s="40"/>
    </row>
    <row r="67" spans="20:20" x14ac:dyDescent="0.3">
      <c r="T67" s="40"/>
    </row>
    <row r="68" spans="20:20" x14ac:dyDescent="0.3">
      <c r="T68" s="40"/>
    </row>
    <row r="69" spans="20:20" x14ac:dyDescent="0.3">
      <c r="T69" s="40"/>
    </row>
    <row r="70" spans="20:20" x14ac:dyDescent="0.3">
      <c r="T70" s="40"/>
    </row>
    <row r="71" spans="20:20" x14ac:dyDescent="0.3">
      <c r="T71" s="79"/>
    </row>
    <row r="72" spans="20:20" x14ac:dyDescent="0.3">
      <c r="T72" s="79"/>
    </row>
    <row r="73" spans="20:20" x14ac:dyDescent="0.3">
      <c r="T73" s="79"/>
    </row>
    <row r="74" spans="20:20" x14ac:dyDescent="0.3">
      <c r="T74" s="79"/>
    </row>
    <row r="75" spans="20:20" x14ac:dyDescent="0.3">
      <c r="T75" s="79"/>
    </row>
    <row r="76" spans="20:20" x14ac:dyDescent="0.3">
      <c r="T76" s="79"/>
    </row>
    <row r="77" spans="20:20" x14ac:dyDescent="0.3">
      <c r="T77" s="79"/>
    </row>
    <row r="78" spans="20:20" x14ac:dyDescent="0.3">
      <c r="T78" s="79"/>
    </row>
    <row r="79" spans="20:20" x14ac:dyDescent="0.3">
      <c r="T79" s="79"/>
    </row>
    <row r="80" spans="20:20" x14ac:dyDescent="0.3">
      <c r="T80" s="79"/>
    </row>
    <row r="81" spans="20:20" x14ac:dyDescent="0.3">
      <c r="T81" s="79"/>
    </row>
    <row r="82" spans="20:20" x14ac:dyDescent="0.3">
      <c r="T82" s="79"/>
    </row>
    <row r="83" spans="20:20" x14ac:dyDescent="0.3">
      <c r="T83" s="79"/>
    </row>
    <row r="84" spans="20:20" ht="15" customHeight="1" x14ac:dyDescent="0.3">
      <c r="T84" s="79"/>
    </row>
    <row r="85" spans="20:20" x14ac:dyDescent="0.3">
      <c r="T85" s="79"/>
    </row>
    <row r="86" spans="20:20" x14ac:dyDescent="0.3">
      <c r="T86" s="79"/>
    </row>
    <row r="87" spans="20:20" x14ac:dyDescent="0.3">
      <c r="T87" s="79"/>
    </row>
    <row r="88" spans="20:20" x14ac:dyDescent="0.3">
      <c r="T88" s="79"/>
    </row>
    <row r="89" spans="20:20" x14ac:dyDescent="0.3">
      <c r="T89" s="79"/>
    </row>
    <row r="90" spans="20:20" x14ac:dyDescent="0.3">
      <c r="T90" s="79"/>
    </row>
    <row r="91" spans="20:20" x14ac:dyDescent="0.3">
      <c r="T91" s="79"/>
    </row>
    <row r="92" spans="20:20" x14ac:dyDescent="0.3">
      <c r="T92" s="79"/>
    </row>
    <row r="93" spans="20:20" x14ac:dyDescent="0.3">
      <c r="T93" s="79"/>
    </row>
    <row r="94" spans="20:20" x14ac:dyDescent="0.3">
      <c r="T94" s="79"/>
    </row>
    <row r="95" spans="20:20" x14ac:dyDescent="0.3">
      <c r="T95" s="79"/>
    </row>
    <row r="96" spans="20:20" x14ac:dyDescent="0.3">
      <c r="T96" s="79"/>
    </row>
    <row r="97" spans="20:20" x14ac:dyDescent="0.3">
      <c r="T97" s="79"/>
    </row>
    <row r="98" spans="20:20" x14ac:dyDescent="0.3">
      <c r="T98" s="79"/>
    </row>
    <row r="99" spans="20:20" x14ac:dyDescent="0.3">
      <c r="T99" s="79"/>
    </row>
    <row r="100" spans="20:20" x14ac:dyDescent="0.3">
      <c r="T100" s="79"/>
    </row>
    <row r="101" spans="20:20" x14ac:dyDescent="0.3">
      <c r="T101" s="79"/>
    </row>
    <row r="102" spans="20:20" x14ac:dyDescent="0.3">
      <c r="T102" s="79"/>
    </row>
    <row r="103" spans="20:20" x14ac:dyDescent="0.3">
      <c r="T103" s="79"/>
    </row>
    <row r="104" spans="20:20" x14ac:dyDescent="0.3">
      <c r="T104" s="79"/>
    </row>
    <row r="105" spans="20:20" x14ac:dyDescent="0.3">
      <c r="T105" s="79"/>
    </row>
    <row r="106" spans="20:20" x14ac:dyDescent="0.3">
      <c r="T106" s="79"/>
    </row>
    <row r="107" spans="20:20" x14ac:dyDescent="0.3">
      <c r="T107" s="79"/>
    </row>
    <row r="108" spans="20:20" x14ac:dyDescent="0.3">
      <c r="T108" s="79"/>
    </row>
    <row r="109" spans="20:20" x14ac:dyDescent="0.3">
      <c r="T109" s="79"/>
    </row>
    <row r="110" spans="20:20" x14ac:dyDescent="0.3">
      <c r="T110" s="79"/>
    </row>
    <row r="111" spans="20:20" x14ac:dyDescent="0.3">
      <c r="T111" s="79"/>
    </row>
    <row r="112" spans="20:20" x14ac:dyDescent="0.3">
      <c r="T112" s="79"/>
    </row>
    <row r="113" spans="20:20" x14ac:dyDescent="0.3">
      <c r="T113" s="79"/>
    </row>
    <row r="114" spans="20:20" x14ac:dyDescent="0.3">
      <c r="T114" s="79"/>
    </row>
    <row r="115" spans="20:20" x14ac:dyDescent="0.3">
      <c r="T115" s="79"/>
    </row>
    <row r="116" spans="20:20" x14ac:dyDescent="0.3">
      <c r="T116" s="79"/>
    </row>
    <row r="117" spans="20:20" x14ac:dyDescent="0.3">
      <c r="T117" s="16"/>
    </row>
    <row r="118" spans="20:20" x14ac:dyDescent="0.3">
      <c r="T118" s="16"/>
    </row>
    <row r="119" spans="20:20" x14ac:dyDescent="0.3">
      <c r="T119" s="16"/>
    </row>
    <row r="120" spans="20:20" x14ac:dyDescent="0.3">
      <c r="T120" s="16"/>
    </row>
    <row r="121" spans="20:20" x14ac:dyDescent="0.3">
      <c r="T121" s="16"/>
    </row>
    <row r="122" spans="20:20" x14ac:dyDescent="0.3">
      <c r="T122" s="16"/>
    </row>
    <row r="123" spans="20:20" x14ac:dyDescent="0.3">
      <c r="T123" s="16"/>
    </row>
    <row r="124" spans="20:20" x14ac:dyDescent="0.3">
      <c r="T124" s="16"/>
    </row>
    <row r="125" spans="20:20" x14ac:dyDescent="0.3">
      <c r="T125" s="16"/>
    </row>
    <row r="130" spans="2:14" x14ac:dyDescent="0.3">
      <c r="N130" s="40"/>
    </row>
    <row r="131" spans="2:14" x14ac:dyDescent="0.3">
      <c r="B131" s="16"/>
      <c r="C131" s="40"/>
      <c r="D131" s="40"/>
      <c r="E131" s="16"/>
      <c r="F131" s="16"/>
      <c r="G131" s="16"/>
      <c r="H131" s="16"/>
      <c r="I131" s="16"/>
      <c r="J131" s="16"/>
      <c r="K131" s="16"/>
      <c r="L131" s="16"/>
      <c r="N131" s="40"/>
    </row>
    <row r="132" spans="2:14" x14ac:dyDescent="0.3">
      <c r="B132" s="16"/>
      <c r="C132" s="41"/>
      <c r="D132" s="65"/>
      <c r="E132" s="69"/>
      <c r="F132" s="16"/>
      <c r="G132" s="16"/>
      <c r="H132" s="16"/>
      <c r="I132" s="16"/>
      <c r="J132" s="16"/>
      <c r="K132" s="16"/>
      <c r="L132" s="16"/>
      <c r="N132" s="40"/>
    </row>
    <row r="133" spans="2:14" x14ac:dyDescent="0.3">
      <c r="B133" s="16"/>
      <c r="C133" s="41"/>
      <c r="D133" s="65"/>
      <c r="E133" s="69"/>
      <c r="F133" s="16"/>
      <c r="G133" s="16"/>
      <c r="H133" s="16"/>
      <c r="I133" s="16"/>
      <c r="J133" s="16"/>
      <c r="K133" s="16"/>
      <c r="L133" s="16"/>
      <c r="N133" s="40"/>
    </row>
    <row r="134" spans="2:14" x14ac:dyDescent="0.3">
      <c r="B134" s="16"/>
      <c r="C134" s="41"/>
      <c r="D134" s="65"/>
      <c r="E134" s="69"/>
      <c r="F134" s="16"/>
      <c r="G134" s="16"/>
      <c r="H134" s="16"/>
      <c r="I134" s="16"/>
      <c r="J134" s="16"/>
      <c r="K134" s="16"/>
      <c r="L134" s="16"/>
      <c r="N134" s="40"/>
    </row>
  </sheetData>
  <mergeCells count="5">
    <mergeCell ref="D4:G5"/>
    <mergeCell ref="E7:F7"/>
    <mergeCell ref="P4:S5"/>
    <mergeCell ref="Q7:R7"/>
    <mergeCell ref="I4:J5"/>
  </mergeCells>
  <pageMargins left="0.75" right="0.75" top="1" bottom="1" header="0.5" footer="0.5"/>
  <pageSetup scale="64" orientation="landscape" r:id="rId1"/>
  <headerFooter alignWithMargins="0">
    <oddFooter>&amp;RExhibit JW-9
Page &amp;P of &amp;N</oddFooter>
  </headerFooter>
  <ignoredErrors>
    <ignoredError sqref="S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37"/>
  <sheetViews>
    <sheetView view="pageBreakPreview" topLeftCell="A16" zoomScale="75" zoomScaleNormal="85" zoomScaleSheetLayoutView="75" workbookViewId="0">
      <selection activeCell="N32" sqref="N32"/>
    </sheetView>
  </sheetViews>
  <sheetFormatPr defaultColWidth="9.109375" defaultRowHeight="15.6" x14ac:dyDescent="0.3"/>
  <cols>
    <col min="1" max="1" width="4.6640625" style="2" customWidth="1"/>
    <col min="2" max="2" width="14.44140625" style="2" customWidth="1"/>
    <col min="3" max="3" width="3" style="2" customWidth="1"/>
    <col min="4" max="4" width="14.33203125" style="2" customWidth="1"/>
    <col min="5" max="5" width="16.33203125" style="2" bestFit="1" customWidth="1"/>
    <col min="6" max="6" width="2.5546875" style="2" customWidth="1"/>
    <col min="7" max="7" width="14" style="2" customWidth="1"/>
    <col min="8" max="8" width="2.88671875" style="2" customWidth="1"/>
    <col min="9" max="9" width="16" style="2" customWidth="1"/>
    <col min="10" max="10" width="13" style="2" customWidth="1"/>
    <col min="11" max="11" width="2.88671875" style="2" customWidth="1"/>
    <col min="12" max="12" width="5.33203125" style="2" customWidth="1"/>
    <col min="13" max="13" width="15.33203125" style="2" customWidth="1"/>
    <col min="14" max="14" width="2.88671875" style="2" customWidth="1"/>
    <col min="15" max="15" width="14" style="2" customWidth="1"/>
    <col min="16" max="16" width="15" style="2" customWidth="1"/>
    <col min="17" max="17" width="2.6640625" style="2" customWidth="1"/>
    <col min="18" max="18" width="16.109375" style="2" customWidth="1"/>
    <col min="19" max="19" width="2.44140625" style="2" customWidth="1"/>
    <col min="20" max="16384" width="9.109375" style="2"/>
  </cols>
  <sheetData>
    <row r="1" spans="1:18" x14ac:dyDescent="0.3">
      <c r="A1" s="1" t="str">
        <f>'Present and Proposed Rates'!A1</f>
        <v>JACKSON PURCHASE ENERGY CORPORATION</v>
      </c>
      <c r="M1" s="1"/>
    </row>
    <row r="2" spans="1:18" x14ac:dyDescent="0.3">
      <c r="A2" s="212" t="str">
        <f>List!B6</f>
        <v>C-1 Small Commercial Single Phase</v>
      </c>
      <c r="M2" s="24"/>
      <c r="N2" s="24"/>
      <c r="O2" s="24"/>
      <c r="P2" s="24"/>
      <c r="Q2" s="24"/>
      <c r="R2" s="24"/>
    </row>
    <row r="3" spans="1:18" ht="16.2" thickBot="1" x14ac:dyDescent="0.35">
      <c r="A3" s="212" t="str">
        <f>List!C6</f>
        <v>C1</v>
      </c>
      <c r="B3" s="24"/>
      <c r="C3" s="24"/>
      <c r="M3" s="24"/>
      <c r="N3" s="24"/>
      <c r="O3" s="24"/>
      <c r="P3" s="24"/>
      <c r="Q3" s="24"/>
      <c r="R3" s="24"/>
    </row>
    <row r="4" spans="1:18" x14ac:dyDescent="0.3">
      <c r="A4" s="24"/>
      <c r="B4" s="24"/>
      <c r="C4" s="24"/>
      <c r="D4" s="364" t="s">
        <v>18</v>
      </c>
      <c r="E4" s="365"/>
      <c r="F4" s="365"/>
      <c r="G4" s="366"/>
      <c r="H4" s="293"/>
      <c r="I4" s="364" t="s">
        <v>58</v>
      </c>
      <c r="J4" s="366"/>
      <c r="K4" s="151"/>
      <c r="L4" s="24"/>
      <c r="M4" s="24"/>
      <c r="N4" s="24"/>
      <c r="O4" s="364" t="s">
        <v>42</v>
      </c>
      <c r="P4" s="365"/>
      <c r="Q4" s="365"/>
      <c r="R4" s="366"/>
    </row>
    <row r="5" spans="1:18" ht="16.2" thickBot="1" x14ac:dyDescent="0.35">
      <c r="A5" s="43"/>
      <c r="B5" s="86"/>
      <c r="C5" s="293"/>
      <c r="D5" s="367"/>
      <c r="E5" s="368"/>
      <c r="F5" s="368"/>
      <c r="G5" s="369"/>
      <c r="H5" s="293"/>
      <c r="I5" s="367"/>
      <c r="J5" s="369"/>
      <c r="K5" s="151"/>
      <c r="L5" s="43"/>
      <c r="M5" s="86"/>
      <c r="N5" s="293"/>
      <c r="O5" s="367"/>
      <c r="P5" s="368"/>
      <c r="Q5" s="368"/>
      <c r="R5" s="369"/>
    </row>
    <row r="6" spans="1:18" x14ac:dyDescent="0.3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51"/>
      <c r="L6" s="4"/>
      <c r="M6" s="4"/>
      <c r="N6" s="4"/>
      <c r="O6" s="4" t="s">
        <v>0</v>
      </c>
      <c r="P6" s="4"/>
      <c r="Q6" s="4"/>
      <c r="R6" s="4" t="s">
        <v>1</v>
      </c>
    </row>
    <row r="7" spans="1:18" ht="16.2" thickBot="1" x14ac:dyDescent="0.35">
      <c r="A7" s="5"/>
      <c r="B7" s="5"/>
      <c r="C7" s="5"/>
      <c r="D7" s="5" t="s">
        <v>3</v>
      </c>
      <c r="E7" s="370" t="s">
        <v>4</v>
      </c>
      <c r="F7" s="370"/>
      <c r="G7" s="5" t="s">
        <v>5</v>
      </c>
      <c r="H7" s="5"/>
      <c r="I7" s="5" t="s">
        <v>4</v>
      </c>
      <c r="J7" s="5" t="s">
        <v>5</v>
      </c>
      <c r="K7" s="150"/>
      <c r="L7" s="5"/>
      <c r="M7" s="5"/>
      <c r="N7" s="5"/>
      <c r="O7" s="5" t="s">
        <v>3</v>
      </c>
      <c r="P7" s="370" t="s">
        <v>4</v>
      </c>
      <c r="Q7" s="370"/>
      <c r="R7" s="5" t="s">
        <v>5</v>
      </c>
    </row>
    <row r="8" spans="1:18" x14ac:dyDescent="0.3">
      <c r="K8" s="151"/>
    </row>
    <row r="9" spans="1:18" x14ac:dyDescent="0.3">
      <c r="K9" s="151"/>
    </row>
    <row r="10" spans="1:18" x14ac:dyDescent="0.3">
      <c r="A10" s="118" t="s">
        <v>8</v>
      </c>
      <c r="K10" s="151"/>
      <c r="L10" s="118" t="s">
        <v>8</v>
      </c>
    </row>
    <row r="11" spans="1:18" x14ac:dyDescent="0.3">
      <c r="D11" s="169" t="s">
        <v>46</v>
      </c>
      <c r="E11" s="169" t="s">
        <v>47</v>
      </c>
      <c r="I11" s="169" t="s">
        <v>47</v>
      </c>
      <c r="K11" s="151"/>
      <c r="O11" s="6" t="s">
        <v>46</v>
      </c>
      <c r="P11" s="6" t="s">
        <v>47</v>
      </c>
    </row>
    <row r="12" spans="1:18" x14ac:dyDescent="0.3">
      <c r="B12" s="2" t="s">
        <v>57</v>
      </c>
      <c r="D12" s="27">
        <f>'Billing Determ'!Q7</f>
        <v>41239</v>
      </c>
      <c r="E12" s="8">
        <f>'Present and Proposed Rates'!F12</f>
        <v>16.399999999999999</v>
      </c>
      <c r="G12" s="10">
        <f>D12*E12</f>
        <v>676319.6</v>
      </c>
      <c r="H12" s="10"/>
      <c r="I12" s="8">
        <f>'Present and Proposed Rates'!G12</f>
        <v>16.399999999999999</v>
      </c>
      <c r="J12" s="26">
        <f>I12*D12</f>
        <v>676319.6</v>
      </c>
      <c r="K12" s="152"/>
      <c r="M12" s="2" t="s">
        <v>53</v>
      </c>
      <c r="O12" s="27">
        <f>D12</f>
        <v>41239</v>
      </c>
      <c r="P12" s="8">
        <f>'Present and Proposed Rates'!H12</f>
        <v>21.25</v>
      </c>
      <c r="R12" s="10">
        <f>O12*P12</f>
        <v>876328.75</v>
      </c>
    </row>
    <row r="13" spans="1:18" x14ac:dyDescent="0.3">
      <c r="D13" s="27"/>
      <c r="E13" s="8"/>
      <c r="G13" s="10"/>
      <c r="H13" s="10"/>
      <c r="I13" s="8"/>
      <c r="K13" s="152"/>
      <c r="O13" s="27"/>
      <c r="P13" s="8"/>
      <c r="R13" s="10"/>
    </row>
    <row r="14" spans="1:18" x14ac:dyDescent="0.3">
      <c r="D14" s="7"/>
      <c r="G14" s="10"/>
      <c r="H14" s="10"/>
      <c r="K14" s="152"/>
      <c r="O14" s="7"/>
      <c r="R14" s="10"/>
    </row>
    <row r="15" spans="1:18" x14ac:dyDescent="0.3">
      <c r="A15" s="1" t="s">
        <v>6</v>
      </c>
      <c r="D15" s="7"/>
      <c r="G15" s="10"/>
      <c r="H15" s="10"/>
      <c r="K15" s="152"/>
      <c r="L15" s="1" t="s">
        <v>6</v>
      </c>
      <c r="O15" s="7"/>
      <c r="R15" s="10"/>
    </row>
    <row r="16" spans="1:18" x14ac:dyDescent="0.3">
      <c r="D16" s="170" t="s">
        <v>7</v>
      </c>
      <c r="E16" s="171" t="s">
        <v>9</v>
      </c>
      <c r="G16" s="10"/>
      <c r="H16" s="10"/>
      <c r="I16" s="171" t="s">
        <v>9</v>
      </c>
      <c r="K16" s="152"/>
      <c r="O16" s="12" t="s">
        <v>7</v>
      </c>
      <c r="P16" s="11" t="s">
        <v>9</v>
      </c>
      <c r="R16" s="10"/>
    </row>
    <row r="17" spans="1:19" x14ac:dyDescent="0.3">
      <c r="B17" s="2" t="s">
        <v>57</v>
      </c>
      <c r="D17" s="27">
        <f>'Billing Determ'!Q19</f>
        <v>32376820</v>
      </c>
      <c r="E17" s="238">
        <f>'Present and Proposed Rates'!F13</f>
        <v>0.102176</v>
      </c>
      <c r="F17" s="16"/>
      <c r="G17" s="15">
        <f>D17*E17</f>
        <v>3308133.9603200001</v>
      </c>
      <c r="H17" s="15"/>
      <c r="I17" s="238">
        <f>'Present and Proposed Rates'!G13</f>
        <v>0.102176</v>
      </c>
      <c r="J17" s="26">
        <f>I17*D17</f>
        <v>3308133.9603200001</v>
      </c>
      <c r="K17" s="152"/>
      <c r="M17" s="2" t="s">
        <v>100</v>
      </c>
      <c r="O17" s="27">
        <f>D17</f>
        <v>32376820</v>
      </c>
      <c r="P17" s="238">
        <f>'Present and Proposed Rates'!H13</f>
        <v>0.114299</v>
      </c>
      <c r="Q17" s="16"/>
      <c r="R17" s="15">
        <f>O17*P17</f>
        <v>3700638.1491799997</v>
      </c>
    </row>
    <row r="18" spans="1:19" x14ac:dyDescent="0.3">
      <c r="A18" s="1"/>
      <c r="B18" s="16"/>
      <c r="C18" s="314" t="s">
        <v>155</v>
      </c>
      <c r="D18" s="313">
        <f>D17/D12</f>
        <v>785.10196658502878</v>
      </c>
      <c r="E18" s="28"/>
      <c r="F18" s="16"/>
      <c r="G18" s="15"/>
      <c r="H18" s="15"/>
      <c r="I18" s="28"/>
      <c r="K18" s="152"/>
      <c r="L18" s="1"/>
      <c r="M18" s="16"/>
      <c r="N18" s="16"/>
      <c r="O18" s="27"/>
      <c r="P18" s="28"/>
      <c r="Q18" s="16"/>
      <c r="R18" s="15"/>
    </row>
    <row r="19" spans="1:19" x14ac:dyDescent="0.3">
      <c r="A19" s="1" t="s">
        <v>51</v>
      </c>
      <c r="B19" s="45"/>
      <c r="C19" s="109"/>
      <c r="D19" s="51"/>
      <c r="E19" s="58"/>
      <c r="F19" s="24"/>
      <c r="G19" s="15"/>
      <c r="H19" s="15"/>
      <c r="I19" s="15"/>
      <c r="J19" s="15"/>
      <c r="K19" s="153"/>
      <c r="L19" s="1" t="s">
        <v>51</v>
      </c>
      <c r="M19" s="45"/>
      <c r="N19" s="109"/>
      <c r="O19" s="51"/>
      <c r="P19" s="58"/>
      <c r="Q19" s="24"/>
      <c r="R19" s="15"/>
    </row>
    <row r="20" spans="1:19" x14ac:dyDescent="0.3">
      <c r="A20" s="1"/>
      <c r="B20" s="24" t="s">
        <v>45</v>
      </c>
      <c r="C20" s="109"/>
      <c r="D20" s="51"/>
      <c r="E20" s="294">
        <f>G20/D$17</f>
        <v>7.977507618104556E-4</v>
      </c>
      <c r="F20" s="24"/>
      <c r="G20" s="15">
        <f>'Billing Determ'!Q79</f>
        <v>25828.632819999995</v>
      </c>
      <c r="H20" s="15"/>
      <c r="I20" s="294">
        <f>J20/D$17</f>
        <v>7.977507618104556E-4</v>
      </c>
      <c r="J20" s="15">
        <f>G20</f>
        <v>25828.632819999995</v>
      </c>
      <c r="K20" s="153"/>
      <c r="L20" s="54"/>
      <c r="M20" s="1"/>
      <c r="N20" s="24" t="s">
        <v>45</v>
      </c>
      <c r="O20" s="109"/>
      <c r="P20" s="294">
        <f>R20/O$17</f>
        <v>7.977507618104556E-4</v>
      </c>
      <c r="Q20" s="58"/>
      <c r="R20" s="52">
        <f>J20</f>
        <v>25828.632819999995</v>
      </c>
      <c r="S20" s="15">
        <f>G20</f>
        <v>25828.632819999995</v>
      </c>
    </row>
    <row r="21" spans="1:19" x14ac:dyDescent="0.3">
      <c r="A21" s="1"/>
      <c r="B21" s="24" t="s">
        <v>52</v>
      </c>
      <c r="C21" s="109"/>
      <c r="D21" s="51"/>
      <c r="E21" s="294">
        <f t="shared" ref="E21:E23" si="0">G21/D$17</f>
        <v>7.2513730021972513E-3</v>
      </c>
      <c r="F21" s="24"/>
      <c r="G21" s="54">
        <f>'Billing Determ'!Q91</f>
        <v>234776.398445</v>
      </c>
      <c r="H21" s="54"/>
      <c r="I21" s="294">
        <f t="shared" ref="I21:I23" si="1">J21/D$17</f>
        <v>7.2513730021972513E-3</v>
      </c>
      <c r="J21" s="15">
        <f>G21</f>
        <v>234776.398445</v>
      </c>
      <c r="K21" s="153"/>
      <c r="L21" s="54"/>
      <c r="M21" s="1"/>
      <c r="N21" s="24" t="s">
        <v>52</v>
      </c>
      <c r="O21" s="109"/>
      <c r="P21" s="294">
        <f t="shared" ref="P21:P23" si="2">R21/O$17</f>
        <v>7.2513730021972513E-3</v>
      </c>
      <c r="Q21" s="58"/>
      <c r="R21" s="52">
        <f t="shared" ref="R21:R23" si="3">J21</f>
        <v>234776.398445</v>
      </c>
      <c r="S21" s="15">
        <f>G21</f>
        <v>234776.398445</v>
      </c>
    </row>
    <row r="22" spans="1:19" x14ac:dyDescent="0.3">
      <c r="A22" s="1"/>
      <c r="B22" s="24" t="s">
        <v>124</v>
      </c>
      <c r="C22" s="109"/>
      <c r="D22" s="51"/>
      <c r="E22" s="294">
        <f t="shared" si="0"/>
        <v>-3.8464501510957531E-3</v>
      </c>
      <c r="F22" s="24"/>
      <c r="G22" s="54">
        <f>'Billing Determ'!Q103</f>
        <v>-124535.824181</v>
      </c>
      <c r="H22" s="54"/>
      <c r="I22" s="294">
        <f t="shared" si="1"/>
        <v>-3.8464501510957531E-3</v>
      </c>
      <c r="J22" s="15">
        <f>G22</f>
        <v>-124535.824181</v>
      </c>
      <c r="K22" s="153"/>
      <c r="L22" s="54"/>
      <c r="M22" s="1"/>
      <c r="N22" s="24" t="s">
        <v>80</v>
      </c>
      <c r="O22" s="109"/>
      <c r="P22" s="294">
        <f t="shared" si="2"/>
        <v>-3.8464501510957531E-3</v>
      </c>
      <c r="Q22" s="58"/>
      <c r="R22" s="52">
        <f t="shared" si="3"/>
        <v>-124535.824181</v>
      </c>
      <c r="S22" s="15">
        <f>J22</f>
        <v>-124535.824181</v>
      </c>
    </row>
    <row r="23" spans="1:19" x14ac:dyDescent="0.3">
      <c r="A23" s="1"/>
      <c r="B23" s="24" t="s">
        <v>123</v>
      </c>
      <c r="C23" s="109"/>
      <c r="D23" s="51"/>
      <c r="E23" s="294">
        <f t="shared" si="0"/>
        <v>1.8057623954112851E-3</v>
      </c>
      <c r="F23" s="24"/>
      <c r="G23" s="15">
        <f>'Billing Determ'!Q115</f>
        <v>58464.844039000003</v>
      </c>
      <c r="H23" s="15"/>
      <c r="I23" s="294">
        <f t="shared" si="1"/>
        <v>1.8057623954112851E-3</v>
      </c>
      <c r="J23" s="15">
        <f>G23</f>
        <v>58464.844039000003</v>
      </c>
      <c r="K23" s="153"/>
      <c r="L23" s="54"/>
      <c r="M23" s="1"/>
      <c r="N23" s="24" t="s">
        <v>45</v>
      </c>
      <c r="O23" s="109"/>
      <c r="P23" s="294">
        <f t="shared" si="2"/>
        <v>1.8057623954112851E-3</v>
      </c>
      <c r="Q23" s="58"/>
      <c r="R23" s="52">
        <f t="shared" si="3"/>
        <v>58464.844039000003</v>
      </c>
      <c r="S23" s="15">
        <f>G23</f>
        <v>58464.844039000003</v>
      </c>
    </row>
    <row r="24" spans="1:19" x14ac:dyDescent="0.3">
      <c r="B24" s="24"/>
      <c r="C24" s="109"/>
      <c r="D24" s="51"/>
      <c r="E24" s="58"/>
      <c r="F24" s="24"/>
      <c r="G24" s="54"/>
      <c r="H24" s="54"/>
      <c r="I24" s="54"/>
      <c r="J24" s="54"/>
      <c r="K24" s="153"/>
      <c r="L24" s="118"/>
    </row>
    <row r="25" spans="1:19" x14ac:dyDescent="0.3">
      <c r="A25" s="1"/>
      <c r="D25" s="22"/>
      <c r="G25" s="15"/>
      <c r="H25" s="15"/>
      <c r="I25" s="15"/>
      <c r="J25" s="15"/>
      <c r="K25" s="152"/>
      <c r="L25" s="1"/>
      <c r="R25" s="15"/>
    </row>
    <row r="26" spans="1:19" ht="16.2" thickBot="1" x14ac:dyDescent="0.35">
      <c r="A26" s="1" t="s">
        <v>34</v>
      </c>
      <c r="G26" s="21">
        <f>SUM(G12:G23)</f>
        <v>4178987.6114430004</v>
      </c>
      <c r="H26" s="15"/>
      <c r="I26" s="15"/>
      <c r="J26" s="21">
        <f>SUM(J12:J23)</f>
        <v>4178987.6114430004</v>
      </c>
      <c r="K26" s="152"/>
      <c r="L26" s="1" t="s">
        <v>34</v>
      </c>
      <c r="R26" s="21">
        <f>SUM(R12:R24)</f>
        <v>4771500.9503029995</v>
      </c>
    </row>
    <row r="27" spans="1:19" ht="16.2" thickTop="1" x14ac:dyDescent="0.3">
      <c r="A27" s="1"/>
      <c r="B27" s="1"/>
      <c r="G27" s="15"/>
      <c r="H27" s="15"/>
      <c r="I27" s="15"/>
      <c r="J27" s="15"/>
      <c r="K27" s="152"/>
      <c r="L27" s="1"/>
      <c r="M27" s="1"/>
      <c r="R27" s="15"/>
    </row>
    <row r="28" spans="1:19" x14ac:dyDescent="0.3">
      <c r="A28" s="32" t="s">
        <v>15</v>
      </c>
      <c r="B28" s="9"/>
      <c r="G28" s="10">
        <f>'Billing Determ'!Q31</f>
        <v>4138755.14</v>
      </c>
      <c r="H28" s="10"/>
      <c r="I28" s="10"/>
      <c r="J28" s="10"/>
      <c r="K28" s="152"/>
      <c r="L28" s="91" t="s">
        <v>59</v>
      </c>
      <c r="M28" s="9"/>
      <c r="R28" s="26">
        <f>R26-J26</f>
        <v>592513.33885999909</v>
      </c>
    </row>
    <row r="29" spans="1:19" x14ac:dyDescent="0.3">
      <c r="A29" s="9"/>
      <c r="B29" s="9"/>
      <c r="G29" s="9"/>
      <c r="H29" s="9"/>
      <c r="I29" s="9"/>
      <c r="J29" s="9"/>
      <c r="K29" s="154"/>
      <c r="L29" s="35"/>
      <c r="M29" s="9"/>
      <c r="R29" s="9"/>
    </row>
    <row r="30" spans="1:19" x14ac:dyDescent="0.3">
      <c r="A30" s="32" t="s">
        <v>10</v>
      </c>
      <c r="B30" s="9"/>
      <c r="G30" s="19">
        <f>G26-G28</f>
        <v>40232.47144300025</v>
      </c>
      <c r="H30" s="19"/>
      <c r="I30" s="19"/>
      <c r="J30" s="19">
        <f>J26-G26</f>
        <v>0</v>
      </c>
      <c r="K30" s="155"/>
      <c r="L30" s="91" t="s">
        <v>60</v>
      </c>
      <c r="M30" s="9"/>
      <c r="R30" s="111">
        <f>R28/J26</f>
        <v>0.14178394241647554</v>
      </c>
    </row>
    <row r="31" spans="1:19" x14ac:dyDescent="0.3">
      <c r="A31" s="9"/>
      <c r="B31" s="9"/>
      <c r="G31" s="10"/>
      <c r="H31" s="10"/>
      <c r="I31" s="10"/>
      <c r="J31" s="10"/>
      <c r="K31" s="152"/>
      <c r="L31" s="24"/>
      <c r="M31" s="9"/>
      <c r="R31" s="10"/>
    </row>
    <row r="32" spans="1:19" x14ac:dyDescent="0.3">
      <c r="A32" s="32" t="s">
        <v>17</v>
      </c>
      <c r="B32" s="9"/>
      <c r="G32" s="20">
        <f>G30/G28</f>
        <v>9.7209112600462385E-3</v>
      </c>
      <c r="H32" s="20"/>
      <c r="I32" s="20"/>
      <c r="J32" s="20">
        <f>J30/G28</f>
        <v>0</v>
      </c>
      <c r="K32" s="156"/>
      <c r="L32" s="45" t="s">
        <v>37</v>
      </c>
      <c r="M32" s="9"/>
      <c r="R32" s="37">
        <f>R28/O12</f>
        <v>14.367791140910281</v>
      </c>
    </row>
    <row r="33" spans="1:18" x14ac:dyDescent="0.3">
      <c r="A33" s="32"/>
      <c r="B33" s="9"/>
      <c r="D33" s="23">
        <f>D17/D12</f>
        <v>785.10196658502878</v>
      </c>
      <c r="G33" s="20"/>
      <c r="H33" s="20"/>
      <c r="I33" s="20"/>
      <c r="J33" s="20"/>
      <c r="K33" s="20"/>
      <c r="L33" s="32"/>
      <c r="M33" s="9"/>
      <c r="R33" s="20"/>
    </row>
    <row r="34" spans="1:18" x14ac:dyDescent="0.3">
      <c r="A34" s="32"/>
      <c r="B34" s="9"/>
      <c r="G34" s="20"/>
      <c r="H34" s="20"/>
      <c r="I34" s="20"/>
      <c r="J34" s="20"/>
      <c r="K34" s="20"/>
      <c r="L34" s="32"/>
      <c r="M34" s="9"/>
      <c r="R34" s="20"/>
    </row>
    <row r="35" spans="1:18" x14ac:dyDescent="0.3">
      <c r="A35" s="32"/>
      <c r="B35" s="9"/>
      <c r="G35" s="20"/>
      <c r="H35" s="20"/>
      <c r="I35" s="20"/>
      <c r="J35" s="20"/>
      <c r="K35" s="20"/>
      <c r="L35" s="32"/>
      <c r="M35" s="9"/>
      <c r="R35" s="20"/>
    </row>
    <row r="36" spans="1:18" x14ac:dyDescent="0.3">
      <c r="A36" s="32"/>
      <c r="B36" s="9"/>
      <c r="G36" s="20"/>
      <c r="H36" s="20"/>
      <c r="I36" s="20"/>
      <c r="J36" s="20"/>
      <c r="K36" s="20"/>
      <c r="L36" s="32"/>
      <c r="M36" s="9"/>
      <c r="R36" s="20"/>
    </row>
    <row r="37" spans="1:18" x14ac:dyDescent="0.3">
      <c r="A37" s="32"/>
      <c r="B37" s="9"/>
      <c r="D37" s="18"/>
      <c r="G37" s="20"/>
      <c r="H37" s="20"/>
      <c r="I37" s="20"/>
      <c r="J37" s="20"/>
      <c r="K37" s="20"/>
      <c r="L37" s="32"/>
      <c r="M37" s="9"/>
      <c r="R37" s="20"/>
    </row>
    <row r="38" spans="1:18" x14ac:dyDescent="0.3">
      <c r="A38" s="32"/>
      <c r="B38" s="9"/>
      <c r="G38" s="20"/>
      <c r="H38" s="20"/>
      <c r="I38" s="20"/>
      <c r="J38" s="20"/>
      <c r="K38" s="20"/>
      <c r="L38" s="32"/>
      <c r="M38" s="9"/>
      <c r="R38" s="20"/>
    </row>
    <row r="39" spans="1:18" ht="18.75" customHeight="1" x14ac:dyDescent="0.3">
      <c r="A39" s="32"/>
      <c r="B39" s="10"/>
      <c r="G39" s="20"/>
      <c r="H39" s="20"/>
      <c r="I39" s="20"/>
      <c r="J39" s="20"/>
      <c r="K39" s="20"/>
      <c r="M39" s="24"/>
    </row>
    <row r="40" spans="1:18" x14ac:dyDescent="0.3">
      <c r="E40" s="10"/>
      <c r="M40" s="24"/>
    </row>
    <row r="54" spans="19:19" ht="16.5" customHeight="1" x14ac:dyDescent="0.3"/>
    <row r="63" spans="19:19" x14ac:dyDescent="0.3">
      <c r="S63" s="40"/>
    </row>
    <row r="64" spans="19:19" x14ac:dyDescent="0.3">
      <c r="S64" s="40"/>
    </row>
    <row r="65" spans="19:19" x14ac:dyDescent="0.3">
      <c r="S65" s="40"/>
    </row>
    <row r="66" spans="19:19" x14ac:dyDescent="0.3">
      <c r="S66" s="40"/>
    </row>
    <row r="67" spans="19:19" x14ac:dyDescent="0.3">
      <c r="S67" s="40"/>
    </row>
    <row r="68" spans="19:19" x14ac:dyDescent="0.3">
      <c r="S68" s="40"/>
    </row>
    <row r="69" spans="19:19" x14ac:dyDescent="0.3">
      <c r="S69" s="40"/>
    </row>
    <row r="70" spans="19:19" x14ac:dyDescent="0.3">
      <c r="S70" s="40"/>
    </row>
    <row r="71" spans="19:19" x14ac:dyDescent="0.3">
      <c r="S71" s="40"/>
    </row>
    <row r="72" spans="19:19" x14ac:dyDescent="0.3">
      <c r="S72" s="40"/>
    </row>
    <row r="73" spans="19:19" x14ac:dyDescent="0.3">
      <c r="S73" s="40"/>
    </row>
    <row r="74" spans="19:19" x14ac:dyDescent="0.3">
      <c r="S74" s="79"/>
    </row>
    <row r="75" spans="19:19" x14ac:dyDescent="0.3">
      <c r="S75" s="79"/>
    </row>
    <row r="76" spans="19:19" x14ac:dyDescent="0.3">
      <c r="S76" s="79"/>
    </row>
    <row r="77" spans="19:19" x14ac:dyDescent="0.3">
      <c r="S77" s="79"/>
    </row>
    <row r="78" spans="19:19" x14ac:dyDescent="0.3">
      <c r="S78" s="79"/>
    </row>
    <row r="79" spans="19:19" x14ac:dyDescent="0.3">
      <c r="S79" s="79"/>
    </row>
    <row r="80" spans="19:19" x14ac:dyDescent="0.3">
      <c r="S80" s="79"/>
    </row>
    <row r="81" spans="19:19" x14ac:dyDescent="0.3">
      <c r="S81" s="79"/>
    </row>
    <row r="82" spans="19:19" x14ac:dyDescent="0.3">
      <c r="S82" s="79"/>
    </row>
    <row r="83" spans="19:19" x14ac:dyDescent="0.3">
      <c r="S83" s="79"/>
    </row>
    <row r="84" spans="19:19" x14ac:dyDescent="0.3">
      <c r="S84" s="79"/>
    </row>
    <row r="85" spans="19:19" x14ac:dyDescent="0.3">
      <c r="S85" s="79"/>
    </row>
    <row r="86" spans="19:19" x14ac:dyDescent="0.3">
      <c r="S86" s="79"/>
    </row>
    <row r="87" spans="19:19" ht="15" customHeight="1" x14ac:dyDescent="0.3">
      <c r="S87" s="79"/>
    </row>
    <row r="88" spans="19:19" x14ac:dyDescent="0.3">
      <c r="S88" s="79"/>
    </row>
    <row r="89" spans="19:19" x14ac:dyDescent="0.3">
      <c r="S89" s="79"/>
    </row>
    <row r="90" spans="19:19" x14ac:dyDescent="0.3">
      <c r="S90" s="79"/>
    </row>
    <row r="91" spans="19:19" x14ac:dyDescent="0.3">
      <c r="S91" s="79"/>
    </row>
    <row r="92" spans="19:19" x14ac:dyDescent="0.3">
      <c r="S92" s="79"/>
    </row>
    <row r="93" spans="19:19" x14ac:dyDescent="0.3">
      <c r="S93" s="79"/>
    </row>
    <row r="94" spans="19:19" x14ac:dyDescent="0.3">
      <c r="S94" s="79"/>
    </row>
    <row r="95" spans="19:19" x14ac:dyDescent="0.3">
      <c r="S95" s="79"/>
    </row>
    <row r="96" spans="19:19" x14ac:dyDescent="0.3">
      <c r="S96" s="79"/>
    </row>
    <row r="97" spans="19:19" x14ac:dyDescent="0.3">
      <c r="S97" s="79"/>
    </row>
    <row r="98" spans="19:19" x14ac:dyDescent="0.3">
      <c r="S98" s="79"/>
    </row>
    <row r="99" spans="19:19" x14ac:dyDescent="0.3">
      <c r="S99" s="79"/>
    </row>
    <row r="100" spans="19:19" x14ac:dyDescent="0.3">
      <c r="S100" s="79"/>
    </row>
    <row r="101" spans="19:19" x14ac:dyDescent="0.3">
      <c r="S101" s="79"/>
    </row>
    <row r="102" spans="19:19" x14ac:dyDescent="0.3">
      <c r="S102" s="79"/>
    </row>
    <row r="103" spans="19:19" x14ac:dyDescent="0.3">
      <c r="S103" s="79"/>
    </row>
    <row r="104" spans="19:19" x14ac:dyDescent="0.3">
      <c r="S104" s="79"/>
    </row>
    <row r="105" spans="19:19" x14ac:dyDescent="0.3">
      <c r="S105" s="79"/>
    </row>
    <row r="106" spans="19:19" x14ac:dyDescent="0.3">
      <c r="S106" s="79"/>
    </row>
    <row r="107" spans="19:19" x14ac:dyDescent="0.3">
      <c r="S107" s="79"/>
    </row>
    <row r="108" spans="19:19" x14ac:dyDescent="0.3">
      <c r="S108" s="79"/>
    </row>
    <row r="109" spans="19:19" x14ac:dyDescent="0.3">
      <c r="S109" s="79"/>
    </row>
    <row r="110" spans="19:19" x14ac:dyDescent="0.3">
      <c r="S110" s="79"/>
    </row>
    <row r="111" spans="19:19" x14ac:dyDescent="0.3">
      <c r="S111" s="79"/>
    </row>
    <row r="112" spans="19:19" x14ac:dyDescent="0.3">
      <c r="S112" s="79"/>
    </row>
    <row r="113" spans="19:19" x14ac:dyDescent="0.3">
      <c r="S113" s="79"/>
    </row>
    <row r="114" spans="19:19" x14ac:dyDescent="0.3">
      <c r="S114" s="79"/>
    </row>
    <row r="115" spans="19:19" x14ac:dyDescent="0.3">
      <c r="S115" s="79"/>
    </row>
    <row r="116" spans="19:19" x14ac:dyDescent="0.3">
      <c r="S116" s="79"/>
    </row>
    <row r="117" spans="19:19" x14ac:dyDescent="0.3">
      <c r="S117" s="79"/>
    </row>
    <row r="118" spans="19:19" x14ac:dyDescent="0.3">
      <c r="S118" s="79"/>
    </row>
    <row r="119" spans="19:19" x14ac:dyDescent="0.3">
      <c r="S119" s="79"/>
    </row>
    <row r="120" spans="19:19" x14ac:dyDescent="0.3">
      <c r="S120" s="16"/>
    </row>
    <row r="121" spans="19:19" x14ac:dyDescent="0.3">
      <c r="S121" s="16"/>
    </row>
    <row r="122" spans="19:19" x14ac:dyDescent="0.3">
      <c r="S122" s="16"/>
    </row>
    <row r="123" spans="19:19" x14ac:dyDescent="0.3">
      <c r="S123" s="16"/>
    </row>
    <row r="124" spans="19:19" x14ac:dyDescent="0.3">
      <c r="S124" s="16"/>
    </row>
    <row r="125" spans="19:19" x14ac:dyDescent="0.3">
      <c r="S125" s="16"/>
    </row>
    <row r="126" spans="19:19" x14ac:dyDescent="0.3">
      <c r="S126" s="16"/>
    </row>
    <row r="127" spans="19:19" x14ac:dyDescent="0.3">
      <c r="S127" s="16"/>
    </row>
    <row r="128" spans="19:19" x14ac:dyDescent="0.3">
      <c r="S128" s="16"/>
    </row>
    <row r="133" spans="2:13" x14ac:dyDescent="0.3">
      <c r="M133" s="40"/>
    </row>
    <row r="134" spans="2:13" x14ac:dyDescent="0.3">
      <c r="B134" s="16"/>
      <c r="C134" s="40"/>
      <c r="D134" s="40"/>
      <c r="E134" s="16"/>
      <c r="F134" s="16"/>
      <c r="G134" s="16"/>
      <c r="H134" s="16"/>
      <c r="I134" s="16"/>
      <c r="J134" s="16"/>
      <c r="K134" s="16"/>
      <c r="M134" s="40"/>
    </row>
    <row r="135" spans="2:13" x14ac:dyDescent="0.3">
      <c r="B135" s="16"/>
      <c r="C135" s="41"/>
      <c r="D135" s="65"/>
      <c r="E135" s="69"/>
      <c r="F135" s="16"/>
      <c r="G135" s="16"/>
      <c r="H135" s="16"/>
      <c r="I135" s="16"/>
      <c r="J135" s="16"/>
      <c r="K135" s="16"/>
      <c r="M135" s="40"/>
    </row>
    <row r="136" spans="2:13" x14ac:dyDescent="0.3">
      <c r="B136" s="16"/>
      <c r="C136" s="41"/>
      <c r="D136" s="65"/>
      <c r="E136" s="69"/>
      <c r="F136" s="16"/>
      <c r="G136" s="16"/>
      <c r="H136" s="16"/>
      <c r="I136" s="16"/>
      <c r="J136" s="16"/>
      <c r="K136" s="16"/>
      <c r="M136" s="40"/>
    </row>
    <row r="137" spans="2:13" x14ac:dyDescent="0.3">
      <c r="B137" s="16"/>
      <c r="C137" s="41"/>
      <c r="D137" s="65"/>
      <c r="E137" s="69"/>
      <c r="F137" s="16"/>
      <c r="G137" s="16"/>
      <c r="H137" s="16"/>
      <c r="I137" s="16"/>
      <c r="J137" s="16"/>
      <c r="K137" s="16"/>
      <c r="M137" s="40"/>
    </row>
  </sheetData>
  <mergeCells count="5">
    <mergeCell ref="D4:G5"/>
    <mergeCell ref="O4:R5"/>
    <mergeCell ref="E7:F7"/>
    <mergeCell ref="P7:Q7"/>
    <mergeCell ref="I4:J5"/>
  </mergeCells>
  <pageMargins left="0.75" right="0.75" top="1" bottom="1" header="0.5" footer="0.5"/>
  <pageSetup scale="70" orientation="landscape" r:id="rId1"/>
  <headerFooter alignWithMargins="0">
    <oddFooter>&amp;RExhibit JW-9
Page &amp;P of &amp;N</oddFooter>
  </headerFooter>
  <ignoredErrors>
    <ignoredError sqref="S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37"/>
  <sheetViews>
    <sheetView view="pageBreakPreview" topLeftCell="A16" zoomScale="75" zoomScaleNormal="85" zoomScaleSheetLayoutView="75" workbookViewId="0">
      <selection activeCell="N32" sqref="N32"/>
    </sheetView>
  </sheetViews>
  <sheetFormatPr defaultColWidth="9.109375" defaultRowHeight="15.6" x14ac:dyDescent="0.3"/>
  <cols>
    <col min="1" max="1" width="4.6640625" style="2" customWidth="1"/>
    <col min="2" max="2" width="17.6640625" style="2" customWidth="1"/>
    <col min="3" max="3" width="5.33203125" style="2" customWidth="1"/>
    <col min="4" max="4" width="15" style="2" bestFit="1" customWidth="1"/>
    <col min="5" max="5" width="16.33203125" style="2" bestFit="1" customWidth="1"/>
    <col min="6" max="6" width="3.109375" style="2" customWidth="1"/>
    <col min="7" max="7" width="18" style="2" bestFit="1" customWidth="1"/>
    <col min="8" max="8" width="2.6640625" style="2" customWidth="1"/>
    <col min="9" max="10" width="18" style="2" customWidth="1"/>
    <col min="11" max="11" width="2" style="2" customWidth="1"/>
    <col min="12" max="12" width="2.33203125" style="2" customWidth="1"/>
    <col min="13" max="13" width="5.44140625" style="2" customWidth="1"/>
    <col min="14" max="14" width="13.6640625" style="2" customWidth="1"/>
    <col min="15" max="15" width="2.109375" style="2" customWidth="1"/>
    <col min="16" max="16" width="15.6640625" style="2" customWidth="1"/>
    <col min="17" max="17" width="15" style="2" customWidth="1"/>
    <col min="18" max="18" width="1.88671875" style="2" customWidth="1"/>
    <col min="19" max="19" width="16.33203125" style="2" customWidth="1"/>
    <col min="20" max="16384" width="9.109375" style="2"/>
  </cols>
  <sheetData>
    <row r="1" spans="1:19" x14ac:dyDescent="0.3">
      <c r="A1" s="1" t="str">
        <f>'Present and Proposed Rates'!A1</f>
        <v>JACKSON PURCHASE ENERGY CORPORATION</v>
      </c>
      <c r="N1" s="1"/>
    </row>
    <row r="2" spans="1:19" x14ac:dyDescent="0.3">
      <c r="A2" s="45" t="str">
        <f>List!B7</f>
        <v>C-3 Small Commercial Three Phase</v>
      </c>
      <c r="N2" s="24"/>
      <c r="O2" s="24"/>
      <c r="P2" s="24"/>
      <c r="Q2" s="24"/>
      <c r="R2" s="24"/>
      <c r="S2" s="24"/>
    </row>
    <row r="3" spans="1:19" ht="16.2" thickBot="1" x14ac:dyDescent="0.35">
      <c r="A3" s="212" t="str">
        <f>List!C7</f>
        <v>C3</v>
      </c>
      <c r="B3" s="24"/>
      <c r="C3" s="24"/>
      <c r="N3" s="24"/>
      <c r="O3" s="24"/>
      <c r="P3" s="24"/>
      <c r="Q3" s="24"/>
      <c r="R3" s="24"/>
      <c r="S3" s="24"/>
    </row>
    <row r="4" spans="1:19" x14ac:dyDescent="0.3">
      <c r="A4" s="24"/>
      <c r="B4" s="24"/>
      <c r="C4" s="24"/>
      <c r="D4" s="364" t="s">
        <v>18</v>
      </c>
      <c r="E4" s="365"/>
      <c r="F4" s="365"/>
      <c r="G4" s="366"/>
      <c r="H4" s="293"/>
      <c r="I4" s="364" t="s">
        <v>58</v>
      </c>
      <c r="J4" s="366"/>
      <c r="K4" s="151"/>
      <c r="L4" s="293"/>
      <c r="M4" s="24"/>
      <c r="N4" s="24"/>
      <c r="O4" s="24"/>
      <c r="P4" s="364" t="s">
        <v>42</v>
      </c>
      <c r="Q4" s="365"/>
      <c r="R4" s="365"/>
      <c r="S4" s="366"/>
    </row>
    <row r="5" spans="1:19" ht="16.2" thickBot="1" x14ac:dyDescent="0.35">
      <c r="A5" s="43"/>
      <c r="B5" s="86"/>
      <c r="C5" s="293"/>
      <c r="D5" s="367"/>
      <c r="E5" s="368"/>
      <c r="F5" s="368"/>
      <c r="G5" s="369"/>
      <c r="H5" s="293"/>
      <c r="I5" s="367"/>
      <c r="J5" s="369"/>
      <c r="K5" s="151"/>
      <c r="L5" s="293"/>
      <c r="M5" s="43"/>
      <c r="N5" s="86"/>
      <c r="O5" s="293"/>
      <c r="P5" s="367"/>
      <c r="Q5" s="368"/>
      <c r="R5" s="368"/>
      <c r="S5" s="369"/>
    </row>
    <row r="6" spans="1:19" x14ac:dyDescent="0.3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51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2" thickBot="1" x14ac:dyDescent="0.35">
      <c r="A7" s="5"/>
      <c r="B7" s="5"/>
      <c r="C7" s="5"/>
      <c r="D7" s="5" t="s">
        <v>3</v>
      </c>
      <c r="E7" s="370" t="s">
        <v>4</v>
      </c>
      <c r="F7" s="370"/>
      <c r="G7" s="5" t="s">
        <v>5</v>
      </c>
      <c r="H7" s="5"/>
      <c r="I7" s="5" t="s">
        <v>4</v>
      </c>
      <c r="J7" s="5" t="s">
        <v>5</v>
      </c>
      <c r="K7" s="150"/>
      <c r="L7" s="5"/>
      <c r="M7" s="5"/>
      <c r="N7" s="5"/>
      <c r="O7" s="5"/>
      <c r="P7" s="5" t="s">
        <v>3</v>
      </c>
      <c r="Q7" s="370" t="s">
        <v>4</v>
      </c>
      <c r="R7" s="370"/>
      <c r="S7" s="5" t="s">
        <v>5</v>
      </c>
    </row>
    <row r="8" spans="1:19" x14ac:dyDescent="0.3">
      <c r="K8" s="151"/>
    </row>
    <row r="9" spans="1:19" x14ac:dyDescent="0.3">
      <c r="K9" s="151"/>
    </row>
    <row r="10" spans="1:19" x14ac:dyDescent="0.3">
      <c r="A10" s="118" t="s">
        <v>8</v>
      </c>
      <c r="K10" s="151"/>
      <c r="M10" s="118" t="s">
        <v>8</v>
      </c>
    </row>
    <row r="11" spans="1:19" x14ac:dyDescent="0.3">
      <c r="D11" s="169" t="s">
        <v>46</v>
      </c>
      <c r="E11" s="169" t="s">
        <v>47</v>
      </c>
      <c r="I11" s="169" t="s">
        <v>47</v>
      </c>
      <c r="K11" s="151"/>
      <c r="P11" s="169" t="s">
        <v>46</v>
      </c>
      <c r="Q11" s="169" t="s">
        <v>47</v>
      </c>
    </row>
    <row r="12" spans="1:19" x14ac:dyDescent="0.3">
      <c r="B12" s="2" t="s">
        <v>57</v>
      </c>
      <c r="D12" s="27">
        <f>'Billing Determ'!Q8</f>
        <v>5846</v>
      </c>
      <c r="E12" s="8">
        <f>'Present and Proposed Rates'!F15</f>
        <v>24.9</v>
      </c>
      <c r="G12" s="10">
        <f>D12*E12</f>
        <v>145565.4</v>
      </c>
      <c r="H12" s="10"/>
      <c r="I12" s="8">
        <f>'Present and Proposed Rates'!G15</f>
        <v>24.9</v>
      </c>
      <c r="J12" s="10">
        <f>I12*D12</f>
        <v>145565.4</v>
      </c>
      <c r="K12" s="152"/>
      <c r="L12" s="10"/>
      <c r="N12" s="2" t="s">
        <v>53</v>
      </c>
      <c r="P12" s="27">
        <f>D12</f>
        <v>5846</v>
      </c>
      <c r="Q12" s="8">
        <f>'Present and Proposed Rates'!H15</f>
        <v>32.270000000000003</v>
      </c>
      <c r="S12" s="10">
        <f>P12*Q12</f>
        <v>188650.42</v>
      </c>
    </row>
    <row r="13" spans="1:19" x14ac:dyDescent="0.3">
      <c r="D13" s="27"/>
      <c r="E13" s="8"/>
      <c r="G13" s="10"/>
      <c r="H13" s="10"/>
      <c r="I13" s="8"/>
      <c r="J13" s="10"/>
      <c r="K13" s="152"/>
      <c r="L13" s="10"/>
      <c r="P13" s="27"/>
      <c r="Q13" s="8"/>
      <c r="S13" s="10"/>
    </row>
    <row r="14" spans="1:19" x14ac:dyDescent="0.3">
      <c r="D14" s="7"/>
      <c r="G14" s="10"/>
      <c r="H14" s="10"/>
      <c r="J14" s="10"/>
      <c r="K14" s="152"/>
      <c r="L14" s="10"/>
      <c r="P14" s="7"/>
      <c r="S14" s="10"/>
    </row>
    <row r="15" spans="1:19" x14ac:dyDescent="0.3">
      <c r="A15" s="1" t="s">
        <v>6</v>
      </c>
      <c r="D15" s="7"/>
      <c r="G15" s="10"/>
      <c r="H15" s="10"/>
      <c r="J15" s="10"/>
      <c r="K15" s="152"/>
      <c r="L15" s="10"/>
      <c r="M15" s="1" t="s">
        <v>6</v>
      </c>
      <c r="P15" s="7"/>
      <c r="S15" s="10"/>
    </row>
    <row r="16" spans="1:19" x14ac:dyDescent="0.3">
      <c r="D16" s="170" t="s">
        <v>7</v>
      </c>
      <c r="E16" s="171" t="s">
        <v>9</v>
      </c>
      <c r="G16" s="10"/>
      <c r="H16" s="10"/>
      <c r="I16" s="171" t="s">
        <v>9</v>
      </c>
      <c r="J16" s="10"/>
      <c r="K16" s="152"/>
      <c r="L16" s="10"/>
      <c r="P16" s="170" t="s">
        <v>7</v>
      </c>
      <c r="Q16" s="171" t="s">
        <v>9</v>
      </c>
      <c r="S16" s="10"/>
    </row>
    <row r="17" spans="1:21" x14ac:dyDescent="0.3">
      <c r="B17" s="2" t="s">
        <v>100</v>
      </c>
      <c r="D17" s="27">
        <f>'Billing Determ'!Q20</f>
        <v>11275679</v>
      </c>
      <c r="E17" s="238">
        <f>'Present and Proposed Rates'!F16</f>
        <v>9.7017000000000006E-2</v>
      </c>
      <c r="F17" s="16"/>
      <c r="G17" s="15">
        <f>D17*E17</f>
        <v>1093932.5495430001</v>
      </c>
      <c r="H17" s="15"/>
      <c r="I17" s="238">
        <f>'Present and Proposed Rates'!G16</f>
        <v>9.7017000000000006E-2</v>
      </c>
      <c r="J17" s="10">
        <f>I17*D17</f>
        <v>1093932.5495430001</v>
      </c>
      <c r="K17" s="152"/>
      <c r="L17" s="15"/>
      <c r="N17" s="2" t="s">
        <v>100</v>
      </c>
      <c r="P17" s="27">
        <f>D17</f>
        <v>11275679</v>
      </c>
      <c r="Q17" s="238">
        <f>'Present and Proposed Rates'!H16</f>
        <v>0.101303</v>
      </c>
      <c r="R17" s="16"/>
      <c r="S17" s="15">
        <f>P17*Q17</f>
        <v>1142260.109737</v>
      </c>
    </row>
    <row r="18" spans="1:21" x14ac:dyDescent="0.3">
      <c r="A18" s="1"/>
      <c r="B18" s="16"/>
      <c r="C18" s="16" t="s">
        <v>155</v>
      </c>
      <c r="D18" s="315">
        <f>D17/D12</f>
        <v>1928.7853232979814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x14ac:dyDescent="0.3">
      <c r="A19" s="1" t="s">
        <v>51</v>
      </c>
      <c r="B19" s="45"/>
      <c r="C19" s="109"/>
      <c r="D19" s="51"/>
      <c r="E19" s="58"/>
      <c r="F19" s="24"/>
      <c r="G19" s="15"/>
      <c r="H19" s="15"/>
      <c r="I19" s="15"/>
      <c r="J19" s="15"/>
      <c r="K19" s="153"/>
      <c r="L19" s="54"/>
      <c r="M19" s="1" t="s">
        <v>51</v>
      </c>
      <c r="N19" s="45"/>
      <c r="O19" s="109"/>
      <c r="P19" s="51"/>
      <c r="Q19" s="58"/>
      <c r="R19" s="24"/>
      <c r="S19" s="15"/>
    </row>
    <row r="20" spans="1:21" x14ac:dyDescent="0.3">
      <c r="A20" s="1"/>
      <c r="B20" s="24" t="s">
        <v>45</v>
      </c>
      <c r="C20" s="109"/>
      <c r="D20" s="51"/>
      <c r="E20" s="294">
        <f>G20/D$17</f>
        <v>7.4959605155485538E-4</v>
      </c>
      <c r="F20" s="24"/>
      <c r="G20" s="15">
        <f>'Billing Determ'!Q80</f>
        <v>8452.2044569999998</v>
      </c>
      <c r="H20" s="15"/>
      <c r="I20" s="294">
        <f>J20/D$17</f>
        <v>7.4959605155485538E-4</v>
      </c>
      <c r="J20" s="15">
        <f>G20</f>
        <v>8452.2044569999998</v>
      </c>
      <c r="K20" s="153"/>
      <c r="L20" s="54"/>
      <c r="M20" s="1"/>
      <c r="N20" s="24" t="s">
        <v>45</v>
      </c>
      <c r="O20" s="109"/>
      <c r="P20" s="51"/>
      <c r="Q20" s="294">
        <f>S20/P$17</f>
        <v>7.4959605155485538E-4</v>
      </c>
      <c r="R20" s="24"/>
      <c r="S20" s="15">
        <f>G20</f>
        <v>8452.2044569999998</v>
      </c>
    </row>
    <row r="21" spans="1:21" x14ac:dyDescent="0.3">
      <c r="A21" s="1"/>
      <c r="B21" s="24" t="s">
        <v>52</v>
      </c>
      <c r="C21" s="109"/>
      <c r="D21" s="51"/>
      <c r="E21" s="294">
        <f t="shared" ref="E21:E23" si="0">G21/D$17</f>
        <v>7.2299296675614839E-3</v>
      </c>
      <c r="F21" s="24"/>
      <c r="G21" s="54">
        <f>'Billing Determ'!Q92</f>
        <v>81522.366124000007</v>
      </c>
      <c r="H21" s="54"/>
      <c r="I21" s="294">
        <f t="shared" ref="I21:I23" si="1">J21/D$17</f>
        <v>7.2299296675614839E-3</v>
      </c>
      <c r="J21" s="15">
        <f>G21</f>
        <v>81522.366124000007</v>
      </c>
      <c r="K21" s="153"/>
      <c r="L21" s="54"/>
      <c r="M21" s="1"/>
      <c r="N21" s="24" t="s">
        <v>52</v>
      </c>
      <c r="O21" s="109"/>
      <c r="P21" s="51"/>
      <c r="Q21" s="294">
        <f t="shared" ref="Q21:Q23" si="2">S21/P$17</f>
        <v>7.2299296675614839E-3</v>
      </c>
      <c r="R21" s="24"/>
      <c r="S21" s="15">
        <f>G21</f>
        <v>81522.366124000007</v>
      </c>
    </row>
    <row r="22" spans="1:21" x14ac:dyDescent="0.3">
      <c r="A22" s="1"/>
      <c r="B22" s="24" t="s">
        <v>124</v>
      </c>
      <c r="C22" s="109"/>
      <c r="D22" s="51"/>
      <c r="E22" s="294">
        <f t="shared" si="0"/>
        <v>-3.7289135362047823E-3</v>
      </c>
      <c r="F22" s="24"/>
      <c r="G22" s="54">
        <f>'Billing Determ'!Q104</f>
        <v>-42046.032053000003</v>
      </c>
      <c r="H22" s="54"/>
      <c r="I22" s="294">
        <f t="shared" si="1"/>
        <v>-3.7289135362047823E-3</v>
      </c>
      <c r="J22" s="15">
        <f>G22</f>
        <v>-42046.032053000003</v>
      </c>
      <c r="K22" s="153"/>
      <c r="L22" s="54"/>
      <c r="M22" s="1"/>
      <c r="N22" s="24" t="s">
        <v>80</v>
      </c>
      <c r="O22" s="109"/>
      <c r="P22" s="51"/>
      <c r="Q22" s="294">
        <f t="shared" si="2"/>
        <v>-3.7289135362047823E-3</v>
      </c>
      <c r="R22" s="24"/>
      <c r="S22" s="15">
        <f>J22</f>
        <v>-42046.032053000003</v>
      </c>
    </row>
    <row r="23" spans="1:21" x14ac:dyDescent="0.3">
      <c r="A23" s="1"/>
      <c r="B23" s="24" t="s">
        <v>123</v>
      </c>
      <c r="C23" s="109"/>
      <c r="D23" s="51"/>
      <c r="E23" s="294">
        <f t="shared" si="0"/>
        <v>1.794193333385954E-3</v>
      </c>
      <c r="F23" s="24"/>
      <c r="G23" s="15">
        <f>'Billing Determ'!Q116</f>
        <v>20230.748091199999</v>
      </c>
      <c r="H23" s="15"/>
      <c r="I23" s="294">
        <f t="shared" si="1"/>
        <v>1.794193333385954E-3</v>
      </c>
      <c r="J23" s="15">
        <f>G23</f>
        <v>20230.748091199999</v>
      </c>
      <c r="K23" s="153"/>
      <c r="L23" s="54"/>
      <c r="M23" s="1"/>
      <c r="N23" s="24" t="s">
        <v>45</v>
      </c>
      <c r="O23" s="109"/>
      <c r="P23" s="51"/>
      <c r="Q23" s="294">
        <f t="shared" si="2"/>
        <v>1.794193333385954E-3</v>
      </c>
      <c r="R23" s="24"/>
      <c r="S23" s="15">
        <f>G23</f>
        <v>20230.748091199999</v>
      </c>
    </row>
    <row r="24" spans="1:21" x14ac:dyDescent="0.3">
      <c r="B24" s="16"/>
      <c r="C24" s="16"/>
      <c r="D24" s="27"/>
      <c r="E24" s="28"/>
      <c r="F24" s="16"/>
      <c r="G24" s="37"/>
      <c r="H24" s="37"/>
      <c r="I24" s="37"/>
      <c r="J24" s="37"/>
      <c r="K24" s="152"/>
      <c r="L24" s="37"/>
      <c r="M24" s="118"/>
    </row>
    <row r="25" spans="1:21" x14ac:dyDescent="0.3">
      <c r="A25" s="1"/>
      <c r="D25" s="22"/>
      <c r="G25" s="15"/>
      <c r="H25" s="15"/>
      <c r="I25" s="15"/>
      <c r="J25" s="15"/>
      <c r="K25" s="152"/>
      <c r="L25" s="15"/>
      <c r="M25" s="1"/>
      <c r="S25" s="15"/>
    </row>
    <row r="26" spans="1:21" ht="16.2" thickBot="1" x14ac:dyDescent="0.35">
      <c r="A26" s="1" t="s">
        <v>34</v>
      </c>
      <c r="G26" s="21">
        <f>SUM(G12:G23)</f>
        <v>1307657.2361621996</v>
      </c>
      <c r="H26" s="15"/>
      <c r="I26" s="15"/>
      <c r="J26" s="21">
        <f>SUM(J12:J23)</f>
        <v>1307657.2361621996</v>
      </c>
      <c r="K26" s="152"/>
      <c r="L26" s="15"/>
      <c r="M26" s="1" t="s">
        <v>34</v>
      </c>
      <c r="S26" s="21">
        <f>SUM(S12:S23)</f>
        <v>1399069.8163561996</v>
      </c>
    </row>
    <row r="27" spans="1:21" ht="16.2" thickTop="1" x14ac:dyDescent="0.3">
      <c r="A27" s="1"/>
      <c r="B27" s="1"/>
      <c r="G27" s="15"/>
      <c r="H27" s="15"/>
      <c r="I27" s="15"/>
      <c r="J27" s="15"/>
      <c r="K27" s="152"/>
      <c r="L27" s="15"/>
      <c r="M27" s="1"/>
      <c r="N27" s="1"/>
      <c r="S27" s="15"/>
    </row>
    <row r="28" spans="1:21" x14ac:dyDescent="0.3">
      <c r="A28" s="32" t="s">
        <v>15</v>
      </c>
      <c r="B28" s="9"/>
      <c r="G28" s="10">
        <f>'Billing Determ'!Q32</f>
        <v>1309041.8000000003</v>
      </c>
      <c r="H28" s="10"/>
      <c r="I28" s="10"/>
      <c r="J28" s="10"/>
      <c r="K28" s="154"/>
      <c r="L28" s="10"/>
      <c r="M28" s="91" t="s">
        <v>59</v>
      </c>
      <c r="N28" s="9"/>
      <c r="S28" s="26">
        <f>S26-J26</f>
        <v>91412.580193999922</v>
      </c>
    </row>
    <row r="29" spans="1:21" x14ac:dyDescent="0.3">
      <c r="A29" s="9"/>
      <c r="B29" s="9"/>
      <c r="G29" s="9"/>
      <c r="H29" s="9"/>
      <c r="I29" s="9"/>
      <c r="J29" s="9"/>
      <c r="K29" s="155"/>
      <c r="L29" s="9"/>
      <c r="M29" s="35"/>
      <c r="N29" s="9"/>
      <c r="S29" s="9"/>
    </row>
    <row r="30" spans="1:21" x14ac:dyDescent="0.3">
      <c r="A30" s="32" t="s">
        <v>10</v>
      </c>
      <c r="B30" s="9"/>
      <c r="G30" s="19">
        <f>G26-G28</f>
        <v>-1384.5638378006406</v>
      </c>
      <c r="H30" s="19"/>
      <c r="I30" s="19"/>
      <c r="J30" s="19">
        <f>J26-G26</f>
        <v>0</v>
      </c>
      <c r="K30" s="152"/>
      <c r="L30" s="19"/>
      <c r="M30" s="91" t="s">
        <v>60</v>
      </c>
      <c r="N30" s="9"/>
      <c r="S30" s="111">
        <f>S28/J26</f>
        <v>6.9905612622374741E-2</v>
      </c>
    </row>
    <row r="31" spans="1:21" x14ac:dyDescent="0.3">
      <c r="A31" s="9"/>
      <c r="B31" s="9"/>
      <c r="G31" s="10"/>
      <c r="H31" s="10"/>
      <c r="I31" s="10"/>
      <c r="J31" s="10"/>
      <c r="K31" s="156"/>
      <c r="L31" s="10"/>
      <c r="M31" s="24"/>
      <c r="N31" s="9"/>
      <c r="S31" s="10"/>
    </row>
    <row r="32" spans="1:21" x14ac:dyDescent="0.3">
      <c r="A32" s="32" t="s">
        <v>17</v>
      </c>
      <c r="B32" s="9"/>
      <c r="G32" s="20">
        <f>G30/G28</f>
        <v>-1.0576926098163101E-3</v>
      </c>
      <c r="H32" s="20"/>
      <c r="I32" s="20"/>
      <c r="J32" s="20">
        <f>J30/G28</f>
        <v>0</v>
      </c>
      <c r="K32" s="156"/>
      <c r="L32" s="20"/>
      <c r="M32" s="45" t="s">
        <v>37</v>
      </c>
      <c r="N32" s="9"/>
      <c r="S32" s="37">
        <f>S28/P12</f>
        <v>15.636773895655136</v>
      </c>
    </row>
    <row r="33" spans="1:19" x14ac:dyDescent="0.3">
      <c r="A33" s="32"/>
      <c r="B33" s="9"/>
      <c r="D33" s="23">
        <f>D17/D12</f>
        <v>1928.7853232979814</v>
      </c>
      <c r="G33" s="20"/>
      <c r="H33" s="20"/>
      <c r="I33" s="20"/>
      <c r="J33" s="20"/>
      <c r="K33" s="20"/>
      <c r="L33" s="20"/>
      <c r="M33" s="32"/>
      <c r="N33" s="9"/>
      <c r="S33" s="20"/>
    </row>
    <row r="34" spans="1:19" x14ac:dyDescent="0.3">
      <c r="A34" s="32"/>
      <c r="B34" s="9"/>
      <c r="G34" s="20"/>
      <c r="H34" s="20"/>
      <c r="I34" s="20"/>
      <c r="J34" s="20"/>
      <c r="K34" s="20"/>
      <c r="L34" s="20"/>
      <c r="M34" s="32"/>
      <c r="N34" s="9"/>
      <c r="S34" s="20"/>
    </row>
    <row r="35" spans="1:19" x14ac:dyDescent="0.3">
      <c r="A35" s="32"/>
      <c r="B35" s="9"/>
      <c r="D35" s="18"/>
      <c r="G35" s="20"/>
      <c r="H35" s="20"/>
      <c r="I35" s="20"/>
      <c r="J35" s="20"/>
      <c r="K35" s="20"/>
      <c r="L35" s="20"/>
      <c r="M35" s="32"/>
      <c r="N35" s="9"/>
      <c r="S35" s="20"/>
    </row>
    <row r="36" spans="1:19" x14ac:dyDescent="0.3">
      <c r="A36" s="32"/>
      <c r="B36" s="9"/>
      <c r="G36" s="20"/>
      <c r="H36" s="20"/>
      <c r="I36" s="20"/>
      <c r="J36" s="20"/>
      <c r="K36" s="20"/>
      <c r="L36" s="20"/>
      <c r="M36" s="32"/>
      <c r="N36" s="9"/>
      <c r="S36" s="20"/>
    </row>
    <row r="37" spans="1:19" x14ac:dyDescent="0.3">
      <c r="A37" s="32"/>
      <c r="B37" s="9"/>
      <c r="G37" s="20"/>
      <c r="H37" s="20"/>
      <c r="I37" s="20"/>
      <c r="J37" s="20"/>
      <c r="K37" s="20"/>
      <c r="L37" s="20"/>
      <c r="M37" s="32"/>
      <c r="N37" s="9"/>
      <c r="S37" s="20"/>
    </row>
    <row r="38" spans="1:19" x14ac:dyDescent="0.3">
      <c r="A38" s="32"/>
      <c r="B38" s="9"/>
      <c r="G38" s="20"/>
      <c r="H38" s="20"/>
      <c r="I38" s="20"/>
      <c r="J38" s="20"/>
      <c r="K38" s="20"/>
      <c r="L38" s="20"/>
      <c r="M38" s="32"/>
      <c r="N38" s="9"/>
      <c r="S38" s="20"/>
    </row>
    <row r="39" spans="1:19" ht="18.75" customHeight="1" x14ac:dyDescent="0.3">
      <c r="A39" s="32"/>
      <c r="B39" s="10"/>
      <c r="G39" s="20"/>
      <c r="H39" s="20"/>
      <c r="I39" s="20"/>
      <c r="J39" s="20"/>
      <c r="K39" s="20"/>
      <c r="L39" s="20"/>
      <c r="N39" s="24"/>
    </row>
    <row r="40" spans="1:19" x14ac:dyDescent="0.3">
      <c r="E40" s="10"/>
      <c r="N40" s="24"/>
    </row>
    <row r="54" ht="16.5" customHeight="1" x14ac:dyDescent="0.3"/>
    <row r="87" ht="15" customHeight="1" x14ac:dyDescent="0.3"/>
    <row r="133" spans="2:14" x14ac:dyDescent="0.3">
      <c r="N133" s="40"/>
    </row>
    <row r="134" spans="2:14" x14ac:dyDescent="0.3">
      <c r="B134" s="16"/>
      <c r="C134" s="40"/>
      <c r="D134" s="40"/>
      <c r="E134" s="16"/>
      <c r="F134" s="16"/>
      <c r="G134" s="16"/>
      <c r="H134" s="16"/>
      <c r="I134" s="16"/>
      <c r="J134" s="16"/>
      <c r="K134" s="16"/>
      <c r="L134" s="16"/>
      <c r="N134" s="40"/>
    </row>
    <row r="135" spans="2:14" x14ac:dyDescent="0.3">
      <c r="B135" s="16"/>
      <c r="C135" s="41"/>
      <c r="D135" s="65"/>
      <c r="E135" s="69"/>
      <c r="F135" s="16"/>
      <c r="G135" s="16"/>
      <c r="H135" s="16"/>
      <c r="I135" s="16"/>
      <c r="J135" s="16"/>
      <c r="K135" s="16"/>
      <c r="L135" s="16"/>
      <c r="N135" s="40"/>
    </row>
    <row r="136" spans="2:14" x14ac:dyDescent="0.3">
      <c r="B136" s="16"/>
      <c r="C136" s="41"/>
      <c r="D136" s="65"/>
      <c r="E136" s="69"/>
      <c r="F136" s="16"/>
      <c r="G136" s="16"/>
      <c r="H136" s="16"/>
      <c r="I136" s="16"/>
      <c r="J136" s="16"/>
      <c r="K136" s="16"/>
      <c r="L136" s="16"/>
      <c r="N136" s="40"/>
    </row>
    <row r="137" spans="2:14" x14ac:dyDescent="0.3">
      <c r="B137" s="16"/>
      <c r="C137" s="41"/>
      <c r="D137" s="65"/>
      <c r="E137" s="69"/>
      <c r="F137" s="16"/>
      <c r="G137" s="16"/>
      <c r="H137" s="16"/>
      <c r="I137" s="16"/>
      <c r="J137" s="16"/>
      <c r="K137" s="16"/>
      <c r="L137" s="16"/>
      <c r="N137" s="40"/>
    </row>
  </sheetData>
  <mergeCells count="5">
    <mergeCell ref="D4:G5"/>
    <mergeCell ref="P4:S5"/>
    <mergeCell ref="E7:F7"/>
    <mergeCell ref="Q7:R7"/>
    <mergeCell ref="I4:J5"/>
  </mergeCells>
  <pageMargins left="0.75" right="0.75" top="1" bottom="1" header="0.5" footer="0.5"/>
  <pageSetup scale="64" orientation="landscape" r:id="rId1"/>
  <headerFooter alignWithMargins="0">
    <oddFooter>&amp;RExhibit JW-9
Page &amp;P of &amp;N</oddFooter>
  </headerFooter>
  <ignoredErrors>
    <ignoredError sqref="S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45"/>
  <sheetViews>
    <sheetView view="pageBreakPreview" topLeftCell="A7" zoomScale="75" zoomScaleNormal="85" zoomScaleSheetLayoutView="75" workbookViewId="0">
      <selection activeCell="N32" sqref="N32"/>
    </sheetView>
  </sheetViews>
  <sheetFormatPr defaultColWidth="9.109375" defaultRowHeight="15.6" x14ac:dyDescent="0.3"/>
  <cols>
    <col min="1" max="1" width="4.6640625" style="2" customWidth="1"/>
    <col min="2" max="2" width="14.6640625" style="2" customWidth="1"/>
    <col min="3" max="3" width="2.44140625" style="2" customWidth="1"/>
    <col min="4" max="4" width="15" style="2" bestFit="1" customWidth="1"/>
    <col min="5" max="5" width="14.5546875" style="2" bestFit="1" customWidth="1"/>
    <col min="6" max="6" width="3.109375" style="2" customWidth="1"/>
    <col min="7" max="7" width="16.21875" style="2" customWidth="1"/>
    <col min="8" max="8" width="3.33203125" style="2" customWidth="1"/>
    <col min="9" max="9" width="14.5546875" style="2" bestFit="1" customWidth="1"/>
    <col min="10" max="10" width="15.5546875" style="2" customWidth="1"/>
    <col min="11" max="11" width="2" style="2" customWidth="1"/>
    <col min="12" max="13" width="2.88671875" style="2" customWidth="1"/>
    <col min="14" max="14" width="16.5546875" style="2" customWidth="1"/>
    <col min="15" max="15" width="3" style="2" customWidth="1"/>
    <col min="16" max="16" width="16" style="2" customWidth="1"/>
    <col min="17" max="17" width="18" style="2" bestFit="1" customWidth="1"/>
    <col min="18" max="18" width="1.88671875" style="2" customWidth="1"/>
    <col min="19" max="19" width="15.88671875" style="2" customWidth="1"/>
    <col min="20" max="16384" width="9.109375" style="2"/>
  </cols>
  <sheetData>
    <row r="1" spans="1:19" x14ac:dyDescent="0.3">
      <c r="A1" s="1" t="s">
        <v>79</v>
      </c>
      <c r="N1" s="1"/>
    </row>
    <row r="2" spans="1:19" x14ac:dyDescent="0.3">
      <c r="A2" s="45" t="str">
        <f>List!B8</f>
        <v>D - Commercial and Industrial Demand &lt; 3,000 kW</v>
      </c>
      <c r="N2" s="24"/>
      <c r="O2" s="24"/>
      <c r="P2" s="24"/>
      <c r="Q2" s="24"/>
      <c r="R2" s="24"/>
      <c r="S2" s="24"/>
    </row>
    <row r="3" spans="1:19" ht="16.2" thickBot="1" x14ac:dyDescent="0.35">
      <c r="A3" s="212" t="str">
        <f>List!C8</f>
        <v>D</v>
      </c>
      <c r="B3" s="24"/>
      <c r="C3" s="24"/>
      <c r="N3" s="24"/>
      <c r="O3" s="24"/>
      <c r="P3" s="24"/>
      <c r="Q3" s="24"/>
      <c r="R3" s="24"/>
      <c r="S3" s="24"/>
    </row>
    <row r="4" spans="1:19" x14ac:dyDescent="0.3">
      <c r="A4" s="24"/>
      <c r="B4" s="24"/>
      <c r="C4" s="24"/>
      <c r="D4" s="364" t="s">
        <v>18</v>
      </c>
      <c r="E4" s="365"/>
      <c r="F4" s="365"/>
      <c r="G4" s="366"/>
      <c r="H4" s="293"/>
      <c r="I4" s="364" t="s">
        <v>58</v>
      </c>
      <c r="J4" s="366"/>
      <c r="K4" s="151"/>
      <c r="L4" s="293"/>
      <c r="M4" s="24"/>
      <c r="N4" s="24"/>
      <c r="O4" s="24"/>
      <c r="P4" s="364" t="s">
        <v>42</v>
      </c>
      <c r="Q4" s="365"/>
      <c r="R4" s="365"/>
      <c r="S4" s="366"/>
    </row>
    <row r="5" spans="1:19" ht="16.2" thickBot="1" x14ac:dyDescent="0.35">
      <c r="A5" s="43"/>
      <c r="B5" s="86"/>
      <c r="C5" s="293"/>
      <c r="D5" s="367"/>
      <c r="E5" s="368"/>
      <c r="F5" s="368"/>
      <c r="G5" s="369"/>
      <c r="H5" s="293"/>
      <c r="I5" s="367"/>
      <c r="J5" s="369"/>
      <c r="K5" s="151"/>
      <c r="L5" s="293"/>
      <c r="M5" s="43"/>
      <c r="N5" s="86"/>
      <c r="O5" s="293"/>
      <c r="P5" s="367"/>
      <c r="Q5" s="368"/>
      <c r="R5" s="368"/>
      <c r="S5" s="369"/>
    </row>
    <row r="6" spans="1:19" x14ac:dyDescent="0.3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51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2" thickBot="1" x14ac:dyDescent="0.35">
      <c r="A7" s="5"/>
      <c r="B7" s="5"/>
      <c r="C7" s="5"/>
      <c r="D7" s="5" t="s">
        <v>3</v>
      </c>
      <c r="E7" s="370" t="s">
        <v>4</v>
      </c>
      <c r="F7" s="370"/>
      <c r="G7" s="5" t="s">
        <v>5</v>
      </c>
      <c r="H7" s="5"/>
      <c r="I7" s="5" t="s">
        <v>4</v>
      </c>
      <c r="J7" s="5" t="s">
        <v>5</v>
      </c>
      <c r="K7" s="150"/>
      <c r="L7" s="5"/>
      <c r="M7" s="5"/>
      <c r="N7" s="5"/>
      <c r="O7" s="5"/>
      <c r="P7" s="5" t="s">
        <v>3</v>
      </c>
      <c r="Q7" s="370" t="s">
        <v>4</v>
      </c>
      <c r="R7" s="370"/>
      <c r="S7" s="5" t="s">
        <v>5</v>
      </c>
    </row>
    <row r="8" spans="1:19" x14ac:dyDescent="0.3">
      <c r="K8" s="151"/>
    </row>
    <row r="9" spans="1:19" x14ac:dyDescent="0.3">
      <c r="K9" s="151"/>
    </row>
    <row r="10" spans="1:19" x14ac:dyDescent="0.3">
      <c r="A10" s="118" t="s">
        <v>8</v>
      </c>
      <c r="K10" s="151"/>
      <c r="M10" s="118" t="s">
        <v>8</v>
      </c>
    </row>
    <row r="11" spans="1:19" x14ac:dyDescent="0.3">
      <c r="D11" s="169" t="s">
        <v>46</v>
      </c>
      <c r="E11" s="169" t="s">
        <v>47</v>
      </c>
      <c r="I11" s="169" t="s">
        <v>47</v>
      </c>
      <c r="K11" s="151"/>
      <c r="P11" s="169" t="s">
        <v>46</v>
      </c>
      <c r="Q11" s="169" t="s">
        <v>47</v>
      </c>
    </row>
    <row r="12" spans="1:19" x14ac:dyDescent="0.3">
      <c r="B12" s="2" t="s">
        <v>57</v>
      </c>
      <c r="D12" s="27">
        <f>'Billing Determ'!Q9</f>
        <v>7396</v>
      </c>
      <c r="E12" s="8">
        <f>'Present and Proposed Rates'!F18</f>
        <v>48.42</v>
      </c>
      <c r="G12" s="10">
        <f>D12*E12</f>
        <v>358114.32</v>
      </c>
      <c r="H12" s="10"/>
      <c r="I12" s="8">
        <f>'Present and Proposed Rates'!G18</f>
        <v>48.42</v>
      </c>
      <c r="J12" s="10">
        <f>I12*D12</f>
        <v>358114.32</v>
      </c>
      <c r="K12" s="152"/>
      <c r="L12" s="10"/>
      <c r="N12" s="2" t="s">
        <v>53</v>
      </c>
      <c r="P12" s="27">
        <f>D12</f>
        <v>7396</v>
      </c>
      <c r="Q12" s="8">
        <f>'Present and Proposed Rates'!H18</f>
        <v>48.42</v>
      </c>
      <c r="S12" s="10">
        <f>P12*Q12</f>
        <v>358114.32</v>
      </c>
    </row>
    <row r="13" spans="1:19" x14ac:dyDescent="0.3">
      <c r="D13" s="27"/>
      <c r="E13" s="8"/>
      <c r="G13" s="10"/>
      <c r="H13" s="10"/>
      <c r="I13" s="8"/>
      <c r="J13" s="10"/>
      <c r="K13" s="152"/>
      <c r="L13" s="10"/>
      <c r="P13" s="27"/>
      <c r="Q13" s="8"/>
      <c r="S13" s="10"/>
    </row>
    <row r="14" spans="1:19" x14ac:dyDescent="0.3">
      <c r="D14" s="7"/>
      <c r="G14" s="10"/>
      <c r="H14" s="10"/>
      <c r="J14" s="10"/>
      <c r="K14" s="152"/>
      <c r="L14" s="10"/>
      <c r="P14" s="7"/>
      <c r="S14" s="10"/>
    </row>
    <row r="15" spans="1:19" x14ac:dyDescent="0.3">
      <c r="A15" s="1" t="s">
        <v>6</v>
      </c>
      <c r="D15" s="7"/>
      <c r="G15" s="10"/>
      <c r="H15" s="10"/>
      <c r="J15" s="10"/>
      <c r="K15" s="152"/>
      <c r="L15" s="10"/>
      <c r="M15" s="1" t="s">
        <v>6</v>
      </c>
      <c r="P15" s="7"/>
      <c r="S15" s="10"/>
    </row>
    <row r="16" spans="1:19" x14ac:dyDescent="0.3">
      <c r="D16" s="170" t="s">
        <v>7</v>
      </c>
      <c r="E16" s="171" t="s">
        <v>9</v>
      </c>
      <c r="G16" s="10"/>
      <c r="H16" s="10"/>
      <c r="I16" s="171" t="s">
        <v>9</v>
      </c>
      <c r="J16" s="10"/>
      <c r="K16" s="152"/>
      <c r="L16" s="10"/>
      <c r="P16" s="170" t="s">
        <v>7</v>
      </c>
      <c r="Q16" s="171" t="s">
        <v>9</v>
      </c>
      <c r="S16" s="10"/>
    </row>
    <row r="17" spans="1:19" x14ac:dyDescent="0.3">
      <c r="B17" s="2" t="s">
        <v>130</v>
      </c>
      <c r="D17" s="27">
        <f>D25*200</f>
        <v>124036607.77777778</v>
      </c>
      <c r="E17" s="238">
        <f>'Present and Proposed Rates'!F20</f>
        <v>6.2202E-2</v>
      </c>
      <c r="F17" s="16"/>
      <c r="G17" s="15">
        <f>D17*E17</f>
        <v>7715325.0769933332</v>
      </c>
      <c r="H17" s="15"/>
      <c r="I17" s="238">
        <f>'Present and Proposed Rates'!G20</f>
        <v>6.2202E-2</v>
      </c>
      <c r="J17" s="10">
        <f>I17*D17</f>
        <v>7715325.0769933332</v>
      </c>
      <c r="K17" s="152"/>
      <c r="L17" s="15"/>
      <c r="N17" s="2" t="s">
        <v>100</v>
      </c>
      <c r="P17" s="27">
        <f>D17</f>
        <v>124036607.77777778</v>
      </c>
      <c r="Q17" s="238">
        <f>'Present and Proposed Rates'!H20</f>
        <v>6.2202E-2</v>
      </c>
      <c r="R17" s="16"/>
      <c r="S17" s="15">
        <f>P17*Q17</f>
        <v>7715325.0769933332</v>
      </c>
    </row>
    <row r="18" spans="1:19" x14ac:dyDescent="0.3">
      <c r="B18" s="2" t="s">
        <v>131</v>
      </c>
      <c r="D18" s="27">
        <f>D21-D17</f>
        <v>52028519.222222224</v>
      </c>
      <c r="E18" s="238">
        <f>'Present and Proposed Rates'!F21</f>
        <v>5.2103999999999998E-2</v>
      </c>
      <c r="F18" s="16"/>
      <c r="G18" s="15">
        <f>D18*E18</f>
        <v>2710893.9655546667</v>
      </c>
      <c r="H18" s="15"/>
      <c r="I18" s="238">
        <f>'Present and Proposed Rates'!G21</f>
        <v>5.2103999999999998E-2</v>
      </c>
      <c r="J18" s="10">
        <f>I18*D18</f>
        <v>2710893.9655546667</v>
      </c>
      <c r="K18" s="152"/>
      <c r="L18" s="15"/>
      <c r="N18" s="2" t="s">
        <v>100</v>
      </c>
      <c r="P18" s="27">
        <f>D18</f>
        <v>52028519.222222224</v>
      </c>
      <c r="Q18" s="238">
        <f>'Present and Proposed Rates'!H21</f>
        <v>5.2103999999999998E-2</v>
      </c>
      <c r="R18" s="16"/>
      <c r="S18" s="15">
        <f>P18*Q18</f>
        <v>2710893.9655546667</v>
      </c>
    </row>
    <row r="19" spans="1:19" x14ac:dyDescent="0.3">
      <c r="B19" s="2" t="s">
        <v>132</v>
      </c>
      <c r="D19" s="27">
        <v>0</v>
      </c>
      <c r="E19" s="238">
        <f>'Present and Proposed Rates'!F22</f>
        <v>4.6973000000000001E-2</v>
      </c>
      <c r="F19" s="16"/>
      <c r="G19" s="15">
        <f>D19*E19</f>
        <v>0</v>
      </c>
      <c r="H19" s="15"/>
      <c r="I19" s="238">
        <f>'Present and Proposed Rates'!G22</f>
        <v>4.6973000000000001E-2</v>
      </c>
      <c r="J19" s="10">
        <f>I19*D19</f>
        <v>0</v>
      </c>
      <c r="K19" s="152"/>
      <c r="L19" s="15"/>
      <c r="N19" s="2" t="s">
        <v>100</v>
      </c>
      <c r="P19" s="27">
        <f>D19</f>
        <v>0</v>
      </c>
      <c r="Q19" s="238">
        <f>'Present and Proposed Rates'!H22</f>
        <v>4.6973000000000001E-2</v>
      </c>
      <c r="R19" s="16"/>
      <c r="S19" s="15">
        <f>P19*Q19</f>
        <v>0</v>
      </c>
    </row>
    <row r="20" spans="1:19" x14ac:dyDescent="0.3">
      <c r="B20" s="2" t="s">
        <v>133</v>
      </c>
      <c r="D20" s="27">
        <v>0</v>
      </c>
      <c r="E20" s="238">
        <f>'Present and Proposed Rates'!F23</f>
        <v>4.1993000000000003E-2</v>
      </c>
      <c r="F20" s="16"/>
      <c r="G20" s="15">
        <f>D20*E20</f>
        <v>0</v>
      </c>
      <c r="H20" s="15"/>
      <c r="I20" s="238">
        <f>'Present and Proposed Rates'!G23</f>
        <v>4.1993000000000003E-2</v>
      </c>
      <c r="J20" s="10">
        <f>I20*D20</f>
        <v>0</v>
      </c>
      <c r="K20" s="152"/>
      <c r="L20" s="15"/>
      <c r="N20" s="2" t="s">
        <v>100</v>
      </c>
      <c r="P20" s="27">
        <f>D20</f>
        <v>0</v>
      </c>
      <c r="Q20" s="238">
        <f>'Present and Proposed Rates'!H23</f>
        <v>4.1993000000000003E-2</v>
      </c>
      <c r="R20" s="16"/>
      <c r="S20" s="15">
        <f>P20*Q20</f>
        <v>0</v>
      </c>
    </row>
    <row r="21" spans="1:19" x14ac:dyDescent="0.3">
      <c r="B21" s="239" t="s">
        <v>134</v>
      </c>
      <c r="D21" s="241">
        <f>'Billing Determ'!Q21</f>
        <v>176065127</v>
      </c>
      <c r="E21" s="295">
        <f>G21/D21</f>
        <v>5.9217967920177632E-2</v>
      </c>
      <c r="F21" s="16"/>
      <c r="G21" s="240">
        <f>SUM(G17:G20)</f>
        <v>10426219.042548001</v>
      </c>
      <c r="H21" s="15"/>
      <c r="I21" s="295">
        <f>J21/D21</f>
        <v>5.9217967920177632E-2</v>
      </c>
      <c r="J21" s="240">
        <f>SUM(J17:J20)</f>
        <v>10426219.042548001</v>
      </c>
      <c r="K21" s="152"/>
      <c r="L21" s="15"/>
      <c r="N21" s="239" t="s">
        <v>100</v>
      </c>
      <c r="P21" s="241">
        <f>D21</f>
        <v>176065127</v>
      </c>
      <c r="Q21" s="295">
        <f>S21/P21</f>
        <v>5.9217967920177632E-2</v>
      </c>
      <c r="R21" s="16"/>
      <c r="S21" s="240">
        <f>SUM(S17:S20)</f>
        <v>10426219.042548001</v>
      </c>
    </row>
    <row r="22" spans="1:19" x14ac:dyDescent="0.3">
      <c r="A22" s="1"/>
      <c r="B22" s="45"/>
      <c r="C22" s="158" t="s">
        <v>155</v>
      </c>
      <c r="D22" s="312">
        <f>D21/D12</f>
        <v>23805.452541914547</v>
      </c>
      <c r="E22" s="58"/>
      <c r="F22" s="24"/>
      <c r="G22" s="15"/>
      <c r="H22" s="15"/>
      <c r="I22" s="15"/>
      <c r="J22" s="15"/>
      <c r="K22" s="153"/>
      <c r="L22" s="54"/>
      <c r="M22" s="1"/>
      <c r="N22" s="45"/>
      <c r="O22" s="109"/>
      <c r="P22" s="51"/>
      <c r="Q22" s="58"/>
      <c r="R22" s="24"/>
      <c r="S22" s="15"/>
    </row>
    <row r="23" spans="1:19" x14ac:dyDescent="0.3">
      <c r="A23" s="1" t="s">
        <v>48</v>
      </c>
      <c r="D23" s="7"/>
      <c r="G23" s="10"/>
      <c r="H23" s="10"/>
      <c r="J23" s="10"/>
      <c r="K23" s="152"/>
      <c r="L23" s="10"/>
      <c r="M23" s="1" t="s">
        <v>48</v>
      </c>
      <c r="P23" s="7"/>
      <c r="S23" s="10"/>
    </row>
    <row r="24" spans="1:19" x14ac:dyDescent="0.3">
      <c r="D24" s="170" t="s">
        <v>49</v>
      </c>
      <c r="E24" s="171" t="s">
        <v>50</v>
      </c>
      <c r="G24" s="10"/>
      <c r="H24" s="10"/>
      <c r="I24" s="171" t="s">
        <v>50</v>
      </c>
      <c r="J24" s="10"/>
      <c r="K24" s="152"/>
      <c r="L24" s="10"/>
      <c r="P24" s="170" t="s">
        <v>49</v>
      </c>
      <c r="Q24" s="171" t="s">
        <v>50</v>
      </c>
      <c r="S24" s="10"/>
    </row>
    <row r="25" spans="1:19" x14ac:dyDescent="0.3">
      <c r="B25" s="2" t="s">
        <v>57</v>
      </c>
      <c r="D25" s="27">
        <f>'Billing Determ'!Q42</f>
        <v>620183.0388888889</v>
      </c>
      <c r="E25" s="142">
        <f>'Present and Proposed Rates'!F19</f>
        <v>9</v>
      </c>
      <c r="F25" s="16"/>
      <c r="G25" s="15">
        <f>D25*E25</f>
        <v>5581647.3499999996</v>
      </c>
      <c r="H25" s="15"/>
      <c r="I25" s="142">
        <f>'Present and Proposed Rates'!G19</f>
        <v>9</v>
      </c>
      <c r="J25" s="10">
        <f>I25*D25</f>
        <v>5581647.3499999996</v>
      </c>
      <c r="K25" s="152"/>
      <c r="L25" s="15"/>
      <c r="N25" s="2" t="s">
        <v>57</v>
      </c>
      <c r="P25" s="27">
        <f>D25</f>
        <v>620183.0388888889</v>
      </c>
      <c r="Q25" s="142">
        <f>'Present and Proposed Rates'!H19</f>
        <v>9.11</v>
      </c>
      <c r="R25" s="16"/>
      <c r="S25" s="15">
        <f>P25*Q25</f>
        <v>5649867.4842777774</v>
      </c>
    </row>
    <row r="26" spans="1:19" x14ac:dyDescent="0.3">
      <c r="D26" s="27"/>
      <c r="E26" s="238"/>
      <c r="F26" s="16"/>
      <c r="G26" s="15"/>
      <c r="H26" s="15"/>
      <c r="I26" s="238"/>
      <c r="J26" s="10"/>
      <c r="K26" s="152"/>
      <c r="L26" s="15"/>
      <c r="P26" s="27"/>
      <c r="Q26" s="238"/>
      <c r="R26" s="16"/>
      <c r="S26" s="15"/>
    </row>
    <row r="27" spans="1:19" x14ac:dyDescent="0.3">
      <c r="A27" s="1" t="s">
        <v>51</v>
      </c>
      <c r="B27" s="45"/>
      <c r="C27" s="109"/>
      <c r="D27" s="51"/>
      <c r="E27" s="58"/>
      <c r="F27" s="24"/>
      <c r="G27" s="15"/>
      <c r="H27" s="15"/>
      <c r="I27" s="15"/>
      <c r="J27" s="15"/>
      <c r="K27" s="153"/>
      <c r="L27" s="54"/>
      <c r="M27" s="1" t="s">
        <v>51</v>
      </c>
      <c r="N27" s="45"/>
      <c r="O27" s="109"/>
      <c r="P27" s="51"/>
      <c r="Q27" s="58"/>
      <c r="R27" s="24"/>
      <c r="S27" s="15"/>
    </row>
    <row r="28" spans="1:19" x14ac:dyDescent="0.3">
      <c r="A28" s="1"/>
      <c r="B28" s="24" t="s">
        <v>45</v>
      </c>
      <c r="C28" s="109"/>
      <c r="D28" s="51"/>
      <c r="E28" s="294">
        <f>G28/D$21</f>
        <v>7.9758914365818737E-4</v>
      </c>
      <c r="F28" s="24"/>
      <c r="G28" s="15">
        <f>'Billing Determ'!Q81</f>
        <v>140427.63387200001</v>
      </c>
      <c r="H28" s="15"/>
      <c r="I28" s="294">
        <f>J28/D$21</f>
        <v>7.9758914365818737E-4</v>
      </c>
      <c r="J28" s="15">
        <f>G28</f>
        <v>140427.63387200001</v>
      </c>
      <c r="K28" s="153"/>
      <c r="L28" s="54"/>
      <c r="M28" s="1"/>
      <c r="N28" s="24" t="s">
        <v>45</v>
      </c>
      <c r="O28" s="109"/>
      <c r="P28" s="51"/>
      <c r="Q28" s="294">
        <f>S28/P$21</f>
        <v>7.9758914365818737E-4</v>
      </c>
      <c r="R28" s="24"/>
      <c r="S28" s="15">
        <f>G28</f>
        <v>140427.63387200001</v>
      </c>
    </row>
    <row r="29" spans="1:19" x14ac:dyDescent="0.3">
      <c r="A29" s="1"/>
      <c r="B29" s="24" t="s">
        <v>52</v>
      </c>
      <c r="C29" s="109"/>
      <c r="D29" s="51"/>
      <c r="E29" s="294">
        <f t="shared" ref="E29:E31" si="0">G29/D$21</f>
        <v>7.1949346277698709E-3</v>
      </c>
      <c r="F29" s="24"/>
      <c r="G29" s="54">
        <f>'Billing Determ'!Q93</f>
        <v>1266777.0789950001</v>
      </c>
      <c r="H29" s="54"/>
      <c r="I29" s="294">
        <f t="shared" ref="I29:I31" si="1">J29/D$21</f>
        <v>7.1949346277698709E-3</v>
      </c>
      <c r="J29" s="15">
        <f>G29</f>
        <v>1266777.0789950001</v>
      </c>
      <c r="K29" s="153"/>
      <c r="L29" s="54"/>
      <c r="M29" s="1"/>
      <c r="N29" s="24" t="s">
        <v>52</v>
      </c>
      <c r="O29" s="109"/>
      <c r="P29" s="51"/>
      <c r="Q29" s="294">
        <f t="shared" ref="Q29:Q31" si="2">S29/P$21</f>
        <v>7.1949346277698709E-3</v>
      </c>
      <c r="R29" s="24"/>
      <c r="S29" s="15">
        <f>G29</f>
        <v>1266777.0789950001</v>
      </c>
    </row>
    <row r="30" spans="1:19" x14ac:dyDescent="0.3">
      <c r="A30" s="1"/>
      <c r="B30" s="24" t="s">
        <v>124</v>
      </c>
      <c r="C30" s="109"/>
      <c r="D30" s="51"/>
      <c r="E30" s="294">
        <f t="shared" si="0"/>
        <v>-3.7432958747702495E-3</v>
      </c>
      <c r="F30" s="24"/>
      <c r="G30" s="54">
        <f>'Billing Determ'!Q105</f>
        <v>-659063.86359000008</v>
      </c>
      <c r="H30" s="54"/>
      <c r="I30" s="294">
        <f t="shared" si="1"/>
        <v>-3.7432958747702495E-3</v>
      </c>
      <c r="J30" s="15">
        <f>G30</f>
        <v>-659063.86359000008</v>
      </c>
      <c r="K30" s="153"/>
      <c r="L30" s="54"/>
      <c r="M30" s="1"/>
      <c r="N30" s="24" t="s">
        <v>80</v>
      </c>
      <c r="O30" s="109"/>
      <c r="P30" s="51"/>
      <c r="Q30" s="294">
        <f t="shared" si="2"/>
        <v>-3.7432958747702495E-3</v>
      </c>
      <c r="R30" s="24"/>
      <c r="S30" s="15">
        <f>J30</f>
        <v>-659063.86359000008</v>
      </c>
    </row>
    <row r="31" spans="1:19" x14ac:dyDescent="0.3">
      <c r="A31" s="1"/>
      <c r="B31" s="24" t="s">
        <v>123</v>
      </c>
      <c r="C31" s="109"/>
      <c r="D31" s="51"/>
      <c r="E31" s="294">
        <f t="shared" si="0"/>
        <v>1.8001426726173887E-3</v>
      </c>
      <c r="F31" s="24"/>
      <c r="G31" s="15">
        <f>'Billing Determ'!Q117</f>
        <v>316942.34827249998</v>
      </c>
      <c r="H31" s="15"/>
      <c r="I31" s="294">
        <f t="shared" si="1"/>
        <v>1.8001426726173887E-3</v>
      </c>
      <c r="J31" s="15">
        <f>G31</f>
        <v>316942.34827249998</v>
      </c>
      <c r="K31" s="153"/>
      <c r="L31" s="54"/>
      <c r="M31" s="1"/>
      <c r="N31" s="24" t="s">
        <v>45</v>
      </c>
      <c r="O31" s="109"/>
      <c r="P31" s="51"/>
      <c r="Q31" s="294">
        <f t="shared" si="2"/>
        <v>1.8001426726173887E-3</v>
      </c>
      <c r="R31" s="24"/>
      <c r="S31" s="15">
        <f>G31</f>
        <v>316942.34827249998</v>
      </c>
    </row>
    <row r="32" spans="1:19" x14ac:dyDescent="0.3">
      <c r="B32" s="16"/>
      <c r="C32" s="16"/>
      <c r="D32" s="27"/>
      <c r="E32" s="28"/>
      <c r="F32" s="16"/>
      <c r="G32" s="37"/>
      <c r="H32" s="37"/>
      <c r="I32" s="37"/>
      <c r="J32" s="37"/>
      <c r="K32" s="152"/>
      <c r="L32" s="37"/>
      <c r="M32" s="118"/>
    </row>
    <row r="33" spans="1:19" x14ac:dyDescent="0.3">
      <c r="A33" s="1"/>
      <c r="D33" s="22"/>
      <c r="G33" s="15"/>
      <c r="H33" s="15"/>
      <c r="I33" s="15"/>
      <c r="J33" s="15"/>
      <c r="K33" s="152"/>
      <c r="L33" s="15"/>
      <c r="M33" s="1"/>
      <c r="S33" s="15"/>
    </row>
    <row r="34" spans="1:19" ht="16.2" thickBot="1" x14ac:dyDescent="0.35">
      <c r="A34" s="1" t="s">
        <v>34</v>
      </c>
      <c r="G34" s="21">
        <f>SUM(G12:G31)-G21</f>
        <v>17431063.910097502</v>
      </c>
      <c r="H34" s="15"/>
      <c r="I34" s="15"/>
      <c r="J34" s="21">
        <f>SUM(J12:J31)-J21</f>
        <v>17431063.910097502</v>
      </c>
      <c r="K34" s="152"/>
      <c r="L34" s="15"/>
      <c r="M34" s="1" t="s">
        <v>34</v>
      </c>
      <c r="S34" s="21">
        <f>SUM(S12:S31)-S21</f>
        <v>17499284.044375278</v>
      </c>
    </row>
    <row r="35" spans="1:19" ht="16.2" thickTop="1" x14ac:dyDescent="0.3">
      <c r="A35" s="1"/>
      <c r="B35" s="1"/>
      <c r="G35" s="15"/>
      <c r="H35" s="15"/>
      <c r="I35" s="15"/>
      <c r="J35" s="15"/>
      <c r="K35" s="152"/>
      <c r="L35" s="15"/>
      <c r="M35" s="1"/>
      <c r="N35" s="1"/>
      <c r="S35" s="15"/>
    </row>
    <row r="36" spans="1:19" x14ac:dyDescent="0.3">
      <c r="A36" s="32" t="s">
        <v>15</v>
      </c>
      <c r="B36" s="9"/>
      <c r="G36" s="10">
        <f>'Billing Determ'!Q33</f>
        <v>17261700.725300003</v>
      </c>
      <c r="H36" s="10"/>
      <c r="I36" s="10"/>
      <c r="J36" s="10"/>
      <c r="K36" s="154"/>
      <c r="L36" s="10"/>
      <c r="M36" s="91" t="s">
        <v>59</v>
      </c>
      <c r="N36" s="9"/>
      <c r="S36" s="26">
        <f>S34-J34</f>
        <v>68220.134277775884</v>
      </c>
    </row>
    <row r="37" spans="1:19" x14ac:dyDescent="0.3">
      <c r="A37" s="9"/>
      <c r="B37" s="9"/>
      <c r="G37" s="9"/>
      <c r="H37" s="9"/>
      <c r="I37" s="9"/>
      <c r="J37" s="9"/>
      <c r="K37" s="155"/>
      <c r="L37" s="9"/>
      <c r="M37" s="35"/>
      <c r="N37" s="9"/>
      <c r="S37" s="9"/>
    </row>
    <row r="38" spans="1:19" x14ac:dyDescent="0.3">
      <c r="A38" s="32" t="s">
        <v>10</v>
      </c>
      <c r="B38" s="9"/>
      <c r="G38" s="19">
        <f>G34-G36</f>
        <v>169363.18479749933</v>
      </c>
      <c r="H38" s="19"/>
      <c r="I38" s="19"/>
      <c r="J38" s="19">
        <f>J34-G34</f>
        <v>0</v>
      </c>
      <c r="K38" s="152"/>
      <c r="L38" s="19"/>
      <c r="M38" s="91" t="s">
        <v>60</v>
      </c>
      <c r="N38" s="9"/>
      <c r="S38" s="111">
        <f>S36/J34</f>
        <v>3.9137102950013956E-3</v>
      </c>
    </row>
    <row r="39" spans="1:19" x14ac:dyDescent="0.3">
      <c r="A39" s="9"/>
      <c r="B39" s="9"/>
      <c r="G39" s="10"/>
      <c r="H39" s="10"/>
      <c r="I39" s="10"/>
      <c r="J39" s="10"/>
      <c r="K39" s="156"/>
      <c r="L39" s="10"/>
      <c r="M39" s="24"/>
      <c r="N39" s="9"/>
      <c r="S39" s="10"/>
    </row>
    <row r="40" spans="1:19" x14ac:dyDescent="0.3">
      <c r="A40" s="32" t="s">
        <v>17</v>
      </c>
      <c r="B40" s="9"/>
      <c r="G40" s="20">
        <f>G38/G36</f>
        <v>9.8115004710554593E-3</v>
      </c>
      <c r="H40" s="20"/>
      <c r="I40" s="20"/>
      <c r="J40" s="20">
        <f>J38/G36</f>
        <v>0</v>
      </c>
      <c r="K40" s="152"/>
      <c r="L40" s="20"/>
      <c r="M40" s="45" t="s">
        <v>37</v>
      </c>
      <c r="N40" s="9"/>
      <c r="S40" s="37">
        <f>S36/P12</f>
        <v>9.2239229688718076</v>
      </c>
    </row>
    <row r="41" spans="1:19" x14ac:dyDescent="0.3">
      <c r="A41" s="32"/>
      <c r="B41" s="9"/>
      <c r="D41" s="23">
        <f>D21/D12</f>
        <v>23805.452541914547</v>
      </c>
      <c r="G41" s="20"/>
      <c r="H41" s="20"/>
      <c r="I41" s="20"/>
      <c r="J41" s="20"/>
      <c r="K41" s="20"/>
      <c r="L41" s="20"/>
      <c r="M41" s="32"/>
      <c r="N41" s="9"/>
      <c r="S41" s="20"/>
    </row>
    <row r="42" spans="1:19" x14ac:dyDescent="0.3">
      <c r="A42" s="32"/>
      <c r="B42" s="9"/>
      <c r="G42" s="20"/>
      <c r="H42" s="20"/>
      <c r="I42" s="20"/>
      <c r="J42" s="20"/>
      <c r="K42" s="20"/>
      <c r="L42" s="20"/>
      <c r="M42" s="32"/>
      <c r="N42" s="9"/>
      <c r="S42" s="20"/>
    </row>
    <row r="43" spans="1:19" x14ac:dyDescent="0.3">
      <c r="A43" s="32"/>
      <c r="B43" s="9"/>
      <c r="D43" s="18"/>
      <c r="G43" s="20"/>
      <c r="H43" s="20"/>
      <c r="I43" s="20"/>
      <c r="J43" s="20"/>
      <c r="K43" s="20"/>
      <c r="L43" s="20"/>
      <c r="M43" s="32"/>
      <c r="N43" s="9"/>
      <c r="S43" s="20"/>
    </row>
    <row r="44" spans="1:19" x14ac:dyDescent="0.3">
      <c r="A44" s="32"/>
      <c r="B44" s="9"/>
      <c r="G44" s="20"/>
      <c r="H44" s="20"/>
      <c r="I44" s="20"/>
      <c r="J44" s="20"/>
      <c r="K44" s="20"/>
      <c r="L44" s="20"/>
      <c r="M44" s="32"/>
      <c r="N44" s="9"/>
      <c r="S44" s="20"/>
    </row>
    <row r="45" spans="1:19" x14ac:dyDescent="0.3">
      <c r="A45" s="32"/>
      <c r="B45" s="9"/>
      <c r="G45" s="20"/>
      <c r="H45" s="20"/>
      <c r="I45" s="20"/>
      <c r="J45" s="20"/>
      <c r="K45" s="20"/>
      <c r="L45" s="20"/>
      <c r="M45" s="32"/>
      <c r="N45" s="9"/>
      <c r="S45" s="20"/>
    </row>
    <row r="46" spans="1:19" x14ac:dyDescent="0.3">
      <c r="A46" s="32"/>
      <c r="B46" s="9"/>
      <c r="G46" s="20"/>
      <c r="H46" s="20"/>
      <c r="I46" s="20"/>
      <c r="J46" s="20"/>
      <c r="K46" s="20"/>
      <c r="L46" s="20"/>
      <c r="M46" s="32"/>
      <c r="N46" s="9"/>
      <c r="S46" s="20"/>
    </row>
    <row r="47" spans="1:19" ht="18.75" customHeight="1" x14ac:dyDescent="0.3">
      <c r="A47" s="32"/>
      <c r="B47" s="10"/>
      <c r="G47" s="20"/>
      <c r="H47" s="20"/>
      <c r="I47" s="20"/>
      <c r="J47" s="20"/>
      <c r="K47" s="20"/>
      <c r="L47" s="20"/>
      <c r="N47" s="24"/>
    </row>
    <row r="48" spans="1:19" x14ac:dyDescent="0.3">
      <c r="E48" s="10"/>
      <c r="N48" s="24"/>
    </row>
    <row r="62" ht="16.5" customHeight="1" x14ac:dyDescent="0.3"/>
    <row r="95" ht="15" customHeight="1" x14ac:dyDescent="0.3"/>
    <row r="141" spans="2:14" x14ac:dyDescent="0.3">
      <c r="N141" s="40"/>
    </row>
    <row r="142" spans="2:14" x14ac:dyDescent="0.3">
      <c r="B142" s="16"/>
      <c r="C142" s="40"/>
      <c r="D142" s="40"/>
      <c r="E142" s="16"/>
      <c r="F142" s="16"/>
      <c r="G142" s="16"/>
      <c r="H142" s="16"/>
      <c r="I142" s="16"/>
      <c r="J142" s="16"/>
      <c r="K142" s="16"/>
      <c r="L142" s="16"/>
      <c r="N142" s="40"/>
    </row>
    <row r="143" spans="2:14" x14ac:dyDescent="0.3">
      <c r="B143" s="16"/>
      <c r="C143" s="41"/>
      <c r="D143" s="65"/>
      <c r="E143" s="69"/>
      <c r="F143" s="16"/>
      <c r="G143" s="16"/>
      <c r="H143" s="16"/>
      <c r="I143" s="16"/>
      <c r="J143" s="16"/>
      <c r="K143" s="16"/>
      <c r="L143" s="16"/>
      <c r="N143" s="40"/>
    </row>
    <row r="144" spans="2:14" x14ac:dyDescent="0.3">
      <c r="B144" s="16"/>
      <c r="C144" s="41"/>
      <c r="D144" s="65"/>
      <c r="E144" s="69"/>
      <c r="F144" s="16"/>
      <c r="G144" s="16"/>
      <c r="H144" s="16"/>
      <c r="I144" s="16"/>
      <c r="J144" s="16"/>
      <c r="K144" s="16"/>
      <c r="L144" s="16"/>
      <c r="N144" s="40"/>
    </row>
    <row r="145" spans="2:14" x14ac:dyDescent="0.3">
      <c r="B145" s="16"/>
      <c r="C145" s="41"/>
      <c r="D145" s="65"/>
      <c r="E145" s="69"/>
      <c r="F145" s="16"/>
      <c r="G145" s="16"/>
      <c r="H145" s="16"/>
      <c r="I145" s="16"/>
      <c r="J145" s="16"/>
      <c r="K145" s="16"/>
      <c r="L145" s="16"/>
      <c r="N145" s="40"/>
    </row>
  </sheetData>
  <mergeCells count="5">
    <mergeCell ref="D4:G5"/>
    <mergeCell ref="P4:S5"/>
    <mergeCell ref="E7:F7"/>
    <mergeCell ref="Q7:R7"/>
    <mergeCell ref="I4:J5"/>
  </mergeCells>
  <pageMargins left="0.75" right="0.75" top="1" bottom="1" header="0.5" footer="0.5"/>
  <pageSetup scale="67" orientation="landscape" r:id="rId1"/>
  <headerFooter alignWithMargins="0">
    <oddFooter>&amp;RExhibit JW-9
Page &amp;P of &amp;N</oddFooter>
  </headerFooter>
  <ignoredErrors>
    <ignoredError sqref="S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47"/>
  <sheetViews>
    <sheetView view="pageBreakPreview" topLeftCell="A16" zoomScale="75" zoomScaleNormal="85" zoomScaleSheetLayoutView="75" workbookViewId="0">
      <selection activeCell="N32" sqref="N32"/>
    </sheetView>
  </sheetViews>
  <sheetFormatPr defaultColWidth="9.109375" defaultRowHeight="15.6" x14ac:dyDescent="0.3"/>
  <cols>
    <col min="1" max="1" width="4.6640625" style="2" customWidth="1"/>
    <col min="2" max="2" width="16.44140625" style="2" customWidth="1"/>
    <col min="3" max="3" width="2.5546875" style="2" customWidth="1"/>
    <col min="4" max="4" width="15.44140625" style="2" bestFit="1" customWidth="1"/>
    <col min="5" max="5" width="14.5546875" style="2" bestFit="1" customWidth="1"/>
    <col min="6" max="6" width="3.109375" style="2" customWidth="1"/>
    <col min="7" max="7" width="15" style="2" customWidth="1"/>
    <col min="8" max="8" width="3" style="2" customWidth="1"/>
    <col min="9" max="9" width="12.109375" style="2" customWidth="1"/>
    <col min="10" max="10" width="14.44140625" style="2" customWidth="1"/>
    <col min="11" max="11" width="2" style="2" customWidth="1"/>
    <col min="12" max="12" width="2.88671875" style="2" customWidth="1"/>
    <col min="13" max="13" width="9.88671875" style="2" customWidth="1"/>
    <col min="14" max="14" width="18.33203125" style="2" customWidth="1"/>
    <col min="15" max="15" width="3.44140625" style="2" customWidth="1"/>
    <col min="16" max="16" width="12.6640625" style="2" bestFit="1" customWidth="1"/>
    <col min="17" max="17" width="14.5546875" style="2" bestFit="1" customWidth="1"/>
    <col min="18" max="18" width="4.33203125" style="2" customWidth="1"/>
    <col min="19" max="19" width="15.5546875" style="2" customWidth="1"/>
    <col min="20" max="16384" width="9.109375" style="2"/>
  </cols>
  <sheetData>
    <row r="1" spans="1:19" x14ac:dyDescent="0.3">
      <c r="A1" s="1" t="str">
        <f>'Present and Proposed Rates'!A1</f>
        <v>JACKSON PURCHASE ENERGY CORPORATION</v>
      </c>
      <c r="N1" s="1"/>
    </row>
    <row r="2" spans="1:19" x14ac:dyDescent="0.3">
      <c r="A2" s="45" t="str">
        <f>List!B9</f>
        <v>D - Commercial and Industrial - Direct Served</v>
      </c>
      <c r="N2" s="24"/>
      <c r="O2" s="24"/>
      <c r="P2" s="24"/>
      <c r="Q2" s="24"/>
      <c r="R2" s="24"/>
      <c r="S2" s="24"/>
    </row>
    <row r="3" spans="1:19" ht="16.2" thickBot="1" x14ac:dyDescent="0.35">
      <c r="A3" s="212" t="str">
        <f>List!C9</f>
        <v>D</v>
      </c>
      <c r="B3" s="24"/>
      <c r="C3" s="24"/>
      <c r="N3" s="24"/>
      <c r="O3" s="24"/>
      <c r="P3" s="24"/>
      <c r="Q3" s="24"/>
      <c r="R3" s="24"/>
      <c r="S3" s="24"/>
    </row>
    <row r="4" spans="1:19" x14ac:dyDescent="0.3">
      <c r="A4" s="24"/>
      <c r="B4" s="24"/>
      <c r="C4" s="24"/>
      <c r="D4" s="364" t="s">
        <v>18</v>
      </c>
      <c r="E4" s="365"/>
      <c r="F4" s="365"/>
      <c r="G4" s="366"/>
      <c r="H4" s="293"/>
      <c r="I4" s="364" t="s">
        <v>58</v>
      </c>
      <c r="J4" s="366"/>
      <c r="K4" s="151"/>
      <c r="L4" s="293"/>
      <c r="M4" s="24"/>
      <c r="N4" s="24"/>
      <c r="O4" s="24"/>
      <c r="P4" s="364" t="s">
        <v>42</v>
      </c>
      <c r="Q4" s="365"/>
      <c r="R4" s="365"/>
      <c r="S4" s="366"/>
    </row>
    <row r="5" spans="1:19" ht="16.2" thickBot="1" x14ac:dyDescent="0.35">
      <c r="A5" s="43"/>
      <c r="B5" s="86"/>
      <c r="C5" s="293"/>
      <c r="D5" s="367"/>
      <c r="E5" s="368"/>
      <c r="F5" s="368"/>
      <c r="G5" s="369"/>
      <c r="H5" s="293"/>
      <c r="I5" s="367"/>
      <c r="J5" s="369"/>
      <c r="K5" s="151"/>
      <c r="L5" s="293"/>
      <c r="M5" s="43"/>
      <c r="N5" s="86"/>
      <c r="O5" s="293"/>
      <c r="P5" s="367"/>
      <c r="Q5" s="368"/>
      <c r="R5" s="368"/>
      <c r="S5" s="369"/>
    </row>
    <row r="6" spans="1:19" x14ac:dyDescent="0.3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51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2" thickBot="1" x14ac:dyDescent="0.35">
      <c r="A7" s="5"/>
      <c r="B7" s="5"/>
      <c r="C7" s="5"/>
      <c r="D7" s="5" t="s">
        <v>3</v>
      </c>
      <c r="E7" s="370" t="s">
        <v>4</v>
      </c>
      <c r="F7" s="370"/>
      <c r="G7" s="5" t="s">
        <v>5</v>
      </c>
      <c r="H7" s="5"/>
      <c r="I7" s="5" t="s">
        <v>4</v>
      </c>
      <c r="J7" s="5" t="s">
        <v>5</v>
      </c>
      <c r="K7" s="150"/>
      <c r="L7" s="5"/>
      <c r="M7" s="5"/>
      <c r="N7" s="5"/>
      <c r="O7" s="5"/>
      <c r="P7" s="5" t="s">
        <v>3</v>
      </c>
      <c r="Q7" s="370" t="s">
        <v>4</v>
      </c>
      <c r="R7" s="370"/>
      <c r="S7" s="5" t="s">
        <v>5</v>
      </c>
    </row>
    <row r="8" spans="1:19" x14ac:dyDescent="0.3">
      <c r="K8" s="151"/>
    </row>
    <row r="9" spans="1:19" x14ac:dyDescent="0.3">
      <c r="K9" s="151"/>
    </row>
    <row r="10" spans="1:19" x14ac:dyDescent="0.3">
      <c r="A10" s="118" t="s">
        <v>8</v>
      </c>
      <c r="K10" s="151"/>
      <c r="M10" s="118" t="s">
        <v>8</v>
      </c>
    </row>
    <row r="11" spans="1:19" ht="31.2" x14ac:dyDescent="0.3">
      <c r="D11" s="169" t="s">
        <v>46</v>
      </c>
      <c r="E11" s="169" t="s">
        <v>47</v>
      </c>
      <c r="I11" s="169" t="s">
        <v>47</v>
      </c>
      <c r="K11" s="151"/>
      <c r="P11" s="169" t="s">
        <v>46</v>
      </c>
      <c r="Q11" s="169" t="s">
        <v>47</v>
      </c>
    </row>
    <row r="12" spans="1:19" x14ac:dyDescent="0.3">
      <c r="B12" s="2" t="s">
        <v>57</v>
      </c>
      <c r="D12" s="27">
        <f>'Billing Determ'!Q10</f>
        <v>12</v>
      </c>
      <c r="E12" s="8">
        <f>'Present and Proposed Rates'!F25</f>
        <v>48.42</v>
      </c>
      <c r="G12" s="10">
        <f>D12*E12</f>
        <v>581.04</v>
      </c>
      <c r="H12" s="10"/>
      <c r="I12" s="8">
        <f>'Present and Proposed Rates'!G25</f>
        <v>48.42</v>
      </c>
      <c r="J12" s="10">
        <f>I12*D12</f>
        <v>581.04</v>
      </c>
      <c r="K12" s="152"/>
      <c r="L12" s="10"/>
      <c r="N12" s="2" t="s">
        <v>53</v>
      </c>
      <c r="P12" s="27">
        <f>D12</f>
        <v>12</v>
      </c>
      <c r="Q12" s="8">
        <f>'Present and Proposed Rates'!H25</f>
        <v>48.42</v>
      </c>
      <c r="S12" s="10">
        <f>P12*Q12</f>
        <v>581.04</v>
      </c>
    </row>
    <row r="13" spans="1:19" x14ac:dyDescent="0.3">
      <c r="D13" s="27"/>
      <c r="E13" s="8"/>
      <c r="G13" s="10"/>
      <c r="H13" s="10"/>
      <c r="I13" s="8"/>
      <c r="J13" s="10"/>
      <c r="K13" s="152"/>
      <c r="L13" s="10"/>
      <c r="P13" s="27"/>
      <c r="Q13" s="8"/>
      <c r="S13" s="10"/>
    </row>
    <row r="14" spans="1:19" x14ac:dyDescent="0.3">
      <c r="D14" s="7"/>
      <c r="G14" s="10"/>
      <c r="H14" s="10"/>
      <c r="J14" s="10"/>
      <c r="K14" s="152"/>
      <c r="L14" s="10"/>
      <c r="P14" s="7"/>
      <c r="S14" s="10"/>
    </row>
    <row r="15" spans="1:19" x14ac:dyDescent="0.3">
      <c r="A15" s="1" t="s">
        <v>6</v>
      </c>
      <c r="D15" s="7"/>
      <c r="G15" s="10"/>
      <c r="H15" s="10"/>
      <c r="J15" s="10"/>
      <c r="K15" s="152"/>
      <c r="L15" s="10"/>
      <c r="M15" s="1" t="s">
        <v>6</v>
      </c>
      <c r="P15" s="7"/>
      <c r="S15" s="10"/>
    </row>
    <row r="16" spans="1:19" x14ac:dyDescent="0.3">
      <c r="D16" s="170" t="s">
        <v>7</v>
      </c>
      <c r="E16" s="171" t="s">
        <v>9</v>
      </c>
      <c r="G16" s="10"/>
      <c r="H16" s="10"/>
      <c r="I16" s="171" t="s">
        <v>9</v>
      </c>
      <c r="J16" s="10"/>
      <c r="K16" s="152"/>
      <c r="L16" s="10"/>
      <c r="P16" s="170" t="s">
        <v>7</v>
      </c>
      <c r="Q16" s="171" t="s">
        <v>9</v>
      </c>
      <c r="S16" s="10"/>
    </row>
    <row r="17" spans="1:22" x14ac:dyDescent="0.3">
      <c r="B17" s="2" t="s">
        <v>130</v>
      </c>
      <c r="D17" s="27">
        <f>D21</f>
        <v>390246</v>
      </c>
      <c r="E17" s="238">
        <f>'Present and Proposed Rates'!F28</f>
        <v>6.2202E-2</v>
      </c>
      <c r="F17" s="16"/>
      <c r="G17" s="15">
        <f>D17*E17</f>
        <v>24274.081692</v>
      </c>
      <c r="H17" s="15"/>
      <c r="I17" s="238">
        <f>'Present and Proposed Rates'!G28</f>
        <v>6.2202E-2</v>
      </c>
      <c r="J17" s="10">
        <f>I17*D17</f>
        <v>24274.081692</v>
      </c>
      <c r="K17" s="152"/>
      <c r="L17" s="15"/>
      <c r="N17" s="2" t="s">
        <v>100</v>
      </c>
      <c r="P17" s="27">
        <f t="shared" ref="P17:P22" si="0">D17</f>
        <v>390246</v>
      </c>
      <c r="Q17" s="238">
        <f>'Present and Proposed Rates'!H28</f>
        <v>6.2202E-2</v>
      </c>
      <c r="R17" s="16"/>
      <c r="S17" s="15">
        <f>P17*Q17</f>
        <v>24274.081692</v>
      </c>
    </row>
    <row r="18" spans="1:22" x14ac:dyDescent="0.3">
      <c r="B18" s="2" t="s">
        <v>131</v>
      </c>
      <c r="D18" s="27">
        <v>0</v>
      </c>
      <c r="E18" s="238">
        <f>'Present and Proposed Rates'!F29</f>
        <v>5.2103999999999998E-2</v>
      </c>
      <c r="F18" s="16"/>
      <c r="G18" s="15">
        <f>D18*E18</f>
        <v>0</v>
      </c>
      <c r="H18" s="15"/>
      <c r="I18" s="238">
        <f>'Present and Proposed Rates'!G29</f>
        <v>5.2103999999999998E-2</v>
      </c>
      <c r="J18" s="10">
        <f>I18*D18</f>
        <v>0</v>
      </c>
      <c r="K18" s="152"/>
      <c r="L18" s="15"/>
      <c r="N18" s="2" t="s">
        <v>100</v>
      </c>
      <c r="P18" s="27">
        <f t="shared" si="0"/>
        <v>0</v>
      </c>
      <c r="Q18" s="238">
        <f>'Present and Proposed Rates'!H29</f>
        <v>5.2103999999999998E-2</v>
      </c>
      <c r="R18" s="16"/>
      <c r="S18" s="15">
        <f>P18*Q18</f>
        <v>0</v>
      </c>
    </row>
    <row r="19" spans="1:22" x14ac:dyDescent="0.3">
      <c r="B19" s="2" t="s">
        <v>132</v>
      </c>
      <c r="D19" s="27">
        <v>0</v>
      </c>
      <c r="E19" s="238">
        <f>'Present and Proposed Rates'!F30</f>
        <v>4.6973000000000001E-2</v>
      </c>
      <c r="F19" s="16"/>
      <c r="G19" s="15">
        <f>D19*E19</f>
        <v>0</v>
      </c>
      <c r="H19" s="15"/>
      <c r="I19" s="238">
        <f>'Present and Proposed Rates'!G30</f>
        <v>4.6973000000000001E-2</v>
      </c>
      <c r="J19" s="10">
        <f>I19*D19</f>
        <v>0</v>
      </c>
      <c r="K19" s="152"/>
      <c r="L19" s="15"/>
      <c r="N19" s="2" t="s">
        <v>100</v>
      </c>
      <c r="P19" s="27">
        <f t="shared" si="0"/>
        <v>0</v>
      </c>
      <c r="Q19" s="238">
        <f>'Present and Proposed Rates'!H30</f>
        <v>4.6973000000000001E-2</v>
      </c>
      <c r="R19" s="16"/>
      <c r="S19" s="15">
        <f>P19*Q19</f>
        <v>0</v>
      </c>
    </row>
    <row r="20" spans="1:22" x14ac:dyDescent="0.3">
      <c r="B20" s="2" t="s">
        <v>133</v>
      </c>
      <c r="D20" s="27">
        <v>0</v>
      </c>
      <c r="E20" s="238">
        <f>'Present and Proposed Rates'!F31</f>
        <v>4.1993000000000003E-2</v>
      </c>
      <c r="F20" s="16"/>
      <c r="G20" s="15">
        <f>D20*E20</f>
        <v>0</v>
      </c>
      <c r="H20" s="15"/>
      <c r="I20" s="238">
        <f>'Present and Proposed Rates'!G31</f>
        <v>4.1993000000000003E-2</v>
      </c>
      <c r="J20" s="10">
        <f>I20*D20</f>
        <v>0</v>
      </c>
      <c r="K20" s="152"/>
      <c r="L20" s="15"/>
      <c r="N20" s="2" t="s">
        <v>100</v>
      </c>
      <c r="P20" s="27">
        <f t="shared" si="0"/>
        <v>0</v>
      </c>
      <c r="Q20" s="238">
        <f>'Present and Proposed Rates'!H31</f>
        <v>4.1993000000000003E-2</v>
      </c>
      <c r="R20" s="16"/>
      <c r="S20" s="15">
        <f>P20*Q20</f>
        <v>0</v>
      </c>
    </row>
    <row r="21" spans="1:22" x14ac:dyDescent="0.3">
      <c r="B21" s="239" t="s">
        <v>134</v>
      </c>
      <c r="D21" s="241">
        <f>'Billing Determ'!Q22</f>
        <v>390246</v>
      </c>
      <c r="E21" s="295">
        <f>G21/D21</f>
        <v>6.2202E-2</v>
      </c>
      <c r="F21" s="16"/>
      <c r="G21" s="240">
        <f>SUM(G17:G20)</f>
        <v>24274.081692</v>
      </c>
      <c r="H21" s="15"/>
      <c r="I21" s="295">
        <f>J21/D21</f>
        <v>6.2202E-2</v>
      </c>
      <c r="J21" s="240">
        <f>SUM(J17:J20)</f>
        <v>24274.081692</v>
      </c>
      <c r="K21" s="152"/>
      <c r="L21" s="15"/>
      <c r="N21" s="239" t="s">
        <v>100</v>
      </c>
      <c r="P21" s="241">
        <f t="shared" si="0"/>
        <v>390246</v>
      </c>
      <c r="Q21" s="295">
        <f>S21/P21</f>
        <v>6.2202E-2</v>
      </c>
      <c r="R21" s="16"/>
      <c r="S21" s="240">
        <f>SUM(S17:S20)</f>
        <v>24274.081692</v>
      </c>
    </row>
    <row r="22" spans="1:22" x14ac:dyDescent="0.3">
      <c r="A22" s="1"/>
      <c r="B22" s="45"/>
      <c r="C22" s="158" t="s">
        <v>155</v>
      </c>
      <c r="D22" s="312">
        <f>D21/D12</f>
        <v>32520.5</v>
      </c>
      <c r="E22" s="58"/>
      <c r="F22" s="24"/>
      <c r="G22" s="15"/>
      <c r="H22" s="15"/>
      <c r="I22" s="15"/>
      <c r="J22" s="15"/>
      <c r="K22" s="153"/>
      <c r="L22" s="54"/>
      <c r="M22" s="1"/>
      <c r="N22" s="45"/>
      <c r="O22" s="109"/>
      <c r="P22" s="51">
        <f t="shared" si="0"/>
        <v>32520.5</v>
      </c>
      <c r="Q22" s="58"/>
      <c r="R22" s="24"/>
      <c r="S22" s="15"/>
    </row>
    <row r="23" spans="1:22" x14ac:dyDescent="0.3">
      <c r="A23" s="1" t="s">
        <v>48</v>
      </c>
      <c r="D23" s="7"/>
      <c r="G23" s="10"/>
      <c r="H23" s="10"/>
      <c r="J23" s="10"/>
      <c r="K23" s="152"/>
      <c r="L23" s="10"/>
      <c r="M23" s="1" t="s">
        <v>48</v>
      </c>
      <c r="P23" s="7"/>
      <c r="S23" s="10"/>
      <c r="T23" s="16"/>
      <c r="U23" s="16"/>
      <c r="V23" s="16"/>
    </row>
    <row r="24" spans="1:22" x14ac:dyDescent="0.3">
      <c r="D24" s="170" t="s">
        <v>49</v>
      </c>
      <c r="E24" s="171" t="s">
        <v>50</v>
      </c>
      <c r="G24" s="10"/>
      <c r="H24" s="10"/>
      <c r="I24" s="171" t="s">
        <v>50</v>
      </c>
      <c r="J24" s="10"/>
      <c r="K24" s="152"/>
      <c r="L24" s="10"/>
      <c r="P24" s="170" t="s">
        <v>49</v>
      </c>
      <c r="Q24" s="171" t="s">
        <v>50</v>
      </c>
      <c r="S24" s="10"/>
    </row>
    <row r="25" spans="1:22" x14ac:dyDescent="0.3">
      <c r="B25" s="2" t="s">
        <v>147</v>
      </c>
      <c r="D25" s="27">
        <v>4456</v>
      </c>
      <c r="E25" s="142">
        <f>'Present and Proposed Rates'!F26</f>
        <v>9</v>
      </c>
      <c r="F25" s="16"/>
      <c r="G25" s="15">
        <f>D25*E25</f>
        <v>40104</v>
      </c>
      <c r="H25" s="15"/>
      <c r="I25" s="142">
        <f>'Present and Proposed Rates'!G26</f>
        <v>9</v>
      </c>
      <c r="J25" s="10">
        <f>I25*D25</f>
        <v>40104</v>
      </c>
      <c r="K25" s="152"/>
      <c r="L25" s="15"/>
      <c r="N25" s="2" t="s">
        <v>147</v>
      </c>
      <c r="P25" s="27">
        <f>D25</f>
        <v>4456</v>
      </c>
      <c r="Q25" s="142">
        <f>'Present and Proposed Rates'!H26</f>
        <v>9.11</v>
      </c>
      <c r="R25" s="16"/>
      <c r="S25" s="15">
        <f>P25*Q25</f>
        <v>40594.159999999996</v>
      </c>
    </row>
    <row r="26" spans="1:22" x14ac:dyDescent="0.3">
      <c r="B26" s="2" t="s">
        <v>145</v>
      </c>
      <c r="D26" s="296"/>
      <c r="E26" s="297"/>
      <c r="F26" s="16"/>
      <c r="G26" s="15">
        <f>12*'Present and Proposed Rates'!F27</f>
        <v>252000</v>
      </c>
      <c r="H26" s="15"/>
      <c r="I26" s="297"/>
      <c r="J26" s="10">
        <f>'Present and Proposed Rates'!G27*12</f>
        <v>252000</v>
      </c>
      <c r="K26" s="152"/>
      <c r="L26" s="15"/>
      <c r="N26" s="2" t="s">
        <v>145</v>
      </c>
      <c r="P26" s="296"/>
      <c r="Q26" s="297"/>
      <c r="R26" s="16"/>
      <c r="S26" s="15">
        <f>'Present and Proposed Rates'!H27*12</f>
        <v>252000</v>
      </c>
    </row>
    <row r="27" spans="1:22" x14ac:dyDescent="0.3">
      <c r="B27" s="239" t="s">
        <v>146</v>
      </c>
      <c r="D27" s="27"/>
      <c r="E27" s="142"/>
      <c r="F27" s="16"/>
      <c r="G27" s="240">
        <f>MAX(G25,G26)</f>
        <v>252000</v>
      </c>
      <c r="H27" s="15"/>
      <c r="I27" s="142"/>
      <c r="J27" s="240">
        <f>MAX(J25,J26)</f>
        <v>252000</v>
      </c>
      <c r="K27" s="152"/>
      <c r="L27" s="15"/>
      <c r="N27" s="239" t="s">
        <v>146</v>
      </c>
      <c r="P27" s="27"/>
      <c r="Q27" s="142"/>
      <c r="R27" s="16"/>
      <c r="S27" s="240">
        <f>MAX(S25,S26)</f>
        <v>252000</v>
      </c>
    </row>
    <row r="28" spans="1:22" x14ac:dyDescent="0.3">
      <c r="D28" s="27"/>
      <c r="E28" s="238"/>
      <c r="F28" s="16"/>
      <c r="G28" s="15"/>
      <c r="H28" s="15"/>
      <c r="I28" s="238"/>
      <c r="J28" s="10"/>
      <c r="K28" s="152"/>
      <c r="L28" s="15"/>
      <c r="P28" s="27"/>
      <c r="Q28" s="238"/>
      <c r="R28" s="16"/>
      <c r="S28" s="15"/>
    </row>
    <row r="29" spans="1:22" x14ac:dyDescent="0.3">
      <c r="A29" s="1" t="s">
        <v>51</v>
      </c>
      <c r="B29" s="45"/>
      <c r="C29" s="109"/>
      <c r="D29" s="51"/>
      <c r="E29" s="58"/>
      <c r="F29" s="24"/>
      <c r="G29" s="15"/>
      <c r="H29" s="15"/>
      <c r="I29" s="15"/>
      <c r="J29" s="15"/>
      <c r="K29" s="153"/>
      <c r="L29" s="54"/>
      <c r="M29" s="1" t="s">
        <v>51</v>
      </c>
      <c r="N29" s="45"/>
      <c r="O29" s="109"/>
      <c r="P29" s="51"/>
      <c r="Q29" s="58"/>
      <c r="R29" s="24"/>
      <c r="S29" s="15"/>
      <c r="T29" s="45"/>
      <c r="U29" s="45"/>
    </row>
    <row r="30" spans="1:22" x14ac:dyDescent="0.3">
      <c r="A30" s="1"/>
      <c r="B30" s="24" t="s">
        <v>45</v>
      </c>
      <c r="C30" s="109"/>
      <c r="D30" s="51"/>
      <c r="E30" s="294">
        <f>G30/D$21</f>
        <v>1.3304684737319539E-3</v>
      </c>
      <c r="F30" s="24"/>
      <c r="G30" s="15">
        <f>'Billing Determ'!Q82</f>
        <v>519.21</v>
      </c>
      <c r="H30" s="15"/>
      <c r="I30" s="294">
        <f>J30/D$21</f>
        <v>1.3304684737319539E-3</v>
      </c>
      <c r="J30" s="15">
        <f>G30</f>
        <v>519.21</v>
      </c>
      <c r="K30" s="153"/>
      <c r="L30" s="54"/>
      <c r="M30" s="1"/>
      <c r="N30" s="24" t="s">
        <v>45</v>
      </c>
      <c r="O30" s="109"/>
      <c r="P30" s="294">
        <f>Q30/P$21</f>
        <v>1.3304684737319539E-3</v>
      </c>
      <c r="Q30" s="104">
        <f>J30</f>
        <v>519.21</v>
      </c>
      <c r="R30" s="24"/>
      <c r="S30" s="15">
        <f>G30</f>
        <v>519.21</v>
      </c>
    </row>
    <row r="31" spans="1:22" x14ac:dyDescent="0.3">
      <c r="A31" s="1"/>
      <c r="B31" s="24" t="s">
        <v>52</v>
      </c>
      <c r="C31" s="109"/>
      <c r="D31" s="51"/>
      <c r="E31" s="294">
        <f t="shared" ref="E31:E33" si="1">G31/D$21</f>
        <v>1.1537466111119655E-2</v>
      </c>
      <c r="F31" s="24"/>
      <c r="G31" s="54">
        <f>'Billing Determ'!Q94</f>
        <v>4502.4500000000007</v>
      </c>
      <c r="H31" s="54"/>
      <c r="I31" s="294">
        <f t="shared" ref="I31:I33" si="2">J31/D$21</f>
        <v>1.1537466111119655E-2</v>
      </c>
      <c r="J31" s="15">
        <f>G31</f>
        <v>4502.4500000000007</v>
      </c>
      <c r="K31" s="153"/>
      <c r="L31" s="54"/>
      <c r="M31" s="1"/>
      <c r="N31" s="24" t="s">
        <v>52</v>
      </c>
      <c r="O31" s="109"/>
      <c r="P31" s="294">
        <f t="shared" ref="P31:P33" si="3">Q31/P$21</f>
        <v>1.1537466111119655E-2</v>
      </c>
      <c r="Q31" s="104">
        <f>J31</f>
        <v>4502.4500000000007</v>
      </c>
      <c r="R31" s="24"/>
      <c r="S31" s="15">
        <f>G31</f>
        <v>4502.4500000000007</v>
      </c>
    </row>
    <row r="32" spans="1:22" x14ac:dyDescent="0.3">
      <c r="A32" s="1"/>
      <c r="B32" s="24" t="s">
        <v>124</v>
      </c>
      <c r="C32" s="109"/>
      <c r="D32" s="51"/>
      <c r="E32" s="294">
        <f t="shared" si="1"/>
        <v>-4.5337043813389512E-3</v>
      </c>
      <c r="F32" s="24"/>
      <c r="G32" s="54">
        <f>'Billing Determ'!Q106</f>
        <v>-1769.2600000000002</v>
      </c>
      <c r="H32" s="54"/>
      <c r="I32" s="294">
        <f t="shared" si="2"/>
        <v>-4.5337043813389512E-3</v>
      </c>
      <c r="J32" s="15">
        <f>G32</f>
        <v>-1769.2600000000002</v>
      </c>
      <c r="K32" s="153"/>
      <c r="L32" s="54"/>
      <c r="M32" s="1"/>
      <c r="N32" s="24" t="s">
        <v>80</v>
      </c>
      <c r="O32" s="109"/>
      <c r="P32" s="294">
        <f t="shared" si="3"/>
        <v>-4.5337043813389512E-3</v>
      </c>
      <c r="Q32" s="104">
        <f>J32</f>
        <v>-1769.2600000000002</v>
      </c>
      <c r="R32" s="24"/>
      <c r="S32" s="15">
        <f>J32</f>
        <v>-1769.2600000000002</v>
      </c>
    </row>
    <row r="33" spans="1:19" x14ac:dyDescent="0.3">
      <c r="A33" s="1"/>
      <c r="B33" s="24" t="s">
        <v>123</v>
      </c>
      <c r="C33" s="109"/>
      <c r="D33" s="51"/>
      <c r="E33" s="294">
        <f t="shared" si="1"/>
        <v>2.2485047892867576E-3</v>
      </c>
      <c r="F33" s="24"/>
      <c r="G33" s="15">
        <f>'Billing Determ'!Q118</f>
        <v>877.47</v>
      </c>
      <c r="H33" s="15"/>
      <c r="I33" s="294">
        <f t="shared" si="2"/>
        <v>2.2485047892867576E-3</v>
      </c>
      <c r="J33" s="15">
        <f>G33</f>
        <v>877.47</v>
      </c>
      <c r="K33" s="153"/>
      <c r="L33" s="54"/>
      <c r="M33" s="1"/>
      <c r="N33" s="24" t="s">
        <v>45</v>
      </c>
      <c r="O33" s="109"/>
      <c r="P33" s="294">
        <f t="shared" si="3"/>
        <v>2.2485047892867576E-3</v>
      </c>
      <c r="Q33" s="104">
        <f>J33</f>
        <v>877.47</v>
      </c>
      <c r="R33" s="24"/>
      <c r="S33" s="15">
        <f>G33</f>
        <v>877.47</v>
      </c>
    </row>
    <row r="34" spans="1:19" x14ac:dyDescent="0.3">
      <c r="B34" s="16"/>
      <c r="C34" s="16"/>
      <c r="D34" s="27"/>
      <c r="E34" s="28"/>
      <c r="F34" s="16"/>
      <c r="G34" s="37"/>
      <c r="H34" s="37"/>
      <c r="I34" s="37"/>
      <c r="J34" s="37"/>
      <c r="K34" s="152"/>
      <c r="L34" s="37"/>
      <c r="M34" s="118"/>
    </row>
    <row r="35" spans="1:19" x14ac:dyDescent="0.3">
      <c r="A35" s="1"/>
      <c r="D35" s="22"/>
      <c r="G35" s="15"/>
      <c r="H35" s="15"/>
      <c r="I35" s="15"/>
      <c r="J35" s="15"/>
      <c r="K35" s="152"/>
      <c r="L35" s="15"/>
      <c r="M35" s="1"/>
      <c r="S35" s="15"/>
    </row>
    <row r="36" spans="1:19" ht="16.2" thickBot="1" x14ac:dyDescent="0.35">
      <c r="A36" s="1" t="s">
        <v>34</v>
      </c>
      <c r="G36" s="21">
        <f>G12+G21+G27+G30+G31+G32+G33</f>
        <v>280984.99169200001</v>
      </c>
      <c r="H36" s="15"/>
      <c r="I36" s="15"/>
      <c r="J36" s="21">
        <f>J12+J21+J27+J30+J31+J32+J33</f>
        <v>280984.99169200001</v>
      </c>
      <c r="K36" s="152"/>
      <c r="L36" s="15"/>
      <c r="M36" s="1" t="s">
        <v>34</v>
      </c>
      <c r="S36" s="21">
        <f>S12+S21+S27+S30+S31+S32+S33</f>
        <v>280984.99169200001</v>
      </c>
    </row>
    <row r="37" spans="1:19" ht="16.2" thickTop="1" x14ac:dyDescent="0.3">
      <c r="A37" s="1"/>
      <c r="B37" s="1"/>
      <c r="G37" s="15"/>
      <c r="H37" s="15"/>
      <c r="I37" s="15"/>
      <c r="J37" s="15"/>
      <c r="K37" s="152"/>
      <c r="L37" s="15"/>
      <c r="M37" s="1"/>
      <c r="N37" s="1"/>
      <c r="S37" s="15"/>
    </row>
    <row r="38" spans="1:19" x14ac:dyDescent="0.3">
      <c r="A38" s="32" t="s">
        <v>15</v>
      </c>
      <c r="B38" s="9"/>
      <c r="G38" s="10">
        <f>'Billing Determ'!Q34</f>
        <v>281019.07</v>
      </c>
      <c r="H38" s="10"/>
      <c r="I38" s="10"/>
      <c r="J38" s="10"/>
      <c r="K38" s="154"/>
      <c r="L38" s="10"/>
      <c r="M38" s="91" t="s">
        <v>59</v>
      </c>
      <c r="N38" s="9"/>
      <c r="S38" s="26">
        <f>S36-J36</f>
        <v>0</v>
      </c>
    </row>
    <row r="39" spans="1:19" x14ac:dyDescent="0.3">
      <c r="A39" s="9"/>
      <c r="B39" s="9"/>
      <c r="G39" s="9"/>
      <c r="H39" s="9"/>
      <c r="I39" s="9"/>
      <c r="J39" s="9"/>
      <c r="K39" s="155"/>
      <c r="L39" s="9"/>
      <c r="M39" s="35"/>
      <c r="N39" s="9"/>
      <c r="S39" s="9"/>
    </row>
    <row r="40" spans="1:19" x14ac:dyDescent="0.3">
      <c r="A40" s="32" t="s">
        <v>10</v>
      </c>
      <c r="B40" s="9"/>
      <c r="G40" s="19">
        <f>G36-G38</f>
        <v>-34.078307999996468</v>
      </c>
      <c r="H40" s="19"/>
      <c r="I40" s="19"/>
      <c r="J40" s="19">
        <f>J36-G36</f>
        <v>0</v>
      </c>
      <c r="K40" s="152"/>
      <c r="L40" s="19"/>
      <c r="M40" s="91" t="s">
        <v>60</v>
      </c>
      <c r="N40" s="9"/>
      <c r="S40" s="111">
        <f>S38/J36</f>
        <v>0</v>
      </c>
    </row>
    <row r="41" spans="1:19" x14ac:dyDescent="0.3">
      <c r="A41" s="9"/>
      <c r="B41" s="9"/>
      <c r="G41" s="10"/>
      <c r="H41" s="10"/>
      <c r="I41" s="10"/>
      <c r="J41" s="10"/>
      <c r="K41" s="156"/>
      <c r="L41" s="10"/>
      <c r="M41" s="24"/>
      <c r="N41" s="9"/>
      <c r="S41" s="10"/>
    </row>
    <row r="42" spans="1:19" x14ac:dyDescent="0.3">
      <c r="A42" s="32" t="s">
        <v>17</v>
      </c>
      <c r="B42" s="9"/>
      <c r="G42" s="20">
        <f>G40/G38</f>
        <v>-1.2126688768842793E-4</v>
      </c>
      <c r="H42" s="20"/>
      <c r="I42" s="20"/>
      <c r="J42" s="20">
        <f>J40/G38</f>
        <v>0</v>
      </c>
      <c r="K42" s="152"/>
      <c r="L42" s="20"/>
      <c r="M42" s="45" t="s">
        <v>37</v>
      </c>
      <c r="N42" s="9"/>
      <c r="S42" s="37">
        <f>S38/P12</f>
        <v>0</v>
      </c>
    </row>
    <row r="43" spans="1:19" x14ac:dyDescent="0.3">
      <c r="A43" s="32"/>
      <c r="B43" s="9"/>
      <c r="D43" s="23">
        <f>D21/D12</f>
        <v>32520.5</v>
      </c>
      <c r="G43" s="20"/>
      <c r="H43" s="20"/>
      <c r="I43" s="20"/>
      <c r="J43" s="20"/>
      <c r="K43" s="20"/>
      <c r="L43" s="20"/>
      <c r="M43" s="32"/>
      <c r="N43" s="9"/>
      <c r="S43" s="20"/>
    </row>
    <row r="44" spans="1:19" x14ac:dyDescent="0.3">
      <c r="A44" s="32"/>
      <c r="B44" s="9"/>
      <c r="G44" s="168"/>
      <c r="H44" s="20"/>
      <c r="I44" s="20"/>
      <c r="J44" s="20"/>
      <c r="K44" s="20"/>
      <c r="L44" s="20"/>
      <c r="M44" s="32"/>
      <c r="N44" s="9"/>
      <c r="S44" s="20"/>
    </row>
    <row r="45" spans="1:19" x14ac:dyDescent="0.3">
      <c r="A45" s="32"/>
      <c r="B45" s="9"/>
      <c r="G45" s="168"/>
      <c r="H45" s="20"/>
      <c r="I45" s="20"/>
      <c r="J45" s="20"/>
      <c r="K45" s="20"/>
      <c r="L45" s="20"/>
      <c r="M45" s="32"/>
      <c r="N45" s="9"/>
      <c r="S45" s="20"/>
    </row>
    <row r="46" spans="1:19" x14ac:dyDescent="0.3">
      <c r="A46" s="32"/>
      <c r="B46" s="9"/>
      <c r="D46" s="23"/>
      <c r="G46" s="168"/>
      <c r="H46" s="20"/>
      <c r="I46" s="20"/>
      <c r="J46" s="20"/>
      <c r="K46" s="20"/>
      <c r="L46" s="20"/>
      <c r="M46" s="32"/>
      <c r="N46" s="9"/>
      <c r="S46" s="20"/>
    </row>
    <row r="47" spans="1:19" x14ac:dyDescent="0.3">
      <c r="A47" s="32"/>
      <c r="B47" s="9"/>
      <c r="G47" s="20"/>
      <c r="H47" s="20"/>
      <c r="I47" s="20"/>
      <c r="J47" s="20"/>
      <c r="K47" s="20"/>
      <c r="L47" s="20"/>
      <c r="M47" s="32"/>
      <c r="N47" s="9"/>
      <c r="S47" s="20"/>
    </row>
    <row r="48" spans="1:19" x14ac:dyDescent="0.3">
      <c r="A48" s="32"/>
      <c r="B48" s="9"/>
      <c r="G48" s="20"/>
      <c r="H48" s="20"/>
      <c r="I48" s="20"/>
      <c r="J48" s="20"/>
      <c r="K48" s="20"/>
      <c r="L48" s="20"/>
      <c r="M48" s="32"/>
      <c r="N48" s="9"/>
      <c r="S48" s="20"/>
    </row>
    <row r="49" spans="1:14" ht="18.75" customHeight="1" x14ac:dyDescent="0.3">
      <c r="A49" s="32"/>
      <c r="B49" s="10"/>
      <c r="G49" s="20"/>
      <c r="H49" s="20"/>
      <c r="I49" s="20"/>
      <c r="J49" s="20"/>
      <c r="K49" s="20"/>
      <c r="L49" s="20"/>
      <c r="N49" s="24"/>
    </row>
    <row r="50" spans="1:14" x14ac:dyDescent="0.3">
      <c r="E50" s="10"/>
      <c r="N50" s="24"/>
    </row>
    <row r="64" spans="1:14" ht="16.5" customHeight="1" x14ac:dyDescent="0.3"/>
    <row r="97" ht="15" customHeight="1" x14ac:dyDescent="0.3"/>
    <row r="143" spans="2:14" x14ac:dyDescent="0.3">
      <c r="N143" s="40"/>
    </row>
    <row r="144" spans="2:14" x14ac:dyDescent="0.3">
      <c r="B144" s="16"/>
      <c r="C144" s="40"/>
      <c r="D144" s="40"/>
      <c r="E144" s="16"/>
      <c r="F144" s="16"/>
      <c r="G144" s="16"/>
      <c r="H144" s="16"/>
      <c r="I144" s="16"/>
      <c r="J144" s="16"/>
      <c r="K144" s="16"/>
      <c r="L144" s="16"/>
      <c r="N144" s="40"/>
    </row>
    <row r="145" spans="2:14" x14ac:dyDescent="0.3">
      <c r="B145" s="16"/>
      <c r="C145" s="41"/>
      <c r="D145" s="65"/>
      <c r="E145" s="69"/>
      <c r="F145" s="16"/>
      <c r="G145" s="16"/>
      <c r="H145" s="16"/>
      <c r="I145" s="16"/>
      <c r="J145" s="16"/>
      <c r="K145" s="16"/>
      <c r="L145" s="16"/>
      <c r="N145" s="40"/>
    </row>
    <row r="146" spans="2:14" x14ac:dyDescent="0.3">
      <c r="B146" s="16"/>
      <c r="C146" s="41"/>
      <c r="D146" s="65"/>
      <c r="E146" s="69"/>
      <c r="F146" s="16"/>
      <c r="G146" s="16"/>
      <c r="H146" s="16"/>
      <c r="I146" s="16"/>
      <c r="J146" s="16"/>
      <c r="K146" s="16"/>
      <c r="L146" s="16"/>
      <c r="N146" s="40"/>
    </row>
    <row r="147" spans="2:14" x14ac:dyDescent="0.3">
      <c r="B147" s="16"/>
      <c r="C147" s="41"/>
      <c r="D147" s="65"/>
      <c r="E147" s="69"/>
      <c r="F147" s="16"/>
      <c r="G147" s="16"/>
      <c r="H147" s="16"/>
      <c r="I147" s="16"/>
      <c r="J147" s="16"/>
      <c r="K147" s="16"/>
      <c r="L147" s="16"/>
      <c r="N147" s="40"/>
    </row>
  </sheetData>
  <mergeCells count="5">
    <mergeCell ref="D4:G5"/>
    <mergeCell ref="P4:S5"/>
    <mergeCell ref="E7:F7"/>
    <mergeCell ref="Q7:R7"/>
    <mergeCell ref="I4:J5"/>
  </mergeCells>
  <pageMargins left="0.75" right="0.75" top="1" bottom="1" header="0.5" footer="0.5"/>
  <pageSetup scale="66" orientation="landscape" r:id="rId1"/>
  <headerFooter alignWithMargins="0">
    <oddFooter>&amp;RExhibit JW-9
Page &amp;P of &amp;N</oddFooter>
  </headerFooter>
  <ignoredErrors>
    <ignoredError sqref="S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42"/>
  <sheetViews>
    <sheetView view="pageBreakPreview" zoomScale="75" zoomScaleNormal="85" zoomScaleSheetLayoutView="75" workbookViewId="0">
      <selection activeCell="N32" sqref="N32"/>
    </sheetView>
  </sheetViews>
  <sheetFormatPr defaultColWidth="9.109375" defaultRowHeight="15.6" x14ac:dyDescent="0.3"/>
  <cols>
    <col min="1" max="1" width="4.6640625" style="2" customWidth="1"/>
    <col min="2" max="2" width="16.44140625" style="2" customWidth="1"/>
    <col min="3" max="3" width="2.5546875" style="2" customWidth="1"/>
    <col min="4" max="4" width="14.33203125" style="2" bestFit="1" customWidth="1"/>
    <col min="5" max="5" width="14.5546875" style="2" bestFit="1" customWidth="1"/>
    <col min="6" max="6" width="3.109375" style="2" customWidth="1"/>
    <col min="7" max="7" width="15" style="2" customWidth="1"/>
    <col min="8" max="8" width="3" style="2" customWidth="1"/>
    <col min="9" max="9" width="12.109375" style="2" customWidth="1"/>
    <col min="10" max="10" width="14.44140625" style="2" customWidth="1"/>
    <col min="11" max="11" width="2" style="2" customWidth="1"/>
    <col min="12" max="12" width="2.88671875" style="2" customWidth="1"/>
    <col min="13" max="13" width="9.88671875" style="2" customWidth="1"/>
    <col min="14" max="14" width="18.33203125" style="2" customWidth="1"/>
    <col min="15" max="15" width="3.44140625" style="2" customWidth="1"/>
    <col min="16" max="16" width="12.6640625" style="2" bestFit="1" customWidth="1"/>
    <col min="17" max="17" width="14.5546875" style="2" bestFit="1" customWidth="1"/>
    <col min="18" max="18" width="4.33203125" style="2" customWidth="1"/>
    <col min="19" max="19" width="15.5546875" style="2" customWidth="1"/>
    <col min="20" max="16384" width="9.109375" style="2"/>
  </cols>
  <sheetData>
    <row r="1" spans="1:19" x14ac:dyDescent="0.3">
      <c r="A1" s="1" t="str">
        <f>'Present and Proposed Rates'!A1</f>
        <v>JACKSON PURCHASE ENERGY CORPORATION</v>
      </c>
      <c r="N1" s="1"/>
    </row>
    <row r="2" spans="1:19" x14ac:dyDescent="0.3">
      <c r="A2" s="45" t="str">
        <f>List!B10</f>
        <v>I-E - Large Commercial Existing</v>
      </c>
      <c r="N2" s="24"/>
      <c r="O2" s="24"/>
      <c r="P2" s="24"/>
      <c r="Q2" s="24"/>
      <c r="R2" s="24"/>
      <c r="S2" s="24"/>
    </row>
    <row r="3" spans="1:19" ht="16.2" thickBot="1" x14ac:dyDescent="0.35">
      <c r="A3" s="212" t="str">
        <f>List!C10</f>
        <v>I-E</v>
      </c>
      <c r="B3" s="24"/>
      <c r="C3" s="24"/>
      <c r="N3" s="24"/>
      <c r="O3" s="24"/>
      <c r="P3" s="24"/>
      <c r="Q3" s="24"/>
      <c r="R3" s="24"/>
      <c r="S3" s="24"/>
    </row>
    <row r="4" spans="1:19" x14ac:dyDescent="0.3">
      <c r="A4" s="24"/>
      <c r="B4" s="24"/>
      <c r="C4" s="24"/>
      <c r="D4" s="364" t="s">
        <v>18</v>
      </c>
      <c r="E4" s="365"/>
      <c r="F4" s="365"/>
      <c r="G4" s="366"/>
      <c r="H4" s="293"/>
      <c r="I4" s="364" t="s">
        <v>58</v>
      </c>
      <c r="J4" s="366"/>
      <c r="K4" s="151"/>
      <c r="L4" s="293"/>
      <c r="M4" s="24"/>
      <c r="N4" s="24"/>
      <c r="O4" s="24"/>
      <c r="P4" s="364" t="s">
        <v>42</v>
      </c>
      <c r="Q4" s="365"/>
      <c r="R4" s="365"/>
      <c r="S4" s="366"/>
    </row>
    <row r="5" spans="1:19" ht="16.2" thickBot="1" x14ac:dyDescent="0.35">
      <c r="A5" s="43"/>
      <c r="B5" s="86"/>
      <c r="C5" s="293"/>
      <c r="D5" s="367"/>
      <c r="E5" s="368"/>
      <c r="F5" s="368"/>
      <c r="G5" s="369"/>
      <c r="H5" s="293"/>
      <c r="I5" s="367"/>
      <c r="J5" s="369"/>
      <c r="K5" s="151"/>
      <c r="L5" s="293"/>
      <c r="M5" s="43"/>
      <c r="N5" s="86"/>
      <c r="O5" s="293"/>
      <c r="P5" s="367"/>
      <c r="Q5" s="368"/>
      <c r="R5" s="368"/>
      <c r="S5" s="369"/>
    </row>
    <row r="6" spans="1:19" x14ac:dyDescent="0.3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51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2" thickBot="1" x14ac:dyDescent="0.35">
      <c r="A7" s="5"/>
      <c r="B7" s="5"/>
      <c r="C7" s="5"/>
      <c r="D7" s="5" t="s">
        <v>3</v>
      </c>
      <c r="E7" s="370" t="s">
        <v>4</v>
      </c>
      <c r="F7" s="370"/>
      <c r="G7" s="5" t="s">
        <v>5</v>
      </c>
      <c r="H7" s="5"/>
      <c r="I7" s="5" t="s">
        <v>4</v>
      </c>
      <c r="J7" s="5" t="s">
        <v>5</v>
      </c>
      <c r="K7" s="150"/>
      <c r="L7" s="5"/>
      <c r="M7" s="5"/>
      <c r="N7" s="5"/>
      <c r="O7" s="5"/>
      <c r="P7" s="5" t="s">
        <v>3</v>
      </c>
      <c r="Q7" s="370" t="s">
        <v>4</v>
      </c>
      <c r="R7" s="370"/>
      <c r="S7" s="5" t="s">
        <v>5</v>
      </c>
    </row>
    <row r="8" spans="1:19" x14ac:dyDescent="0.3">
      <c r="K8" s="151"/>
    </row>
    <row r="9" spans="1:19" x14ac:dyDescent="0.3">
      <c r="K9" s="151"/>
    </row>
    <row r="10" spans="1:19" x14ac:dyDescent="0.3">
      <c r="A10" s="118" t="s">
        <v>8</v>
      </c>
      <c r="K10" s="151"/>
      <c r="M10" s="118" t="s">
        <v>8</v>
      </c>
    </row>
    <row r="11" spans="1:19" ht="31.2" x14ac:dyDescent="0.3">
      <c r="D11" s="169" t="s">
        <v>46</v>
      </c>
      <c r="E11" s="169" t="s">
        <v>47</v>
      </c>
      <c r="I11" s="169" t="s">
        <v>47</v>
      </c>
      <c r="K11" s="151"/>
      <c r="P11" s="169" t="s">
        <v>46</v>
      </c>
      <c r="Q11" s="169" t="s">
        <v>47</v>
      </c>
    </row>
    <row r="12" spans="1:19" x14ac:dyDescent="0.3">
      <c r="B12" s="2" t="s">
        <v>57</v>
      </c>
      <c r="D12" s="27">
        <f>'Billing Determ'!Q11</f>
        <v>12</v>
      </c>
      <c r="E12" s="8">
        <f>'Present and Proposed Rates'!F33</f>
        <v>414.97</v>
      </c>
      <c r="G12" s="10">
        <f>D12*E12</f>
        <v>4979.6400000000003</v>
      </c>
      <c r="H12" s="10"/>
      <c r="I12" s="173">
        <f>'Present and Proposed Rates'!G33</f>
        <v>414.97</v>
      </c>
      <c r="J12" s="10">
        <f>I12*D12</f>
        <v>4979.6400000000003</v>
      </c>
      <c r="K12" s="152"/>
      <c r="L12" s="10"/>
      <c r="N12" s="2" t="s">
        <v>53</v>
      </c>
      <c r="P12" s="27">
        <f>D12</f>
        <v>12</v>
      </c>
      <c r="Q12" s="8">
        <f>'Present and Proposed Rates'!H33</f>
        <v>414.97</v>
      </c>
      <c r="S12" s="10">
        <f>P12*Q12</f>
        <v>4979.6400000000003</v>
      </c>
    </row>
    <row r="13" spans="1:19" x14ac:dyDescent="0.3">
      <c r="D13" s="27"/>
      <c r="E13" s="8"/>
      <c r="G13" s="10"/>
      <c r="H13" s="10"/>
      <c r="I13" s="173"/>
      <c r="J13" s="10"/>
      <c r="K13" s="152"/>
      <c r="L13" s="10"/>
      <c r="P13" s="27"/>
      <c r="Q13" s="8"/>
      <c r="S13" s="10"/>
    </row>
    <row r="14" spans="1:19" x14ac:dyDescent="0.3">
      <c r="D14" s="7"/>
      <c r="G14" s="10"/>
      <c r="H14" s="10"/>
      <c r="I14" s="39"/>
      <c r="J14" s="10"/>
      <c r="K14" s="152"/>
      <c r="L14" s="10"/>
      <c r="P14" s="7"/>
      <c r="S14" s="10"/>
    </row>
    <row r="15" spans="1:19" x14ac:dyDescent="0.3">
      <c r="A15" s="1" t="s">
        <v>6</v>
      </c>
      <c r="D15" s="7"/>
      <c r="G15" s="10"/>
      <c r="H15" s="10"/>
      <c r="I15" s="39"/>
      <c r="J15" s="10"/>
      <c r="K15" s="152"/>
      <c r="L15" s="10"/>
      <c r="M15" s="1" t="s">
        <v>6</v>
      </c>
      <c r="P15" s="175"/>
      <c r="Q15" s="39"/>
      <c r="S15" s="10"/>
    </row>
    <row r="16" spans="1:19" x14ac:dyDescent="0.3">
      <c r="D16" s="170" t="s">
        <v>7</v>
      </c>
      <c r="E16" s="171" t="s">
        <v>9</v>
      </c>
      <c r="G16" s="10"/>
      <c r="H16" s="10"/>
      <c r="I16" s="171" t="s">
        <v>9</v>
      </c>
      <c r="J16" s="10"/>
      <c r="K16" s="152"/>
      <c r="L16" s="10"/>
      <c r="P16" s="170" t="s">
        <v>7</v>
      </c>
      <c r="Q16" s="171" t="s">
        <v>9</v>
      </c>
      <c r="S16" s="10"/>
    </row>
    <row r="17" spans="1:22" x14ac:dyDescent="0.3">
      <c r="B17" s="2" t="s">
        <v>100</v>
      </c>
      <c r="D17" s="27">
        <f>'Billing Determ'!Q23</f>
        <v>16733727</v>
      </c>
      <c r="E17" s="238">
        <f>'Present and Proposed Rates'!F34</f>
        <v>3.8124999999999999E-2</v>
      </c>
      <c r="F17" s="16"/>
      <c r="G17" s="15">
        <f>D17*E17</f>
        <v>637973.34187500004</v>
      </c>
      <c r="H17" s="15"/>
      <c r="I17" s="172">
        <f>'Present and Proposed Rates'!G34</f>
        <v>3.8124999999999999E-2</v>
      </c>
      <c r="J17" s="10">
        <f>I17*D17</f>
        <v>637973.34187500004</v>
      </c>
      <c r="K17" s="152"/>
      <c r="L17" s="15"/>
      <c r="N17" s="2" t="s">
        <v>100</v>
      </c>
      <c r="P17" s="27">
        <f>D17</f>
        <v>16733727</v>
      </c>
      <c r="Q17" s="28">
        <f>'Present and Proposed Rates'!H34</f>
        <v>3.9413999999999998E-2</v>
      </c>
      <c r="R17" s="16"/>
      <c r="S17" s="15">
        <f>P17*Q17</f>
        <v>659543.11597799999</v>
      </c>
    </row>
    <row r="18" spans="1:22" x14ac:dyDescent="0.3">
      <c r="A18" s="1"/>
      <c r="B18" s="16"/>
      <c r="C18" s="314" t="s">
        <v>155</v>
      </c>
      <c r="D18" s="315">
        <f>D17/D12</f>
        <v>1394477.25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x14ac:dyDescent="0.3">
      <c r="A19" s="1" t="s">
        <v>48</v>
      </c>
      <c r="B19" s="16"/>
      <c r="C19" s="16"/>
      <c r="D19" s="36"/>
      <c r="E19" s="172"/>
      <c r="F19" s="16"/>
      <c r="G19" s="15"/>
      <c r="H19" s="15"/>
      <c r="I19" s="172"/>
      <c r="J19" s="15"/>
      <c r="K19" s="152"/>
      <c r="L19" s="15"/>
      <c r="M19" s="1" t="s">
        <v>48</v>
      </c>
      <c r="N19" s="16"/>
      <c r="O19" s="16"/>
      <c r="P19" s="27"/>
      <c r="Q19" s="28"/>
      <c r="R19" s="16"/>
      <c r="S19" s="15"/>
    </row>
    <row r="20" spans="1:22" x14ac:dyDescent="0.3">
      <c r="A20" s="1"/>
      <c r="C20" s="16"/>
      <c r="D20" s="170" t="s">
        <v>49</v>
      </c>
      <c r="E20" s="171" t="s">
        <v>50</v>
      </c>
      <c r="F20" s="16"/>
      <c r="G20" s="15"/>
      <c r="H20" s="15"/>
      <c r="I20" s="171" t="s">
        <v>50</v>
      </c>
      <c r="J20" s="15"/>
      <c r="K20" s="152"/>
      <c r="L20" s="15"/>
      <c r="M20" s="1"/>
      <c r="O20" s="16"/>
      <c r="P20" s="170" t="s">
        <v>49</v>
      </c>
      <c r="Q20" s="171" t="s">
        <v>50</v>
      </c>
      <c r="R20" s="16"/>
      <c r="S20" s="15"/>
    </row>
    <row r="21" spans="1:22" x14ac:dyDescent="0.3">
      <c r="A21" s="1"/>
      <c r="B21" s="16" t="s">
        <v>140</v>
      </c>
      <c r="C21" s="16"/>
      <c r="D21" s="89">
        <f>'Billing Determ'!Q43-'Billing Determ'!Q44</f>
        <v>35076.263999999996</v>
      </c>
      <c r="E21" s="297"/>
      <c r="F21" s="16"/>
      <c r="G21" s="15">
        <f>'Present and Proposed Rates'!F35*12</f>
        <v>572652.36</v>
      </c>
      <c r="H21" s="15"/>
      <c r="I21" s="298"/>
      <c r="J21" s="10">
        <f>'Present and Proposed Rates'!G35*12</f>
        <v>572652.36</v>
      </c>
      <c r="K21" s="161"/>
      <c r="L21" s="15"/>
      <c r="M21" s="1"/>
      <c r="N21" s="16" t="s">
        <v>101</v>
      </c>
      <c r="O21" s="16"/>
      <c r="P21" s="89">
        <f>D21</f>
        <v>35076.263999999996</v>
      </c>
      <c r="Q21" s="297"/>
      <c r="R21" s="16"/>
      <c r="S21" s="15">
        <f>'Present and Proposed Rates'!H35*12</f>
        <v>572652.36</v>
      </c>
    </row>
    <row r="22" spans="1:22" x14ac:dyDescent="0.3">
      <c r="A22" s="1"/>
      <c r="B22" s="16" t="s">
        <v>141</v>
      </c>
      <c r="C22" s="16"/>
      <c r="D22" s="27">
        <f>'Billing Determ'!Q44</f>
        <v>17023.36</v>
      </c>
      <c r="E22" s="142">
        <f>'Present and Proposed Rates'!F36</f>
        <v>15.913</v>
      </c>
      <c r="F22" s="16"/>
      <c r="G22" s="15">
        <f>D22*E22</f>
        <v>270892.72768000001</v>
      </c>
      <c r="H22" s="15"/>
      <c r="I22" s="174">
        <f>'Present and Proposed Rates'!G36</f>
        <v>15.913</v>
      </c>
      <c r="J22" s="10">
        <f>I22*D22</f>
        <v>270892.72768000001</v>
      </c>
      <c r="K22" s="161"/>
      <c r="L22" s="15"/>
      <c r="M22" s="1"/>
      <c r="N22" s="16" t="s">
        <v>101</v>
      </c>
      <c r="O22" s="16"/>
      <c r="P22" s="27">
        <f>D22</f>
        <v>17023.36</v>
      </c>
      <c r="Q22" s="142">
        <f>'Present and Proposed Rates'!H36</f>
        <v>15.913</v>
      </c>
      <c r="R22" s="16"/>
      <c r="S22" s="15">
        <f>P22*Q22</f>
        <v>270892.72768000001</v>
      </c>
    </row>
    <row r="23" spans="1:22" x14ac:dyDescent="0.3">
      <c r="A23" s="1"/>
      <c r="B23" s="45"/>
      <c r="C23" s="45"/>
      <c r="D23" s="299">
        <f>SUM(D21:D22)</f>
        <v>52099.623999999996</v>
      </c>
      <c r="E23" s="45"/>
      <c r="F23" s="45"/>
      <c r="G23" s="45"/>
      <c r="H23" s="45"/>
      <c r="I23" s="45"/>
      <c r="J23" s="45"/>
      <c r="K23" s="161"/>
      <c r="L23" s="45"/>
      <c r="M23" s="45"/>
      <c r="N23" s="45"/>
      <c r="O23" s="45"/>
      <c r="P23" s="299">
        <f>SUM(P21:P22)</f>
        <v>52099.623999999996</v>
      </c>
      <c r="Q23" s="45"/>
      <c r="R23" s="45"/>
      <c r="S23" s="45"/>
      <c r="T23" s="45"/>
      <c r="U23" s="45"/>
    </row>
    <row r="24" spans="1:22" x14ac:dyDescent="0.3">
      <c r="A24" s="1" t="s">
        <v>51</v>
      </c>
      <c r="B24" s="45"/>
      <c r="C24" s="109"/>
      <c r="D24" s="51"/>
      <c r="E24" s="58"/>
      <c r="F24" s="24"/>
      <c r="G24" s="15"/>
      <c r="H24" s="15"/>
      <c r="I24" s="15"/>
      <c r="J24" s="15"/>
      <c r="K24" s="153"/>
      <c r="L24" s="54"/>
      <c r="M24" s="1" t="s">
        <v>51</v>
      </c>
      <c r="N24" s="45"/>
      <c r="O24" s="109"/>
      <c r="P24" s="51"/>
      <c r="Q24" s="58"/>
      <c r="R24" s="24"/>
      <c r="S24" s="15"/>
    </row>
    <row r="25" spans="1:22" x14ac:dyDescent="0.3">
      <c r="A25" s="1"/>
      <c r="B25" s="24" t="s">
        <v>45</v>
      </c>
      <c r="C25" s="109"/>
      <c r="D25" s="51"/>
      <c r="E25" s="294">
        <f>G25/D$17</f>
        <v>6.9796402008948761E-4</v>
      </c>
      <c r="F25" s="24"/>
      <c r="G25" s="15">
        <f>'Billing Determ'!Q83</f>
        <v>11679.539368000002</v>
      </c>
      <c r="H25" s="15"/>
      <c r="I25" s="294">
        <f>J25/D$17</f>
        <v>6.9796402008948761E-4</v>
      </c>
      <c r="J25" s="15">
        <f>G25</f>
        <v>11679.539368000002</v>
      </c>
      <c r="K25" s="153"/>
      <c r="L25" s="54"/>
      <c r="M25" s="1"/>
      <c r="N25" s="24" t="s">
        <v>45</v>
      </c>
      <c r="O25" s="109"/>
      <c r="P25" s="51"/>
      <c r="Q25" s="294">
        <f>S25/P$17</f>
        <v>6.9796402008948761E-4</v>
      </c>
      <c r="R25" s="24"/>
      <c r="S25" s="15">
        <f>G25</f>
        <v>11679.539368000002</v>
      </c>
    </row>
    <row r="26" spans="1:22" x14ac:dyDescent="0.3">
      <c r="A26" s="1"/>
      <c r="B26" s="24" t="s">
        <v>52</v>
      </c>
      <c r="C26" s="109"/>
      <c r="D26" s="51"/>
      <c r="E26" s="294">
        <f t="shared" ref="E26:E28" si="0">G26/D$17</f>
        <v>7.1099567708377224E-3</v>
      </c>
      <c r="F26" s="24"/>
      <c r="G26" s="15">
        <f>'Billing Determ'!Q95</f>
        <v>118976.07558500001</v>
      </c>
      <c r="H26" s="54"/>
      <c r="I26" s="294">
        <f t="shared" ref="I26:I28" si="1">J26/D$17</f>
        <v>7.1099567708377224E-3</v>
      </c>
      <c r="J26" s="15">
        <f>G26</f>
        <v>118976.07558500001</v>
      </c>
      <c r="K26" s="153"/>
      <c r="L26" s="54"/>
      <c r="M26" s="1"/>
      <c r="N26" s="24" t="s">
        <v>52</v>
      </c>
      <c r="O26" s="109"/>
      <c r="P26" s="51"/>
      <c r="Q26" s="294">
        <f t="shared" ref="Q26:Q28" si="2">S26/P$17</f>
        <v>7.1099567708377224E-3</v>
      </c>
      <c r="R26" s="24"/>
      <c r="S26" s="15">
        <f>G26</f>
        <v>118976.07558500001</v>
      </c>
    </row>
    <row r="27" spans="1:22" x14ac:dyDescent="0.3">
      <c r="A27" s="1"/>
      <c r="B27" s="24" t="s">
        <v>124</v>
      </c>
      <c r="C27" s="109"/>
      <c r="D27" s="51"/>
      <c r="E27" s="294">
        <f t="shared" si="0"/>
        <v>-3.5911182163423606E-3</v>
      </c>
      <c r="F27" s="24"/>
      <c r="G27" s="15">
        <f>'Billing Determ'!Q107</f>
        <v>-60092.791857000004</v>
      </c>
      <c r="H27" s="54"/>
      <c r="I27" s="294">
        <f t="shared" si="1"/>
        <v>-3.5911182163423606E-3</v>
      </c>
      <c r="J27" s="15">
        <f>G27</f>
        <v>-60092.791857000004</v>
      </c>
      <c r="K27" s="153"/>
      <c r="L27" s="54"/>
      <c r="M27" s="1"/>
      <c r="N27" s="24" t="s">
        <v>80</v>
      </c>
      <c r="O27" s="109"/>
      <c r="P27" s="51"/>
      <c r="Q27" s="294">
        <f t="shared" si="2"/>
        <v>-3.5911182163423606E-3</v>
      </c>
      <c r="R27" s="24"/>
      <c r="S27" s="15">
        <f>J27</f>
        <v>-60092.791857000004</v>
      </c>
    </row>
    <row r="28" spans="1:22" x14ac:dyDescent="0.3">
      <c r="A28" s="1"/>
      <c r="B28" s="24" t="s">
        <v>123</v>
      </c>
      <c r="C28" s="109"/>
      <c r="D28" s="51"/>
      <c r="E28" s="294">
        <f t="shared" si="0"/>
        <v>1.7846120851320211E-3</v>
      </c>
      <c r="F28" s="24"/>
      <c r="G28" s="15">
        <f>'Billing Determ'!Q119</f>
        <v>29863.211433500001</v>
      </c>
      <c r="H28" s="15"/>
      <c r="I28" s="294">
        <f t="shared" si="1"/>
        <v>1.7846120851320211E-3</v>
      </c>
      <c r="J28" s="15">
        <f>G28</f>
        <v>29863.211433500001</v>
      </c>
      <c r="K28" s="153"/>
      <c r="L28" s="54"/>
      <c r="M28" s="1"/>
      <c r="N28" s="24" t="s">
        <v>45</v>
      </c>
      <c r="O28" s="109"/>
      <c r="P28" s="51"/>
      <c r="Q28" s="294">
        <f t="shared" si="2"/>
        <v>1.7846120851320211E-3</v>
      </c>
      <c r="R28" s="24"/>
      <c r="S28" s="15">
        <f>G28</f>
        <v>29863.211433500001</v>
      </c>
    </row>
    <row r="29" spans="1:22" x14ac:dyDescent="0.3">
      <c r="B29" s="16"/>
      <c r="C29" s="16"/>
      <c r="D29" s="27"/>
      <c r="E29" s="28"/>
      <c r="F29" s="16"/>
      <c r="G29" s="37"/>
      <c r="H29" s="37"/>
      <c r="I29" s="37"/>
      <c r="J29" s="37"/>
      <c r="K29" s="152"/>
      <c r="L29" s="37"/>
      <c r="M29" s="118"/>
    </row>
    <row r="30" spans="1:22" x14ac:dyDescent="0.3">
      <c r="A30" s="1"/>
      <c r="D30" s="22"/>
      <c r="G30" s="15"/>
      <c r="H30" s="15"/>
      <c r="I30" s="15"/>
      <c r="J30" s="15"/>
      <c r="K30" s="152"/>
      <c r="L30" s="15"/>
      <c r="M30" s="1"/>
      <c r="S30" s="15"/>
    </row>
    <row r="31" spans="1:22" ht="16.2" thickBot="1" x14ac:dyDescent="0.35">
      <c r="A31" s="1" t="s">
        <v>34</v>
      </c>
      <c r="G31" s="21">
        <f>SUM(G12:G28)</f>
        <v>1586924.1040845001</v>
      </c>
      <c r="H31" s="15"/>
      <c r="I31" s="15"/>
      <c r="J31" s="21">
        <f>SUM(J12:J28)</f>
        <v>1586924.1040845001</v>
      </c>
      <c r="K31" s="152"/>
      <c r="L31" s="15"/>
      <c r="M31" s="1" t="s">
        <v>34</v>
      </c>
      <c r="S31" s="21">
        <f>SUM(S12:S28)</f>
        <v>1608493.8781875002</v>
      </c>
    </row>
    <row r="32" spans="1:22" ht="16.2" thickTop="1" x14ac:dyDescent="0.3">
      <c r="A32" s="1"/>
      <c r="B32" s="1"/>
      <c r="G32" s="15"/>
      <c r="H32" s="15"/>
      <c r="I32" s="15"/>
      <c r="J32" s="15"/>
      <c r="K32" s="152"/>
      <c r="L32" s="15"/>
      <c r="M32" s="1"/>
      <c r="N32" s="1"/>
      <c r="S32" s="15"/>
    </row>
    <row r="33" spans="1:19" x14ac:dyDescent="0.3">
      <c r="A33" s="32" t="s">
        <v>15</v>
      </c>
      <c r="B33" s="9"/>
      <c r="G33" s="10">
        <f>'Billing Determ'!Q35</f>
        <v>1588746.9799999997</v>
      </c>
      <c r="H33" s="10"/>
      <c r="I33" s="10"/>
      <c r="J33" s="10"/>
      <c r="K33" s="154"/>
      <c r="L33" s="10"/>
      <c r="M33" s="91" t="s">
        <v>59</v>
      </c>
      <c r="N33" s="9"/>
      <c r="S33" s="26">
        <f>S31-J31</f>
        <v>21569.774103000062</v>
      </c>
    </row>
    <row r="34" spans="1:19" x14ac:dyDescent="0.3">
      <c r="A34" s="9"/>
      <c r="B34" s="9"/>
      <c r="G34" s="9"/>
      <c r="H34" s="9"/>
      <c r="I34" s="9"/>
      <c r="J34" s="9"/>
      <c r="K34" s="155"/>
      <c r="L34" s="9"/>
      <c r="M34" s="35"/>
      <c r="N34" s="9"/>
      <c r="S34" s="9"/>
    </row>
    <row r="35" spans="1:19" x14ac:dyDescent="0.3">
      <c r="A35" s="32" t="s">
        <v>10</v>
      </c>
      <c r="B35" s="9"/>
      <c r="G35" s="19">
        <f>G31-G33</f>
        <v>-1822.8759154996369</v>
      </c>
      <c r="H35" s="19"/>
      <c r="I35" s="19"/>
      <c r="J35" s="19">
        <f>J31-G31</f>
        <v>0</v>
      </c>
      <c r="K35" s="152"/>
      <c r="L35" s="19"/>
      <c r="M35" s="91" t="s">
        <v>60</v>
      </c>
      <c r="N35" s="9"/>
      <c r="S35" s="111">
        <f>S33/J31</f>
        <v>1.3592190103788052E-2</v>
      </c>
    </row>
    <row r="36" spans="1:19" x14ac:dyDescent="0.3">
      <c r="A36" s="9"/>
      <c r="B36" s="9"/>
      <c r="G36" s="10"/>
      <c r="H36" s="10"/>
      <c r="I36" s="10"/>
      <c r="J36" s="10"/>
      <c r="K36" s="156"/>
      <c r="L36" s="10"/>
      <c r="M36" s="24"/>
      <c r="N36" s="9"/>
      <c r="S36" s="10"/>
    </row>
    <row r="37" spans="1:19" x14ac:dyDescent="0.3">
      <c r="A37" s="32" t="s">
        <v>17</v>
      </c>
      <c r="B37" s="9"/>
      <c r="G37" s="20">
        <f>G35/G33</f>
        <v>-1.1473670373237388E-3</v>
      </c>
      <c r="H37" s="20"/>
      <c r="I37" s="20"/>
      <c r="J37" s="20">
        <f>J35/G33</f>
        <v>0</v>
      </c>
      <c r="K37" s="152"/>
      <c r="L37" s="20"/>
      <c r="M37" s="45" t="s">
        <v>37</v>
      </c>
      <c r="N37" s="9"/>
      <c r="S37" s="37">
        <f>S33/P12</f>
        <v>1797.4811752500052</v>
      </c>
    </row>
    <row r="38" spans="1:19" x14ac:dyDescent="0.3">
      <c r="A38" s="32"/>
      <c r="B38" s="9"/>
      <c r="G38" s="20"/>
      <c r="H38" s="20"/>
      <c r="I38" s="20"/>
      <c r="J38" s="20"/>
      <c r="K38" s="20"/>
      <c r="L38" s="20"/>
      <c r="M38" s="32"/>
      <c r="N38" s="9"/>
      <c r="S38" s="20"/>
    </row>
    <row r="39" spans="1:19" x14ac:dyDescent="0.3">
      <c r="A39" s="32"/>
      <c r="B39" s="9"/>
      <c r="D39" s="23"/>
      <c r="G39" s="168"/>
      <c r="H39" s="20"/>
      <c r="I39" s="20"/>
      <c r="J39" s="20"/>
      <c r="K39" s="20"/>
      <c r="L39" s="20"/>
      <c r="M39" s="32"/>
      <c r="N39" s="9"/>
      <c r="S39" s="20"/>
    </row>
    <row r="40" spans="1:19" x14ac:dyDescent="0.3">
      <c r="A40" s="32"/>
      <c r="B40" s="9"/>
      <c r="G40" s="168"/>
      <c r="H40" s="20"/>
      <c r="I40" s="20"/>
      <c r="J40" s="20"/>
      <c r="K40" s="20"/>
      <c r="L40" s="20"/>
      <c r="M40" s="32"/>
      <c r="N40" s="9"/>
      <c r="S40" s="20"/>
    </row>
    <row r="41" spans="1:19" x14ac:dyDescent="0.3">
      <c r="A41" s="32"/>
      <c r="B41" s="9"/>
      <c r="D41" s="23"/>
      <c r="G41" s="168"/>
      <c r="H41" s="20"/>
      <c r="I41" s="20"/>
      <c r="J41" s="20"/>
      <c r="K41" s="20"/>
      <c r="L41" s="20"/>
      <c r="M41" s="32"/>
      <c r="N41" s="9"/>
      <c r="S41" s="20"/>
    </row>
    <row r="42" spans="1:19" x14ac:dyDescent="0.3">
      <c r="A42" s="32"/>
      <c r="B42" s="9"/>
      <c r="G42" s="20"/>
      <c r="H42" s="20"/>
      <c r="I42" s="20"/>
      <c r="J42" s="20"/>
      <c r="K42" s="20"/>
      <c r="L42" s="20"/>
      <c r="M42" s="32"/>
      <c r="N42" s="9"/>
      <c r="S42" s="20"/>
    </row>
    <row r="43" spans="1:19" x14ac:dyDescent="0.3">
      <c r="A43" s="32"/>
      <c r="B43" s="9"/>
      <c r="G43" s="20"/>
      <c r="H43" s="20"/>
      <c r="I43" s="20"/>
      <c r="J43" s="20"/>
      <c r="K43" s="20"/>
      <c r="L43" s="20"/>
      <c r="M43" s="32"/>
      <c r="N43" s="9"/>
      <c r="S43" s="20"/>
    </row>
    <row r="44" spans="1:19" ht="18.75" customHeight="1" x14ac:dyDescent="0.3">
      <c r="A44" s="32"/>
      <c r="B44" s="10"/>
      <c r="G44" s="20"/>
      <c r="H44" s="20"/>
      <c r="I44" s="20"/>
      <c r="J44" s="20"/>
      <c r="K44" s="20"/>
      <c r="L44" s="20"/>
      <c r="N44" s="24"/>
    </row>
    <row r="45" spans="1:19" x14ac:dyDescent="0.3">
      <c r="E45" s="10"/>
      <c r="N45" s="24"/>
    </row>
    <row r="59" ht="16.5" customHeight="1" x14ac:dyDescent="0.3"/>
    <row r="92" ht="15" customHeight="1" x14ac:dyDescent="0.3"/>
    <row r="138" spans="2:14" x14ac:dyDescent="0.3">
      <c r="N138" s="40"/>
    </row>
    <row r="139" spans="2:14" x14ac:dyDescent="0.3">
      <c r="B139" s="16"/>
      <c r="C139" s="40"/>
      <c r="D139" s="40"/>
      <c r="E139" s="16"/>
      <c r="F139" s="16"/>
      <c r="G139" s="16"/>
      <c r="H139" s="16"/>
      <c r="I139" s="16"/>
      <c r="J139" s="16"/>
      <c r="K139" s="16"/>
      <c r="L139" s="16"/>
      <c r="N139" s="40"/>
    </row>
    <row r="140" spans="2:14" x14ac:dyDescent="0.3">
      <c r="B140" s="16"/>
      <c r="C140" s="41"/>
      <c r="D140" s="65"/>
      <c r="E140" s="69"/>
      <c r="F140" s="16"/>
      <c r="G140" s="16"/>
      <c r="H140" s="16"/>
      <c r="I140" s="16"/>
      <c r="J140" s="16"/>
      <c r="K140" s="16"/>
      <c r="L140" s="16"/>
      <c r="N140" s="40"/>
    </row>
    <row r="141" spans="2:14" x14ac:dyDescent="0.3">
      <c r="B141" s="16"/>
      <c r="C141" s="41"/>
      <c r="D141" s="65"/>
      <c r="E141" s="69"/>
      <c r="F141" s="16"/>
      <c r="G141" s="16"/>
      <c r="H141" s="16"/>
      <c r="I141" s="16"/>
      <c r="J141" s="16"/>
      <c r="K141" s="16"/>
      <c r="L141" s="16"/>
      <c r="N141" s="40"/>
    </row>
    <row r="142" spans="2:14" x14ac:dyDescent="0.3">
      <c r="B142" s="16"/>
      <c r="C142" s="41"/>
      <c r="D142" s="65"/>
      <c r="E142" s="69"/>
      <c r="F142" s="16"/>
      <c r="G142" s="16"/>
      <c r="H142" s="16"/>
      <c r="I142" s="16"/>
      <c r="J142" s="16"/>
      <c r="K142" s="16"/>
      <c r="L142" s="16"/>
      <c r="N142" s="40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7" orientation="landscape" r:id="rId1"/>
  <headerFooter alignWithMargins="0">
    <oddFooter>&amp;RExhibit JW-9
Page &amp;P of &amp;N</oddFooter>
  </headerFooter>
  <ignoredErrors>
    <ignoredError sqref="S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117"/>
  <sheetViews>
    <sheetView view="pageBreakPreview" zoomScale="85" zoomScaleNormal="100" zoomScaleSheetLayoutView="85" workbookViewId="0">
      <selection activeCell="N32" sqref="N32"/>
    </sheetView>
  </sheetViews>
  <sheetFormatPr defaultColWidth="9.109375" defaultRowHeight="15.6" x14ac:dyDescent="0.3"/>
  <cols>
    <col min="1" max="2" width="4.33203125" style="2" customWidth="1"/>
    <col min="3" max="3" width="37.33203125" style="2" customWidth="1"/>
    <col min="4" max="4" width="19.88671875" style="2" bestFit="1" customWidth="1"/>
    <col min="5" max="5" width="7.6640625" style="2" bestFit="1" customWidth="1"/>
    <col min="6" max="6" width="3" style="2" customWidth="1"/>
    <col min="7" max="7" width="10.44140625" style="2" bestFit="1" customWidth="1"/>
    <col min="8" max="8" width="10.88671875" style="2" bestFit="1" customWidth="1"/>
    <col min="9" max="9" width="14.109375" style="2" customWidth="1"/>
    <col min="10" max="10" width="3.33203125" style="2" customWidth="1"/>
    <col min="11" max="11" width="10.88671875" style="2" bestFit="1" customWidth="1"/>
    <col min="12" max="12" width="15.33203125" style="2" customWidth="1"/>
    <col min="13" max="13" width="2" style="2" customWidth="1"/>
    <col min="14" max="14" width="2.6640625" style="2" customWidth="1"/>
    <col min="15" max="15" width="16.5546875" style="2" customWidth="1"/>
    <col min="16" max="16" width="15.109375" style="2" customWidth="1"/>
    <col min="17" max="17" width="7.5546875" style="2" customWidth="1"/>
    <col min="18" max="18" width="15.33203125" style="2" customWidth="1"/>
    <col min="19" max="19" width="2.6640625" style="2" customWidth="1"/>
    <col min="20" max="20" width="16.6640625" style="2" customWidth="1"/>
    <col min="21" max="21" width="9.109375" style="2"/>
    <col min="22" max="23" width="6.6640625" style="2" customWidth="1"/>
    <col min="24" max="24" width="27.5546875" style="2" customWidth="1"/>
    <col min="25" max="25" width="11.6640625" style="2" customWidth="1"/>
    <col min="26" max="26" width="13" style="2" customWidth="1"/>
    <col min="27" max="27" width="10.5546875" style="2" customWidth="1"/>
    <col min="28" max="28" width="2.6640625" style="2" customWidth="1"/>
    <col min="29" max="29" width="16.6640625" style="2" customWidth="1"/>
    <col min="30" max="16384" width="9.109375" style="2"/>
  </cols>
  <sheetData>
    <row r="1" spans="1:29" x14ac:dyDescent="0.3">
      <c r="A1" s="1" t="str">
        <f>'Present and Proposed Rates'!A1</f>
        <v>JACKSON PURCHASE ENERGY CORPORATION</v>
      </c>
      <c r="B1" s="1"/>
      <c r="C1" s="1"/>
      <c r="D1" s="1"/>
      <c r="E1" s="24"/>
      <c r="F1" s="24"/>
      <c r="G1" s="24"/>
      <c r="H1" s="24"/>
      <c r="I1" s="24"/>
      <c r="J1" s="24"/>
      <c r="K1" s="24"/>
      <c r="L1" s="24"/>
      <c r="N1" s="24"/>
      <c r="O1" s="24"/>
      <c r="P1" s="24"/>
      <c r="Q1" s="24"/>
      <c r="R1" s="24"/>
      <c r="S1" s="35"/>
      <c r="T1" s="35"/>
      <c r="U1" s="16"/>
      <c r="V1" s="35"/>
      <c r="W1" s="35"/>
      <c r="X1" s="35"/>
      <c r="Y1" s="35"/>
      <c r="Z1" s="35"/>
      <c r="AA1" s="35"/>
      <c r="AB1" s="35"/>
      <c r="AC1" s="35"/>
    </row>
    <row r="2" spans="1:29" x14ac:dyDescent="0.3">
      <c r="A2" s="45" t="str">
        <f>List!B11</f>
        <v>OL - Outdoor Lighting</v>
      </c>
      <c r="B2" s="45"/>
      <c r="C2" s="45"/>
      <c r="D2" s="45"/>
      <c r="E2" s="24"/>
      <c r="F2" s="24"/>
      <c r="G2" s="24"/>
      <c r="H2" s="24"/>
      <c r="I2" s="24"/>
      <c r="J2" s="24"/>
      <c r="K2" s="24"/>
      <c r="L2" s="24"/>
      <c r="N2" s="24"/>
      <c r="O2" s="24"/>
      <c r="P2" s="24"/>
      <c r="Q2" s="24"/>
      <c r="R2" s="24"/>
      <c r="S2" s="35"/>
      <c r="T2" s="35"/>
      <c r="U2" s="16"/>
      <c r="V2" s="35"/>
      <c r="W2" s="35"/>
      <c r="X2" s="35"/>
      <c r="Y2" s="35"/>
      <c r="Z2" s="35"/>
      <c r="AA2" s="35"/>
      <c r="AB2" s="35"/>
      <c r="AC2" s="35"/>
    </row>
    <row r="3" spans="1:29" ht="16.2" thickBot="1" x14ac:dyDescent="0.35">
      <c r="A3" s="45" t="str">
        <f>List!C11</f>
        <v>OL</v>
      </c>
      <c r="B3" s="45"/>
      <c r="C3" s="45"/>
      <c r="D3" s="45"/>
      <c r="E3" s="24"/>
      <c r="F3" s="24"/>
      <c r="G3" s="24"/>
      <c r="H3" s="24"/>
      <c r="I3" s="24"/>
      <c r="J3" s="24"/>
      <c r="K3" s="24"/>
      <c r="L3" s="24"/>
      <c r="N3" s="24"/>
      <c r="O3" s="24"/>
      <c r="P3" s="24"/>
      <c r="Q3" s="24"/>
      <c r="R3" s="24"/>
      <c r="S3" s="35"/>
      <c r="T3" s="35"/>
      <c r="U3" s="16"/>
      <c r="V3" s="35"/>
      <c r="W3" s="35"/>
      <c r="X3" s="35"/>
      <c r="Y3" s="35"/>
      <c r="Z3" s="35"/>
      <c r="AA3" s="35"/>
      <c r="AB3" s="35"/>
      <c r="AC3" s="35"/>
    </row>
    <row r="4" spans="1:29" x14ac:dyDescent="0.3">
      <c r="A4" s="24"/>
      <c r="B4" s="24"/>
      <c r="C4" s="24"/>
      <c r="D4" s="24"/>
      <c r="E4" s="24"/>
      <c r="F4" s="24"/>
      <c r="G4" s="371" t="s">
        <v>18</v>
      </c>
      <c r="H4" s="372"/>
      <c r="I4" s="373"/>
      <c r="J4" s="3"/>
      <c r="K4" s="364" t="s">
        <v>58</v>
      </c>
      <c r="L4" s="366"/>
      <c r="M4" s="151"/>
      <c r="N4" s="3"/>
      <c r="O4" s="371" t="s">
        <v>42</v>
      </c>
      <c r="P4" s="372"/>
      <c r="Q4" s="372"/>
      <c r="R4" s="373"/>
      <c r="S4" s="164"/>
      <c r="T4" s="164"/>
      <c r="U4" s="16"/>
      <c r="V4" s="35"/>
      <c r="W4" s="35"/>
      <c r="X4" s="35"/>
      <c r="Y4" s="35"/>
      <c r="Z4" s="376"/>
      <c r="AA4" s="376"/>
      <c r="AB4" s="376"/>
      <c r="AC4" s="376"/>
    </row>
    <row r="5" spans="1:29" ht="16.2" thickBot="1" x14ac:dyDescent="0.35">
      <c r="A5" s="24"/>
      <c r="B5" s="24"/>
      <c r="C5" s="24"/>
      <c r="D5" s="24"/>
      <c r="E5" s="24"/>
      <c r="F5" s="24"/>
      <c r="G5" s="374"/>
      <c r="H5" s="370"/>
      <c r="I5" s="375"/>
      <c r="J5" s="3"/>
      <c r="K5" s="367"/>
      <c r="L5" s="369"/>
      <c r="M5" s="151"/>
      <c r="N5" s="3"/>
      <c r="O5" s="374"/>
      <c r="P5" s="370"/>
      <c r="Q5" s="370"/>
      <c r="R5" s="375"/>
      <c r="S5" s="164"/>
      <c r="T5" s="164"/>
      <c r="U5" s="16"/>
      <c r="V5" s="46"/>
      <c r="W5" s="46"/>
      <c r="X5" s="46"/>
      <c r="Y5" s="46"/>
      <c r="Z5" s="376"/>
      <c r="AA5" s="376"/>
      <c r="AB5" s="376"/>
      <c r="AC5" s="376"/>
    </row>
    <row r="6" spans="1:29" x14ac:dyDescent="0.3">
      <c r="A6" s="24"/>
      <c r="B6" s="24"/>
      <c r="C6" s="24"/>
      <c r="D6" s="24"/>
      <c r="E6" s="24"/>
      <c r="F6" s="24"/>
      <c r="G6" s="47" t="s">
        <v>0</v>
      </c>
      <c r="H6" s="47"/>
      <c r="I6" s="47" t="s">
        <v>1</v>
      </c>
      <c r="J6" s="47"/>
      <c r="K6" s="4"/>
      <c r="L6" s="4" t="s">
        <v>1</v>
      </c>
      <c r="M6" s="151"/>
      <c r="N6" s="47"/>
      <c r="O6" s="47" t="s">
        <v>0</v>
      </c>
      <c r="P6" s="47"/>
      <c r="Q6" s="47"/>
      <c r="R6" s="47" t="s">
        <v>1</v>
      </c>
      <c r="S6" s="88"/>
      <c r="T6" s="88"/>
      <c r="U6" s="16"/>
      <c r="V6" s="88"/>
      <c r="W6" s="88"/>
      <c r="X6" s="88"/>
      <c r="Y6" s="88"/>
      <c r="Z6" s="88"/>
      <c r="AA6" s="88"/>
      <c r="AB6" s="88"/>
      <c r="AC6" s="88"/>
    </row>
    <row r="7" spans="1:29" ht="16.2" thickBot="1" x14ac:dyDescent="0.35">
      <c r="A7" s="48" t="s">
        <v>2</v>
      </c>
      <c r="B7" s="48"/>
      <c r="C7" s="48"/>
      <c r="D7" s="48"/>
      <c r="E7" s="49"/>
      <c r="F7" s="49"/>
      <c r="G7" s="50" t="s">
        <v>3</v>
      </c>
      <c r="H7" s="50" t="s">
        <v>4</v>
      </c>
      <c r="I7" s="50" t="s">
        <v>5</v>
      </c>
      <c r="J7" s="49"/>
      <c r="K7" s="5" t="s">
        <v>4</v>
      </c>
      <c r="L7" s="5" t="s">
        <v>5</v>
      </c>
      <c r="M7" s="150"/>
      <c r="N7" s="88"/>
      <c r="O7" s="50" t="s">
        <v>3</v>
      </c>
      <c r="P7" s="50" t="s">
        <v>4</v>
      </c>
      <c r="Q7" s="50"/>
      <c r="R7" s="50" t="s">
        <v>5</v>
      </c>
      <c r="S7" s="165"/>
      <c r="T7" s="88"/>
      <c r="U7" s="16"/>
      <c r="V7" s="88"/>
      <c r="W7" s="88"/>
      <c r="X7" s="88"/>
      <c r="Y7" s="88"/>
      <c r="Z7" s="88"/>
      <c r="AA7" s="377"/>
      <c r="AB7" s="377"/>
      <c r="AC7" s="88"/>
    </row>
    <row r="8" spans="1:29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151"/>
      <c r="N8" s="24"/>
      <c r="O8" s="24"/>
      <c r="P8" s="24"/>
      <c r="Q8" s="24"/>
      <c r="R8" s="24"/>
      <c r="S8" s="35"/>
      <c r="T8" s="35"/>
      <c r="U8" s="16"/>
      <c r="V8" s="35"/>
      <c r="W8" s="35"/>
      <c r="X8" s="35"/>
      <c r="Y8" s="35"/>
      <c r="Z8" s="35"/>
      <c r="AA8" s="35"/>
      <c r="AB8" s="35"/>
      <c r="AC8" s="35"/>
    </row>
    <row r="9" spans="1:29" x14ac:dyDescent="0.3">
      <c r="A9" s="45" t="s">
        <v>13</v>
      </c>
      <c r="B9" s="45"/>
      <c r="C9" s="45"/>
      <c r="D9" s="45"/>
      <c r="E9" s="24"/>
      <c r="F9" s="24"/>
      <c r="G9" s="159" t="s">
        <v>53</v>
      </c>
      <c r="H9" s="158"/>
      <c r="I9" s="44"/>
      <c r="J9" s="44"/>
      <c r="K9" s="44"/>
      <c r="L9" s="44"/>
      <c r="M9" s="151"/>
      <c r="N9" s="44"/>
      <c r="O9" s="159" t="s">
        <v>53</v>
      </c>
      <c r="P9" s="158"/>
      <c r="Q9" s="158"/>
      <c r="R9" s="44"/>
      <c r="S9" s="35"/>
      <c r="T9" s="90"/>
      <c r="U9" s="16"/>
      <c r="V9" s="91"/>
      <c r="W9" s="35"/>
      <c r="X9" s="35"/>
      <c r="Y9" s="35"/>
      <c r="Z9" s="89"/>
      <c r="AA9" s="35"/>
      <c r="AB9" s="35"/>
      <c r="AC9" s="90"/>
    </row>
    <row r="10" spans="1:29" x14ac:dyDescent="0.3">
      <c r="A10" s="24"/>
      <c r="B10" s="24"/>
      <c r="C10" s="24"/>
      <c r="D10" s="24"/>
      <c r="E10" s="24"/>
      <c r="F10" s="24"/>
      <c r="G10" s="136" t="s">
        <v>13</v>
      </c>
      <c r="H10" s="137" t="s">
        <v>14</v>
      </c>
      <c r="I10" s="44"/>
      <c r="J10" s="44"/>
      <c r="K10" s="217" t="s">
        <v>14</v>
      </c>
      <c r="L10" s="44"/>
      <c r="M10" s="152"/>
      <c r="N10" s="44"/>
      <c r="O10" s="136" t="s">
        <v>13</v>
      </c>
      <c r="P10" s="137" t="s">
        <v>14</v>
      </c>
      <c r="Q10" s="216"/>
      <c r="R10" s="44"/>
      <c r="S10" s="35"/>
      <c r="T10" s="90"/>
      <c r="U10" s="16"/>
      <c r="V10" s="35"/>
      <c r="W10" s="35"/>
      <c r="X10" s="35"/>
      <c r="Y10" s="81"/>
      <c r="Z10" s="92"/>
      <c r="AA10" s="93"/>
      <c r="AB10" s="35"/>
      <c r="AC10" s="90"/>
    </row>
    <row r="11" spans="1:29" x14ac:dyDescent="0.3">
      <c r="A11" s="24"/>
      <c r="B11" s="24"/>
      <c r="C11" s="24"/>
      <c r="D11" s="24"/>
      <c r="E11" s="157"/>
      <c r="F11" s="53"/>
      <c r="G11" s="53"/>
      <c r="H11" s="160"/>
      <c r="I11" s="67"/>
      <c r="J11" s="67"/>
      <c r="K11" s="82"/>
      <c r="L11" s="67"/>
      <c r="M11" s="152"/>
      <c r="N11" s="67"/>
      <c r="O11" s="53"/>
      <c r="P11" s="160"/>
      <c r="Q11" s="160"/>
      <c r="R11" s="67"/>
      <c r="S11" s="35"/>
      <c r="T11" s="54"/>
      <c r="U11" s="16"/>
      <c r="V11" s="35"/>
      <c r="W11" s="35"/>
      <c r="X11" s="35"/>
      <c r="Y11" s="89"/>
      <c r="Z11" s="55"/>
      <c r="AA11" s="94"/>
      <c r="AB11" s="35"/>
      <c r="AC11" s="54"/>
    </row>
    <row r="12" spans="1:29" x14ac:dyDescent="0.3">
      <c r="A12" s="24"/>
      <c r="B12" s="24"/>
      <c r="C12" s="24"/>
      <c r="D12" s="24"/>
      <c r="E12" s="35"/>
      <c r="F12" s="89"/>
      <c r="G12" s="53"/>
      <c r="H12" s="82"/>
      <c r="I12" s="61"/>
      <c r="J12" s="54"/>
      <c r="K12" s="82"/>
      <c r="L12" s="54"/>
      <c r="M12" s="152"/>
      <c r="N12" s="54"/>
      <c r="O12" s="53"/>
      <c r="P12" s="82"/>
      <c r="Q12" s="82"/>
      <c r="R12" s="61"/>
      <c r="S12" s="35"/>
      <c r="T12" s="54"/>
      <c r="U12" s="16"/>
      <c r="V12" s="35"/>
      <c r="W12" s="35"/>
      <c r="X12" s="35"/>
      <c r="Y12" s="89"/>
      <c r="Z12" s="89"/>
      <c r="AA12" s="94"/>
      <c r="AB12" s="35"/>
      <c r="AC12" s="54"/>
    </row>
    <row r="13" spans="1:29" ht="16.2" thickBot="1" x14ac:dyDescent="0.35">
      <c r="A13" s="24"/>
      <c r="B13" s="24"/>
      <c r="C13" s="24"/>
      <c r="D13" s="24"/>
      <c r="E13" s="162" t="s">
        <v>36</v>
      </c>
      <c r="F13" s="163"/>
      <c r="G13" s="163"/>
      <c r="H13" s="163"/>
      <c r="I13" s="74">
        <f>I18</f>
        <v>1420048.26</v>
      </c>
      <c r="J13" s="67"/>
      <c r="K13" s="82"/>
      <c r="L13" s="74">
        <f>I13</f>
        <v>1420048.26</v>
      </c>
      <c r="M13" s="152"/>
      <c r="N13" s="67"/>
      <c r="O13" s="53"/>
      <c r="P13" s="82"/>
      <c r="Q13" s="82"/>
      <c r="R13" s="74">
        <f>L13</f>
        <v>1420048.26</v>
      </c>
      <c r="S13" s="35"/>
      <c r="T13" s="54"/>
      <c r="U13" s="16"/>
      <c r="V13" s="35"/>
      <c r="W13" s="95"/>
      <c r="X13" s="35"/>
      <c r="Y13" s="96"/>
      <c r="Z13" s="89"/>
      <c r="AA13" s="70"/>
      <c r="AB13" s="35"/>
      <c r="AC13" s="54"/>
    </row>
    <row r="14" spans="1:29" ht="16.2" thickTop="1" x14ac:dyDescent="0.3">
      <c r="A14" s="24"/>
      <c r="B14" s="24"/>
      <c r="C14" s="24"/>
      <c r="D14" s="24"/>
      <c r="E14" s="56"/>
      <c r="F14" s="57"/>
      <c r="G14" s="53"/>
      <c r="H14" s="58"/>
      <c r="I14" s="54"/>
      <c r="J14" s="54"/>
      <c r="K14" s="58"/>
      <c r="L14" s="54"/>
      <c r="M14" s="152"/>
      <c r="N14" s="54"/>
      <c r="O14" s="53"/>
      <c r="P14" s="58"/>
      <c r="Q14" s="58"/>
      <c r="R14" s="54"/>
      <c r="S14" s="35"/>
      <c r="T14" s="54"/>
      <c r="U14" s="16"/>
      <c r="V14" s="35"/>
      <c r="W14" s="95"/>
      <c r="X14" s="35"/>
      <c r="Y14" s="96"/>
      <c r="Z14" s="89"/>
      <c r="AA14" s="70"/>
      <c r="AB14" s="35"/>
      <c r="AC14" s="54"/>
    </row>
    <row r="15" spans="1:29" x14ac:dyDescent="0.3">
      <c r="A15" s="24"/>
      <c r="B15" s="24"/>
      <c r="C15" s="24"/>
      <c r="D15" s="24"/>
      <c r="E15" s="24"/>
      <c r="F15" s="24"/>
      <c r="G15" s="51"/>
      <c r="H15" s="24"/>
      <c r="I15" s="52"/>
      <c r="J15" s="52"/>
      <c r="K15" s="52"/>
      <c r="L15" s="52"/>
      <c r="M15" s="152"/>
      <c r="N15" s="52"/>
      <c r="O15" s="51"/>
      <c r="P15" s="24"/>
      <c r="Q15" s="24"/>
      <c r="R15" s="52"/>
      <c r="S15" s="35"/>
      <c r="T15" s="54"/>
      <c r="U15" s="16"/>
      <c r="V15" s="35"/>
      <c r="W15" s="35"/>
      <c r="X15" s="35"/>
      <c r="Y15" s="35"/>
      <c r="Z15" s="89"/>
      <c r="AA15" s="35"/>
      <c r="AB15" s="35"/>
      <c r="AC15" s="54"/>
    </row>
    <row r="16" spans="1:29" ht="16.2" thickBot="1" x14ac:dyDescent="0.35">
      <c r="A16" s="1" t="s">
        <v>34</v>
      </c>
      <c r="B16" s="1"/>
      <c r="C16" s="1"/>
      <c r="D16" s="13">
        <f>'Billing Determ'!Q25</f>
        <v>7879125</v>
      </c>
      <c r="E16" s="24" t="s">
        <v>7</v>
      </c>
      <c r="F16" s="24"/>
      <c r="G16" s="24"/>
      <c r="H16" s="24"/>
      <c r="I16" s="74">
        <f>I25+I13</f>
        <v>1420048.26</v>
      </c>
      <c r="J16" s="67"/>
      <c r="K16" s="67"/>
      <c r="L16" s="74">
        <f>L13</f>
        <v>1420048.26</v>
      </c>
      <c r="M16" s="152"/>
      <c r="N16" s="67"/>
      <c r="O16" s="1" t="s">
        <v>34</v>
      </c>
      <c r="P16" s="24"/>
      <c r="Q16" s="24"/>
      <c r="R16" s="21">
        <f>R13</f>
        <v>1420048.26</v>
      </c>
      <c r="S16" s="35"/>
      <c r="T16" s="67"/>
      <c r="U16" s="16"/>
      <c r="V16" s="91"/>
      <c r="W16" s="35"/>
      <c r="X16" s="35"/>
      <c r="Y16" s="35"/>
      <c r="Z16" s="35"/>
      <c r="AA16" s="35"/>
      <c r="AB16" s="35"/>
      <c r="AC16" s="67"/>
    </row>
    <row r="17" spans="1:29" ht="16.2" thickTop="1" x14ac:dyDescent="0.3">
      <c r="A17" s="45"/>
      <c r="B17" s="45"/>
      <c r="C17" s="45"/>
      <c r="D17" s="45"/>
      <c r="E17" s="24"/>
      <c r="F17" s="24"/>
      <c r="G17" s="24"/>
      <c r="H17" s="24"/>
      <c r="I17" s="54"/>
      <c r="J17" s="54"/>
      <c r="K17" s="54"/>
      <c r="L17" s="54"/>
      <c r="M17" s="152"/>
      <c r="N17" s="54"/>
      <c r="O17" s="1"/>
      <c r="P17" s="24"/>
      <c r="Q17" s="24"/>
      <c r="R17" s="15"/>
      <c r="S17" s="35"/>
      <c r="T17" s="54"/>
      <c r="U17" s="16"/>
      <c r="V17" s="91"/>
      <c r="W17" s="35"/>
      <c r="X17" s="35"/>
      <c r="Y17" s="35"/>
      <c r="Z17" s="35"/>
      <c r="AA17" s="35"/>
      <c r="AB17" s="35"/>
      <c r="AC17" s="54"/>
    </row>
    <row r="18" spans="1:29" x14ac:dyDescent="0.3">
      <c r="A18" s="32" t="s">
        <v>15</v>
      </c>
      <c r="B18" s="32"/>
      <c r="C18" s="32"/>
      <c r="D18" s="32"/>
      <c r="E18" s="24"/>
      <c r="F18" s="24"/>
      <c r="G18" s="55"/>
      <c r="H18" s="24"/>
      <c r="I18" s="52">
        <f>'Billing Determ'!Q37</f>
        <v>1420048.26</v>
      </c>
      <c r="J18" s="52"/>
      <c r="K18" s="52"/>
      <c r="L18" s="52"/>
      <c r="M18" s="152"/>
      <c r="N18" s="52"/>
      <c r="O18" s="91" t="s">
        <v>59</v>
      </c>
      <c r="P18" s="24"/>
      <c r="Q18" s="24"/>
      <c r="R18" s="26">
        <f>R16-L16</f>
        <v>0</v>
      </c>
      <c r="S18" s="35"/>
      <c r="T18" s="62"/>
      <c r="U18" s="16"/>
      <c r="V18" s="32"/>
      <c r="W18" s="35"/>
      <c r="X18" s="35"/>
      <c r="Y18" s="35"/>
      <c r="Z18" s="62"/>
      <c r="AA18" s="35"/>
      <c r="AB18" s="35"/>
      <c r="AC18" s="62"/>
    </row>
    <row r="19" spans="1:29" x14ac:dyDescent="0.3">
      <c r="A19" s="9"/>
      <c r="B19" s="9"/>
      <c r="C19" s="9"/>
      <c r="D19" s="9"/>
      <c r="E19" s="24"/>
      <c r="F19" s="24"/>
      <c r="G19" s="35"/>
      <c r="H19" s="24"/>
      <c r="I19" s="44"/>
      <c r="J19" s="44"/>
      <c r="K19" s="44"/>
      <c r="L19" s="44"/>
      <c r="M19" s="152"/>
      <c r="N19" s="44"/>
      <c r="O19" s="35"/>
      <c r="P19" s="24"/>
      <c r="Q19" s="24"/>
      <c r="R19" s="9"/>
      <c r="S19" s="35"/>
      <c r="T19" s="54"/>
      <c r="U19" s="16"/>
      <c r="V19" s="14"/>
      <c r="W19" s="35"/>
      <c r="X19" s="35"/>
      <c r="Y19" s="35"/>
      <c r="Z19" s="54"/>
      <c r="AA19" s="35"/>
      <c r="AB19" s="35"/>
      <c r="AC19" s="54"/>
    </row>
    <row r="20" spans="1:29" x14ac:dyDescent="0.3">
      <c r="A20" s="32" t="s">
        <v>10</v>
      </c>
      <c r="B20" s="32"/>
      <c r="C20" s="32"/>
      <c r="D20" s="32"/>
      <c r="E20" s="24"/>
      <c r="F20" s="24"/>
      <c r="G20" s="62"/>
      <c r="H20" s="24"/>
      <c r="I20" s="59">
        <f>I16-I18</f>
        <v>0</v>
      </c>
      <c r="J20" s="59"/>
      <c r="K20" s="59"/>
      <c r="L20" s="59">
        <f>L16-I16</f>
        <v>0</v>
      </c>
      <c r="M20" s="152"/>
      <c r="N20" s="59"/>
      <c r="O20" s="91" t="s">
        <v>60</v>
      </c>
      <c r="P20" s="24"/>
      <c r="Q20" s="24"/>
      <c r="R20" s="111">
        <f>IF(L16=0,0,R18/L16)</f>
        <v>0</v>
      </c>
      <c r="S20" s="35"/>
      <c r="T20" s="63"/>
      <c r="U20" s="16"/>
      <c r="V20" s="32"/>
      <c r="W20" s="35"/>
      <c r="X20" s="35"/>
      <c r="Y20" s="35"/>
      <c r="Z20" s="63"/>
      <c r="AA20" s="35"/>
      <c r="AB20" s="35"/>
      <c r="AC20" s="63"/>
    </row>
    <row r="21" spans="1:29" x14ac:dyDescent="0.3">
      <c r="A21" s="9"/>
      <c r="B21" s="9"/>
      <c r="C21" s="9"/>
      <c r="D21" s="9"/>
      <c r="E21" s="24"/>
      <c r="F21" s="24"/>
      <c r="G21" s="54"/>
      <c r="H21" s="24"/>
      <c r="I21" s="52"/>
      <c r="J21" s="52"/>
      <c r="K21" s="52"/>
      <c r="L21" s="52"/>
      <c r="M21" s="152"/>
      <c r="N21" s="52"/>
      <c r="O21" s="24"/>
      <c r="P21" s="24"/>
      <c r="Q21" s="24"/>
      <c r="R21" s="10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spans="1:29" x14ac:dyDescent="0.3">
      <c r="A22" s="32" t="s">
        <v>17</v>
      </c>
      <c r="B22" s="32"/>
      <c r="C22" s="32"/>
      <c r="D22" s="32"/>
      <c r="E22" s="24"/>
      <c r="F22" s="24"/>
      <c r="G22" s="63"/>
      <c r="H22" s="24"/>
      <c r="I22" s="63">
        <f>(I16-I18)/I18</f>
        <v>0</v>
      </c>
      <c r="J22" s="63"/>
      <c r="K22" s="63"/>
      <c r="L22" s="20">
        <f>L20/I18</f>
        <v>0</v>
      </c>
      <c r="M22" s="152"/>
      <c r="N22" s="63"/>
      <c r="O22" s="45" t="s">
        <v>43</v>
      </c>
      <c r="P22" s="24"/>
      <c r="Q22" s="24"/>
      <c r="R22" s="33">
        <f>IF(O13=0,0,R18/O13)</f>
        <v>0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x14ac:dyDescent="0.3">
      <c r="A23" s="10"/>
      <c r="B23" s="10"/>
      <c r="C23" s="10"/>
      <c r="D23" s="10"/>
      <c r="E23" s="24"/>
      <c r="F23" s="24"/>
      <c r="G23" s="24"/>
      <c r="H23" s="24"/>
      <c r="I23" s="54"/>
      <c r="J23" s="54"/>
      <c r="K23" s="54"/>
      <c r="L23" s="54"/>
      <c r="N23" s="54"/>
      <c r="O23" s="24"/>
      <c r="P23" s="24"/>
      <c r="Q23" s="24"/>
      <c r="R23" s="54"/>
      <c r="S23" s="35"/>
      <c r="T23" s="30"/>
      <c r="U23" s="16"/>
      <c r="V23" s="54"/>
      <c r="W23" s="54"/>
      <c r="X23" s="54"/>
      <c r="Y23" s="35"/>
      <c r="Z23" s="35"/>
      <c r="AA23" s="35"/>
      <c r="AB23" s="35"/>
      <c r="AC23" s="30"/>
    </row>
    <row r="24" spans="1:29" x14ac:dyDescent="0.3">
      <c r="A24" s="24"/>
      <c r="B24" s="24"/>
      <c r="C24" s="24"/>
      <c r="D24" s="24"/>
      <c r="E24" s="24"/>
      <c r="F24" s="24"/>
      <c r="G24" s="24"/>
      <c r="H24" s="24"/>
      <c r="I24" s="54"/>
      <c r="J24" s="54"/>
      <c r="K24" s="54"/>
      <c r="L24" s="54"/>
      <c r="M24" s="156"/>
      <c r="N24" s="54"/>
      <c r="O24" s="53"/>
      <c r="P24" s="58"/>
      <c r="Q24" s="58"/>
      <c r="R24" s="54"/>
      <c r="S24" s="35"/>
      <c r="T24" s="54"/>
      <c r="U24" s="16"/>
      <c r="V24" s="35"/>
      <c r="W24" s="95"/>
      <c r="X24" s="35"/>
      <c r="Y24" s="96"/>
      <c r="Z24" s="89"/>
      <c r="AA24" s="70"/>
      <c r="AB24" s="35"/>
      <c r="AC24" s="54"/>
    </row>
    <row r="25" spans="1:29" x14ac:dyDescent="0.3">
      <c r="A25" s="24"/>
      <c r="B25" s="24"/>
      <c r="C25" s="24"/>
      <c r="D25" s="24"/>
      <c r="E25" s="24"/>
      <c r="F25" s="24"/>
      <c r="G25" s="24"/>
      <c r="H25" s="24"/>
      <c r="I25" s="54"/>
      <c r="J25" s="54"/>
      <c r="K25" s="54"/>
      <c r="L25" s="54"/>
      <c r="M25" s="156"/>
      <c r="N25" s="54"/>
      <c r="O25" s="53"/>
      <c r="P25" s="58"/>
      <c r="Q25" s="58"/>
      <c r="R25" s="54"/>
      <c r="S25" s="35"/>
      <c r="T25" s="54"/>
      <c r="U25" s="16"/>
      <c r="V25" s="35"/>
      <c r="W25" s="95"/>
      <c r="X25" s="35"/>
      <c r="Y25" s="96"/>
      <c r="Z25" s="89"/>
      <c r="AA25" s="70"/>
      <c r="AB25" s="35"/>
      <c r="AC25" s="54"/>
    </row>
    <row r="26" spans="1:29" ht="15" customHeight="1" x14ac:dyDescent="0.3">
      <c r="E26" s="24"/>
      <c r="F26" s="24"/>
      <c r="G26" s="24"/>
      <c r="H26" s="24"/>
      <c r="I26" s="9"/>
      <c r="J26" s="9"/>
      <c r="K26" s="9"/>
      <c r="L26" s="9"/>
      <c r="N26" s="9"/>
      <c r="R26" s="9"/>
      <c r="V26" s="9"/>
      <c r="W26" s="9"/>
      <c r="X26" s="9"/>
    </row>
    <row r="27" spans="1:29" x14ac:dyDescent="0.3">
      <c r="E27" s="24"/>
      <c r="F27" s="24"/>
      <c r="G27" s="24"/>
      <c r="H27" s="24"/>
      <c r="I27" s="9"/>
      <c r="J27" s="9"/>
      <c r="K27" s="9"/>
      <c r="L27" s="9"/>
      <c r="N27" s="9"/>
      <c r="R27" s="9"/>
      <c r="T27" s="18"/>
      <c r="V27" s="10"/>
      <c r="W27" s="10"/>
      <c r="X27" s="16"/>
      <c r="Y27" s="16"/>
      <c r="Z27" s="40"/>
      <c r="AC27" s="18"/>
    </row>
    <row r="28" spans="1:29" x14ac:dyDescent="0.3">
      <c r="E28" s="24"/>
      <c r="F28" s="24"/>
      <c r="G28" s="24"/>
      <c r="H28" s="24"/>
      <c r="I28" s="9"/>
      <c r="J28" s="9"/>
      <c r="K28" s="9"/>
      <c r="L28" s="9"/>
      <c r="N28" s="9"/>
      <c r="R28" s="9"/>
      <c r="V28" s="9"/>
      <c r="W28" s="9"/>
      <c r="X28" s="40"/>
      <c r="Y28" s="40"/>
      <c r="Z28" s="40"/>
    </row>
    <row r="29" spans="1:29" x14ac:dyDescent="0.3">
      <c r="E29" s="24"/>
      <c r="F29" s="24"/>
      <c r="G29" s="24"/>
      <c r="H29" s="24"/>
      <c r="I29" s="9"/>
      <c r="J29" s="9"/>
      <c r="K29" s="9"/>
      <c r="L29" s="9"/>
      <c r="N29" s="9"/>
      <c r="R29" s="9"/>
      <c r="V29" s="19"/>
      <c r="W29" s="19"/>
      <c r="X29" s="41"/>
      <c r="Y29" s="65"/>
      <c r="Z29" s="34"/>
    </row>
    <row r="30" spans="1:29" x14ac:dyDescent="0.3">
      <c r="E30" s="24"/>
      <c r="F30" s="24"/>
      <c r="G30" s="24"/>
      <c r="H30" s="24"/>
      <c r="I30" s="9"/>
      <c r="J30" s="9"/>
      <c r="K30" s="9"/>
      <c r="L30" s="9"/>
      <c r="N30" s="9"/>
      <c r="R30" s="9"/>
      <c r="V30" s="10"/>
      <c r="W30" s="10"/>
      <c r="X30" s="41"/>
      <c r="Y30" s="65"/>
      <c r="Z30" s="34"/>
    </row>
    <row r="31" spans="1:29" x14ac:dyDescent="0.3">
      <c r="E31" s="24"/>
      <c r="F31" s="24"/>
      <c r="G31" s="24"/>
      <c r="H31" s="24"/>
      <c r="I31" s="9"/>
      <c r="J31" s="9"/>
      <c r="K31" s="9"/>
      <c r="L31" s="9"/>
      <c r="N31" s="9"/>
      <c r="R31" s="9"/>
      <c r="V31" s="20"/>
      <c r="W31" s="20"/>
      <c r="X31" s="41"/>
      <c r="Y31" s="65"/>
      <c r="Z31" s="34"/>
    </row>
    <row r="32" spans="1:29" x14ac:dyDescent="0.3">
      <c r="I32" s="9"/>
      <c r="J32" s="9"/>
      <c r="K32" s="9"/>
      <c r="L32" s="9"/>
      <c r="N32" s="9"/>
      <c r="R32" s="9"/>
      <c r="X32" s="41"/>
      <c r="Y32" s="65"/>
      <c r="Z32" s="34"/>
    </row>
    <row r="33" spans="5:26" x14ac:dyDescent="0.3">
      <c r="I33" s="9"/>
      <c r="J33" s="9"/>
      <c r="K33" s="9"/>
      <c r="L33" s="9"/>
      <c r="N33" s="9"/>
      <c r="R33" s="9"/>
      <c r="X33" s="41"/>
      <c r="Y33" s="65"/>
      <c r="Z33" s="34"/>
    </row>
    <row r="34" spans="5:26" x14ac:dyDescent="0.3">
      <c r="I34" s="9"/>
      <c r="J34" s="9"/>
      <c r="K34" s="9"/>
      <c r="L34" s="9"/>
      <c r="N34" s="9"/>
      <c r="R34" s="9"/>
      <c r="X34" s="41"/>
      <c r="Y34" s="65"/>
      <c r="Z34" s="34"/>
    </row>
    <row r="35" spans="5:26" x14ac:dyDescent="0.3">
      <c r="I35" s="9"/>
      <c r="J35" s="9"/>
      <c r="K35" s="9"/>
      <c r="L35" s="9"/>
      <c r="N35" s="9"/>
      <c r="R35" s="9"/>
      <c r="X35" s="41"/>
      <c r="Y35" s="65"/>
      <c r="Z35" s="34"/>
    </row>
    <row r="36" spans="5:26" x14ac:dyDescent="0.3">
      <c r="I36" s="9"/>
      <c r="J36" s="9"/>
      <c r="K36" s="9"/>
      <c r="L36" s="9"/>
      <c r="N36" s="9"/>
      <c r="R36" s="9"/>
      <c r="X36" s="41"/>
      <c r="Y36" s="65"/>
      <c r="Z36" s="34"/>
    </row>
    <row r="37" spans="5:26" x14ac:dyDescent="0.3">
      <c r="I37" s="9"/>
      <c r="J37" s="9"/>
      <c r="K37" s="9"/>
      <c r="L37" s="9"/>
      <c r="N37" s="9"/>
      <c r="R37" s="9"/>
      <c r="X37" s="41"/>
      <c r="Y37" s="65"/>
      <c r="Z37" s="34"/>
    </row>
    <row r="38" spans="5:26" x14ac:dyDescent="0.3">
      <c r="I38" s="9"/>
      <c r="J38" s="9"/>
      <c r="K38" s="9"/>
      <c r="L38" s="9"/>
      <c r="N38" s="9"/>
      <c r="R38" s="9"/>
      <c r="X38" s="41"/>
      <c r="Y38" s="65"/>
      <c r="Z38" s="34"/>
    </row>
    <row r="39" spans="5:26" x14ac:dyDescent="0.3">
      <c r="I39" s="9"/>
      <c r="J39" s="9"/>
      <c r="K39" s="9"/>
      <c r="L39" s="9"/>
      <c r="N39" s="9"/>
      <c r="R39" s="9"/>
      <c r="X39" s="41"/>
      <c r="Y39" s="65"/>
      <c r="Z39" s="34"/>
    </row>
    <row r="40" spans="5:26" x14ac:dyDescent="0.3">
      <c r="I40" s="9"/>
      <c r="J40" s="9"/>
      <c r="K40" s="9"/>
      <c r="L40" s="9"/>
      <c r="N40" s="9"/>
      <c r="R40" s="9"/>
      <c r="X40" s="41"/>
      <c r="Y40" s="65"/>
      <c r="Z40" s="34"/>
    </row>
    <row r="41" spans="5:26" x14ac:dyDescent="0.3">
      <c r="F41" s="110"/>
      <c r="G41" s="77"/>
      <c r="H41" s="34"/>
      <c r="I41" s="9"/>
      <c r="J41" s="9"/>
      <c r="K41" s="9"/>
      <c r="L41" s="9"/>
      <c r="N41" s="9"/>
      <c r="O41" s="77"/>
      <c r="P41" s="34"/>
      <c r="Q41" s="34"/>
      <c r="R41" s="9"/>
      <c r="X41" s="16"/>
      <c r="Y41" s="16"/>
      <c r="Z41" s="34"/>
    </row>
    <row r="42" spans="5:26" x14ac:dyDescent="0.3">
      <c r="I42" s="9"/>
      <c r="J42" s="9"/>
      <c r="K42" s="9"/>
      <c r="L42" s="9"/>
      <c r="N42" s="9"/>
      <c r="R42" s="9"/>
      <c r="X42" s="16"/>
      <c r="Y42" s="16"/>
      <c r="Z42" s="16"/>
    </row>
    <row r="43" spans="5:26" x14ac:dyDescent="0.3">
      <c r="E43" s="16"/>
      <c r="F43" s="68"/>
      <c r="G43" s="16"/>
      <c r="H43" s="40"/>
      <c r="I43" s="9"/>
      <c r="J43" s="9"/>
      <c r="K43" s="9"/>
      <c r="L43" s="9"/>
      <c r="N43" s="9"/>
      <c r="O43" s="16"/>
      <c r="P43" s="40"/>
      <c r="Q43" s="40"/>
      <c r="R43" s="9"/>
      <c r="X43" s="16"/>
      <c r="Y43" s="16"/>
      <c r="Z43" s="42"/>
    </row>
    <row r="44" spans="5:26" x14ac:dyDescent="0.3">
      <c r="E44" s="40"/>
      <c r="F44" s="68"/>
      <c r="G44" s="68"/>
      <c r="H44" s="40"/>
      <c r="I44" s="9"/>
      <c r="J44" s="9"/>
      <c r="K44" s="9"/>
      <c r="L44" s="9"/>
      <c r="N44" s="9"/>
      <c r="O44" s="68"/>
      <c r="P44" s="40"/>
      <c r="Q44" s="40"/>
      <c r="R44" s="9"/>
    </row>
    <row r="45" spans="5:26" x14ac:dyDescent="0.3">
      <c r="E45" s="40"/>
      <c r="F45" s="68"/>
      <c r="G45" s="68"/>
      <c r="H45" s="40"/>
      <c r="I45" s="9"/>
      <c r="J45" s="9"/>
      <c r="K45" s="9"/>
      <c r="L45" s="9"/>
      <c r="N45" s="9"/>
      <c r="O45" s="68"/>
      <c r="P45" s="40"/>
      <c r="Q45" s="40"/>
      <c r="R45" s="9"/>
    </row>
    <row r="46" spans="5:26" x14ac:dyDescent="0.3">
      <c r="E46" s="40"/>
      <c r="F46" s="68"/>
      <c r="G46" s="68"/>
      <c r="H46" s="40"/>
      <c r="I46" s="9"/>
      <c r="J46" s="9"/>
      <c r="K46" s="9"/>
      <c r="L46" s="9"/>
      <c r="N46" s="9"/>
      <c r="O46" s="68"/>
      <c r="P46" s="40"/>
      <c r="Q46" s="40"/>
      <c r="R46" s="9"/>
    </row>
    <row r="47" spans="5:26" x14ac:dyDescent="0.3">
      <c r="E47" s="40"/>
      <c r="F47" s="68"/>
      <c r="G47" s="68"/>
      <c r="H47" s="40"/>
      <c r="I47" s="9"/>
      <c r="J47" s="9"/>
      <c r="K47" s="9"/>
      <c r="L47" s="9"/>
      <c r="N47" s="9"/>
      <c r="O47" s="68"/>
      <c r="P47" s="40"/>
      <c r="Q47" s="40"/>
      <c r="R47" s="9"/>
    </row>
    <row r="48" spans="5:26" x14ac:dyDescent="0.3">
      <c r="E48" s="40"/>
      <c r="F48" s="68"/>
      <c r="G48" s="68"/>
      <c r="H48" s="40"/>
      <c r="I48" s="9"/>
      <c r="J48" s="9"/>
      <c r="K48" s="9"/>
      <c r="L48" s="9"/>
      <c r="N48" s="9"/>
      <c r="O48" s="68"/>
      <c r="P48" s="40"/>
      <c r="Q48" s="40"/>
      <c r="R48" s="9"/>
    </row>
    <row r="49" spans="1:18" x14ac:dyDescent="0.3">
      <c r="E49" s="40"/>
      <c r="F49" s="68"/>
      <c r="G49" s="68"/>
      <c r="H49" s="40"/>
      <c r="I49" s="9"/>
      <c r="J49" s="9"/>
      <c r="K49" s="9"/>
      <c r="L49" s="9"/>
      <c r="N49" s="9"/>
      <c r="O49" s="68"/>
      <c r="P49" s="40"/>
      <c r="Q49" s="40"/>
      <c r="R49" s="9"/>
    </row>
    <row r="50" spans="1:18" x14ac:dyDescent="0.3">
      <c r="E50" s="40"/>
      <c r="F50" s="68"/>
      <c r="G50" s="68"/>
      <c r="H50" s="40"/>
      <c r="I50" s="9"/>
      <c r="J50" s="9"/>
      <c r="K50" s="9"/>
      <c r="L50" s="9"/>
      <c r="N50" s="9"/>
      <c r="O50" s="68"/>
      <c r="P50" s="40"/>
      <c r="Q50" s="40"/>
      <c r="R50" s="9"/>
    </row>
    <row r="51" spans="1:18" x14ac:dyDescent="0.3">
      <c r="E51" s="40"/>
      <c r="F51" s="68"/>
      <c r="G51" s="68"/>
      <c r="H51" s="40"/>
      <c r="I51" s="9"/>
      <c r="J51" s="9"/>
      <c r="K51" s="9"/>
      <c r="L51" s="9"/>
      <c r="N51" s="9"/>
      <c r="O51" s="68"/>
      <c r="P51" s="40"/>
      <c r="Q51" s="40"/>
      <c r="R51" s="9"/>
    </row>
    <row r="52" spans="1:18" x14ac:dyDescent="0.3">
      <c r="E52" s="40"/>
      <c r="F52" s="68"/>
      <c r="G52" s="68"/>
      <c r="H52" s="40"/>
      <c r="I52" s="9"/>
      <c r="J52" s="9"/>
      <c r="K52" s="9"/>
      <c r="L52" s="9"/>
      <c r="N52" s="9"/>
      <c r="O52" s="68"/>
      <c r="P52" s="40"/>
      <c r="Q52" s="40"/>
      <c r="R52" s="9"/>
    </row>
    <row r="53" spans="1:18" x14ac:dyDescent="0.3">
      <c r="E53" s="40"/>
      <c r="F53" s="68"/>
      <c r="G53" s="68"/>
      <c r="H53" s="40"/>
      <c r="I53" s="9"/>
      <c r="J53" s="9"/>
      <c r="K53" s="9"/>
      <c r="L53" s="9"/>
      <c r="N53" s="9"/>
      <c r="O53" s="68"/>
      <c r="P53" s="40"/>
      <c r="Q53" s="40"/>
      <c r="R53" s="9"/>
    </row>
    <row r="54" spans="1:18" x14ac:dyDescent="0.3">
      <c r="E54" s="40"/>
      <c r="F54" s="68"/>
      <c r="G54" s="68"/>
      <c r="H54" s="40"/>
      <c r="I54" s="9"/>
      <c r="J54" s="9"/>
      <c r="K54" s="9"/>
      <c r="L54" s="9"/>
      <c r="N54" s="9"/>
      <c r="O54" s="68"/>
      <c r="P54" s="40"/>
      <c r="Q54" s="40"/>
      <c r="R54" s="9"/>
    </row>
    <row r="55" spans="1:18" x14ac:dyDescent="0.3">
      <c r="E55" s="40"/>
      <c r="F55" s="68"/>
      <c r="G55" s="68"/>
      <c r="H55" s="40"/>
      <c r="I55" s="9"/>
      <c r="J55" s="9"/>
      <c r="K55" s="9"/>
      <c r="L55" s="9"/>
      <c r="N55" s="9"/>
      <c r="O55" s="68"/>
      <c r="P55" s="40"/>
      <c r="Q55" s="40"/>
      <c r="R55" s="9"/>
    </row>
    <row r="56" spans="1:18" x14ac:dyDescent="0.3">
      <c r="E56" s="40"/>
      <c r="F56" s="68"/>
      <c r="G56" s="68"/>
      <c r="H56" s="40"/>
      <c r="I56" s="9"/>
      <c r="J56" s="9"/>
      <c r="K56" s="9"/>
      <c r="L56" s="9"/>
      <c r="N56" s="9"/>
      <c r="O56" s="68"/>
      <c r="P56" s="40"/>
      <c r="Q56" s="40"/>
      <c r="R56" s="9"/>
    </row>
    <row r="57" spans="1:18" x14ac:dyDescent="0.3">
      <c r="E57" s="40"/>
      <c r="F57" s="68"/>
      <c r="G57" s="68"/>
      <c r="H57" s="40"/>
      <c r="I57" s="9"/>
      <c r="J57" s="9"/>
      <c r="K57" s="9"/>
      <c r="L57" s="9"/>
      <c r="N57" s="9"/>
      <c r="O57" s="68"/>
      <c r="P57" s="40"/>
      <c r="Q57" s="40"/>
      <c r="R57" s="9"/>
    </row>
    <row r="58" spans="1:18" x14ac:dyDescent="0.3">
      <c r="E58" s="40"/>
      <c r="F58" s="68"/>
      <c r="G58" s="68"/>
      <c r="H58" s="40"/>
      <c r="I58" s="9"/>
      <c r="J58" s="9"/>
      <c r="K58" s="9"/>
      <c r="L58" s="9"/>
      <c r="N58" s="9"/>
      <c r="O58" s="68"/>
      <c r="P58" s="40"/>
      <c r="Q58" s="40"/>
      <c r="R58" s="9"/>
    </row>
    <row r="59" spans="1:18" x14ac:dyDescent="0.3">
      <c r="E59" s="40"/>
      <c r="F59" s="68"/>
      <c r="G59" s="68"/>
      <c r="H59" s="40"/>
      <c r="I59" s="9"/>
      <c r="J59" s="9"/>
      <c r="K59" s="9"/>
      <c r="L59" s="9"/>
      <c r="N59" s="9"/>
      <c r="O59" s="68"/>
      <c r="P59" s="40"/>
      <c r="Q59" s="40"/>
      <c r="R59" s="9"/>
    </row>
    <row r="60" spans="1:18" x14ac:dyDescent="0.3">
      <c r="A60" s="16"/>
      <c r="B60" s="16"/>
      <c r="C60" s="16"/>
      <c r="D60" s="16"/>
      <c r="E60" s="40"/>
      <c r="F60" s="68"/>
      <c r="G60" s="68"/>
      <c r="H60" s="40"/>
      <c r="I60" s="9"/>
      <c r="J60" s="9"/>
      <c r="K60" s="9"/>
      <c r="L60" s="9"/>
      <c r="N60" s="9"/>
      <c r="O60" s="68"/>
      <c r="P60" s="40"/>
      <c r="Q60" s="40"/>
      <c r="R60" s="9"/>
    </row>
    <row r="61" spans="1:18" x14ac:dyDescent="0.3">
      <c r="A61" s="16"/>
      <c r="B61" s="16"/>
      <c r="C61" s="16"/>
      <c r="D61" s="16"/>
      <c r="E61" s="40"/>
      <c r="F61" s="68"/>
      <c r="G61" s="68"/>
      <c r="H61" s="40"/>
      <c r="I61" s="9"/>
      <c r="J61" s="9"/>
      <c r="K61" s="9"/>
      <c r="L61" s="9"/>
      <c r="N61" s="9"/>
      <c r="O61" s="68"/>
      <c r="P61" s="40"/>
      <c r="Q61" s="40"/>
      <c r="R61" s="9"/>
    </row>
    <row r="62" spans="1:18" x14ac:dyDescent="0.3">
      <c r="A62" s="16"/>
      <c r="B62" s="16"/>
      <c r="C62" s="16"/>
      <c r="D62" s="16"/>
      <c r="E62" s="40"/>
      <c r="F62" s="68"/>
      <c r="G62" s="68"/>
      <c r="H62" s="40"/>
      <c r="I62" s="9"/>
      <c r="J62" s="9"/>
      <c r="K62" s="9"/>
      <c r="L62" s="9"/>
      <c r="N62" s="9"/>
      <c r="O62" s="68"/>
      <c r="P62" s="40"/>
      <c r="Q62" s="40"/>
      <c r="R62" s="9"/>
    </row>
    <row r="63" spans="1:18" x14ac:dyDescent="0.3">
      <c r="A63" s="16"/>
      <c r="B63" s="16"/>
      <c r="C63" s="16"/>
      <c r="D63" s="16"/>
      <c r="E63" s="40"/>
      <c r="F63" s="68"/>
      <c r="G63" s="68"/>
      <c r="H63" s="40"/>
      <c r="I63" s="9"/>
      <c r="J63" s="9"/>
      <c r="K63" s="9"/>
      <c r="L63" s="9"/>
      <c r="N63" s="9"/>
      <c r="O63" s="68"/>
      <c r="P63" s="40"/>
      <c r="Q63" s="40"/>
      <c r="R63" s="9"/>
    </row>
    <row r="64" spans="1:18" x14ac:dyDescent="0.3">
      <c r="A64" s="16"/>
      <c r="B64" s="16"/>
      <c r="C64" s="16"/>
      <c r="D64" s="16"/>
      <c r="E64" s="40"/>
      <c r="F64" s="68"/>
      <c r="G64" s="68"/>
      <c r="H64" s="40"/>
      <c r="I64" s="41"/>
      <c r="J64" s="41"/>
      <c r="K64" s="41"/>
      <c r="L64" s="41"/>
      <c r="N64" s="41"/>
      <c r="O64" s="68"/>
      <c r="P64" s="40"/>
      <c r="Q64" s="40"/>
      <c r="R64" s="41"/>
    </row>
    <row r="65" spans="1:18" x14ac:dyDescent="0.3">
      <c r="A65" s="16"/>
      <c r="B65" s="16"/>
      <c r="C65" s="16"/>
      <c r="D65" s="16"/>
      <c r="E65" s="40"/>
      <c r="F65" s="68"/>
      <c r="G65" s="68"/>
      <c r="H65" s="40"/>
      <c r="I65" s="41"/>
      <c r="J65" s="41"/>
      <c r="K65" s="41"/>
      <c r="L65" s="41"/>
      <c r="N65" s="41"/>
      <c r="O65" s="68"/>
      <c r="P65" s="40"/>
      <c r="Q65" s="40"/>
      <c r="R65" s="41"/>
    </row>
    <row r="66" spans="1:18" x14ac:dyDescent="0.3">
      <c r="A66" s="16"/>
      <c r="B66" s="16"/>
      <c r="C66" s="16"/>
      <c r="D66" s="16"/>
      <c r="E66" s="40"/>
      <c r="F66" s="68"/>
      <c r="G66" s="68"/>
      <c r="H66" s="40"/>
      <c r="I66" s="41"/>
      <c r="J66" s="41"/>
      <c r="K66" s="41"/>
      <c r="L66" s="41"/>
      <c r="N66" s="41"/>
      <c r="O66" s="68"/>
      <c r="P66" s="40"/>
      <c r="Q66" s="40"/>
      <c r="R66" s="41"/>
    </row>
    <row r="67" spans="1:18" x14ac:dyDescent="0.3">
      <c r="A67" s="16"/>
      <c r="B67" s="16"/>
      <c r="C67" s="16"/>
      <c r="D67" s="16"/>
      <c r="E67" s="40"/>
      <c r="F67" s="68"/>
      <c r="G67" s="68"/>
      <c r="H67" s="40"/>
      <c r="I67" s="41"/>
      <c r="J67" s="41"/>
      <c r="K67" s="41"/>
      <c r="L67" s="41"/>
      <c r="N67" s="41"/>
      <c r="O67" s="68"/>
      <c r="P67" s="40"/>
      <c r="Q67" s="40"/>
      <c r="R67" s="41"/>
    </row>
    <row r="68" spans="1:18" x14ac:dyDescent="0.3">
      <c r="A68" s="16"/>
      <c r="B68" s="16"/>
      <c r="C68" s="16"/>
      <c r="D68" s="16"/>
      <c r="E68" s="40"/>
      <c r="F68" s="68"/>
      <c r="G68" s="68"/>
      <c r="H68" s="40"/>
      <c r="I68" s="41"/>
      <c r="J68" s="41"/>
      <c r="K68" s="41"/>
      <c r="L68" s="41"/>
      <c r="N68" s="41"/>
      <c r="O68" s="68"/>
      <c r="P68" s="40"/>
      <c r="Q68" s="40"/>
      <c r="R68" s="41"/>
    </row>
    <row r="69" spans="1:18" x14ac:dyDescent="0.3">
      <c r="A69" s="16"/>
      <c r="B69" s="16"/>
      <c r="C69" s="16"/>
      <c r="D69" s="16"/>
      <c r="E69" s="40"/>
      <c r="F69" s="68"/>
      <c r="G69" s="68"/>
      <c r="H69" s="40"/>
      <c r="I69" s="41"/>
      <c r="J69" s="41"/>
      <c r="K69" s="41"/>
      <c r="L69" s="41"/>
      <c r="N69" s="41"/>
      <c r="O69" s="68"/>
      <c r="P69" s="40"/>
      <c r="Q69" s="40"/>
      <c r="R69" s="41"/>
    </row>
    <row r="70" spans="1:18" x14ac:dyDescent="0.3">
      <c r="A70" s="16"/>
      <c r="B70" s="16"/>
      <c r="C70" s="16"/>
      <c r="D70" s="16"/>
      <c r="E70" s="40"/>
      <c r="F70" s="68"/>
      <c r="G70" s="68"/>
      <c r="H70" s="40"/>
      <c r="I70" s="41"/>
      <c r="J70" s="41"/>
      <c r="K70" s="41"/>
      <c r="L70" s="41"/>
      <c r="N70" s="41"/>
      <c r="O70" s="68"/>
      <c r="P70" s="40"/>
      <c r="Q70" s="40"/>
      <c r="R70" s="41"/>
    </row>
    <row r="71" spans="1:18" x14ac:dyDescent="0.3">
      <c r="A71" s="16"/>
      <c r="B71" s="16"/>
      <c r="C71" s="16"/>
      <c r="D71" s="16"/>
      <c r="E71" s="40"/>
      <c r="F71" s="68"/>
      <c r="G71" s="68"/>
      <c r="H71" s="40"/>
      <c r="I71" s="41"/>
      <c r="J71" s="41"/>
      <c r="K71" s="41"/>
      <c r="L71" s="41"/>
      <c r="N71" s="41"/>
      <c r="O71" s="68"/>
      <c r="P71" s="40"/>
      <c r="Q71" s="40"/>
      <c r="R71" s="41"/>
    </row>
    <row r="72" spans="1:18" x14ac:dyDescent="0.3">
      <c r="A72" s="16"/>
      <c r="B72" s="16"/>
      <c r="C72" s="16"/>
      <c r="D72" s="16"/>
      <c r="E72" s="40"/>
      <c r="F72" s="68"/>
      <c r="G72" s="68"/>
      <c r="H72" s="40"/>
      <c r="I72" s="41"/>
      <c r="J72" s="41"/>
      <c r="K72" s="41"/>
      <c r="L72" s="41"/>
      <c r="N72" s="41"/>
      <c r="O72" s="68"/>
      <c r="P72" s="40"/>
      <c r="Q72" s="40"/>
      <c r="R72" s="41"/>
    </row>
    <row r="73" spans="1:18" x14ac:dyDescent="0.3">
      <c r="A73" s="16"/>
      <c r="B73" s="16"/>
      <c r="C73" s="16"/>
      <c r="D73" s="16"/>
      <c r="E73" s="40"/>
      <c r="F73" s="68"/>
      <c r="G73" s="68"/>
      <c r="H73" s="40"/>
      <c r="I73" s="41"/>
      <c r="J73" s="41"/>
      <c r="K73" s="41"/>
      <c r="L73" s="41"/>
      <c r="N73" s="41"/>
      <c r="O73" s="68"/>
      <c r="P73" s="40"/>
      <c r="Q73" s="40"/>
      <c r="R73" s="41"/>
    </row>
    <row r="74" spans="1:18" x14ac:dyDescent="0.3">
      <c r="A74" s="16"/>
      <c r="B74" s="16"/>
      <c r="C74" s="16"/>
      <c r="D74" s="16"/>
      <c r="E74" s="40"/>
      <c r="F74" s="68"/>
      <c r="G74" s="68"/>
      <c r="H74" s="40"/>
      <c r="I74" s="41"/>
      <c r="J74" s="41"/>
      <c r="K74" s="41"/>
      <c r="L74" s="41"/>
      <c r="N74" s="41"/>
      <c r="O74" s="68"/>
      <c r="P74" s="40"/>
      <c r="Q74" s="40"/>
      <c r="R74" s="41"/>
    </row>
    <row r="75" spans="1:18" x14ac:dyDescent="0.3">
      <c r="A75" s="16"/>
      <c r="B75" s="16"/>
      <c r="C75" s="16"/>
      <c r="D75" s="16"/>
      <c r="E75" s="40"/>
      <c r="F75" s="68"/>
      <c r="G75" s="68"/>
      <c r="H75" s="40"/>
      <c r="I75" s="41"/>
      <c r="J75" s="41"/>
      <c r="K75" s="41"/>
      <c r="L75" s="41"/>
      <c r="N75" s="41"/>
      <c r="O75" s="68"/>
      <c r="P75" s="40"/>
      <c r="Q75" s="40"/>
      <c r="R75" s="41"/>
    </row>
    <row r="76" spans="1:18" x14ac:dyDescent="0.3">
      <c r="A76" s="16"/>
      <c r="B76" s="16"/>
      <c r="C76" s="16"/>
      <c r="D76" s="16"/>
      <c r="E76" s="40"/>
      <c r="F76" s="68"/>
      <c r="G76" s="68"/>
      <c r="H76" s="40"/>
      <c r="I76" s="41"/>
      <c r="J76" s="41"/>
      <c r="K76" s="41"/>
      <c r="L76" s="41"/>
      <c r="N76" s="41"/>
      <c r="O76" s="68"/>
      <c r="P76" s="40"/>
      <c r="Q76" s="40"/>
      <c r="R76" s="41"/>
    </row>
    <row r="77" spans="1:18" x14ac:dyDescent="0.3">
      <c r="A77" s="16"/>
      <c r="B77" s="16"/>
      <c r="C77" s="16"/>
      <c r="D77" s="16"/>
      <c r="E77" s="40"/>
      <c r="F77" s="68"/>
      <c r="G77" s="68"/>
      <c r="H77" s="40"/>
      <c r="I77" s="41"/>
      <c r="J77" s="41"/>
      <c r="K77" s="41"/>
      <c r="L77" s="41"/>
      <c r="N77" s="41"/>
      <c r="O77" s="68"/>
      <c r="P77" s="40"/>
      <c r="Q77" s="40"/>
      <c r="R77" s="41"/>
    </row>
    <row r="78" spans="1:18" x14ac:dyDescent="0.3">
      <c r="E78" s="40"/>
      <c r="F78" s="68"/>
      <c r="G78" s="68"/>
      <c r="H78" s="40"/>
      <c r="I78" s="41"/>
      <c r="J78" s="41"/>
      <c r="K78" s="41"/>
      <c r="L78" s="41"/>
      <c r="N78" s="41"/>
      <c r="O78" s="68"/>
      <c r="P78" s="40"/>
      <c r="Q78" s="40"/>
      <c r="R78" s="41"/>
    </row>
    <row r="79" spans="1:18" x14ac:dyDescent="0.3">
      <c r="E79" s="40"/>
      <c r="F79" s="68"/>
      <c r="G79" s="68"/>
      <c r="H79" s="40"/>
      <c r="I79" s="41"/>
      <c r="J79" s="41"/>
      <c r="K79" s="41"/>
      <c r="L79" s="41"/>
      <c r="N79" s="41"/>
      <c r="O79" s="68"/>
      <c r="P79" s="40"/>
      <c r="Q79" s="40"/>
      <c r="R79" s="41"/>
    </row>
    <row r="80" spans="1:18" x14ac:dyDescent="0.3">
      <c r="E80" s="40"/>
      <c r="F80" s="68"/>
      <c r="G80" s="68"/>
      <c r="H80" s="40"/>
      <c r="I80" s="41"/>
      <c r="J80" s="41"/>
      <c r="K80" s="41"/>
      <c r="L80" s="41"/>
      <c r="N80" s="41"/>
      <c r="O80" s="68"/>
      <c r="P80" s="40"/>
      <c r="Q80" s="40"/>
      <c r="R80" s="41"/>
    </row>
    <row r="81" spans="5:18" x14ac:dyDescent="0.3">
      <c r="E81" s="40"/>
      <c r="F81" s="68"/>
      <c r="G81" s="68"/>
      <c r="H81" s="40"/>
      <c r="I81" s="41"/>
      <c r="J81" s="41"/>
      <c r="K81" s="41"/>
      <c r="L81" s="41"/>
      <c r="N81" s="41"/>
      <c r="O81" s="68"/>
      <c r="P81" s="40"/>
      <c r="Q81" s="40"/>
      <c r="R81" s="41"/>
    </row>
    <row r="82" spans="5:18" x14ac:dyDescent="0.3">
      <c r="E82" s="40"/>
      <c r="F82" s="68"/>
      <c r="G82" s="68"/>
      <c r="H82" s="40"/>
      <c r="I82" s="41"/>
      <c r="J82" s="41"/>
      <c r="K82" s="41"/>
      <c r="L82" s="41"/>
      <c r="N82" s="41"/>
      <c r="O82" s="68"/>
      <c r="P82" s="40"/>
      <c r="Q82" s="40"/>
      <c r="R82" s="41"/>
    </row>
    <row r="83" spans="5:18" x14ac:dyDescent="0.3">
      <c r="E83" s="16"/>
      <c r="F83" s="34"/>
      <c r="G83" s="34"/>
      <c r="H83" s="34"/>
      <c r="I83" s="41"/>
      <c r="J83" s="41"/>
      <c r="K83" s="41"/>
      <c r="L83" s="41"/>
      <c r="N83" s="41"/>
      <c r="O83" s="34"/>
      <c r="P83" s="34"/>
      <c r="Q83" s="34"/>
      <c r="R83" s="41"/>
    </row>
    <row r="84" spans="5:18" x14ac:dyDescent="0.3">
      <c r="E84" s="16"/>
      <c r="F84" s="34"/>
      <c r="G84" s="34"/>
      <c r="H84" s="34"/>
      <c r="I84" s="41"/>
      <c r="J84" s="41"/>
      <c r="K84" s="41"/>
      <c r="L84" s="41"/>
      <c r="N84" s="41"/>
      <c r="O84" s="34"/>
      <c r="P84" s="34"/>
      <c r="Q84" s="34"/>
      <c r="R84" s="41"/>
    </row>
    <row r="85" spans="5:18" x14ac:dyDescent="0.3">
      <c r="E85" s="16"/>
      <c r="F85" s="34"/>
      <c r="G85" s="34"/>
      <c r="H85" s="34"/>
      <c r="I85" s="41"/>
      <c r="J85" s="41"/>
      <c r="K85" s="41"/>
      <c r="L85" s="41"/>
      <c r="N85" s="41"/>
      <c r="O85" s="34"/>
      <c r="P85" s="34"/>
      <c r="Q85" s="34"/>
      <c r="R85" s="41"/>
    </row>
    <row r="86" spans="5:18" x14ac:dyDescent="0.3">
      <c r="E86" s="16"/>
      <c r="F86" s="16"/>
      <c r="G86" s="16"/>
      <c r="H86" s="16"/>
      <c r="I86" s="30"/>
      <c r="J86" s="30"/>
      <c r="K86" s="30"/>
      <c r="L86" s="30"/>
      <c r="N86" s="30"/>
      <c r="O86" s="16"/>
      <c r="P86" s="16"/>
      <c r="Q86" s="16"/>
      <c r="R86" s="30"/>
    </row>
    <row r="87" spans="5:18" x14ac:dyDescent="0.3">
      <c r="E87" s="16"/>
      <c r="F87" s="34"/>
      <c r="G87" s="34"/>
      <c r="H87" s="34"/>
      <c r="I87" s="16"/>
      <c r="J87" s="16"/>
      <c r="K87" s="16"/>
      <c r="L87" s="16"/>
      <c r="N87" s="16"/>
      <c r="O87" s="34"/>
      <c r="P87" s="34"/>
      <c r="Q87" s="34"/>
      <c r="R87" s="16"/>
    </row>
    <row r="88" spans="5:18" x14ac:dyDescent="0.3">
      <c r="E88" s="16"/>
      <c r="F88" s="34"/>
      <c r="G88" s="34"/>
      <c r="H88" s="34"/>
      <c r="I88" s="40"/>
      <c r="J88" s="40"/>
      <c r="K88" s="40"/>
      <c r="L88" s="40"/>
      <c r="N88" s="40"/>
      <c r="O88" s="34"/>
      <c r="P88" s="34"/>
      <c r="Q88" s="34"/>
      <c r="R88" s="40"/>
    </row>
    <row r="89" spans="5:18" x14ac:dyDescent="0.3">
      <c r="E89" s="16"/>
      <c r="F89" s="34"/>
      <c r="G89" s="34"/>
      <c r="H89" s="34"/>
      <c r="I89" s="41"/>
      <c r="J89" s="41"/>
      <c r="K89" s="41"/>
      <c r="L89" s="41"/>
      <c r="N89" s="41"/>
      <c r="O89" s="34"/>
      <c r="P89" s="34"/>
      <c r="Q89" s="34"/>
      <c r="R89" s="41"/>
    </row>
    <row r="90" spans="5:18" x14ac:dyDescent="0.3">
      <c r="E90" s="16"/>
      <c r="F90" s="34"/>
      <c r="G90" s="34"/>
      <c r="H90" s="34"/>
      <c r="I90" s="41"/>
      <c r="J90" s="41"/>
      <c r="K90" s="41"/>
      <c r="L90" s="41"/>
      <c r="N90" s="41"/>
      <c r="O90" s="34"/>
      <c r="P90" s="34"/>
      <c r="Q90" s="34"/>
      <c r="R90" s="41"/>
    </row>
    <row r="91" spans="5:18" x14ac:dyDescent="0.3">
      <c r="E91" s="16"/>
      <c r="F91" s="34"/>
      <c r="G91" s="34"/>
      <c r="H91" s="34"/>
      <c r="I91" s="41"/>
      <c r="J91" s="41"/>
      <c r="K91" s="41"/>
      <c r="L91" s="41"/>
      <c r="N91" s="41"/>
      <c r="O91" s="34"/>
      <c r="P91" s="34"/>
      <c r="Q91" s="34"/>
      <c r="R91" s="41"/>
    </row>
    <row r="92" spans="5:18" x14ac:dyDescent="0.3">
      <c r="E92" s="16"/>
      <c r="F92" s="42"/>
      <c r="G92" s="42"/>
      <c r="H92" s="42"/>
      <c r="I92" s="41"/>
      <c r="J92" s="41"/>
      <c r="K92" s="41"/>
      <c r="L92" s="41"/>
      <c r="N92" s="41"/>
      <c r="O92" s="42"/>
      <c r="P92" s="42"/>
      <c r="Q92" s="42"/>
      <c r="R92" s="41"/>
    </row>
    <row r="93" spans="5:18" x14ac:dyDescent="0.3">
      <c r="E93" s="16"/>
      <c r="F93" s="16"/>
      <c r="G93" s="16"/>
      <c r="H93" s="16"/>
      <c r="I93" s="41"/>
      <c r="J93" s="41"/>
      <c r="K93" s="41"/>
      <c r="L93" s="41"/>
      <c r="N93" s="41"/>
      <c r="O93" s="16"/>
      <c r="P93" s="16"/>
      <c r="Q93" s="16"/>
      <c r="R93" s="41"/>
    </row>
    <row r="94" spans="5:18" x14ac:dyDescent="0.3">
      <c r="E94" s="16"/>
      <c r="F94" s="16"/>
      <c r="G94" s="42"/>
      <c r="H94" s="16"/>
      <c r="I94" s="41"/>
      <c r="J94" s="41"/>
      <c r="K94" s="41"/>
      <c r="L94" s="41"/>
      <c r="N94" s="41"/>
      <c r="O94" s="42"/>
      <c r="P94" s="16"/>
      <c r="Q94" s="16"/>
      <c r="R94" s="41"/>
    </row>
    <row r="95" spans="5:18" x14ac:dyDescent="0.3">
      <c r="I95" s="41"/>
      <c r="J95" s="41"/>
      <c r="K95" s="41"/>
      <c r="L95" s="41"/>
      <c r="N95" s="41"/>
      <c r="R95" s="41"/>
    </row>
    <row r="96" spans="5:18" x14ac:dyDescent="0.3">
      <c r="I96" s="41"/>
      <c r="J96" s="41"/>
      <c r="K96" s="41"/>
      <c r="L96" s="41"/>
      <c r="N96" s="41"/>
      <c r="R96" s="41"/>
    </row>
    <row r="97" spans="9:18" x14ac:dyDescent="0.3">
      <c r="I97" s="41"/>
      <c r="J97" s="41"/>
      <c r="K97" s="41"/>
      <c r="L97" s="41"/>
      <c r="N97" s="41"/>
      <c r="R97" s="41"/>
    </row>
    <row r="98" spans="9:18" x14ac:dyDescent="0.3">
      <c r="I98" s="41"/>
      <c r="J98" s="41"/>
      <c r="K98" s="41"/>
      <c r="L98" s="41"/>
      <c r="N98" s="41"/>
      <c r="R98" s="41"/>
    </row>
    <row r="99" spans="9:18" x14ac:dyDescent="0.3">
      <c r="I99" s="41"/>
      <c r="J99" s="41"/>
      <c r="K99" s="41"/>
      <c r="L99" s="41"/>
      <c r="N99" s="41"/>
      <c r="R99" s="41"/>
    </row>
    <row r="100" spans="9:18" x14ac:dyDescent="0.3">
      <c r="I100" s="41"/>
      <c r="J100" s="41"/>
      <c r="K100" s="41"/>
      <c r="L100" s="41"/>
      <c r="N100" s="41"/>
      <c r="R100" s="41"/>
    </row>
    <row r="101" spans="9:18" x14ac:dyDescent="0.3">
      <c r="I101" s="34"/>
      <c r="J101" s="34"/>
      <c r="K101" s="34"/>
      <c r="L101" s="34"/>
      <c r="N101" s="34"/>
      <c r="R101" s="34"/>
    </row>
    <row r="102" spans="9:18" x14ac:dyDescent="0.3">
      <c r="I102" s="34"/>
      <c r="J102" s="34"/>
      <c r="K102" s="34"/>
      <c r="L102" s="34"/>
      <c r="N102" s="34"/>
      <c r="R102" s="34"/>
    </row>
    <row r="103" spans="9:18" x14ac:dyDescent="0.3">
      <c r="I103" s="40"/>
      <c r="J103" s="40"/>
      <c r="K103" s="40"/>
      <c r="L103" s="40"/>
      <c r="N103" s="40"/>
      <c r="R103" s="40"/>
    </row>
    <row r="104" spans="9:18" x14ac:dyDescent="0.3">
      <c r="I104" s="41"/>
      <c r="J104" s="41"/>
      <c r="K104" s="41"/>
      <c r="L104" s="41"/>
      <c r="N104" s="41"/>
      <c r="R104" s="41"/>
    </row>
    <row r="105" spans="9:18" x14ac:dyDescent="0.3">
      <c r="I105" s="41"/>
      <c r="J105" s="41"/>
      <c r="K105" s="41"/>
      <c r="L105" s="41"/>
      <c r="N105" s="41"/>
      <c r="R105" s="41"/>
    </row>
    <row r="106" spans="9:18" x14ac:dyDescent="0.3">
      <c r="I106" s="41"/>
      <c r="J106" s="41"/>
      <c r="K106" s="41"/>
      <c r="L106" s="41"/>
      <c r="N106" s="41"/>
      <c r="R106" s="41"/>
    </row>
    <row r="107" spans="9:18" x14ac:dyDescent="0.3">
      <c r="I107" s="41"/>
      <c r="J107" s="41"/>
      <c r="K107" s="41"/>
      <c r="L107" s="41"/>
      <c r="N107" s="41"/>
      <c r="R107" s="41"/>
    </row>
    <row r="108" spans="9:18" x14ac:dyDescent="0.3">
      <c r="I108" s="41"/>
      <c r="J108" s="41"/>
      <c r="K108" s="41"/>
      <c r="L108" s="41"/>
      <c r="N108" s="41"/>
      <c r="R108" s="41"/>
    </row>
    <row r="109" spans="9:18" x14ac:dyDescent="0.3">
      <c r="I109" s="41"/>
      <c r="J109" s="41"/>
      <c r="K109" s="41"/>
      <c r="L109" s="41"/>
      <c r="N109" s="41"/>
      <c r="R109" s="41"/>
    </row>
    <row r="110" spans="9:18" x14ac:dyDescent="0.3">
      <c r="I110" s="41"/>
      <c r="J110" s="41"/>
      <c r="K110" s="41"/>
      <c r="L110" s="41"/>
      <c r="N110" s="41"/>
      <c r="R110" s="41"/>
    </row>
    <row r="111" spans="9:18" x14ac:dyDescent="0.3">
      <c r="I111" s="41"/>
      <c r="J111" s="41"/>
      <c r="K111" s="41"/>
      <c r="L111" s="41"/>
      <c r="N111" s="41"/>
      <c r="R111" s="41"/>
    </row>
    <row r="112" spans="9:18" x14ac:dyDescent="0.3">
      <c r="I112" s="41"/>
      <c r="J112" s="41"/>
      <c r="K112" s="41"/>
      <c r="L112" s="41"/>
      <c r="N112" s="41"/>
      <c r="R112" s="41"/>
    </row>
    <row r="113" spans="9:18" x14ac:dyDescent="0.3">
      <c r="I113" s="41"/>
      <c r="J113" s="41"/>
      <c r="K113" s="41"/>
      <c r="L113" s="41"/>
      <c r="N113" s="41"/>
      <c r="R113" s="41"/>
    </row>
    <row r="114" spans="9:18" x14ac:dyDescent="0.3">
      <c r="I114" s="41"/>
      <c r="J114" s="41"/>
      <c r="K114" s="41"/>
      <c r="L114" s="41"/>
      <c r="M114" s="16"/>
      <c r="N114" s="41"/>
      <c r="R114" s="41"/>
    </row>
    <row r="115" spans="9:18" x14ac:dyDescent="0.3">
      <c r="I115" s="41"/>
      <c r="J115" s="41"/>
      <c r="K115" s="41"/>
      <c r="L115" s="41"/>
      <c r="M115" s="16"/>
      <c r="N115" s="41"/>
      <c r="R115" s="41"/>
    </row>
    <row r="116" spans="9:18" x14ac:dyDescent="0.3">
      <c r="I116" s="16"/>
      <c r="J116" s="16"/>
      <c r="K116" s="16"/>
      <c r="L116" s="16"/>
      <c r="M116" s="16"/>
      <c r="N116" s="16"/>
      <c r="R116" s="16"/>
    </row>
    <row r="117" spans="9:18" x14ac:dyDescent="0.3">
      <c r="M117" s="16"/>
    </row>
  </sheetData>
  <mergeCells count="5">
    <mergeCell ref="G4:I5"/>
    <mergeCell ref="Z4:AC5"/>
    <mergeCell ref="AA7:AB7"/>
    <mergeCell ref="O4:R5"/>
    <mergeCell ref="K4:L5"/>
  </mergeCells>
  <pageMargins left="0.75" right="0.75" top="1" bottom="1" header="0.5" footer="0.5"/>
  <pageSetup scale="61" orientation="landscape" r:id="rId1"/>
  <headerFooter alignWithMargins="0">
    <oddFooter>&amp;RExhibit JW-9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9"/>
  <sheetViews>
    <sheetView zoomScaleNormal="100" workbookViewId="0">
      <selection activeCell="M8" sqref="M8"/>
    </sheetView>
  </sheetViews>
  <sheetFormatPr defaultColWidth="9.109375" defaultRowHeight="13.2" x14ac:dyDescent="0.25"/>
  <cols>
    <col min="1" max="1" width="3.44140625" style="244" customWidth="1"/>
    <col min="2" max="2" width="5.33203125" style="243" customWidth="1"/>
    <col min="3" max="6" width="9.109375" style="244"/>
    <col min="7" max="7" width="10.5546875" style="244" customWidth="1"/>
    <col min="8" max="9" width="9.109375" style="244"/>
    <col min="10" max="10" width="8.33203125" style="244" bestFit="1" customWidth="1"/>
    <col min="11" max="11" width="7.6640625" style="244" customWidth="1"/>
    <col min="12" max="16384" width="9.109375" style="244"/>
  </cols>
  <sheetData>
    <row r="1" spans="1:11" ht="17.399999999999999" x14ac:dyDescent="0.3">
      <c r="A1" s="242" t="str">
        <f>'Present and Proposed Rates'!A1</f>
        <v>JACKSON PURCHASE ENERGY CORPORATION</v>
      </c>
    </row>
    <row r="2" spans="1:11" ht="17.399999999999999" x14ac:dyDescent="0.3">
      <c r="A2" s="115" t="s">
        <v>77</v>
      </c>
      <c r="H2" s="245"/>
    </row>
    <row r="3" spans="1:11" ht="17.399999999999999" x14ac:dyDescent="0.3">
      <c r="A3" s="242" t="s">
        <v>102</v>
      </c>
    </row>
    <row r="4" spans="1:11" ht="33.75" customHeight="1" thickBot="1" x14ac:dyDescent="0.3"/>
    <row r="5" spans="1:11" ht="21" customHeight="1" thickTop="1" x14ac:dyDescent="0.25">
      <c r="B5" s="246"/>
      <c r="C5" s="247" t="s">
        <v>54</v>
      </c>
      <c r="D5" s="378" t="s">
        <v>75</v>
      </c>
      <c r="E5" s="378"/>
      <c r="F5" s="379"/>
      <c r="G5" s="380" t="s">
        <v>76</v>
      </c>
      <c r="H5" s="378"/>
      <c r="I5" s="379"/>
      <c r="J5" s="381" t="s">
        <v>27</v>
      </c>
      <c r="K5" s="382"/>
    </row>
    <row r="6" spans="1:11" ht="23.25" customHeight="1" x14ac:dyDescent="0.25">
      <c r="B6" s="248" t="s">
        <v>72</v>
      </c>
      <c r="C6" s="249" t="s">
        <v>7</v>
      </c>
      <c r="D6" s="250" t="s">
        <v>63</v>
      </c>
      <c r="E6" s="250" t="s">
        <v>73</v>
      </c>
      <c r="F6" s="250" t="s">
        <v>36</v>
      </c>
      <c r="G6" s="250" t="s">
        <v>74</v>
      </c>
      <c r="H6" s="250" t="s">
        <v>64</v>
      </c>
      <c r="I6" s="250" t="s">
        <v>36</v>
      </c>
      <c r="J6" s="251" t="s">
        <v>31</v>
      </c>
      <c r="K6" s="252" t="s">
        <v>32</v>
      </c>
    </row>
    <row r="7" spans="1:11" s="253" customFormat="1" ht="18" customHeight="1" thickBot="1" x14ac:dyDescent="0.3">
      <c r="B7" s="254"/>
      <c r="C7" s="255"/>
      <c r="D7" s="256">
        <f>'Present and Proposed Rates'!F9</f>
        <v>16.399999999999999</v>
      </c>
      <c r="E7" s="257">
        <f>'Present and Proposed Rates'!F10</f>
        <v>0.10077999999999999</v>
      </c>
      <c r="F7" s="257"/>
      <c r="G7" s="256">
        <f>'Present and Proposed Rates'!H9</f>
        <v>21.25</v>
      </c>
      <c r="H7" s="257">
        <f>'Present and Proposed Rates'!H10</f>
        <v>0.114872</v>
      </c>
      <c r="I7" s="255"/>
      <c r="J7" s="258"/>
      <c r="K7" s="259"/>
    </row>
    <row r="8" spans="1:11" ht="13.8" thickTop="1" x14ac:dyDescent="0.25">
      <c r="B8" s="260">
        <v>1</v>
      </c>
      <c r="C8" s="261">
        <v>0</v>
      </c>
      <c r="D8" s="262">
        <f t="shared" ref="D8:D12" si="0">D$7</f>
        <v>16.399999999999999</v>
      </c>
      <c r="E8" s="263">
        <f t="shared" ref="E8:E12" si="1">$E$7*C8</f>
        <v>0</v>
      </c>
      <c r="F8" s="264">
        <f t="shared" ref="F8:F12" si="2">E8+D8</f>
        <v>16.399999999999999</v>
      </c>
      <c r="G8" s="265">
        <f t="shared" ref="G8:G12" si="3">$G$7</f>
        <v>21.25</v>
      </c>
      <c r="H8" s="263">
        <f t="shared" ref="H8:H12" si="4">$H$7*C8</f>
        <v>0</v>
      </c>
      <c r="I8" s="266">
        <f t="shared" ref="I8:I12" si="5">G8+H8</f>
        <v>21.25</v>
      </c>
      <c r="J8" s="267">
        <f t="shared" ref="J8:J12" si="6">I8-F8</f>
        <v>4.8500000000000014</v>
      </c>
      <c r="K8" s="268">
        <f t="shared" ref="K8:K12" si="7">J8/F8</f>
        <v>0.29573170731707327</v>
      </c>
    </row>
    <row r="9" spans="1:11" x14ac:dyDescent="0.25">
      <c r="B9" s="260">
        <v>2</v>
      </c>
      <c r="C9" s="261">
        <f>C8+100</f>
        <v>100</v>
      </c>
      <c r="D9" s="262">
        <f t="shared" si="0"/>
        <v>16.399999999999999</v>
      </c>
      <c r="E9" s="263">
        <f t="shared" si="1"/>
        <v>10.077999999999999</v>
      </c>
      <c r="F9" s="264">
        <f t="shared" si="2"/>
        <v>26.477999999999998</v>
      </c>
      <c r="G9" s="265">
        <f t="shared" si="3"/>
        <v>21.25</v>
      </c>
      <c r="H9" s="263">
        <f t="shared" si="4"/>
        <v>11.4872</v>
      </c>
      <c r="I9" s="266">
        <f t="shared" si="5"/>
        <v>32.737200000000001</v>
      </c>
      <c r="J9" s="267">
        <f t="shared" si="6"/>
        <v>6.2592000000000034</v>
      </c>
      <c r="K9" s="268">
        <f t="shared" si="7"/>
        <v>0.23639247677317032</v>
      </c>
    </row>
    <row r="10" spans="1:11" x14ac:dyDescent="0.25">
      <c r="B10" s="260">
        <v>3</v>
      </c>
      <c r="C10" s="261">
        <f t="shared" ref="C10:C13" si="8">C9+100</f>
        <v>200</v>
      </c>
      <c r="D10" s="262">
        <f t="shared" si="0"/>
        <v>16.399999999999999</v>
      </c>
      <c r="E10" s="263">
        <f t="shared" si="1"/>
        <v>20.155999999999999</v>
      </c>
      <c r="F10" s="264">
        <f t="shared" si="2"/>
        <v>36.555999999999997</v>
      </c>
      <c r="G10" s="265">
        <f t="shared" si="3"/>
        <v>21.25</v>
      </c>
      <c r="H10" s="263">
        <f t="shared" si="4"/>
        <v>22.974399999999999</v>
      </c>
      <c r="I10" s="266">
        <f t="shared" si="5"/>
        <v>44.224400000000003</v>
      </c>
      <c r="J10" s="267">
        <f t="shared" si="6"/>
        <v>7.6684000000000054</v>
      </c>
      <c r="K10" s="268">
        <f t="shared" si="7"/>
        <v>0.20977130977130992</v>
      </c>
    </row>
    <row r="11" spans="1:11" x14ac:dyDescent="0.25">
      <c r="B11" s="260">
        <v>4</v>
      </c>
      <c r="C11" s="261">
        <f t="shared" si="8"/>
        <v>300</v>
      </c>
      <c r="D11" s="262">
        <f t="shared" si="0"/>
        <v>16.399999999999999</v>
      </c>
      <c r="E11" s="263">
        <f t="shared" si="1"/>
        <v>30.233999999999998</v>
      </c>
      <c r="F11" s="264">
        <f t="shared" si="2"/>
        <v>46.634</v>
      </c>
      <c r="G11" s="265">
        <f t="shared" si="3"/>
        <v>21.25</v>
      </c>
      <c r="H11" s="263">
        <f t="shared" si="4"/>
        <v>34.461599999999997</v>
      </c>
      <c r="I11" s="266">
        <f t="shared" si="5"/>
        <v>55.711599999999997</v>
      </c>
      <c r="J11" s="267">
        <f t="shared" si="6"/>
        <v>9.0775999999999968</v>
      </c>
      <c r="K11" s="268">
        <f t="shared" si="7"/>
        <v>0.19465625938156703</v>
      </c>
    </row>
    <row r="12" spans="1:11" x14ac:dyDescent="0.25">
      <c r="B12" s="260"/>
      <c r="C12" s="261">
        <f t="shared" si="8"/>
        <v>400</v>
      </c>
      <c r="D12" s="262">
        <f t="shared" si="0"/>
        <v>16.399999999999999</v>
      </c>
      <c r="E12" s="263">
        <f t="shared" si="1"/>
        <v>40.311999999999998</v>
      </c>
      <c r="F12" s="264">
        <f t="shared" si="2"/>
        <v>56.711999999999996</v>
      </c>
      <c r="G12" s="265">
        <f t="shared" si="3"/>
        <v>21.25</v>
      </c>
      <c r="H12" s="263">
        <f t="shared" si="4"/>
        <v>45.948799999999999</v>
      </c>
      <c r="I12" s="266">
        <f t="shared" si="5"/>
        <v>67.198800000000006</v>
      </c>
      <c r="J12" s="267">
        <f t="shared" si="6"/>
        <v>10.486800000000009</v>
      </c>
      <c r="K12" s="268">
        <f t="shared" si="7"/>
        <v>0.1849132458738893</v>
      </c>
    </row>
    <row r="13" spans="1:11" x14ac:dyDescent="0.25">
      <c r="B13" s="260">
        <v>2</v>
      </c>
      <c r="C13" s="261">
        <f t="shared" si="8"/>
        <v>500</v>
      </c>
      <c r="D13" s="262">
        <f t="shared" ref="D13:D38" si="9">D$7</f>
        <v>16.399999999999999</v>
      </c>
      <c r="E13" s="263">
        <f t="shared" ref="E13:E38" si="10">$E$7*C13</f>
        <v>50.39</v>
      </c>
      <c r="F13" s="264">
        <f t="shared" ref="F13:F38" si="11">E13+D13</f>
        <v>66.789999999999992</v>
      </c>
      <c r="G13" s="265">
        <f t="shared" ref="G13:G38" si="12">$G$7</f>
        <v>21.25</v>
      </c>
      <c r="H13" s="263">
        <f t="shared" ref="H13:H38" si="13">$H$7*C13</f>
        <v>57.436</v>
      </c>
      <c r="I13" s="266">
        <f t="shared" ref="I13:I38" si="14">G13+H13</f>
        <v>78.686000000000007</v>
      </c>
      <c r="J13" s="267">
        <f t="shared" ref="J13:J38" si="15">I13-F13</f>
        <v>11.896000000000015</v>
      </c>
      <c r="K13" s="268">
        <f t="shared" ref="K13:K38" si="16">J13/F13</f>
        <v>0.17811049558317138</v>
      </c>
    </row>
    <row r="14" spans="1:11" x14ac:dyDescent="0.25">
      <c r="B14" s="260">
        <v>3</v>
      </c>
      <c r="C14" s="261">
        <f t="shared" ref="C14:C37" si="17">C13+100</f>
        <v>600</v>
      </c>
      <c r="D14" s="262">
        <f t="shared" si="9"/>
        <v>16.399999999999999</v>
      </c>
      <c r="E14" s="263">
        <f t="shared" si="10"/>
        <v>60.467999999999996</v>
      </c>
      <c r="F14" s="264">
        <f t="shared" si="11"/>
        <v>76.867999999999995</v>
      </c>
      <c r="G14" s="265">
        <f t="shared" si="12"/>
        <v>21.25</v>
      </c>
      <c r="H14" s="263">
        <f t="shared" si="13"/>
        <v>68.923199999999994</v>
      </c>
      <c r="I14" s="266">
        <f t="shared" si="14"/>
        <v>90.173199999999994</v>
      </c>
      <c r="J14" s="267">
        <f t="shared" si="15"/>
        <v>13.305199999999999</v>
      </c>
      <c r="K14" s="268">
        <f t="shared" si="16"/>
        <v>0.17309153353801321</v>
      </c>
    </row>
    <row r="15" spans="1:11" x14ac:dyDescent="0.25">
      <c r="B15" s="260">
        <v>4</v>
      </c>
      <c r="C15" s="261">
        <f t="shared" si="17"/>
        <v>700</v>
      </c>
      <c r="D15" s="262">
        <f t="shared" si="9"/>
        <v>16.399999999999999</v>
      </c>
      <c r="E15" s="263">
        <f t="shared" si="10"/>
        <v>70.545999999999992</v>
      </c>
      <c r="F15" s="264">
        <f t="shared" si="11"/>
        <v>86.945999999999998</v>
      </c>
      <c r="G15" s="265">
        <f t="shared" si="12"/>
        <v>21.25</v>
      </c>
      <c r="H15" s="263">
        <f t="shared" si="13"/>
        <v>80.410399999999996</v>
      </c>
      <c r="I15" s="266">
        <f t="shared" si="14"/>
        <v>101.6604</v>
      </c>
      <c r="J15" s="267">
        <f t="shared" si="15"/>
        <v>14.714399999999998</v>
      </c>
      <c r="K15" s="268">
        <f t="shared" si="16"/>
        <v>0.16923607756538539</v>
      </c>
    </row>
    <row r="16" spans="1:11" x14ac:dyDescent="0.25">
      <c r="B16" s="260">
        <v>5</v>
      </c>
      <c r="C16" s="261">
        <f t="shared" si="17"/>
        <v>800</v>
      </c>
      <c r="D16" s="262">
        <f t="shared" si="9"/>
        <v>16.399999999999999</v>
      </c>
      <c r="E16" s="263">
        <f t="shared" si="10"/>
        <v>80.623999999999995</v>
      </c>
      <c r="F16" s="264">
        <f t="shared" si="11"/>
        <v>97.024000000000001</v>
      </c>
      <c r="G16" s="265">
        <f t="shared" si="12"/>
        <v>21.25</v>
      </c>
      <c r="H16" s="263">
        <f t="shared" si="13"/>
        <v>91.897599999999997</v>
      </c>
      <c r="I16" s="266">
        <f t="shared" si="14"/>
        <v>113.1476</v>
      </c>
      <c r="J16" s="267">
        <f t="shared" si="15"/>
        <v>16.123599999999996</v>
      </c>
      <c r="K16" s="268">
        <f t="shared" si="16"/>
        <v>0.16618156332453821</v>
      </c>
    </row>
    <row r="17" spans="2:11" x14ac:dyDescent="0.25">
      <c r="B17" s="260">
        <v>6</v>
      </c>
      <c r="C17" s="261">
        <f t="shared" si="17"/>
        <v>900</v>
      </c>
      <c r="D17" s="262">
        <f t="shared" si="9"/>
        <v>16.399999999999999</v>
      </c>
      <c r="E17" s="263">
        <f t="shared" si="10"/>
        <v>90.701999999999998</v>
      </c>
      <c r="F17" s="264">
        <f t="shared" si="11"/>
        <v>107.102</v>
      </c>
      <c r="G17" s="265">
        <f t="shared" si="12"/>
        <v>21.25</v>
      </c>
      <c r="H17" s="263">
        <f t="shared" si="13"/>
        <v>103.3848</v>
      </c>
      <c r="I17" s="266">
        <f t="shared" si="14"/>
        <v>124.6348</v>
      </c>
      <c r="J17" s="267">
        <f t="shared" si="15"/>
        <v>17.532799999999995</v>
      </c>
      <c r="K17" s="268">
        <f t="shared" si="16"/>
        <v>0.16370189165468427</v>
      </c>
    </row>
    <row r="18" spans="2:11" x14ac:dyDescent="0.25">
      <c r="B18" s="260">
        <v>7</v>
      </c>
      <c r="C18" s="261">
        <f t="shared" si="17"/>
        <v>1000</v>
      </c>
      <c r="D18" s="262">
        <f t="shared" si="9"/>
        <v>16.399999999999999</v>
      </c>
      <c r="E18" s="263">
        <f t="shared" si="10"/>
        <v>100.78</v>
      </c>
      <c r="F18" s="264">
        <f t="shared" si="11"/>
        <v>117.18</v>
      </c>
      <c r="G18" s="265">
        <f t="shared" si="12"/>
        <v>21.25</v>
      </c>
      <c r="H18" s="263">
        <f t="shared" si="13"/>
        <v>114.872</v>
      </c>
      <c r="I18" s="266">
        <f t="shared" si="14"/>
        <v>136.12200000000001</v>
      </c>
      <c r="J18" s="267">
        <f t="shared" si="15"/>
        <v>18.942000000000007</v>
      </c>
      <c r="K18" s="268">
        <f t="shared" si="16"/>
        <v>0.16164874551971331</v>
      </c>
    </row>
    <row r="19" spans="2:11" x14ac:dyDescent="0.25">
      <c r="B19" s="260">
        <v>8</v>
      </c>
      <c r="C19" s="261">
        <f t="shared" si="17"/>
        <v>1100</v>
      </c>
      <c r="D19" s="262">
        <f t="shared" si="9"/>
        <v>16.399999999999999</v>
      </c>
      <c r="E19" s="263">
        <f t="shared" si="10"/>
        <v>110.85799999999999</v>
      </c>
      <c r="F19" s="264">
        <f t="shared" si="11"/>
        <v>127.25799999999998</v>
      </c>
      <c r="G19" s="265">
        <f t="shared" si="12"/>
        <v>21.25</v>
      </c>
      <c r="H19" s="263">
        <f t="shared" si="13"/>
        <v>126.3592</v>
      </c>
      <c r="I19" s="266">
        <f t="shared" si="14"/>
        <v>147.60919999999999</v>
      </c>
      <c r="J19" s="267">
        <f t="shared" si="15"/>
        <v>20.351200000000006</v>
      </c>
      <c r="K19" s="268">
        <f t="shared" si="16"/>
        <v>0.15992079083436805</v>
      </c>
    </row>
    <row r="20" spans="2:11" x14ac:dyDescent="0.25">
      <c r="B20" s="260">
        <v>9</v>
      </c>
      <c r="C20" s="261">
        <f t="shared" si="17"/>
        <v>1200</v>
      </c>
      <c r="D20" s="262">
        <f t="shared" si="9"/>
        <v>16.399999999999999</v>
      </c>
      <c r="E20" s="263">
        <f t="shared" si="10"/>
        <v>120.93599999999999</v>
      </c>
      <c r="F20" s="264">
        <f t="shared" si="11"/>
        <v>137.33599999999998</v>
      </c>
      <c r="G20" s="265">
        <f t="shared" si="12"/>
        <v>21.25</v>
      </c>
      <c r="H20" s="263">
        <f t="shared" si="13"/>
        <v>137.84639999999999</v>
      </c>
      <c r="I20" s="266">
        <f t="shared" si="14"/>
        <v>159.09639999999999</v>
      </c>
      <c r="J20" s="267">
        <f t="shared" si="15"/>
        <v>21.760400000000004</v>
      </c>
      <c r="K20" s="268">
        <f t="shared" si="16"/>
        <v>0.15844643793324406</v>
      </c>
    </row>
    <row r="21" spans="2:11" x14ac:dyDescent="0.25">
      <c r="B21" s="260">
        <v>10</v>
      </c>
      <c r="C21" s="261">
        <f t="shared" si="17"/>
        <v>1300</v>
      </c>
      <c r="D21" s="262">
        <f t="shared" si="9"/>
        <v>16.399999999999999</v>
      </c>
      <c r="E21" s="263">
        <f t="shared" si="10"/>
        <v>131.01399999999998</v>
      </c>
      <c r="F21" s="264">
        <f t="shared" si="11"/>
        <v>147.41399999999999</v>
      </c>
      <c r="G21" s="265">
        <f t="shared" si="12"/>
        <v>21.25</v>
      </c>
      <c r="H21" s="263">
        <f t="shared" si="13"/>
        <v>149.33359999999999</v>
      </c>
      <c r="I21" s="266">
        <f t="shared" si="14"/>
        <v>170.58359999999999</v>
      </c>
      <c r="J21" s="267">
        <f t="shared" si="15"/>
        <v>23.169600000000003</v>
      </c>
      <c r="K21" s="268">
        <f t="shared" si="16"/>
        <v>0.15717367414221176</v>
      </c>
    </row>
    <row r="22" spans="2:11" x14ac:dyDescent="0.25">
      <c r="B22" s="260">
        <v>11</v>
      </c>
      <c r="C22" s="261">
        <f t="shared" si="17"/>
        <v>1400</v>
      </c>
      <c r="D22" s="262">
        <f t="shared" si="9"/>
        <v>16.399999999999999</v>
      </c>
      <c r="E22" s="263">
        <f t="shared" si="10"/>
        <v>141.09199999999998</v>
      </c>
      <c r="F22" s="264">
        <f t="shared" si="11"/>
        <v>157.49199999999999</v>
      </c>
      <c r="G22" s="265">
        <f t="shared" si="12"/>
        <v>21.25</v>
      </c>
      <c r="H22" s="263">
        <f t="shared" si="13"/>
        <v>160.82079999999999</v>
      </c>
      <c r="I22" s="266">
        <f t="shared" si="14"/>
        <v>182.07079999999999</v>
      </c>
      <c r="J22" s="267">
        <f t="shared" si="15"/>
        <v>24.578800000000001</v>
      </c>
      <c r="K22" s="268">
        <f t="shared" si="16"/>
        <v>0.15606380006603512</v>
      </c>
    </row>
    <row r="23" spans="2:11" x14ac:dyDescent="0.25">
      <c r="B23" s="260">
        <v>12</v>
      </c>
      <c r="C23" s="261">
        <f t="shared" si="17"/>
        <v>1500</v>
      </c>
      <c r="D23" s="262">
        <f t="shared" si="9"/>
        <v>16.399999999999999</v>
      </c>
      <c r="E23" s="263">
        <f t="shared" si="10"/>
        <v>151.16999999999999</v>
      </c>
      <c r="F23" s="264">
        <f t="shared" si="11"/>
        <v>167.57</v>
      </c>
      <c r="G23" s="265">
        <f t="shared" si="12"/>
        <v>21.25</v>
      </c>
      <c r="H23" s="263">
        <f t="shared" si="13"/>
        <v>172.30799999999999</v>
      </c>
      <c r="I23" s="266">
        <f t="shared" si="14"/>
        <v>193.55799999999999</v>
      </c>
      <c r="J23" s="267">
        <f t="shared" si="15"/>
        <v>25.988</v>
      </c>
      <c r="K23" s="268">
        <f t="shared" si="16"/>
        <v>0.15508742615026555</v>
      </c>
    </row>
    <row r="24" spans="2:11" x14ac:dyDescent="0.25">
      <c r="B24" s="260">
        <v>13</v>
      </c>
      <c r="C24" s="261">
        <f t="shared" si="17"/>
        <v>1600</v>
      </c>
      <c r="D24" s="262">
        <f t="shared" si="9"/>
        <v>16.399999999999999</v>
      </c>
      <c r="E24" s="263">
        <f t="shared" si="10"/>
        <v>161.24799999999999</v>
      </c>
      <c r="F24" s="264">
        <f t="shared" si="11"/>
        <v>177.648</v>
      </c>
      <c r="G24" s="265">
        <f t="shared" si="12"/>
        <v>21.25</v>
      </c>
      <c r="H24" s="263">
        <f t="shared" si="13"/>
        <v>183.79519999999999</v>
      </c>
      <c r="I24" s="266">
        <f t="shared" si="14"/>
        <v>205.04519999999999</v>
      </c>
      <c r="J24" s="267">
        <f t="shared" si="15"/>
        <v>27.397199999999998</v>
      </c>
      <c r="K24" s="268">
        <f t="shared" si="16"/>
        <v>0.15422183193731423</v>
      </c>
    </row>
    <row r="25" spans="2:11" x14ac:dyDescent="0.25">
      <c r="B25" s="260">
        <v>14</v>
      </c>
      <c r="C25" s="261">
        <f t="shared" si="17"/>
        <v>1700</v>
      </c>
      <c r="D25" s="262">
        <f t="shared" si="9"/>
        <v>16.399999999999999</v>
      </c>
      <c r="E25" s="263">
        <f t="shared" si="10"/>
        <v>171.32599999999999</v>
      </c>
      <c r="F25" s="264">
        <f t="shared" si="11"/>
        <v>187.726</v>
      </c>
      <c r="G25" s="265">
        <f t="shared" si="12"/>
        <v>21.25</v>
      </c>
      <c r="H25" s="263">
        <f t="shared" si="13"/>
        <v>195.2824</v>
      </c>
      <c r="I25" s="266">
        <f t="shared" si="14"/>
        <v>216.5324</v>
      </c>
      <c r="J25" s="267">
        <f t="shared" si="15"/>
        <v>28.806399999999996</v>
      </c>
      <c r="K25" s="268">
        <f t="shared" si="16"/>
        <v>0.15344917592661644</v>
      </c>
    </row>
    <row r="26" spans="2:11" x14ac:dyDescent="0.25">
      <c r="B26" s="260">
        <v>15</v>
      </c>
      <c r="C26" s="261">
        <f t="shared" si="17"/>
        <v>1800</v>
      </c>
      <c r="D26" s="262">
        <f t="shared" si="9"/>
        <v>16.399999999999999</v>
      </c>
      <c r="E26" s="263">
        <f t="shared" si="10"/>
        <v>181.404</v>
      </c>
      <c r="F26" s="264">
        <f t="shared" si="11"/>
        <v>197.804</v>
      </c>
      <c r="G26" s="265">
        <f t="shared" si="12"/>
        <v>21.25</v>
      </c>
      <c r="H26" s="263">
        <f t="shared" si="13"/>
        <v>206.7696</v>
      </c>
      <c r="I26" s="266">
        <f t="shared" si="14"/>
        <v>228.0196</v>
      </c>
      <c r="J26" s="267">
        <f t="shared" si="15"/>
        <v>30.215599999999995</v>
      </c>
      <c r="K26" s="268">
        <f t="shared" si="16"/>
        <v>0.15275525267436449</v>
      </c>
    </row>
    <row r="27" spans="2:11" x14ac:dyDescent="0.25">
      <c r="B27" s="260">
        <v>16</v>
      </c>
      <c r="C27" s="261">
        <f t="shared" si="17"/>
        <v>1900</v>
      </c>
      <c r="D27" s="262">
        <f t="shared" si="9"/>
        <v>16.399999999999999</v>
      </c>
      <c r="E27" s="263">
        <f t="shared" si="10"/>
        <v>191.482</v>
      </c>
      <c r="F27" s="264">
        <f t="shared" si="11"/>
        <v>207.88200000000001</v>
      </c>
      <c r="G27" s="265">
        <f t="shared" si="12"/>
        <v>21.25</v>
      </c>
      <c r="H27" s="263">
        <f t="shared" si="13"/>
        <v>218.2568</v>
      </c>
      <c r="I27" s="266">
        <f t="shared" si="14"/>
        <v>239.5068</v>
      </c>
      <c r="J27" s="267">
        <f t="shared" si="15"/>
        <v>31.624799999999993</v>
      </c>
      <c r="K27" s="268">
        <f t="shared" si="16"/>
        <v>0.15212861142378847</v>
      </c>
    </row>
    <row r="28" spans="2:11" x14ac:dyDescent="0.25">
      <c r="B28" s="260">
        <v>17</v>
      </c>
      <c r="C28" s="261">
        <f t="shared" si="17"/>
        <v>2000</v>
      </c>
      <c r="D28" s="262">
        <f t="shared" si="9"/>
        <v>16.399999999999999</v>
      </c>
      <c r="E28" s="263">
        <f t="shared" si="10"/>
        <v>201.56</v>
      </c>
      <c r="F28" s="264">
        <f t="shared" si="11"/>
        <v>217.96</v>
      </c>
      <c r="G28" s="265">
        <f t="shared" si="12"/>
        <v>21.25</v>
      </c>
      <c r="H28" s="263">
        <f t="shared" si="13"/>
        <v>229.744</v>
      </c>
      <c r="I28" s="266">
        <f t="shared" si="14"/>
        <v>250.994</v>
      </c>
      <c r="J28" s="267">
        <f t="shared" si="15"/>
        <v>33.033999999999992</v>
      </c>
      <c r="K28" s="268">
        <f t="shared" si="16"/>
        <v>0.15155991925123871</v>
      </c>
    </row>
    <row r="29" spans="2:11" x14ac:dyDescent="0.25">
      <c r="B29" s="260">
        <v>18</v>
      </c>
      <c r="C29" s="261">
        <f>C28+100</f>
        <v>2100</v>
      </c>
      <c r="D29" s="262">
        <f t="shared" si="9"/>
        <v>16.399999999999999</v>
      </c>
      <c r="E29" s="263">
        <f t="shared" si="10"/>
        <v>211.63799999999998</v>
      </c>
      <c r="F29" s="264">
        <f t="shared" si="11"/>
        <v>228.03799999999998</v>
      </c>
      <c r="G29" s="265">
        <f t="shared" si="12"/>
        <v>21.25</v>
      </c>
      <c r="H29" s="263">
        <f t="shared" si="13"/>
        <v>241.2312</v>
      </c>
      <c r="I29" s="266">
        <f t="shared" si="14"/>
        <v>262.4812</v>
      </c>
      <c r="J29" s="267">
        <f t="shared" si="15"/>
        <v>34.443200000000019</v>
      </c>
      <c r="K29" s="268">
        <f t="shared" si="16"/>
        <v>0.151041493084486</v>
      </c>
    </row>
    <row r="30" spans="2:11" x14ac:dyDescent="0.25">
      <c r="B30" s="260">
        <v>19</v>
      </c>
      <c r="C30" s="261">
        <f t="shared" si="17"/>
        <v>2200</v>
      </c>
      <c r="D30" s="262">
        <f t="shared" si="9"/>
        <v>16.399999999999999</v>
      </c>
      <c r="E30" s="263">
        <f t="shared" si="10"/>
        <v>221.71599999999998</v>
      </c>
      <c r="F30" s="264">
        <f t="shared" si="11"/>
        <v>238.11599999999999</v>
      </c>
      <c r="G30" s="265">
        <f t="shared" si="12"/>
        <v>21.25</v>
      </c>
      <c r="H30" s="263">
        <f t="shared" si="13"/>
        <v>252.7184</v>
      </c>
      <c r="I30" s="266">
        <f t="shared" si="14"/>
        <v>273.96839999999997</v>
      </c>
      <c r="J30" s="267">
        <f t="shared" si="15"/>
        <v>35.852399999999989</v>
      </c>
      <c r="K30" s="268">
        <f t="shared" si="16"/>
        <v>0.15056695056191097</v>
      </c>
    </row>
    <row r="31" spans="2:11" x14ac:dyDescent="0.25">
      <c r="B31" s="260">
        <v>20</v>
      </c>
      <c r="C31" s="261">
        <f t="shared" si="17"/>
        <v>2300</v>
      </c>
      <c r="D31" s="262">
        <f t="shared" si="9"/>
        <v>16.399999999999999</v>
      </c>
      <c r="E31" s="263">
        <f t="shared" si="10"/>
        <v>231.79399999999998</v>
      </c>
      <c r="F31" s="264">
        <f t="shared" si="11"/>
        <v>248.19399999999999</v>
      </c>
      <c r="G31" s="265">
        <f t="shared" si="12"/>
        <v>21.25</v>
      </c>
      <c r="H31" s="263">
        <f t="shared" si="13"/>
        <v>264.2056</v>
      </c>
      <c r="I31" s="266">
        <f t="shared" si="14"/>
        <v>285.4556</v>
      </c>
      <c r="J31" s="267">
        <f t="shared" si="15"/>
        <v>37.261600000000016</v>
      </c>
      <c r="K31" s="268">
        <f t="shared" si="16"/>
        <v>0.15013094595356866</v>
      </c>
    </row>
    <row r="32" spans="2:11" x14ac:dyDescent="0.25">
      <c r="B32" s="260">
        <v>21</v>
      </c>
      <c r="C32" s="261">
        <f t="shared" si="17"/>
        <v>2400</v>
      </c>
      <c r="D32" s="262">
        <f t="shared" si="9"/>
        <v>16.399999999999999</v>
      </c>
      <c r="E32" s="263">
        <f t="shared" si="10"/>
        <v>241.87199999999999</v>
      </c>
      <c r="F32" s="264">
        <f t="shared" si="11"/>
        <v>258.27199999999999</v>
      </c>
      <c r="G32" s="265">
        <f t="shared" si="12"/>
        <v>21.25</v>
      </c>
      <c r="H32" s="263">
        <f t="shared" si="13"/>
        <v>275.69279999999998</v>
      </c>
      <c r="I32" s="266">
        <f t="shared" si="14"/>
        <v>296.94279999999998</v>
      </c>
      <c r="J32" s="267">
        <f t="shared" si="15"/>
        <v>38.670799999999986</v>
      </c>
      <c r="K32" s="268">
        <f t="shared" si="16"/>
        <v>0.14972896790980048</v>
      </c>
    </row>
    <row r="33" spans="2:11" x14ac:dyDescent="0.25">
      <c r="B33" s="260">
        <v>22</v>
      </c>
      <c r="C33" s="261">
        <f t="shared" si="17"/>
        <v>2500</v>
      </c>
      <c r="D33" s="262">
        <f t="shared" si="9"/>
        <v>16.399999999999999</v>
      </c>
      <c r="E33" s="263">
        <f t="shared" si="10"/>
        <v>251.95</v>
      </c>
      <c r="F33" s="264">
        <f t="shared" si="11"/>
        <v>268.34999999999997</v>
      </c>
      <c r="G33" s="265">
        <f t="shared" si="12"/>
        <v>21.25</v>
      </c>
      <c r="H33" s="263">
        <f t="shared" si="13"/>
        <v>287.18</v>
      </c>
      <c r="I33" s="266">
        <f t="shared" si="14"/>
        <v>308.43</v>
      </c>
      <c r="J33" s="267">
        <f t="shared" si="15"/>
        <v>40.080000000000041</v>
      </c>
      <c r="K33" s="268">
        <f t="shared" si="16"/>
        <v>0.14935718278367821</v>
      </c>
    </row>
    <row r="34" spans="2:11" x14ac:dyDescent="0.25">
      <c r="B34" s="260">
        <v>23</v>
      </c>
      <c r="C34" s="261">
        <f t="shared" si="17"/>
        <v>2600</v>
      </c>
      <c r="D34" s="262">
        <f t="shared" si="9"/>
        <v>16.399999999999999</v>
      </c>
      <c r="E34" s="263">
        <f t="shared" si="10"/>
        <v>262.02799999999996</v>
      </c>
      <c r="F34" s="264">
        <f t="shared" si="11"/>
        <v>278.42799999999994</v>
      </c>
      <c r="G34" s="265">
        <f t="shared" si="12"/>
        <v>21.25</v>
      </c>
      <c r="H34" s="263">
        <f t="shared" si="13"/>
        <v>298.66719999999998</v>
      </c>
      <c r="I34" s="266">
        <f t="shared" si="14"/>
        <v>319.91719999999998</v>
      </c>
      <c r="J34" s="267">
        <f t="shared" si="15"/>
        <v>41.489200000000039</v>
      </c>
      <c r="K34" s="268">
        <f t="shared" si="16"/>
        <v>0.14901231198011711</v>
      </c>
    </row>
    <row r="35" spans="2:11" x14ac:dyDescent="0.25">
      <c r="B35" s="260">
        <v>24</v>
      </c>
      <c r="C35" s="261">
        <f>C34+100</f>
        <v>2700</v>
      </c>
      <c r="D35" s="262">
        <f t="shared" si="9"/>
        <v>16.399999999999999</v>
      </c>
      <c r="E35" s="263">
        <f t="shared" si="10"/>
        <v>272.10599999999999</v>
      </c>
      <c r="F35" s="264">
        <f t="shared" si="11"/>
        <v>288.50599999999997</v>
      </c>
      <c r="G35" s="265">
        <f t="shared" si="12"/>
        <v>21.25</v>
      </c>
      <c r="H35" s="263">
        <f t="shared" si="13"/>
        <v>310.15440000000001</v>
      </c>
      <c r="I35" s="266">
        <f t="shared" si="14"/>
        <v>331.40440000000001</v>
      </c>
      <c r="J35" s="267">
        <f t="shared" si="15"/>
        <v>42.898400000000038</v>
      </c>
      <c r="K35" s="268">
        <f t="shared" si="16"/>
        <v>0.14869153501140372</v>
      </c>
    </row>
    <row r="36" spans="2:11" x14ac:dyDescent="0.25">
      <c r="B36" s="260">
        <v>25</v>
      </c>
      <c r="C36" s="261">
        <f t="shared" si="17"/>
        <v>2800</v>
      </c>
      <c r="D36" s="262">
        <f t="shared" si="9"/>
        <v>16.399999999999999</v>
      </c>
      <c r="E36" s="263">
        <f t="shared" si="10"/>
        <v>282.18399999999997</v>
      </c>
      <c r="F36" s="264">
        <f t="shared" si="11"/>
        <v>298.58399999999995</v>
      </c>
      <c r="G36" s="265">
        <f t="shared" si="12"/>
        <v>21.25</v>
      </c>
      <c r="H36" s="263">
        <f t="shared" si="13"/>
        <v>321.64159999999998</v>
      </c>
      <c r="I36" s="266">
        <f t="shared" si="14"/>
        <v>342.89159999999998</v>
      </c>
      <c r="J36" s="267">
        <f t="shared" si="15"/>
        <v>44.307600000000036</v>
      </c>
      <c r="K36" s="268">
        <f t="shared" si="16"/>
        <v>0.14839241218551577</v>
      </c>
    </row>
    <row r="37" spans="2:11" x14ac:dyDescent="0.25">
      <c r="B37" s="260">
        <v>26</v>
      </c>
      <c r="C37" s="261">
        <f t="shared" si="17"/>
        <v>2900</v>
      </c>
      <c r="D37" s="262">
        <f t="shared" si="9"/>
        <v>16.399999999999999</v>
      </c>
      <c r="E37" s="263">
        <f t="shared" si="10"/>
        <v>292.262</v>
      </c>
      <c r="F37" s="264">
        <f t="shared" si="11"/>
        <v>308.66199999999998</v>
      </c>
      <c r="G37" s="265">
        <f t="shared" si="12"/>
        <v>21.25</v>
      </c>
      <c r="H37" s="263">
        <f t="shared" si="13"/>
        <v>333.12880000000001</v>
      </c>
      <c r="I37" s="266">
        <f t="shared" si="14"/>
        <v>354.37880000000001</v>
      </c>
      <c r="J37" s="267">
        <f t="shared" si="15"/>
        <v>45.716800000000035</v>
      </c>
      <c r="K37" s="268">
        <f t="shared" si="16"/>
        <v>0.1481128224400802</v>
      </c>
    </row>
    <row r="38" spans="2:11" ht="13.8" thickBot="1" x14ac:dyDescent="0.3">
      <c r="B38" s="269">
        <v>27</v>
      </c>
      <c r="C38" s="270">
        <f>C37+100</f>
        <v>3000</v>
      </c>
      <c r="D38" s="271">
        <f t="shared" si="9"/>
        <v>16.399999999999999</v>
      </c>
      <c r="E38" s="272">
        <f t="shared" si="10"/>
        <v>302.33999999999997</v>
      </c>
      <c r="F38" s="273">
        <f t="shared" si="11"/>
        <v>318.73999999999995</v>
      </c>
      <c r="G38" s="274">
        <f t="shared" si="12"/>
        <v>21.25</v>
      </c>
      <c r="H38" s="272">
        <f t="shared" si="13"/>
        <v>344.61599999999999</v>
      </c>
      <c r="I38" s="275">
        <f t="shared" si="14"/>
        <v>365.86599999999999</v>
      </c>
      <c r="J38" s="276">
        <f t="shared" si="15"/>
        <v>47.126000000000033</v>
      </c>
      <c r="K38" s="277">
        <f t="shared" si="16"/>
        <v>0.14785091296981878</v>
      </c>
    </row>
    <row r="39" spans="2:11" ht="13.8" thickTop="1" x14ac:dyDescent="0.25">
      <c r="D39" s="278"/>
      <c r="E39" s="279"/>
      <c r="F39" s="278"/>
      <c r="G39" s="280"/>
      <c r="H39" s="279"/>
      <c r="I39" s="280"/>
      <c r="J39" s="280"/>
      <c r="K39" s="281"/>
    </row>
  </sheetData>
  <mergeCells count="3">
    <mergeCell ref="D5:F5"/>
    <mergeCell ref="G5:I5"/>
    <mergeCell ref="J5:K5"/>
  </mergeCells>
  <printOptions horizontalCentered="1"/>
  <pageMargins left="1" right="0.75" top="0.75" bottom="0.75" header="0.3" footer="0.3"/>
  <pageSetup scale="88" fitToHeight="2" orientation="portrait" r:id="rId1"/>
  <headerFooter>
    <oddFooter>&amp;RExhibit JW-9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Present and Proposed Rates</vt:lpstr>
      <vt:lpstr>R</vt:lpstr>
      <vt:lpstr>C-1</vt:lpstr>
      <vt:lpstr>C-3</vt:lpstr>
      <vt:lpstr>D</vt:lpstr>
      <vt:lpstr>D Direct</vt:lpstr>
      <vt:lpstr>I-E</vt:lpstr>
      <vt:lpstr>Lighting</vt:lpstr>
      <vt:lpstr>Incr-R</vt:lpstr>
      <vt:lpstr>List</vt:lpstr>
      <vt:lpstr>Notice Tables</vt:lpstr>
      <vt:lpstr>Summary</vt:lpstr>
      <vt:lpstr>Billing Determ</vt:lpstr>
      <vt:lpstr>'C-1'!Print_Area</vt:lpstr>
      <vt:lpstr>'C-3'!Print_Area</vt:lpstr>
      <vt:lpstr>D!Print_Area</vt:lpstr>
      <vt:lpstr>'D Direct'!Print_Area</vt:lpstr>
      <vt:lpstr>'I-E'!Print_Area</vt:lpstr>
      <vt:lpstr>'Incr-R'!Print_Area</vt:lpstr>
      <vt:lpstr>Lighting!Print_Area</vt:lpstr>
      <vt:lpstr>'Present and Proposed Rates'!Print_Area</vt:lpstr>
      <vt:lpstr>'R'!Print_Area</vt:lpstr>
      <vt:lpstr>Summary!Print_Area</vt:lpstr>
      <vt:lpstr>'Incr-R'!Print_Titles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2021-10-09T19:28:51Z</cp:lastPrinted>
  <dcterms:created xsi:type="dcterms:W3CDTF">2000-07-10T18:54:31Z</dcterms:created>
  <dcterms:modified xsi:type="dcterms:W3CDTF">2021-10-09T19:37:45Z</dcterms:modified>
</cp:coreProperties>
</file>