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N\Documents\Columbia-Adair County\PSC Application\"/>
    </mc:Choice>
  </mc:AlternateContent>
  <xr:revisionPtr revIDLastSave="0" documentId="13_ncr:1_{61F6FC52-FA2A-43D5-A5C4-B46B4C954396}" xr6:coauthVersionLast="47" xr6:coauthVersionMax="47" xr10:uidLastSave="{00000000-0000-0000-0000-000000000000}"/>
  <bookViews>
    <workbookView xWindow="30" yWindow="30" windowWidth="20460" windowHeight="10890" activeTab="4" xr2:uid="{31961B43-3652-4A7B-A00F-90809BC1E7AE}"/>
  </bookViews>
  <sheets>
    <sheet name="Wages" sheetId="1" r:id="rId1"/>
    <sheet name="OT &amp; Bonus" sheetId="5" r:id="rId2"/>
    <sheet name="Retirement" sheetId="4" r:id="rId3"/>
    <sheet name="Health Ins" sheetId="2" r:id="rId4"/>
    <sheet name="Dental Ins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1" l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37" i="3"/>
  <c r="N17" i="3"/>
  <c r="M19" i="2"/>
  <c r="D40" i="2"/>
  <c r="Q11" i="5"/>
  <c r="Q10" i="5"/>
  <c r="M10" i="5"/>
  <c r="Q12" i="5"/>
  <c r="M12" i="5"/>
  <c r="H30" i="5"/>
  <c r="D30" i="5"/>
  <c r="P8" i="5"/>
  <c r="Q8" i="5" s="1"/>
  <c r="P9" i="5"/>
  <c r="G18" i="5"/>
  <c r="C18" i="5"/>
  <c r="D18" i="5" s="1"/>
  <c r="L9" i="5"/>
  <c r="L8" i="5"/>
  <c r="M8" i="5" s="1"/>
  <c r="C5" i="5"/>
  <c r="Q9" i="5"/>
  <c r="M9" i="5"/>
  <c r="H17" i="3"/>
  <c r="H16" i="3"/>
  <c r="F32" i="3"/>
  <c r="F31" i="3"/>
  <c r="F30" i="3"/>
  <c r="F37" i="2"/>
  <c r="F33" i="2"/>
  <c r="F32" i="2"/>
  <c r="H24" i="5"/>
  <c r="H23" i="5"/>
  <c r="H22" i="5"/>
  <c r="H21" i="5"/>
  <c r="H20" i="5"/>
  <c r="H19" i="5"/>
  <c r="H18" i="5"/>
  <c r="H17" i="5"/>
  <c r="Q7" i="5"/>
  <c r="H16" i="5"/>
  <c r="H15" i="5"/>
  <c r="Q6" i="5"/>
  <c r="H14" i="5"/>
  <c r="H13" i="5"/>
  <c r="H12" i="5"/>
  <c r="H11" i="5"/>
  <c r="Q5" i="5"/>
  <c r="H10" i="5"/>
  <c r="H9" i="5"/>
  <c r="H8" i="5"/>
  <c r="H7" i="5"/>
  <c r="H6" i="5"/>
  <c r="H5" i="5"/>
  <c r="Q4" i="5"/>
  <c r="H4" i="5"/>
  <c r="G26" i="5"/>
  <c r="F26" i="5"/>
  <c r="D24" i="5"/>
  <c r="D23" i="5"/>
  <c r="D22" i="5"/>
  <c r="D21" i="5"/>
  <c r="D20" i="5"/>
  <c r="D19" i="5"/>
  <c r="D17" i="5"/>
  <c r="M7" i="5"/>
  <c r="D16" i="5"/>
  <c r="D15" i="5"/>
  <c r="M6" i="5"/>
  <c r="D14" i="5"/>
  <c r="D13" i="5"/>
  <c r="D12" i="5"/>
  <c r="D11" i="5"/>
  <c r="M5" i="5"/>
  <c r="D10" i="5"/>
  <c r="D9" i="5"/>
  <c r="D8" i="5"/>
  <c r="D7" i="5"/>
  <c r="D6" i="5"/>
  <c r="D5" i="5"/>
  <c r="M4" i="5"/>
  <c r="D4" i="5"/>
  <c r="C26" i="5"/>
  <c r="O10" i="1"/>
  <c r="O7" i="1"/>
  <c r="M7" i="1"/>
  <c r="O17" i="1"/>
  <c r="O22" i="1"/>
  <c r="M20" i="1"/>
  <c r="M19" i="1"/>
  <c r="M18" i="1"/>
  <c r="M16" i="1"/>
  <c r="M15" i="1"/>
  <c r="M14" i="1"/>
  <c r="M13" i="1"/>
  <c r="M12" i="1"/>
  <c r="O11" i="1"/>
  <c r="M11" i="1"/>
  <c r="P45" i="1"/>
  <c r="P44" i="1"/>
  <c r="P43" i="1"/>
  <c r="P42" i="1"/>
  <c r="P41" i="1"/>
  <c r="P40" i="1"/>
  <c r="P39" i="1"/>
  <c r="N45" i="1"/>
  <c r="N44" i="1"/>
  <c r="N43" i="1"/>
  <c r="N42" i="1"/>
  <c r="N41" i="1"/>
  <c r="N40" i="1"/>
  <c r="N39" i="1"/>
  <c r="O45" i="1"/>
  <c r="O44" i="1"/>
  <c r="O43" i="1"/>
  <c r="O42" i="1"/>
  <c r="O41" i="1"/>
  <c r="O40" i="1"/>
  <c r="O39" i="1"/>
  <c r="M45" i="1"/>
  <c r="M44" i="1"/>
  <c r="M43" i="1"/>
  <c r="M42" i="1"/>
  <c r="M41" i="1"/>
  <c r="M40" i="1"/>
  <c r="M39" i="1"/>
  <c r="K45" i="1"/>
  <c r="K44" i="1"/>
  <c r="K43" i="1"/>
  <c r="K42" i="1"/>
  <c r="K41" i="1"/>
  <c r="K40" i="1"/>
  <c r="K39" i="1"/>
  <c r="J45" i="1"/>
  <c r="M36" i="1"/>
  <c r="L36" i="1"/>
  <c r="K36" i="1"/>
  <c r="N36" i="1" s="1"/>
  <c r="L38" i="1"/>
  <c r="L37" i="1"/>
  <c r="L35" i="1"/>
  <c r="L34" i="1"/>
  <c r="L33" i="1"/>
  <c r="L30" i="1"/>
  <c r="L29" i="1"/>
  <c r="L26" i="1"/>
  <c r="L25" i="1"/>
  <c r="L24" i="1"/>
  <c r="L23" i="1"/>
  <c r="L22" i="1"/>
  <c r="L21" i="1"/>
  <c r="L20" i="1"/>
  <c r="L10" i="1"/>
  <c r="L8" i="1"/>
  <c r="L11" i="1"/>
  <c r="O5" i="3"/>
  <c r="P5" i="3" s="1"/>
  <c r="N5" i="3"/>
  <c r="O6" i="3"/>
  <c r="P6" i="3" s="1"/>
  <c r="N6" i="3"/>
  <c r="O7" i="3"/>
  <c r="P7" i="3" s="1"/>
  <c r="N7" i="3"/>
  <c r="G23" i="3"/>
  <c r="F23" i="3"/>
  <c r="F8" i="3"/>
  <c r="G8" i="3"/>
  <c r="G5" i="3"/>
  <c r="F5" i="3"/>
  <c r="N10" i="3"/>
  <c r="G26" i="2"/>
  <c r="F26" i="2"/>
  <c r="N7" i="2"/>
  <c r="O7" i="2" s="1"/>
  <c r="M7" i="2"/>
  <c r="N6" i="2"/>
  <c r="M6" i="2"/>
  <c r="G9" i="2"/>
  <c r="F9" i="2"/>
  <c r="O6" i="2"/>
  <c r="N5" i="2"/>
  <c r="O5" i="2" s="1"/>
  <c r="M5" i="2"/>
  <c r="G5" i="2"/>
  <c r="F5" i="2"/>
  <c r="N12" i="2"/>
  <c r="O12" i="2" s="1"/>
  <c r="M12" i="2"/>
  <c r="H26" i="5" l="1"/>
  <c r="D26" i="5"/>
  <c r="G12" i="2"/>
  <c r="H12" i="2" s="1"/>
  <c r="G11" i="3"/>
  <c r="H11" i="3"/>
  <c r="H8" i="3"/>
  <c r="H5" i="3"/>
  <c r="G28" i="3"/>
  <c r="H28" i="3" s="1"/>
  <c r="G27" i="3"/>
  <c r="H27" i="3" s="1"/>
  <c r="G26" i="3"/>
  <c r="H26" i="3" s="1"/>
  <c r="G24" i="3"/>
  <c r="H24" i="3" s="1"/>
  <c r="H23" i="3"/>
  <c r="G22" i="3"/>
  <c r="H22" i="3" s="1"/>
  <c r="G21" i="3"/>
  <c r="H21" i="3" s="1"/>
  <c r="G20" i="3"/>
  <c r="H20" i="3" s="1"/>
  <c r="O11" i="3"/>
  <c r="P11" i="3" s="1"/>
  <c r="G18" i="3"/>
  <c r="H18" i="3" s="1"/>
  <c r="O10" i="3"/>
  <c r="P10" i="3" s="1"/>
  <c r="G15" i="3"/>
  <c r="H15" i="3" s="1"/>
  <c r="G14" i="3"/>
  <c r="H14" i="3" s="1"/>
  <c r="O9" i="3"/>
  <c r="P9" i="3" s="1"/>
  <c r="G13" i="3"/>
  <c r="H13" i="3" s="1"/>
  <c r="G12" i="3"/>
  <c r="H12" i="3" s="1"/>
  <c r="G10" i="3"/>
  <c r="H10" i="3" s="1"/>
  <c r="G9" i="3"/>
  <c r="H9" i="3" s="1"/>
  <c r="O8" i="3"/>
  <c r="G7" i="3"/>
  <c r="H7" i="3" s="1"/>
  <c r="G6" i="3"/>
  <c r="F29" i="3"/>
  <c r="F28" i="3"/>
  <c r="F27" i="3"/>
  <c r="F25" i="3"/>
  <c r="F24" i="3"/>
  <c r="F20" i="3"/>
  <c r="N11" i="3"/>
  <c r="F19" i="3"/>
  <c r="F18" i="3"/>
  <c r="F17" i="3"/>
  <c r="F16" i="3"/>
  <c r="F15" i="3"/>
  <c r="F14" i="3"/>
  <c r="N9" i="3"/>
  <c r="F13" i="3"/>
  <c r="F12" i="3"/>
  <c r="F11" i="3"/>
  <c r="F10" i="3"/>
  <c r="F9" i="3"/>
  <c r="N8" i="3"/>
  <c r="F7" i="3"/>
  <c r="F6" i="3"/>
  <c r="G35" i="2"/>
  <c r="H35" i="2" s="1"/>
  <c r="F35" i="2"/>
  <c r="G34" i="2"/>
  <c r="H34" i="2" s="1"/>
  <c r="F34" i="2"/>
  <c r="G31" i="2"/>
  <c r="H31" i="2" s="1"/>
  <c r="F31" i="2"/>
  <c r="G30" i="2"/>
  <c r="H30" i="2" s="1"/>
  <c r="F30" i="2"/>
  <c r="G29" i="2"/>
  <c r="H29" i="2" s="1"/>
  <c r="F28" i="2"/>
  <c r="G27" i="2"/>
  <c r="H27" i="2" s="1"/>
  <c r="F27" i="2"/>
  <c r="H26" i="2"/>
  <c r="G25" i="2"/>
  <c r="H25" i="2" s="1"/>
  <c r="G24" i="2"/>
  <c r="H24" i="2" s="1"/>
  <c r="G23" i="2"/>
  <c r="H23" i="2" s="1"/>
  <c r="F23" i="2"/>
  <c r="F22" i="2"/>
  <c r="G21" i="2"/>
  <c r="H21" i="2" s="1"/>
  <c r="F21" i="2"/>
  <c r="N11" i="2"/>
  <c r="O11" i="2" s="1"/>
  <c r="M11" i="2"/>
  <c r="F19" i="2"/>
  <c r="F18" i="2"/>
  <c r="G17" i="2"/>
  <c r="H17" i="2" s="1"/>
  <c r="F17" i="2"/>
  <c r="G16" i="2"/>
  <c r="H16" i="2" s="1"/>
  <c r="F16" i="2"/>
  <c r="N10" i="2"/>
  <c r="O10" i="2" s="1"/>
  <c r="M10" i="2"/>
  <c r="G14" i="2"/>
  <c r="H14" i="2" s="1"/>
  <c r="F14" i="2"/>
  <c r="G13" i="2"/>
  <c r="H13" i="2" s="1"/>
  <c r="F13" i="2"/>
  <c r="F12" i="2"/>
  <c r="G11" i="2"/>
  <c r="H11" i="2" s="1"/>
  <c r="F11" i="2"/>
  <c r="G10" i="2"/>
  <c r="H10" i="2" s="1"/>
  <c r="F10" i="2"/>
  <c r="H9" i="2"/>
  <c r="N9" i="2"/>
  <c r="M9" i="2"/>
  <c r="G7" i="2"/>
  <c r="H7" i="2" s="1"/>
  <c r="F7" i="2"/>
  <c r="G6" i="2"/>
  <c r="H6" i="2" s="1"/>
  <c r="F6" i="2"/>
  <c r="H5" i="2"/>
  <c r="M38" i="1"/>
  <c r="N38" i="1"/>
  <c r="N37" i="1"/>
  <c r="M37" i="1"/>
  <c r="K35" i="1"/>
  <c r="N35" i="1" s="1"/>
  <c r="M35" i="1"/>
  <c r="K34" i="1"/>
  <c r="N34" i="1" s="1"/>
  <c r="M34" i="1"/>
  <c r="K33" i="1"/>
  <c r="K21" i="1"/>
  <c r="N21" i="1" s="1"/>
  <c r="D26" i="1"/>
  <c r="D38" i="1"/>
  <c r="D37" i="1"/>
  <c r="D34" i="1"/>
  <c r="D33" i="1"/>
  <c r="M33" i="1"/>
  <c r="M21" i="1"/>
  <c r="L19" i="1"/>
  <c r="L18" i="1"/>
  <c r="L17" i="1"/>
  <c r="L16" i="1"/>
  <c r="L15" i="1"/>
  <c r="L13" i="1"/>
  <c r="L12" i="1"/>
  <c r="L14" i="1"/>
  <c r="K31" i="1"/>
  <c r="N31" i="1" s="1"/>
  <c r="K32" i="1"/>
  <c r="N32" i="1" s="1"/>
  <c r="K30" i="1"/>
  <c r="N30" i="1" s="1"/>
  <c r="K29" i="1"/>
  <c r="N29" i="1" s="1"/>
  <c r="K28" i="1"/>
  <c r="N28" i="1" s="1"/>
  <c r="K27" i="1"/>
  <c r="N27" i="1" s="1"/>
  <c r="K26" i="1"/>
  <c r="N26" i="1" s="1"/>
  <c r="K25" i="1"/>
  <c r="P25" i="1" s="1"/>
  <c r="K24" i="1"/>
  <c r="N24" i="1" s="1"/>
  <c r="K23" i="1"/>
  <c r="N23" i="1" s="1"/>
  <c r="K22" i="1"/>
  <c r="P22" i="1" s="1"/>
  <c r="K20" i="1"/>
  <c r="N20" i="1" s="1"/>
  <c r="K19" i="1"/>
  <c r="N19" i="1" s="1"/>
  <c r="K18" i="1"/>
  <c r="N18" i="1" s="1"/>
  <c r="K17" i="1"/>
  <c r="K16" i="1"/>
  <c r="N16" i="1" s="1"/>
  <c r="K15" i="1"/>
  <c r="N15" i="1" s="1"/>
  <c r="N14" i="1"/>
  <c r="K13" i="1"/>
  <c r="K12" i="1"/>
  <c r="N12" i="1" s="1"/>
  <c r="K11" i="1"/>
  <c r="P11" i="1" s="1"/>
  <c r="K10" i="1"/>
  <c r="P10" i="1" s="1"/>
  <c r="K9" i="1"/>
  <c r="K8" i="1"/>
  <c r="N8" i="1" s="1"/>
  <c r="K7" i="1"/>
  <c r="J32" i="1"/>
  <c r="M32" i="1" s="1"/>
  <c r="M31" i="1"/>
  <c r="M30" i="1"/>
  <c r="M29" i="1"/>
  <c r="J28" i="1"/>
  <c r="M28" i="1" s="1"/>
  <c r="J27" i="1"/>
  <c r="M26" i="1"/>
  <c r="O25" i="1"/>
  <c r="M24" i="1"/>
  <c r="M23" i="1"/>
  <c r="M8" i="1"/>
  <c r="P7" i="1"/>
  <c r="N7" i="1"/>
  <c r="D32" i="1"/>
  <c r="D30" i="1"/>
  <c r="D29" i="1"/>
  <c r="D28" i="1"/>
  <c r="D27" i="1"/>
  <c r="D25" i="1"/>
  <c r="D23" i="1"/>
  <c r="D22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H28" i="5" l="1"/>
  <c r="N13" i="3"/>
  <c r="P8" i="3"/>
  <c r="P13" i="3" s="1"/>
  <c r="N16" i="3" s="1"/>
  <c r="O13" i="3"/>
  <c r="N15" i="3" s="1"/>
  <c r="G34" i="3"/>
  <c r="D35" i="3" s="1"/>
  <c r="O9" i="2"/>
  <c r="N15" i="2"/>
  <c r="N14" i="2"/>
  <c r="M17" i="2" s="1"/>
  <c r="M15" i="2"/>
  <c r="M14" i="2"/>
  <c r="K46" i="1"/>
  <c r="M27" i="1"/>
  <c r="J46" i="1"/>
  <c r="L46" i="1"/>
  <c r="M9" i="1"/>
  <c r="N11" i="1"/>
  <c r="O29" i="1"/>
  <c r="O46" i="1" s="1"/>
  <c r="C12" i="4" s="1"/>
  <c r="N13" i="1"/>
  <c r="P17" i="1"/>
  <c r="P29" i="1"/>
  <c r="P46" i="1" s="1"/>
  <c r="N9" i="1"/>
  <c r="N46" i="1" s="1"/>
  <c r="N33" i="1"/>
  <c r="H6" i="3"/>
  <c r="F34" i="3"/>
  <c r="H34" i="3"/>
  <c r="D36" i="3" s="1"/>
  <c r="G37" i="2"/>
  <c r="D38" i="2" s="1"/>
  <c r="H37" i="2"/>
  <c r="D39" i="2" s="1"/>
  <c r="E9" i="4" l="1"/>
  <c r="E8" i="4"/>
  <c r="F8" i="4" s="1"/>
  <c r="E13" i="4"/>
  <c r="F13" i="4" s="1"/>
  <c r="E12" i="4"/>
  <c r="F12" i="4" s="1"/>
  <c r="M46" i="1"/>
  <c r="O15" i="2"/>
  <c r="O14" i="2"/>
  <c r="M18" i="2" s="1"/>
  <c r="F9" i="4"/>
  <c r="D12" i="4"/>
  <c r="C13" i="4"/>
  <c r="D13" i="4" s="1"/>
  <c r="N48" i="1"/>
  <c r="K48" i="1"/>
  <c r="P48" i="1"/>
  <c r="C9" i="4" l="1"/>
  <c r="D9" i="4" s="1"/>
  <c r="C8" i="4"/>
  <c r="D8" i="4" s="1"/>
  <c r="D15" i="4" s="1"/>
  <c r="F15" i="4"/>
  <c r="M20" i="2"/>
  <c r="F17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HLN</author>
  </authors>
  <commentList>
    <comment ref="J5" authorId="0" shapeId="0" xr:uid="{C285FDD9-8C9C-4574-8582-F724AD7D3FB5}">
      <text>
        <r>
          <rPr>
            <b/>
            <sz val="9"/>
            <color indexed="81"/>
            <rFont val="Tahoma"/>
            <charset val="1"/>
          </rPr>
          <t>HLN:</t>
        </r>
        <r>
          <rPr>
            <sz val="9"/>
            <color indexed="81"/>
            <rFont val="Tahoma"/>
            <charset val="1"/>
          </rPr>
          <t xml:space="preserve">
Total wage paid per W2 Report - includes Overtime.</t>
        </r>
      </text>
    </comment>
    <comment ref="K5" authorId="0" shapeId="0" xr:uid="{E35DA739-CE21-4750-91E1-F349D0B7F757}">
      <text>
        <r>
          <rPr>
            <b/>
            <sz val="9"/>
            <color indexed="81"/>
            <rFont val="Tahoma"/>
            <charset val="1"/>
          </rPr>
          <t>HLN:</t>
        </r>
        <r>
          <rPr>
            <sz val="9"/>
            <color indexed="81"/>
            <rFont val="Tahoma"/>
            <charset val="1"/>
          </rPr>
          <t xml:space="preserve">
Estimated taking hourly wage x 2080 hours.
If salary - total salary listed.
</t>
        </r>
      </text>
    </comment>
  </commentList>
</comments>
</file>

<file path=xl/sharedStrings.xml><?xml version="1.0" encoding="utf-8"?>
<sst xmlns="http://schemas.openxmlformats.org/spreadsheetml/2006/main" count="234" uniqueCount="79">
  <si>
    <t>Position</t>
  </si>
  <si>
    <t>Salary</t>
  </si>
  <si>
    <t>General Manager</t>
  </si>
  <si>
    <t>Field Supervisor</t>
  </si>
  <si>
    <t>Chief WP Operator</t>
  </si>
  <si>
    <t>Chief SP Operator</t>
  </si>
  <si>
    <t>Office Manager</t>
  </si>
  <si>
    <t>DW Op Class III</t>
  </si>
  <si>
    <t>DW Op Class III/Collection Op Class II</t>
  </si>
  <si>
    <t>WP Operator Class IVA</t>
  </si>
  <si>
    <t>Collection Operator in Training</t>
  </si>
  <si>
    <t>WP Operator Class IIIA</t>
  </si>
  <si>
    <t>DW Operator in Training</t>
  </si>
  <si>
    <t>WW Operator Class II</t>
  </si>
  <si>
    <t>WW Operator in Training</t>
  </si>
  <si>
    <t>Customer Service Representative</t>
  </si>
  <si>
    <t>Equipment Operator</t>
  </si>
  <si>
    <t>Columbia/Adair Utilities District</t>
  </si>
  <si>
    <t>Salaries by Position</t>
  </si>
  <si>
    <t>Increase</t>
  </si>
  <si>
    <t>Salary by Utility Division</t>
  </si>
  <si>
    <t>WTP</t>
  </si>
  <si>
    <t>Sewer</t>
  </si>
  <si>
    <t>Distribution</t>
  </si>
  <si>
    <t>Water Salary</t>
  </si>
  <si>
    <t>Total Salary 2020</t>
  </si>
  <si>
    <t>Total Salary 2021</t>
  </si>
  <si>
    <t>Full Time/40 Hours/week</t>
  </si>
  <si>
    <t>2020 Overtime Pay</t>
  </si>
  <si>
    <t>WP Oper in Training   no longer  with us as of April</t>
  </si>
  <si>
    <t>WP Operator Class IVA, DW opetator class III, Collection</t>
  </si>
  <si>
    <t>Equipment Operator DW Operator Class III</t>
  </si>
  <si>
    <t xml:space="preserve">Health Insurance </t>
  </si>
  <si>
    <t>CAUD pays 100% of single policy</t>
  </si>
  <si>
    <t>2020 Cost</t>
  </si>
  <si>
    <t>2021 Cost</t>
  </si>
  <si>
    <t>PSC Allowable - 78%</t>
  </si>
  <si>
    <t>Allowable (recoverable cost)</t>
  </si>
  <si>
    <t>Adjustment to make:</t>
  </si>
  <si>
    <t>Total Health Insurance Cost 2021</t>
  </si>
  <si>
    <t xml:space="preserve">Dental Insurance </t>
  </si>
  <si>
    <t>CAUD pays 100% of employee only</t>
  </si>
  <si>
    <t>PSC Allowable - 40%</t>
  </si>
  <si>
    <t>Retirement</t>
  </si>
  <si>
    <t>District Contribution - 2020</t>
  </si>
  <si>
    <t>WATER</t>
  </si>
  <si>
    <t>SEWER</t>
  </si>
  <si>
    <t>TOTAL:</t>
  </si>
  <si>
    <t>District Contribution - 2021</t>
  </si>
  <si>
    <t>changed 7/1/2021</t>
  </si>
  <si>
    <t>CSR</t>
  </si>
  <si>
    <t>TOTAL</t>
  </si>
  <si>
    <t>Increase 2020 to 2021</t>
  </si>
  <si>
    <t>Jan-June</t>
  </si>
  <si>
    <t>Sewer Salary</t>
  </si>
  <si>
    <t>July-Dec</t>
  </si>
  <si>
    <t>former Field Supervisor (last day 1/21/2020)</t>
  </si>
  <si>
    <t>Customer Service Representative (left 4/2021)</t>
  </si>
  <si>
    <t>Equipment Operator (left 4/21)</t>
  </si>
  <si>
    <t>Attorney</t>
  </si>
  <si>
    <t>Left employment</t>
  </si>
  <si>
    <t>New in 2021</t>
  </si>
  <si>
    <t xml:space="preserve">Overtime </t>
  </si>
  <si>
    <t>Hours</t>
  </si>
  <si>
    <t>Rate</t>
  </si>
  <si>
    <t>Total</t>
  </si>
  <si>
    <t>DW OP Class III/Collection OP Class II</t>
  </si>
  <si>
    <t>DW OP Class III</t>
  </si>
  <si>
    <t>Customer Service Rep</t>
  </si>
  <si>
    <t xml:space="preserve">Equipment operator </t>
  </si>
  <si>
    <t>Increase 2020-2021</t>
  </si>
  <si>
    <t>General Manager Bonus</t>
  </si>
  <si>
    <t>Commission</t>
  </si>
  <si>
    <t xml:space="preserve">Commission </t>
  </si>
  <si>
    <t>Former Field Supervisor (last day 1/21/2020)</t>
  </si>
  <si>
    <t>no change in 2020</t>
  </si>
  <si>
    <t>WP Operator Class IVA, DW operator class III, Collection</t>
  </si>
  <si>
    <t>General Manager - Bonus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</si>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</sst>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44" fontId="0" fillId="0" borderId="0" xfId="1" applyFont="1"/>
    <xf numFmtId="44" fontId="0" fillId="0" borderId="0" xfId="0" applyNumberFormat="1"/>
    <xf numFmtId="9" fontId="0" fillId="0" borderId="0" xfId="0" applyNumberFormat="1"/>
    <xf numFmtId="0" fontId="0" fillId="3" borderId="0" xfId="0" applyFill="1"/>
    <xf numFmtId="0" fontId="0" fillId="4" borderId="0" xfId="0" applyFill="1"/>
    <xf numFmtId="10" fontId="0" fillId="0" borderId="0" xfId="3" applyNumberFormat="1" applyFont="1"/>
    <xf numFmtId="0" fontId="0" fillId="0" borderId="1" xfId="0" applyBorder="1"/>
    <xf numFmtId="0" fontId="2" fillId="0" borderId="0" xfId="0" applyFont="1"/>
    <xf numFmtId="0" fontId="5" fillId="0" borderId="0" xfId="0" applyFont="1"/>
    <xf numFmtId="43" fontId="0" fillId="0" borderId="0" xfId="2" applyFont="1"/>
    <xf numFmtId="43" fontId="2" fillId="0" borderId="0" xfId="2" applyFont="1"/>
    <xf numFmtId="0" fontId="0" fillId="0" borderId="0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3" applyFont="1"/>
    <xf numFmtId="44" fontId="0" fillId="0" borderId="0" xfId="0" applyNumberFormat="1" applyFill="1"/>
    <xf numFmtId="0" fontId="0" fillId="5" borderId="0" xfId="0" applyFill="1"/>
    <xf numFmtId="44" fontId="0" fillId="0" borderId="1" xfId="0" applyNumberFormat="1" applyBorder="1"/>
    <xf numFmtId="0" fontId="0" fillId="3" borderId="1" xfId="0" applyFill="1" applyBorder="1"/>
    <xf numFmtId="0" fontId="2" fillId="0" borderId="1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right" wrapText="1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9" fontId="0" fillId="3" borderId="0" xfId="0" applyNumberFormat="1" applyFill="1"/>
    <xf numFmtId="9" fontId="0" fillId="3" borderId="0" xfId="3" applyFont="1" applyFill="1"/>
    <xf numFmtId="44" fontId="0" fillId="3" borderId="0" xfId="0" applyNumberFormat="1" applyFill="1"/>
    <xf numFmtId="44" fontId="0" fillId="3" borderId="1" xfId="0" applyNumberFormat="1" applyFill="1" applyBorder="1"/>
    <xf numFmtId="44" fontId="0" fillId="0" borderId="1" xfId="1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8A0E9-F76A-4407-B15A-0446B7F029BA}">
  <dimension ref="A1:P50"/>
  <sheetViews>
    <sheetView topLeftCell="B1" zoomScaleNormal="100" workbookViewId="0">
      <selection activeCell="P5" sqref="P5"/>
    </sheetView>
  </sheetViews>
  <sheetFormatPr defaultRowHeight="15" x14ac:dyDescent="0.25"/>
  <cols>
    <col min="1" max="1" width="51.28515625" bestFit="1" customWidth="1"/>
    <col min="2" max="2" width="12.5703125" bestFit="1" customWidth="1"/>
    <col min="3" max="3" width="16.140625" bestFit="1" customWidth="1"/>
    <col min="4" max="4" width="11.28515625" bestFit="1" customWidth="1"/>
    <col min="5" max="5" width="11.28515625" customWidth="1"/>
    <col min="10" max="10" width="14.28515625" bestFit="1" customWidth="1"/>
    <col min="11" max="11" width="12.5703125" bestFit="1" customWidth="1"/>
    <col min="12" max="12" width="12.5703125" customWidth="1"/>
    <col min="13" max="16" width="12.5703125" bestFit="1" customWidth="1"/>
  </cols>
  <sheetData>
    <row r="1" spans="1:16" x14ac:dyDescent="0.25">
      <c r="A1" t="s">
        <v>17</v>
      </c>
    </row>
    <row r="2" spans="1:16" x14ac:dyDescent="0.25">
      <c r="A2" t="s">
        <v>18</v>
      </c>
    </row>
    <row r="4" spans="1:16" x14ac:dyDescent="0.25">
      <c r="F4" s="38" t="s">
        <v>20</v>
      </c>
      <c r="G4" s="38"/>
      <c r="H4" s="38"/>
      <c r="I4" s="38"/>
      <c r="J4" s="38" t="s">
        <v>27</v>
      </c>
      <c r="K4" s="38"/>
      <c r="L4" s="23"/>
      <c r="M4" s="24">
        <v>2020</v>
      </c>
      <c r="N4" s="24">
        <v>2021</v>
      </c>
      <c r="O4" s="25">
        <v>2020</v>
      </c>
      <c r="P4" s="25">
        <v>2021</v>
      </c>
    </row>
    <row r="5" spans="1:16" ht="45" x14ac:dyDescent="0.25">
      <c r="B5" s="1">
        <v>2020</v>
      </c>
      <c r="C5" s="1">
        <v>2021</v>
      </c>
      <c r="F5" s="37"/>
      <c r="G5" s="37"/>
      <c r="J5" s="26" t="s">
        <v>25</v>
      </c>
      <c r="K5" s="26" t="s">
        <v>26</v>
      </c>
      <c r="L5" s="26" t="s">
        <v>28</v>
      </c>
      <c r="M5" s="27" t="s">
        <v>24</v>
      </c>
      <c r="N5" s="27" t="s">
        <v>24</v>
      </c>
      <c r="O5" s="28" t="s">
        <v>54</v>
      </c>
      <c r="P5" s="28" t="s">
        <v>54</v>
      </c>
    </row>
    <row r="6" spans="1:16" x14ac:dyDescent="0.25">
      <c r="A6" s="2" t="s">
        <v>0</v>
      </c>
      <c r="B6" s="16" t="s">
        <v>1</v>
      </c>
      <c r="C6" s="16" t="s">
        <v>1</v>
      </c>
      <c r="D6" s="36" t="s">
        <v>19</v>
      </c>
      <c r="E6" s="36" t="s">
        <v>78</v>
      </c>
      <c r="F6" s="39" t="s">
        <v>23</v>
      </c>
      <c r="G6" s="39"/>
      <c r="H6" s="29" t="s">
        <v>21</v>
      </c>
      <c r="I6" s="30" t="s">
        <v>22</v>
      </c>
      <c r="J6" s="9"/>
      <c r="K6" s="9"/>
      <c r="L6" s="9"/>
      <c r="M6" s="15"/>
      <c r="N6" s="9"/>
      <c r="O6" s="22"/>
      <c r="P6" s="22"/>
    </row>
    <row r="7" spans="1:16" x14ac:dyDescent="0.25">
      <c r="A7" t="s">
        <v>2</v>
      </c>
      <c r="B7" s="3">
        <v>125000</v>
      </c>
      <c r="C7" s="3">
        <v>125000</v>
      </c>
      <c r="D7" s="4">
        <f t="shared" ref="D7:D38" si="0">C7-B7</f>
        <v>0</v>
      </c>
      <c r="E7" s="18">
        <f>(C7-B7)/C7</f>
        <v>0</v>
      </c>
      <c r="F7" s="5"/>
      <c r="G7" s="5">
        <v>0.5</v>
      </c>
      <c r="H7" s="5">
        <v>0.25</v>
      </c>
      <c r="I7" s="31">
        <v>0.25</v>
      </c>
      <c r="J7" s="4">
        <v>132211.47</v>
      </c>
      <c r="K7" s="4">
        <f>C7</f>
        <v>125000</v>
      </c>
      <c r="L7" s="4">
        <v>0</v>
      </c>
      <c r="M7" s="4">
        <f>J7*0.75</f>
        <v>99158.602500000008</v>
      </c>
      <c r="N7" s="4">
        <f>C7*0.75</f>
        <v>93750</v>
      </c>
      <c r="O7" s="33">
        <f>J7*0.25</f>
        <v>33052.8675</v>
      </c>
      <c r="P7" s="33">
        <f>C7*0.25</f>
        <v>31250</v>
      </c>
    </row>
    <row r="8" spans="1:16" x14ac:dyDescent="0.25">
      <c r="A8" t="s">
        <v>3</v>
      </c>
      <c r="B8" s="3">
        <v>16.989999999999998</v>
      </c>
      <c r="C8" s="3">
        <v>22.59</v>
      </c>
      <c r="D8" s="4">
        <f t="shared" si="0"/>
        <v>5.6000000000000014</v>
      </c>
      <c r="E8" s="18">
        <f t="shared" ref="E8:E45" si="1">(C8-B8)/C8</f>
        <v>0.24789729969012844</v>
      </c>
      <c r="G8" s="5">
        <v>1</v>
      </c>
      <c r="I8" s="6"/>
      <c r="J8" s="4">
        <v>43532.1</v>
      </c>
      <c r="K8" s="4">
        <f>C8*2080</f>
        <v>46987.199999999997</v>
      </c>
      <c r="L8" s="4">
        <f>201.5*B8</f>
        <v>3423.4849999999997</v>
      </c>
      <c r="M8" s="4">
        <f>J8</f>
        <v>43532.1</v>
      </c>
      <c r="N8" s="4">
        <f>K8</f>
        <v>46987.199999999997</v>
      </c>
      <c r="O8" s="6"/>
      <c r="P8" s="6"/>
    </row>
    <row r="9" spans="1:16" x14ac:dyDescent="0.25">
      <c r="A9" t="s">
        <v>4</v>
      </c>
      <c r="B9" s="3">
        <v>60255</v>
      </c>
      <c r="C9" s="3">
        <v>62500</v>
      </c>
      <c r="D9" s="4">
        <f t="shared" si="0"/>
        <v>2245</v>
      </c>
      <c r="E9" s="18">
        <f t="shared" si="1"/>
        <v>3.5920000000000001E-2</v>
      </c>
      <c r="H9" s="5">
        <v>1</v>
      </c>
      <c r="I9" s="6"/>
      <c r="J9" s="4">
        <v>63730.9</v>
      </c>
      <c r="K9" s="4">
        <f>C9</f>
        <v>62500</v>
      </c>
      <c r="L9" s="4">
        <v>0</v>
      </c>
      <c r="M9" s="4">
        <f>J9</f>
        <v>63730.9</v>
      </c>
      <c r="N9" s="4">
        <f>K9</f>
        <v>62500</v>
      </c>
      <c r="O9" s="6"/>
      <c r="P9" s="6"/>
    </row>
    <row r="10" spans="1:16" x14ac:dyDescent="0.25">
      <c r="A10" t="s">
        <v>5</v>
      </c>
      <c r="B10" s="3">
        <v>20.04</v>
      </c>
      <c r="C10" s="3">
        <v>21</v>
      </c>
      <c r="D10" s="4">
        <f t="shared" si="0"/>
        <v>0.96000000000000085</v>
      </c>
      <c r="E10" s="18">
        <f t="shared" si="1"/>
        <v>4.5714285714285756E-2</v>
      </c>
      <c r="I10" s="31">
        <v>1</v>
      </c>
      <c r="J10" s="4">
        <v>48475.41</v>
      </c>
      <c r="K10" s="4">
        <f>C10*2080</f>
        <v>43680</v>
      </c>
      <c r="L10" s="4">
        <f>123.5*B10</f>
        <v>2474.94</v>
      </c>
      <c r="M10" s="3">
        <v>0</v>
      </c>
      <c r="N10" s="3">
        <v>0</v>
      </c>
      <c r="O10" s="33">
        <f>J10</f>
        <v>48475.41</v>
      </c>
      <c r="P10" s="33">
        <f>K10</f>
        <v>43680</v>
      </c>
    </row>
    <row r="11" spans="1:16" x14ac:dyDescent="0.25">
      <c r="A11" t="s">
        <v>6</v>
      </c>
      <c r="B11" s="3">
        <v>25.33</v>
      </c>
      <c r="C11" s="3">
        <v>25.75</v>
      </c>
      <c r="D11" s="4">
        <f t="shared" si="0"/>
        <v>0.42000000000000171</v>
      </c>
      <c r="E11" s="18">
        <f t="shared" si="1"/>
        <v>1.6310679611650551E-2</v>
      </c>
      <c r="F11" s="5"/>
      <c r="G11" s="5">
        <v>0.63</v>
      </c>
      <c r="H11" s="5">
        <v>0.18</v>
      </c>
      <c r="I11" s="31">
        <v>0.19</v>
      </c>
      <c r="J11" s="4">
        <v>55783.12</v>
      </c>
      <c r="K11" s="4">
        <f t="shared" ref="K11:K32" si="2">C11*2080</f>
        <v>53560</v>
      </c>
      <c r="L11" s="4">
        <f>1.5*B11</f>
        <v>37.994999999999997</v>
      </c>
      <c r="M11" s="4">
        <f>J11*0.81</f>
        <v>45184.327200000007</v>
      </c>
      <c r="N11" s="4">
        <f>K11*0.81</f>
        <v>43383.600000000006</v>
      </c>
      <c r="O11" s="33">
        <f>J11*0.19</f>
        <v>10598.792800000001</v>
      </c>
      <c r="P11" s="33">
        <f>K11*0.19</f>
        <v>10176.4</v>
      </c>
    </row>
    <row r="12" spans="1:16" x14ac:dyDescent="0.25">
      <c r="A12" t="s">
        <v>7</v>
      </c>
      <c r="B12" s="3">
        <v>15.7</v>
      </c>
      <c r="C12" s="3">
        <v>17.25</v>
      </c>
      <c r="D12" s="4">
        <f t="shared" si="0"/>
        <v>1.5500000000000007</v>
      </c>
      <c r="E12" s="18">
        <f t="shared" si="1"/>
        <v>8.9855072463768157E-2</v>
      </c>
      <c r="G12" s="5">
        <v>1</v>
      </c>
      <c r="I12" s="6"/>
      <c r="J12" s="4">
        <v>41031.660000000003</v>
      </c>
      <c r="K12" s="4">
        <f t="shared" si="2"/>
        <v>35880</v>
      </c>
      <c r="L12" s="4">
        <f>202*B12</f>
        <v>3171.3999999999996</v>
      </c>
      <c r="M12" s="4">
        <f t="shared" ref="M12:N16" si="3">J12</f>
        <v>41031.660000000003</v>
      </c>
      <c r="N12" s="4">
        <f t="shared" si="3"/>
        <v>35880</v>
      </c>
      <c r="O12" s="6"/>
      <c r="P12" s="6"/>
    </row>
    <row r="13" spans="1:16" x14ac:dyDescent="0.25">
      <c r="A13" t="s">
        <v>8</v>
      </c>
      <c r="B13" s="3">
        <v>19.670000000000002</v>
      </c>
      <c r="C13" s="3">
        <v>20</v>
      </c>
      <c r="D13" s="4">
        <f t="shared" si="0"/>
        <v>0.32999999999999829</v>
      </c>
      <c r="E13" s="18">
        <f t="shared" si="1"/>
        <v>1.6499999999999914E-2</v>
      </c>
      <c r="G13" s="5">
        <v>1</v>
      </c>
      <c r="I13" s="6"/>
      <c r="J13" s="4">
        <v>48596.55</v>
      </c>
      <c r="K13" s="4">
        <f t="shared" si="2"/>
        <v>41600</v>
      </c>
      <c r="L13" s="4">
        <f>146.5*B13</f>
        <v>2881.6550000000002</v>
      </c>
      <c r="M13" s="4">
        <f t="shared" si="3"/>
        <v>48596.55</v>
      </c>
      <c r="N13" s="4">
        <f t="shared" si="3"/>
        <v>41600</v>
      </c>
      <c r="O13" s="6"/>
      <c r="P13" s="6"/>
    </row>
    <row r="14" spans="1:16" x14ac:dyDescent="0.25">
      <c r="A14" s="7" t="s">
        <v>29</v>
      </c>
      <c r="B14" s="3">
        <v>10.5</v>
      </c>
      <c r="C14" s="3">
        <v>11.25</v>
      </c>
      <c r="D14" s="4">
        <f t="shared" si="0"/>
        <v>0.75</v>
      </c>
      <c r="E14" s="18">
        <f t="shared" si="1"/>
        <v>6.6666666666666666E-2</v>
      </c>
      <c r="H14" s="5">
        <v>1</v>
      </c>
      <c r="I14" s="6"/>
      <c r="J14" s="4">
        <v>21643</v>
      </c>
      <c r="K14" s="19">
        <v>12058.5</v>
      </c>
      <c r="L14" s="4">
        <f>36*B14</f>
        <v>378</v>
      </c>
      <c r="M14" s="4">
        <f t="shared" si="3"/>
        <v>21643</v>
      </c>
      <c r="N14" s="4">
        <f t="shared" si="3"/>
        <v>12058.5</v>
      </c>
      <c r="O14" s="6"/>
      <c r="P14" s="6"/>
    </row>
    <row r="15" spans="1:16" x14ac:dyDescent="0.25">
      <c r="A15" t="s">
        <v>9</v>
      </c>
      <c r="B15" s="3">
        <v>18.54</v>
      </c>
      <c r="C15" s="3">
        <v>20</v>
      </c>
      <c r="D15" s="4">
        <f t="shared" si="0"/>
        <v>1.4600000000000009</v>
      </c>
      <c r="E15" s="18">
        <f t="shared" si="1"/>
        <v>7.3000000000000037E-2</v>
      </c>
      <c r="H15" s="5">
        <v>1</v>
      </c>
      <c r="I15" s="6"/>
      <c r="J15" s="4">
        <v>44171.55</v>
      </c>
      <c r="K15" s="4">
        <f t="shared" si="2"/>
        <v>41600</v>
      </c>
      <c r="L15" s="4">
        <f>47*B15</f>
        <v>871.38</v>
      </c>
      <c r="M15" s="4">
        <f t="shared" si="3"/>
        <v>44171.55</v>
      </c>
      <c r="N15" s="4">
        <f t="shared" si="3"/>
        <v>41600</v>
      </c>
      <c r="O15" s="6"/>
      <c r="P15" s="6"/>
    </row>
    <row r="16" spans="1:16" x14ac:dyDescent="0.25">
      <c r="A16" t="s">
        <v>9</v>
      </c>
      <c r="B16" s="3">
        <v>16</v>
      </c>
      <c r="C16" s="3">
        <v>18</v>
      </c>
      <c r="D16" s="4">
        <f t="shared" si="0"/>
        <v>2</v>
      </c>
      <c r="E16" s="18">
        <f t="shared" si="1"/>
        <v>0.1111111111111111</v>
      </c>
      <c r="H16" s="5">
        <v>1</v>
      </c>
      <c r="I16" s="6"/>
      <c r="J16" s="4">
        <v>37808</v>
      </c>
      <c r="K16" s="4">
        <f t="shared" si="2"/>
        <v>37440</v>
      </c>
      <c r="L16" s="4">
        <f>34*B16</f>
        <v>544</v>
      </c>
      <c r="M16" s="4">
        <f t="shared" si="3"/>
        <v>37808</v>
      </c>
      <c r="N16" s="4">
        <f t="shared" si="3"/>
        <v>37440</v>
      </c>
      <c r="O16" s="6"/>
      <c r="P16" s="6"/>
    </row>
    <row r="17" spans="1:16" x14ac:dyDescent="0.25">
      <c r="A17" t="s">
        <v>10</v>
      </c>
      <c r="B17" s="3">
        <v>10.5</v>
      </c>
      <c r="C17" s="3">
        <v>11.25</v>
      </c>
      <c r="D17" s="4">
        <f t="shared" si="0"/>
        <v>0.75</v>
      </c>
      <c r="E17" s="18">
        <f t="shared" si="1"/>
        <v>6.6666666666666666E-2</v>
      </c>
      <c r="I17" s="31">
        <v>1</v>
      </c>
      <c r="J17" s="4">
        <v>24412.35</v>
      </c>
      <c r="K17" s="4">
        <f t="shared" si="2"/>
        <v>23400</v>
      </c>
      <c r="L17" s="4">
        <f>143.5*B17</f>
        <v>1506.75</v>
      </c>
      <c r="M17" s="3">
        <v>0</v>
      </c>
      <c r="N17" s="3">
        <v>0</v>
      </c>
      <c r="O17" s="33">
        <f>J17</f>
        <v>24412.35</v>
      </c>
      <c r="P17" s="33">
        <f>K17</f>
        <v>23400</v>
      </c>
    </row>
    <row r="18" spans="1:16" x14ac:dyDescent="0.25">
      <c r="A18" t="s">
        <v>11</v>
      </c>
      <c r="B18" s="3">
        <v>15.39</v>
      </c>
      <c r="C18" s="3">
        <v>17</v>
      </c>
      <c r="D18" s="4">
        <f t="shared" si="0"/>
        <v>1.6099999999999994</v>
      </c>
      <c r="E18" s="18">
        <f t="shared" si="1"/>
        <v>9.470588235294114E-2</v>
      </c>
      <c r="H18" s="5">
        <v>1</v>
      </c>
      <c r="I18" s="6"/>
      <c r="J18" s="4">
        <v>37543.919999999998</v>
      </c>
      <c r="K18" s="4">
        <f t="shared" si="2"/>
        <v>35360</v>
      </c>
      <c r="L18" s="4">
        <f>85*B18</f>
        <v>1308.1500000000001</v>
      </c>
      <c r="M18" s="4">
        <f t="shared" ref="M18:N21" si="4">J18</f>
        <v>37543.919999999998</v>
      </c>
      <c r="N18" s="4">
        <f t="shared" si="4"/>
        <v>35360</v>
      </c>
      <c r="O18" s="6"/>
      <c r="P18" s="6"/>
    </row>
    <row r="19" spans="1:16" x14ac:dyDescent="0.25">
      <c r="A19" t="s">
        <v>12</v>
      </c>
      <c r="B19" s="3">
        <v>12</v>
      </c>
      <c r="C19" s="3">
        <v>13</v>
      </c>
      <c r="D19" s="4">
        <f t="shared" si="0"/>
        <v>1</v>
      </c>
      <c r="E19" s="18">
        <f t="shared" si="1"/>
        <v>7.6923076923076927E-2</v>
      </c>
      <c r="G19" s="5">
        <v>1</v>
      </c>
      <c r="H19" s="5"/>
      <c r="I19" s="6"/>
      <c r="J19" s="4">
        <v>31841.72</v>
      </c>
      <c r="K19" s="4">
        <f t="shared" si="2"/>
        <v>27040</v>
      </c>
      <c r="L19" s="4">
        <f>217*B19</f>
        <v>2604</v>
      </c>
      <c r="M19" s="4">
        <f t="shared" si="4"/>
        <v>31841.72</v>
      </c>
      <c r="N19" s="4">
        <f t="shared" si="4"/>
        <v>27040</v>
      </c>
      <c r="O19" s="6"/>
      <c r="P19" s="6"/>
    </row>
    <row r="20" spans="1:16" x14ac:dyDescent="0.25">
      <c r="A20" s="7" t="s">
        <v>12</v>
      </c>
      <c r="B20" s="3">
        <v>10.5</v>
      </c>
      <c r="C20" s="3">
        <v>0</v>
      </c>
      <c r="D20" s="4">
        <v>0</v>
      </c>
      <c r="E20" s="18" t="e">
        <f t="shared" si="1"/>
        <v>#DIV/0!</v>
      </c>
      <c r="G20" s="5">
        <v>1</v>
      </c>
      <c r="I20" s="31"/>
      <c r="J20" s="4">
        <v>18253.5</v>
      </c>
      <c r="K20" s="4">
        <f t="shared" si="2"/>
        <v>0</v>
      </c>
      <c r="L20" s="4">
        <f>100*B20</f>
        <v>1050</v>
      </c>
      <c r="M20" s="4">
        <f t="shared" si="4"/>
        <v>18253.5</v>
      </c>
      <c r="N20" s="4">
        <f t="shared" si="4"/>
        <v>0</v>
      </c>
      <c r="O20" s="6"/>
      <c r="P20" s="6"/>
    </row>
    <row r="21" spans="1:16" x14ac:dyDescent="0.25">
      <c r="A21" s="7" t="s">
        <v>12</v>
      </c>
      <c r="B21" s="3">
        <v>12.88</v>
      </c>
      <c r="C21" s="3">
        <v>0</v>
      </c>
      <c r="D21" s="4">
        <v>0</v>
      </c>
      <c r="E21" s="18" t="e">
        <f t="shared" si="1"/>
        <v>#DIV/0!</v>
      </c>
      <c r="G21" s="5">
        <v>1</v>
      </c>
      <c r="I21" s="31"/>
      <c r="J21" s="4">
        <v>22714.16</v>
      </c>
      <c r="K21" s="4">
        <f t="shared" ref="K21" si="5">C21*2080</f>
        <v>0</v>
      </c>
      <c r="L21" s="4">
        <f>132*B21</f>
        <v>1700.16</v>
      </c>
      <c r="M21" s="4">
        <f t="shared" si="4"/>
        <v>22714.16</v>
      </c>
      <c r="N21" s="4">
        <f t="shared" si="4"/>
        <v>0</v>
      </c>
      <c r="O21" s="6"/>
      <c r="P21" s="6"/>
    </row>
    <row r="22" spans="1:16" x14ac:dyDescent="0.25">
      <c r="A22" t="s">
        <v>13</v>
      </c>
      <c r="B22" s="3">
        <v>13.5</v>
      </c>
      <c r="C22" s="3">
        <v>14.25</v>
      </c>
      <c r="D22" s="4">
        <f t="shared" si="0"/>
        <v>0.75</v>
      </c>
      <c r="E22" s="18">
        <f t="shared" si="1"/>
        <v>5.2631578947368418E-2</v>
      </c>
      <c r="I22" s="31">
        <v>1</v>
      </c>
      <c r="J22" s="4">
        <v>34705.129999999997</v>
      </c>
      <c r="K22" s="4">
        <f t="shared" si="2"/>
        <v>29640</v>
      </c>
      <c r="L22" s="4">
        <f>180.5*B22</f>
        <v>2436.75</v>
      </c>
      <c r="O22" s="33">
        <f>J22</f>
        <v>34705.129999999997</v>
      </c>
      <c r="P22" s="33">
        <f>K22</f>
        <v>29640</v>
      </c>
    </row>
    <row r="23" spans="1:16" x14ac:dyDescent="0.25">
      <c r="A23" t="s">
        <v>12</v>
      </c>
      <c r="B23" s="3">
        <v>10.5</v>
      </c>
      <c r="C23" s="3">
        <v>12</v>
      </c>
      <c r="D23" s="4">
        <f t="shared" si="0"/>
        <v>1.5</v>
      </c>
      <c r="E23" s="18">
        <f t="shared" si="1"/>
        <v>0.125</v>
      </c>
      <c r="G23" s="5">
        <v>1</v>
      </c>
      <c r="I23" s="31"/>
      <c r="J23" s="4">
        <v>9545.64</v>
      </c>
      <c r="K23" s="4">
        <f t="shared" si="2"/>
        <v>24960</v>
      </c>
      <c r="L23" s="4">
        <f>45*B23</f>
        <v>472.5</v>
      </c>
      <c r="M23" s="4">
        <f>J23</f>
        <v>9545.64</v>
      </c>
      <c r="N23" s="4">
        <f>K23</f>
        <v>24960</v>
      </c>
      <c r="O23" s="6"/>
      <c r="P23" s="6"/>
    </row>
    <row r="24" spans="1:16" x14ac:dyDescent="0.25">
      <c r="A24" s="7" t="s">
        <v>12</v>
      </c>
      <c r="B24" s="3">
        <v>10.5</v>
      </c>
      <c r="C24" s="3">
        <v>0</v>
      </c>
      <c r="D24" s="4">
        <v>0</v>
      </c>
      <c r="E24" s="18" t="e">
        <f t="shared" si="1"/>
        <v>#DIV/0!</v>
      </c>
      <c r="G24" s="5">
        <v>1</v>
      </c>
      <c r="I24" s="6"/>
      <c r="J24" s="4">
        <v>9903.02</v>
      </c>
      <c r="K24" s="4">
        <f t="shared" si="2"/>
        <v>0</v>
      </c>
      <c r="L24" s="4">
        <f>41*B25</f>
        <v>430.5</v>
      </c>
      <c r="M24" s="4">
        <f>J24</f>
        <v>9903.02</v>
      </c>
      <c r="N24" s="4">
        <f>K24</f>
        <v>0</v>
      </c>
      <c r="O24" s="6"/>
      <c r="P24" s="6"/>
    </row>
    <row r="25" spans="1:16" x14ac:dyDescent="0.25">
      <c r="A25" t="s">
        <v>14</v>
      </c>
      <c r="B25" s="3">
        <v>10.5</v>
      </c>
      <c r="C25" s="3">
        <v>11.25</v>
      </c>
      <c r="D25" s="4">
        <f t="shared" si="0"/>
        <v>0.75</v>
      </c>
      <c r="E25" s="18">
        <f t="shared" si="1"/>
        <v>6.6666666666666666E-2</v>
      </c>
      <c r="F25" s="5"/>
      <c r="I25" s="31">
        <v>1</v>
      </c>
      <c r="J25" s="4">
        <v>9785.8799999999992</v>
      </c>
      <c r="K25" s="4">
        <f t="shared" si="2"/>
        <v>23400</v>
      </c>
      <c r="L25" s="4">
        <f>60.5*B25</f>
        <v>635.25</v>
      </c>
      <c r="O25" s="33">
        <f>J25</f>
        <v>9785.8799999999992</v>
      </c>
      <c r="P25" s="33">
        <f>K25</f>
        <v>23400</v>
      </c>
    </row>
    <row r="26" spans="1:16" x14ac:dyDescent="0.25">
      <c r="A26" t="s">
        <v>12</v>
      </c>
      <c r="B26" s="3">
        <v>10.5</v>
      </c>
      <c r="C26" s="3">
        <v>12</v>
      </c>
      <c r="D26" s="4">
        <f t="shared" si="0"/>
        <v>1.5</v>
      </c>
      <c r="E26" s="18">
        <f t="shared" si="1"/>
        <v>0.125</v>
      </c>
      <c r="G26" s="5">
        <v>1</v>
      </c>
      <c r="I26" s="6"/>
      <c r="J26" s="4">
        <v>8552.01</v>
      </c>
      <c r="K26" s="4">
        <f t="shared" si="2"/>
        <v>24960</v>
      </c>
      <c r="L26" s="4">
        <f>41.5*B26</f>
        <v>435.75</v>
      </c>
      <c r="M26" s="4">
        <f t="shared" ref="M26:N28" si="6">J26</f>
        <v>8552.01</v>
      </c>
      <c r="N26" s="4">
        <f t="shared" si="6"/>
        <v>24960</v>
      </c>
      <c r="O26" s="6"/>
      <c r="P26" s="6"/>
    </row>
    <row r="27" spans="1:16" x14ac:dyDescent="0.25">
      <c r="A27" s="20" t="s">
        <v>9</v>
      </c>
      <c r="B27" s="3">
        <v>0</v>
      </c>
      <c r="C27" s="3">
        <v>16</v>
      </c>
      <c r="D27" s="4">
        <f t="shared" si="0"/>
        <v>16</v>
      </c>
      <c r="E27" s="18">
        <f t="shared" si="1"/>
        <v>1</v>
      </c>
      <c r="H27" s="5">
        <v>1</v>
      </c>
      <c r="I27" s="6"/>
      <c r="J27" s="4">
        <f t="shared" ref="J27:J32" si="7">B27*2080</f>
        <v>0</v>
      </c>
      <c r="K27" s="4">
        <f t="shared" si="2"/>
        <v>33280</v>
      </c>
      <c r="L27" s="4">
        <v>0</v>
      </c>
      <c r="M27" s="4">
        <f t="shared" si="6"/>
        <v>0</v>
      </c>
      <c r="N27" s="4">
        <f t="shared" si="6"/>
        <v>33280</v>
      </c>
      <c r="O27" s="6"/>
      <c r="P27" s="6"/>
    </row>
    <row r="28" spans="1:16" x14ac:dyDescent="0.25">
      <c r="A28" s="20" t="s">
        <v>15</v>
      </c>
      <c r="B28" s="3">
        <v>0</v>
      </c>
      <c r="C28" s="3">
        <v>10</v>
      </c>
      <c r="D28" s="4">
        <f t="shared" si="0"/>
        <v>10</v>
      </c>
      <c r="E28" s="18">
        <f t="shared" si="1"/>
        <v>1</v>
      </c>
      <c r="G28" s="5">
        <v>1</v>
      </c>
      <c r="I28" s="6"/>
      <c r="J28" s="4">
        <f t="shared" si="7"/>
        <v>0</v>
      </c>
      <c r="K28" s="4">
        <f t="shared" si="2"/>
        <v>20800</v>
      </c>
      <c r="L28" s="4">
        <v>0</v>
      </c>
      <c r="M28" s="4">
        <f t="shared" si="6"/>
        <v>0</v>
      </c>
      <c r="N28" s="4">
        <f t="shared" si="6"/>
        <v>20800</v>
      </c>
      <c r="O28" s="6"/>
      <c r="P28" s="6"/>
    </row>
    <row r="29" spans="1:16" x14ac:dyDescent="0.25">
      <c r="A29" t="s">
        <v>15</v>
      </c>
      <c r="B29" s="3">
        <v>15.45</v>
      </c>
      <c r="C29" s="3">
        <v>16</v>
      </c>
      <c r="D29" s="4">
        <f t="shared" si="0"/>
        <v>0.55000000000000071</v>
      </c>
      <c r="E29" s="18">
        <f t="shared" si="1"/>
        <v>3.4375000000000044E-2</v>
      </c>
      <c r="G29" s="5">
        <v>0.62</v>
      </c>
      <c r="H29" s="5">
        <v>0.26</v>
      </c>
      <c r="I29" s="31">
        <v>0.12</v>
      </c>
      <c r="J29" s="4">
        <v>34047.96</v>
      </c>
      <c r="K29" s="4">
        <f t="shared" si="2"/>
        <v>33280</v>
      </c>
      <c r="L29" s="4">
        <f>2.5*B29</f>
        <v>38.625</v>
      </c>
      <c r="M29" s="4">
        <f>J29*0.88</f>
        <v>29962.2048</v>
      </c>
      <c r="N29" s="4">
        <f>K29*0.88</f>
        <v>29286.400000000001</v>
      </c>
      <c r="O29" s="33">
        <f>J29*0.12</f>
        <v>4085.7551999999996</v>
      </c>
      <c r="P29" s="33">
        <f>K29*0.12</f>
        <v>3993.6</v>
      </c>
    </row>
    <row r="30" spans="1:16" x14ac:dyDescent="0.25">
      <c r="A30" t="s">
        <v>15</v>
      </c>
      <c r="B30" s="3">
        <v>15.45</v>
      </c>
      <c r="C30" s="3">
        <v>16</v>
      </c>
      <c r="D30" s="4">
        <f t="shared" si="0"/>
        <v>0.55000000000000071</v>
      </c>
      <c r="E30" s="18">
        <f t="shared" si="1"/>
        <v>3.4375000000000044E-2</v>
      </c>
      <c r="G30" s="5">
        <v>1</v>
      </c>
      <c r="I30" s="6"/>
      <c r="J30" s="4">
        <v>34001.61</v>
      </c>
      <c r="K30" s="4">
        <f t="shared" si="2"/>
        <v>33280</v>
      </c>
      <c r="L30" s="4">
        <f>0.5*B30</f>
        <v>7.7249999999999996</v>
      </c>
      <c r="M30" s="4">
        <f t="shared" ref="M30:M38" si="8">J30</f>
        <v>34001.61</v>
      </c>
      <c r="N30" s="4">
        <f t="shared" ref="N30:N38" si="9">K30</f>
        <v>33280</v>
      </c>
      <c r="O30" s="6"/>
      <c r="P30" s="6"/>
    </row>
    <row r="31" spans="1:16" x14ac:dyDescent="0.25">
      <c r="A31" s="7" t="s">
        <v>76</v>
      </c>
      <c r="B31" s="3">
        <v>18.28</v>
      </c>
      <c r="C31" s="3">
        <v>0</v>
      </c>
      <c r="D31" s="4">
        <v>0</v>
      </c>
      <c r="E31" s="18" t="e">
        <f t="shared" si="1"/>
        <v>#DIV/0!</v>
      </c>
      <c r="H31" s="5">
        <v>1</v>
      </c>
      <c r="I31" s="6"/>
      <c r="J31" s="4">
        <v>12869.12</v>
      </c>
      <c r="K31" s="4">
        <f>C31*1040</f>
        <v>0</v>
      </c>
      <c r="L31" s="4">
        <v>0</v>
      </c>
      <c r="M31" s="4">
        <f t="shared" si="8"/>
        <v>12869.12</v>
      </c>
      <c r="N31" s="4">
        <f t="shared" si="9"/>
        <v>0</v>
      </c>
      <c r="O31" s="6"/>
      <c r="P31" s="6"/>
    </row>
    <row r="32" spans="1:16" x14ac:dyDescent="0.25">
      <c r="A32" s="20" t="s">
        <v>12</v>
      </c>
      <c r="B32" s="3">
        <v>0</v>
      </c>
      <c r="C32" s="3">
        <v>10</v>
      </c>
      <c r="D32" s="4">
        <f t="shared" si="0"/>
        <v>10</v>
      </c>
      <c r="E32" s="18">
        <f t="shared" si="1"/>
        <v>1</v>
      </c>
      <c r="G32" s="5">
        <v>1</v>
      </c>
      <c r="I32" s="6"/>
      <c r="J32" s="4">
        <f t="shared" si="7"/>
        <v>0</v>
      </c>
      <c r="K32" s="4">
        <f t="shared" si="2"/>
        <v>20800</v>
      </c>
      <c r="L32" s="4">
        <v>0</v>
      </c>
      <c r="M32" s="4">
        <f t="shared" si="8"/>
        <v>0</v>
      </c>
      <c r="N32" s="4">
        <f t="shared" si="9"/>
        <v>20800</v>
      </c>
      <c r="O32" s="6"/>
      <c r="P32" s="6"/>
    </row>
    <row r="33" spans="1:16" x14ac:dyDescent="0.25">
      <c r="A33" t="s">
        <v>15</v>
      </c>
      <c r="B33" s="3">
        <v>15.25</v>
      </c>
      <c r="C33" s="3">
        <v>16</v>
      </c>
      <c r="D33" s="4">
        <f t="shared" si="0"/>
        <v>0.75</v>
      </c>
      <c r="E33" s="18">
        <f t="shared" si="1"/>
        <v>4.6875E-2</v>
      </c>
      <c r="G33" s="5">
        <v>1</v>
      </c>
      <c r="I33" s="6"/>
      <c r="J33" s="4">
        <v>33572.94</v>
      </c>
      <c r="K33" s="4">
        <f t="shared" ref="K33" si="10">C33*2080</f>
        <v>33280</v>
      </c>
      <c r="L33" s="4">
        <f>1*B33</f>
        <v>15.25</v>
      </c>
      <c r="M33" s="4">
        <f t="shared" si="8"/>
        <v>33572.94</v>
      </c>
      <c r="N33" s="4">
        <f t="shared" si="9"/>
        <v>33280</v>
      </c>
      <c r="O33" s="6"/>
      <c r="P33" s="6"/>
    </row>
    <row r="34" spans="1:16" x14ac:dyDescent="0.25">
      <c r="A34" t="s">
        <v>15</v>
      </c>
      <c r="B34" s="3">
        <v>13</v>
      </c>
      <c r="C34" s="3">
        <v>13.5</v>
      </c>
      <c r="D34" s="4">
        <f t="shared" si="0"/>
        <v>0.5</v>
      </c>
      <c r="E34" s="18">
        <f t="shared" si="1"/>
        <v>3.7037037037037035E-2</v>
      </c>
      <c r="G34" s="5">
        <v>1</v>
      </c>
      <c r="I34" s="6"/>
      <c r="J34" s="4">
        <v>28609.75</v>
      </c>
      <c r="K34" s="4">
        <f t="shared" ref="K34:K36" si="11">C34*2080</f>
        <v>28080</v>
      </c>
      <c r="L34" s="4">
        <f>0.5*B34</f>
        <v>6.5</v>
      </c>
      <c r="M34" s="4">
        <f t="shared" si="8"/>
        <v>28609.75</v>
      </c>
      <c r="N34" s="4">
        <f t="shared" si="9"/>
        <v>28080</v>
      </c>
      <c r="O34" s="6"/>
      <c r="P34" s="6"/>
    </row>
    <row r="35" spans="1:16" x14ac:dyDescent="0.25">
      <c r="A35" s="7" t="s">
        <v>31</v>
      </c>
      <c r="B35" s="3">
        <v>18.02</v>
      </c>
      <c r="C35" s="3">
        <v>0</v>
      </c>
      <c r="D35" s="4">
        <v>0</v>
      </c>
      <c r="E35" s="18" t="e">
        <f t="shared" si="1"/>
        <v>#DIV/0!</v>
      </c>
      <c r="G35" s="5">
        <v>1</v>
      </c>
      <c r="I35" s="6"/>
      <c r="J35" s="4">
        <v>12960.89</v>
      </c>
      <c r="K35" s="4">
        <f t="shared" si="11"/>
        <v>0</v>
      </c>
      <c r="L35" s="4">
        <f>11.5*B35</f>
        <v>207.23</v>
      </c>
      <c r="M35" s="4">
        <f t="shared" si="8"/>
        <v>12960.89</v>
      </c>
      <c r="N35" s="4">
        <f t="shared" si="9"/>
        <v>0</v>
      </c>
      <c r="O35" s="6"/>
      <c r="P35" s="6"/>
    </row>
    <row r="36" spans="1:16" x14ac:dyDescent="0.25">
      <c r="A36" s="7" t="s">
        <v>56</v>
      </c>
      <c r="B36" s="3"/>
      <c r="C36" s="3">
        <v>0</v>
      </c>
      <c r="D36" s="4"/>
      <c r="E36" s="18" t="e">
        <f t="shared" si="1"/>
        <v>#DIV/0!</v>
      </c>
      <c r="G36" s="5">
        <v>1</v>
      </c>
      <c r="I36" s="6"/>
      <c r="J36" s="4">
        <v>9951.01</v>
      </c>
      <c r="K36" s="4">
        <f t="shared" si="11"/>
        <v>0</v>
      </c>
      <c r="L36" s="4">
        <f>11.5*B36</f>
        <v>0</v>
      </c>
      <c r="M36" s="4">
        <f t="shared" si="8"/>
        <v>9951.01</v>
      </c>
      <c r="N36" s="4">
        <f t="shared" si="9"/>
        <v>0</v>
      </c>
      <c r="O36" s="6"/>
      <c r="P36" s="6"/>
    </row>
    <row r="37" spans="1:16" x14ac:dyDescent="0.25">
      <c r="A37" s="7" t="s">
        <v>58</v>
      </c>
      <c r="B37" s="3">
        <v>13</v>
      </c>
      <c r="C37" s="3">
        <v>13</v>
      </c>
      <c r="D37" s="4">
        <f t="shared" si="0"/>
        <v>0</v>
      </c>
      <c r="E37" s="18">
        <f t="shared" si="1"/>
        <v>0</v>
      </c>
      <c r="G37" s="5">
        <v>1</v>
      </c>
      <c r="I37" s="6"/>
      <c r="J37" s="4">
        <v>10745.75</v>
      </c>
      <c r="K37" s="4">
        <v>11969.36</v>
      </c>
      <c r="L37" s="4">
        <f>43*B37</f>
        <v>559</v>
      </c>
      <c r="M37" s="4">
        <f t="shared" si="8"/>
        <v>10745.75</v>
      </c>
      <c r="N37" s="4">
        <f t="shared" si="9"/>
        <v>11969.36</v>
      </c>
      <c r="O37" s="6"/>
      <c r="P37" s="6"/>
    </row>
    <row r="38" spans="1:16" x14ac:dyDescent="0.25">
      <c r="A38" s="7" t="s">
        <v>57</v>
      </c>
      <c r="B38" s="3">
        <v>14.42</v>
      </c>
      <c r="C38" s="3">
        <v>14.42</v>
      </c>
      <c r="D38" s="4">
        <f t="shared" si="0"/>
        <v>0</v>
      </c>
      <c r="E38" s="18">
        <f t="shared" si="1"/>
        <v>0</v>
      </c>
      <c r="G38" s="5">
        <v>1</v>
      </c>
      <c r="I38" s="6"/>
      <c r="J38" s="4">
        <v>31983.56</v>
      </c>
      <c r="K38" s="4">
        <v>10598.7</v>
      </c>
      <c r="L38" s="4">
        <f>12*B38</f>
        <v>173.04</v>
      </c>
      <c r="M38" s="4">
        <f t="shared" si="8"/>
        <v>31983.56</v>
      </c>
      <c r="N38" s="4">
        <f t="shared" si="9"/>
        <v>10598.7</v>
      </c>
      <c r="O38" s="6"/>
      <c r="P38" s="6"/>
    </row>
    <row r="39" spans="1:16" x14ac:dyDescent="0.25">
      <c r="A39" t="s">
        <v>72</v>
      </c>
      <c r="B39" s="3">
        <v>1800</v>
      </c>
      <c r="C39" s="3">
        <v>1800</v>
      </c>
      <c r="D39" s="4"/>
      <c r="E39" s="18">
        <f t="shared" si="1"/>
        <v>0</v>
      </c>
      <c r="G39" s="18">
        <v>0.75</v>
      </c>
      <c r="I39" s="32">
        <v>0.25</v>
      </c>
      <c r="J39" s="4">
        <v>1800</v>
      </c>
      <c r="K39" s="4">
        <f t="shared" ref="K39:K45" si="12">C39</f>
        <v>1800</v>
      </c>
      <c r="L39" s="4">
        <v>0</v>
      </c>
      <c r="M39" s="4">
        <f t="shared" ref="M39:M45" si="13">B39*0.75</f>
        <v>1350</v>
      </c>
      <c r="N39" s="4">
        <f t="shared" ref="N39:N45" si="14">C39*0.75</f>
        <v>1350</v>
      </c>
      <c r="O39" s="33">
        <f>B39*0.25</f>
        <v>450</v>
      </c>
      <c r="P39" s="33">
        <f t="shared" ref="P39:P45" si="15">C39*0.25</f>
        <v>450</v>
      </c>
    </row>
    <row r="40" spans="1:16" x14ac:dyDescent="0.25">
      <c r="A40" t="s">
        <v>72</v>
      </c>
      <c r="B40" s="3">
        <v>1800</v>
      </c>
      <c r="C40" s="3">
        <v>1800</v>
      </c>
      <c r="D40" s="4"/>
      <c r="E40" s="18">
        <f t="shared" si="1"/>
        <v>0</v>
      </c>
      <c r="G40" s="18">
        <v>0.75</v>
      </c>
      <c r="I40" s="32">
        <v>0.25</v>
      </c>
      <c r="J40" s="4">
        <v>1800</v>
      </c>
      <c r="K40" s="4">
        <f t="shared" si="12"/>
        <v>1800</v>
      </c>
      <c r="L40" s="4">
        <v>0</v>
      </c>
      <c r="M40" s="4">
        <f t="shared" si="13"/>
        <v>1350</v>
      </c>
      <c r="N40" s="4">
        <f t="shared" si="14"/>
        <v>1350</v>
      </c>
      <c r="O40" s="33">
        <f t="shared" ref="O40:O45" si="16">B40*0.25</f>
        <v>450</v>
      </c>
      <c r="P40" s="33">
        <f t="shared" si="15"/>
        <v>450</v>
      </c>
    </row>
    <row r="41" spans="1:16" x14ac:dyDescent="0.25">
      <c r="A41" t="s">
        <v>73</v>
      </c>
      <c r="B41" s="3">
        <v>1800</v>
      </c>
      <c r="C41" s="3">
        <v>1800</v>
      </c>
      <c r="D41" s="4"/>
      <c r="E41" s="18">
        <f t="shared" si="1"/>
        <v>0</v>
      </c>
      <c r="G41" s="18">
        <v>0.75</v>
      </c>
      <c r="I41" s="32">
        <v>0.25</v>
      </c>
      <c r="J41" s="4">
        <v>1800</v>
      </c>
      <c r="K41" s="4">
        <f t="shared" si="12"/>
        <v>1800</v>
      </c>
      <c r="L41" s="4">
        <v>0</v>
      </c>
      <c r="M41" s="4">
        <f t="shared" si="13"/>
        <v>1350</v>
      </c>
      <c r="N41" s="4">
        <f t="shared" si="14"/>
        <v>1350</v>
      </c>
      <c r="O41" s="33">
        <f t="shared" si="16"/>
        <v>450</v>
      </c>
      <c r="P41" s="33">
        <f t="shared" si="15"/>
        <v>450</v>
      </c>
    </row>
    <row r="42" spans="1:16" x14ac:dyDescent="0.25">
      <c r="A42" t="s">
        <v>73</v>
      </c>
      <c r="B42" s="3">
        <v>1800</v>
      </c>
      <c r="C42" s="3">
        <v>1800</v>
      </c>
      <c r="D42" s="4"/>
      <c r="E42" s="18">
        <f t="shared" si="1"/>
        <v>0</v>
      </c>
      <c r="G42" s="18">
        <v>0.75</v>
      </c>
      <c r="I42" s="32">
        <v>0.25</v>
      </c>
      <c r="J42" s="4">
        <v>1800</v>
      </c>
      <c r="K42" s="4">
        <f t="shared" si="12"/>
        <v>1800</v>
      </c>
      <c r="L42" s="4">
        <v>0</v>
      </c>
      <c r="M42" s="4">
        <f t="shared" si="13"/>
        <v>1350</v>
      </c>
      <c r="N42" s="4">
        <f t="shared" si="14"/>
        <v>1350</v>
      </c>
      <c r="O42" s="33">
        <f t="shared" si="16"/>
        <v>450</v>
      </c>
      <c r="P42" s="33">
        <f t="shared" si="15"/>
        <v>450</v>
      </c>
    </row>
    <row r="43" spans="1:16" x14ac:dyDescent="0.25">
      <c r="A43" t="s">
        <v>73</v>
      </c>
      <c r="B43" s="3">
        <v>750</v>
      </c>
      <c r="C43" s="3">
        <v>1800</v>
      </c>
      <c r="D43" s="4"/>
      <c r="E43" s="18">
        <f t="shared" si="1"/>
        <v>0.58333333333333337</v>
      </c>
      <c r="G43" s="18">
        <v>0.75</v>
      </c>
      <c r="I43" s="32">
        <v>0.25</v>
      </c>
      <c r="J43" s="4">
        <v>750</v>
      </c>
      <c r="K43" s="4">
        <f t="shared" si="12"/>
        <v>1800</v>
      </c>
      <c r="L43" s="4">
        <v>0</v>
      </c>
      <c r="M43" s="4">
        <f t="shared" si="13"/>
        <v>562.5</v>
      </c>
      <c r="N43" s="4">
        <f t="shared" si="14"/>
        <v>1350</v>
      </c>
      <c r="O43" s="33">
        <f t="shared" si="16"/>
        <v>187.5</v>
      </c>
      <c r="P43" s="33">
        <f t="shared" si="15"/>
        <v>450</v>
      </c>
    </row>
    <row r="44" spans="1:16" x14ac:dyDescent="0.25">
      <c r="A44" s="7" t="s">
        <v>73</v>
      </c>
      <c r="B44" s="3">
        <v>1050</v>
      </c>
      <c r="C44" s="3">
        <v>0</v>
      </c>
      <c r="E44" s="18" t="e">
        <f t="shared" si="1"/>
        <v>#DIV/0!</v>
      </c>
      <c r="G44" s="18">
        <v>0.75</v>
      </c>
      <c r="I44" s="32">
        <v>0.25</v>
      </c>
      <c r="J44" s="4">
        <v>1050</v>
      </c>
      <c r="K44" s="4">
        <f t="shared" si="12"/>
        <v>0</v>
      </c>
      <c r="L44" s="4">
        <v>0</v>
      </c>
      <c r="M44" s="4">
        <f t="shared" si="13"/>
        <v>787.5</v>
      </c>
      <c r="N44" s="4">
        <f t="shared" si="14"/>
        <v>0</v>
      </c>
      <c r="O44" s="33">
        <f t="shared" si="16"/>
        <v>262.5</v>
      </c>
      <c r="P44" s="33">
        <f t="shared" si="15"/>
        <v>0</v>
      </c>
    </row>
    <row r="45" spans="1:16" x14ac:dyDescent="0.25">
      <c r="A45" t="s">
        <v>59</v>
      </c>
      <c r="B45" s="3">
        <v>22200</v>
      </c>
      <c r="C45" s="3">
        <v>22200</v>
      </c>
      <c r="E45" s="18">
        <f t="shared" si="1"/>
        <v>0</v>
      </c>
      <c r="G45" s="18">
        <v>0.75</v>
      </c>
      <c r="I45" s="32">
        <v>0.25</v>
      </c>
      <c r="J45" s="21">
        <f>B45</f>
        <v>22200</v>
      </c>
      <c r="K45" s="21">
        <f t="shared" si="12"/>
        <v>22200</v>
      </c>
      <c r="L45" s="21">
        <v>0</v>
      </c>
      <c r="M45" s="21">
        <f t="shared" si="13"/>
        <v>16650</v>
      </c>
      <c r="N45" s="21">
        <f t="shared" si="14"/>
        <v>16650</v>
      </c>
      <c r="O45" s="34">
        <f t="shared" si="16"/>
        <v>5550</v>
      </c>
      <c r="P45" s="34">
        <f t="shared" si="15"/>
        <v>5550</v>
      </c>
    </row>
    <row r="46" spans="1:16" x14ac:dyDescent="0.25">
      <c r="G46" s="18"/>
      <c r="H46" s="18"/>
      <c r="J46" s="4">
        <f t="shared" ref="J46:P46" si="17">SUM(J7:J45)</f>
        <v>984183.68</v>
      </c>
      <c r="K46" s="4">
        <f t="shared" si="17"/>
        <v>945633.75999999989</v>
      </c>
      <c r="L46" s="4">
        <f t="shared" si="17"/>
        <v>27370.035</v>
      </c>
      <c r="M46" s="4">
        <f t="shared" si="17"/>
        <v>811267.49450000015</v>
      </c>
      <c r="N46" s="4">
        <f t="shared" si="17"/>
        <v>772293.76</v>
      </c>
      <c r="O46" s="33">
        <f t="shared" si="17"/>
        <v>172916.18550000002</v>
      </c>
      <c r="P46" s="33">
        <f t="shared" si="17"/>
        <v>173340</v>
      </c>
    </row>
    <row r="47" spans="1:16" x14ac:dyDescent="0.25">
      <c r="O47" s="6"/>
      <c r="P47" s="6"/>
    </row>
    <row r="48" spans="1:16" x14ac:dyDescent="0.25">
      <c r="H48" s="17"/>
      <c r="I48" s="17" t="s">
        <v>52</v>
      </c>
      <c r="K48" s="4">
        <f>K46-J46</f>
        <v>-38549.920000000158</v>
      </c>
      <c r="M48" s="17"/>
      <c r="N48" s="4">
        <f>N46-M46</f>
        <v>-38973.734500000137</v>
      </c>
      <c r="O48" s="6"/>
      <c r="P48" s="33">
        <f>P46-O46</f>
        <v>423.81449999997858</v>
      </c>
    </row>
    <row r="49" spans="1:1" x14ac:dyDescent="0.25">
      <c r="A49" s="7" t="s">
        <v>60</v>
      </c>
    </row>
    <row r="50" spans="1:1" x14ac:dyDescent="0.25">
      <c r="A50" s="20" t="s">
        <v>61</v>
      </c>
    </row>
  </sheetData>
  <mergeCells count="4">
    <mergeCell ref="F5:G5"/>
    <mergeCell ref="F4:I4"/>
    <mergeCell ref="J4:K4"/>
    <mergeCell ref="F6:G6"/>
  </mergeCells>
  <pageMargins left="0.25" right="0.25" top="0.75" bottom="0.75" header="0.3" footer="0.3"/>
  <pageSetup scale="55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A3E77-2603-4BD8-B565-FAD9F98D782E}">
  <dimension ref="A1:Q30"/>
  <sheetViews>
    <sheetView workbookViewId="0"/>
  </sheetViews>
  <sheetFormatPr defaultRowHeight="15" x14ac:dyDescent="0.25"/>
  <cols>
    <col min="1" max="1" width="46" bestFit="1" customWidth="1"/>
    <col min="4" max="4" width="11.5703125" bestFit="1" customWidth="1"/>
    <col min="5" max="5" width="3.7109375" customWidth="1"/>
    <col min="8" max="8" width="11.5703125" bestFit="1" customWidth="1"/>
    <col min="10" max="10" width="28.7109375" bestFit="1" customWidth="1"/>
    <col min="13" max="13" width="10.5703125" bestFit="1" customWidth="1"/>
    <col min="14" max="14" width="3" customWidth="1"/>
    <col min="17" max="17" width="11.5703125" bestFit="1" customWidth="1"/>
  </cols>
  <sheetData>
    <row r="1" spans="1:17" x14ac:dyDescent="0.25">
      <c r="A1" t="s">
        <v>62</v>
      </c>
      <c r="B1" s="41" t="s">
        <v>45</v>
      </c>
      <c r="C1" s="41"/>
      <c r="D1" s="41"/>
      <c r="E1" s="41"/>
      <c r="F1" s="41"/>
      <c r="G1" s="41"/>
      <c r="H1" s="41"/>
      <c r="J1" s="41" t="s">
        <v>46</v>
      </c>
      <c r="K1" s="41"/>
      <c r="L1" s="41"/>
      <c r="M1" s="41"/>
      <c r="N1" s="41"/>
      <c r="O1" s="41"/>
      <c r="P1" s="41"/>
      <c r="Q1" s="41"/>
    </row>
    <row r="2" spans="1:17" x14ac:dyDescent="0.25">
      <c r="B2" s="40">
        <v>2020</v>
      </c>
      <c r="C2" s="40"/>
      <c r="D2" s="40"/>
      <c r="F2" s="40">
        <v>2021</v>
      </c>
      <c r="G2" s="40"/>
      <c r="H2" s="40"/>
      <c r="K2" s="40">
        <v>2020</v>
      </c>
      <c r="L2" s="40"/>
      <c r="M2" s="40"/>
      <c r="N2" s="40">
        <v>2021</v>
      </c>
      <c r="O2" s="40"/>
      <c r="P2" s="40"/>
      <c r="Q2" s="40"/>
    </row>
    <row r="3" spans="1:17" x14ac:dyDescent="0.25">
      <c r="A3" s="9" t="s">
        <v>0</v>
      </c>
      <c r="B3" s="9" t="s">
        <v>64</v>
      </c>
      <c r="C3" s="9" t="s">
        <v>63</v>
      </c>
      <c r="D3" s="9" t="s">
        <v>65</v>
      </c>
      <c r="F3" s="9" t="s">
        <v>64</v>
      </c>
      <c r="G3" s="9" t="s">
        <v>63</v>
      </c>
      <c r="H3" s="9" t="s">
        <v>65</v>
      </c>
      <c r="K3" s="9" t="s">
        <v>64</v>
      </c>
      <c r="L3" s="9" t="s">
        <v>63</v>
      </c>
      <c r="M3" s="9" t="s">
        <v>65</v>
      </c>
      <c r="O3" s="9" t="s">
        <v>64</v>
      </c>
      <c r="P3" s="9" t="s">
        <v>63</v>
      </c>
      <c r="Q3" s="9" t="s">
        <v>65</v>
      </c>
    </row>
    <row r="4" spans="1:17" x14ac:dyDescent="0.25">
      <c r="A4" t="s">
        <v>3</v>
      </c>
      <c r="B4">
        <v>16.989999999999998</v>
      </c>
      <c r="C4">
        <v>201.5</v>
      </c>
      <c r="D4" s="3">
        <f t="shared" ref="D4:D24" si="0">B4*C4</f>
        <v>3423.4849999999997</v>
      </c>
      <c r="F4">
        <v>22.59</v>
      </c>
      <c r="G4">
        <v>100</v>
      </c>
      <c r="H4" s="3">
        <f t="shared" ref="H4:H24" si="1">F4*G4</f>
        <v>2259</v>
      </c>
      <c r="J4" t="s">
        <v>5</v>
      </c>
      <c r="K4">
        <v>20.04</v>
      </c>
      <c r="L4">
        <v>123.5</v>
      </c>
      <c r="M4" s="3">
        <f>K4*L4</f>
        <v>2474.94</v>
      </c>
      <c r="O4">
        <v>21</v>
      </c>
      <c r="P4">
        <v>200</v>
      </c>
      <c r="Q4" s="3">
        <f>O4*P4</f>
        <v>4200</v>
      </c>
    </row>
    <row r="5" spans="1:17" x14ac:dyDescent="0.25">
      <c r="A5" t="s">
        <v>6</v>
      </c>
      <c r="B5">
        <v>25.33</v>
      </c>
      <c r="C5">
        <f>1.5*0.81</f>
        <v>1.2150000000000001</v>
      </c>
      <c r="D5" s="3">
        <f t="shared" si="0"/>
        <v>30.775950000000002</v>
      </c>
      <c r="F5">
        <v>25.75</v>
      </c>
      <c r="G5">
        <v>10</v>
      </c>
      <c r="H5" s="3">
        <f t="shared" si="1"/>
        <v>257.5</v>
      </c>
      <c r="J5" t="s">
        <v>10</v>
      </c>
      <c r="K5">
        <v>10.5</v>
      </c>
      <c r="L5">
        <v>143.5</v>
      </c>
      <c r="M5" s="3">
        <f>K5*L5</f>
        <v>1506.75</v>
      </c>
      <c r="O5">
        <v>11.25</v>
      </c>
      <c r="P5">
        <v>100</v>
      </c>
      <c r="Q5" s="3">
        <f>O5*P5</f>
        <v>1125</v>
      </c>
    </row>
    <row r="6" spans="1:17" x14ac:dyDescent="0.25">
      <c r="A6" t="s">
        <v>67</v>
      </c>
      <c r="B6">
        <v>15.7</v>
      </c>
      <c r="C6">
        <v>202</v>
      </c>
      <c r="D6" s="3">
        <f t="shared" si="0"/>
        <v>3171.3999999999996</v>
      </c>
      <c r="F6">
        <v>17.25</v>
      </c>
      <c r="G6">
        <v>100</v>
      </c>
      <c r="H6" s="3">
        <f t="shared" si="1"/>
        <v>1725</v>
      </c>
      <c r="J6" t="s">
        <v>13</v>
      </c>
      <c r="K6">
        <v>13.5</v>
      </c>
      <c r="L6">
        <v>180.5</v>
      </c>
      <c r="M6" s="3">
        <f>K6*L6</f>
        <v>2436.75</v>
      </c>
      <c r="O6">
        <v>14.25</v>
      </c>
      <c r="P6">
        <v>350</v>
      </c>
      <c r="Q6" s="3">
        <f>O6*P6</f>
        <v>4987.5</v>
      </c>
    </row>
    <row r="7" spans="1:17" x14ac:dyDescent="0.25">
      <c r="A7" t="s">
        <v>66</v>
      </c>
      <c r="B7">
        <v>19.670000000000002</v>
      </c>
      <c r="C7">
        <v>146.5</v>
      </c>
      <c r="D7" s="3">
        <f t="shared" si="0"/>
        <v>2881.6550000000002</v>
      </c>
      <c r="F7">
        <v>20</v>
      </c>
      <c r="H7" s="3">
        <f t="shared" si="1"/>
        <v>0</v>
      </c>
      <c r="J7" t="s">
        <v>14</v>
      </c>
      <c r="K7">
        <v>10.5</v>
      </c>
      <c r="L7">
        <v>60.5</v>
      </c>
      <c r="M7" s="3">
        <f>K7*L7</f>
        <v>635.25</v>
      </c>
      <c r="O7">
        <v>11.25</v>
      </c>
      <c r="P7">
        <v>75</v>
      </c>
      <c r="Q7" s="3">
        <f>O7*P7</f>
        <v>843.75</v>
      </c>
    </row>
    <row r="8" spans="1:17" x14ac:dyDescent="0.25">
      <c r="A8" s="7" t="s">
        <v>29</v>
      </c>
      <c r="B8">
        <v>10.5</v>
      </c>
      <c r="C8">
        <v>36</v>
      </c>
      <c r="D8" s="3">
        <f t="shared" si="0"/>
        <v>378</v>
      </c>
      <c r="F8">
        <v>11.25</v>
      </c>
      <c r="G8">
        <v>300</v>
      </c>
      <c r="H8" s="3">
        <f t="shared" si="1"/>
        <v>3375</v>
      </c>
      <c r="J8" t="s">
        <v>6</v>
      </c>
      <c r="K8">
        <v>25.33</v>
      </c>
      <c r="L8">
        <f>1.5*0.19</f>
        <v>0.28500000000000003</v>
      </c>
      <c r="M8" s="3">
        <f t="shared" ref="M8" si="2">K8*L8</f>
        <v>7.2190500000000002</v>
      </c>
      <c r="O8">
        <v>25.75</v>
      </c>
      <c r="P8">
        <f>10*0.19</f>
        <v>1.9</v>
      </c>
      <c r="Q8" s="3">
        <f t="shared" ref="Q8" si="3">O8*P8</f>
        <v>48.924999999999997</v>
      </c>
    </row>
    <row r="9" spans="1:17" x14ac:dyDescent="0.25">
      <c r="A9" t="s">
        <v>9</v>
      </c>
      <c r="B9">
        <v>18.54</v>
      </c>
      <c r="C9">
        <v>47</v>
      </c>
      <c r="D9" s="3">
        <f t="shared" si="0"/>
        <v>871.38</v>
      </c>
      <c r="F9">
        <v>20</v>
      </c>
      <c r="G9">
        <v>10</v>
      </c>
      <c r="H9" s="3">
        <f t="shared" si="1"/>
        <v>200</v>
      </c>
      <c r="J9" t="s">
        <v>68</v>
      </c>
      <c r="K9" s="9">
        <v>15.45</v>
      </c>
      <c r="L9" s="9">
        <f>2.5*0.12</f>
        <v>0.3</v>
      </c>
      <c r="M9" s="35">
        <f>K9*L9</f>
        <v>4.6349999999999998</v>
      </c>
      <c r="N9" s="9"/>
      <c r="O9" s="9">
        <v>16</v>
      </c>
      <c r="P9" s="9">
        <f>10*0.12</f>
        <v>1.2</v>
      </c>
      <c r="Q9" s="35">
        <f>O9*P9</f>
        <v>19.2</v>
      </c>
    </row>
    <row r="10" spans="1:17" x14ac:dyDescent="0.25">
      <c r="A10" t="s">
        <v>9</v>
      </c>
      <c r="B10">
        <v>16</v>
      </c>
      <c r="C10">
        <v>34</v>
      </c>
      <c r="D10" s="3">
        <f t="shared" si="0"/>
        <v>544</v>
      </c>
      <c r="F10">
        <v>18</v>
      </c>
      <c r="G10">
        <v>50</v>
      </c>
      <c r="H10" s="3">
        <f t="shared" si="1"/>
        <v>900</v>
      </c>
      <c r="M10" s="4">
        <f>SUM(M4:M9)</f>
        <v>7065.5440500000004</v>
      </c>
      <c r="Q10" s="4">
        <f>SUM(Q4:Q9)</f>
        <v>11224.375</v>
      </c>
    </row>
    <row r="11" spans="1:17" x14ac:dyDescent="0.25">
      <c r="A11" t="s">
        <v>11</v>
      </c>
      <c r="B11">
        <v>15.39</v>
      </c>
      <c r="C11">
        <v>85</v>
      </c>
      <c r="D11" s="3">
        <f t="shared" si="0"/>
        <v>1308.1500000000001</v>
      </c>
      <c r="F11">
        <v>17</v>
      </c>
      <c r="G11">
        <v>275</v>
      </c>
      <c r="H11" s="3">
        <f t="shared" si="1"/>
        <v>4675</v>
      </c>
      <c r="P11" s="17" t="s">
        <v>70</v>
      </c>
      <c r="Q11" s="4">
        <f>Q10-M10</f>
        <v>4158.8309499999996</v>
      </c>
    </row>
    <row r="12" spans="1:17" x14ac:dyDescent="0.25">
      <c r="A12" t="s">
        <v>12</v>
      </c>
      <c r="B12">
        <v>12</v>
      </c>
      <c r="C12">
        <v>217</v>
      </c>
      <c r="D12" s="3">
        <f t="shared" si="0"/>
        <v>2604</v>
      </c>
      <c r="F12">
        <v>13</v>
      </c>
      <c r="G12">
        <v>350</v>
      </c>
      <c r="H12" s="3">
        <f t="shared" si="1"/>
        <v>4550</v>
      </c>
      <c r="J12" t="s">
        <v>77</v>
      </c>
      <c r="M12" s="4">
        <f>((Wages!B7/2080)*40)*0.25</f>
        <v>600.96153846153845</v>
      </c>
      <c r="Q12" s="4">
        <f>((Wages!B7/2080)*40)*0.25</f>
        <v>600.96153846153845</v>
      </c>
    </row>
    <row r="13" spans="1:17" x14ac:dyDescent="0.25">
      <c r="A13" s="7" t="s">
        <v>12</v>
      </c>
      <c r="B13">
        <v>10.5</v>
      </c>
      <c r="C13">
        <v>100</v>
      </c>
      <c r="D13" s="3">
        <f t="shared" si="0"/>
        <v>1050</v>
      </c>
      <c r="F13">
        <v>0</v>
      </c>
      <c r="H13" s="3">
        <f t="shared" si="1"/>
        <v>0</v>
      </c>
    </row>
    <row r="14" spans="1:17" x14ac:dyDescent="0.25">
      <c r="A14" s="7" t="s">
        <v>12</v>
      </c>
      <c r="B14">
        <v>12.88</v>
      </c>
      <c r="C14">
        <v>132</v>
      </c>
      <c r="D14" s="3">
        <f t="shared" si="0"/>
        <v>1700.16</v>
      </c>
      <c r="F14">
        <v>0</v>
      </c>
      <c r="H14" s="3">
        <f t="shared" si="1"/>
        <v>0</v>
      </c>
    </row>
    <row r="15" spans="1:17" x14ac:dyDescent="0.25">
      <c r="A15" t="s">
        <v>12</v>
      </c>
      <c r="B15">
        <v>10.5</v>
      </c>
      <c r="C15">
        <v>45</v>
      </c>
      <c r="D15" s="3">
        <f t="shared" si="0"/>
        <v>472.5</v>
      </c>
      <c r="F15">
        <v>12</v>
      </c>
      <c r="G15">
        <v>75</v>
      </c>
      <c r="H15" s="3">
        <f t="shared" si="1"/>
        <v>900</v>
      </c>
    </row>
    <row r="16" spans="1:17" x14ac:dyDescent="0.25">
      <c r="A16" s="7" t="s">
        <v>12</v>
      </c>
      <c r="B16">
        <v>10.5</v>
      </c>
      <c r="C16">
        <v>41</v>
      </c>
      <c r="D16" s="3">
        <f t="shared" si="0"/>
        <v>430.5</v>
      </c>
      <c r="F16">
        <v>0</v>
      </c>
      <c r="H16" s="3">
        <f t="shared" si="1"/>
        <v>0</v>
      </c>
    </row>
    <row r="17" spans="1:8" x14ac:dyDescent="0.25">
      <c r="A17" t="s">
        <v>12</v>
      </c>
      <c r="B17">
        <v>10.5</v>
      </c>
      <c r="C17">
        <v>41.5</v>
      </c>
      <c r="D17" s="3">
        <f t="shared" si="0"/>
        <v>435.75</v>
      </c>
      <c r="F17">
        <v>12</v>
      </c>
      <c r="G17">
        <v>150</v>
      </c>
      <c r="H17" s="3">
        <f t="shared" si="1"/>
        <v>1800</v>
      </c>
    </row>
    <row r="18" spans="1:8" x14ac:dyDescent="0.25">
      <c r="A18" t="s">
        <v>68</v>
      </c>
      <c r="B18">
        <v>15.45</v>
      </c>
      <c r="C18">
        <f>2.5*0.88</f>
        <v>2.2000000000000002</v>
      </c>
      <c r="D18" s="3">
        <f t="shared" si="0"/>
        <v>33.99</v>
      </c>
      <c r="F18">
        <v>16</v>
      </c>
      <c r="G18">
        <f>10*0.88</f>
        <v>8.8000000000000007</v>
      </c>
      <c r="H18" s="3">
        <f t="shared" si="1"/>
        <v>140.80000000000001</v>
      </c>
    </row>
    <row r="19" spans="1:8" x14ac:dyDescent="0.25">
      <c r="A19" t="s">
        <v>68</v>
      </c>
      <c r="B19">
        <v>15.45</v>
      </c>
      <c r="C19">
        <v>0.5</v>
      </c>
      <c r="D19" s="3">
        <f t="shared" si="0"/>
        <v>7.7249999999999996</v>
      </c>
      <c r="F19">
        <v>16</v>
      </c>
      <c r="G19">
        <v>10</v>
      </c>
      <c r="H19" s="3">
        <f t="shared" si="1"/>
        <v>160</v>
      </c>
    </row>
    <row r="20" spans="1:8" x14ac:dyDescent="0.25">
      <c r="A20" t="s">
        <v>68</v>
      </c>
      <c r="B20">
        <v>15.25</v>
      </c>
      <c r="C20">
        <v>1</v>
      </c>
      <c r="D20" s="3">
        <f t="shared" si="0"/>
        <v>15.25</v>
      </c>
      <c r="F20">
        <v>16</v>
      </c>
      <c r="G20">
        <v>10</v>
      </c>
      <c r="H20" s="3">
        <f t="shared" si="1"/>
        <v>160</v>
      </c>
    </row>
    <row r="21" spans="1:8" x14ac:dyDescent="0.25">
      <c r="A21" t="s">
        <v>68</v>
      </c>
      <c r="B21">
        <v>13</v>
      </c>
      <c r="C21">
        <v>0.5</v>
      </c>
      <c r="D21" s="3">
        <f t="shared" si="0"/>
        <v>6.5</v>
      </c>
      <c r="F21">
        <v>13.5</v>
      </c>
      <c r="G21">
        <v>10</v>
      </c>
      <c r="H21" s="3">
        <f t="shared" si="1"/>
        <v>135</v>
      </c>
    </row>
    <row r="22" spans="1:8" x14ac:dyDescent="0.25">
      <c r="A22" s="7" t="s">
        <v>31</v>
      </c>
      <c r="B22">
        <v>18.02</v>
      </c>
      <c r="C22">
        <v>11.5</v>
      </c>
      <c r="D22" s="3">
        <f t="shared" si="0"/>
        <v>207.23</v>
      </c>
      <c r="F22">
        <v>0</v>
      </c>
      <c r="H22" s="3">
        <f t="shared" si="1"/>
        <v>0</v>
      </c>
    </row>
    <row r="23" spans="1:8" x14ac:dyDescent="0.25">
      <c r="A23" t="s">
        <v>69</v>
      </c>
      <c r="B23">
        <v>13</v>
      </c>
      <c r="C23">
        <v>43</v>
      </c>
      <c r="D23" s="3">
        <f t="shared" si="0"/>
        <v>559</v>
      </c>
      <c r="F23">
        <v>13</v>
      </c>
      <c r="H23" s="3">
        <f t="shared" si="1"/>
        <v>0</v>
      </c>
    </row>
    <row r="24" spans="1:8" x14ac:dyDescent="0.25">
      <c r="A24" s="7" t="s">
        <v>68</v>
      </c>
      <c r="B24" s="9">
        <v>14.42</v>
      </c>
      <c r="C24" s="9">
        <v>12</v>
      </c>
      <c r="D24" s="35">
        <f t="shared" si="0"/>
        <v>173.04</v>
      </c>
      <c r="E24" s="9"/>
      <c r="F24" s="9">
        <v>14.42</v>
      </c>
      <c r="G24" s="9"/>
      <c r="H24" s="35">
        <f t="shared" si="1"/>
        <v>0</v>
      </c>
    </row>
    <row r="26" spans="1:8" x14ac:dyDescent="0.25">
      <c r="C26">
        <f>SUM(C4:C25)</f>
        <v>1400.4150000000002</v>
      </c>
      <c r="D26" s="4">
        <f>SUM(D4:D25)</f>
        <v>20304.490949999999</v>
      </c>
      <c r="F26">
        <f>SUM(F4:F25)</f>
        <v>277.76000000000005</v>
      </c>
      <c r="G26">
        <f>SUM(G4:G25)</f>
        <v>1458.8</v>
      </c>
      <c r="H26" s="3">
        <f>SUM(H4:H25)</f>
        <v>21237.3</v>
      </c>
    </row>
    <row r="28" spans="1:8" x14ac:dyDescent="0.25">
      <c r="G28" s="17" t="s">
        <v>70</v>
      </c>
      <c r="H28" s="4">
        <f>H26-D26</f>
        <v>932.80904999999984</v>
      </c>
    </row>
    <row r="30" spans="1:8" x14ac:dyDescent="0.25">
      <c r="A30" t="s">
        <v>71</v>
      </c>
      <c r="D30" s="4">
        <f>((Wages!B7/2080)*40)*0.75</f>
        <v>1802.8846153846152</v>
      </c>
      <c r="H30" s="4">
        <f>((Wages!C7/2080)*40)*0.75</f>
        <v>1802.8846153846152</v>
      </c>
    </row>
  </sheetData>
  <mergeCells count="6">
    <mergeCell ref="B2:D2"/>
    <mergeCell ref="F2:H2"/>
    <mergeCell ref="B1:H1"/>
    <mergeCell ref="J1:Q1"/>
    <mergeCell ref="N2:Q2"/>
    <mergeCell ref="K2:M2"/>
  </mergeCells>
  <pageMargins left="0.7" right="0.7" top="0.75" bottom="0.75" header="0.3" footer="0.3"/>
  <pageSetup scale="95" orientation="landscape" horizontalDpi="0" verticalDpi="0" r:id="rId1"/>
  <headerFooter>
    <oddHeader xml:space="preserve">&amp;COVERTIME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ADD55-D19D-4FEB-917C-6A6CDCF71DE3}">
  <dimension ref="A1:F17"/>
  <sheetViews>
    <sheetView workbookViewId="0">
      <selection activeCell="A19" sqref="A19"/>
    </sheetView>
  </sheetViews>
  <sheetFormatPr defaultRowHeight="15" x14ac:dyDescent="0.25"/>
  <cols>
    <col min="3" max="6" width="12.5703125" bestFit="1" customWidth="1"/>
  </cols>
  <sheetData>
    <row r="1" spans="1:6" x14ac:dyDescent="0.25">
      <c r="A1" t="s">
        <v>43</v>
      </c>
    </row>
    <row r="2" spans="1:6" x14ac:dyDescent="0.25">
      <c r="A2" t="s">
        <v>44</v>
      </c>
    </row>
    <row r="3" spans="1:6" x14ac:dyDescent="0.25">
      <c r="A3" s="8">
        <v>0.24060000000000001</v>
      </c>
      <c r="B3" s="11" t="s">
        <v>75</v>
      </c>
    </row>
    <row r="4" spans="1:6" x14ac:dyDescent="0.25">
      <c r="A4" t="s">
        <v>48</v>
      </c>
    </row>
    <row r="5" spans="1:6" x14ac:dyDescent="0.25">
      <c r="A5" s="8">
        <v>0.26950000000000002</v>
      </c>
      <c r="B5" s="11" t="s">
        <v>49</v>
      </c>
    </row>
    <row r="7" spans="1:6" x14ac:dyDescent="0.25">
      <c r="A7" t="s">
        <v>24</v>
      </c>
      <c r="C7">
        <v>2020</v>
      </c>
      <c r="D7" t="s">
        <v>43</v>
      </c>
      <c r="E7">
        <v>2021</v>
      </c>
      <c r="F7" t="s">
        <v>43</v>
      </c>
    </row>
    <row r="8" spans="1:6" x14ac:dyDescent="0.25">
      <c r="A8" t="s">
        <v>53</v>
      </c>
      <c r="C8" s="4">
        <f>(Wages!M$46-SUM(Wages!M$39:M$44))/2</f>
        <v>402258.74725000007</v>
      </c>
      <c r="D8" s="4">
        <f>C8*A3</f>
        <v>96783.454588350025</v>
      </c>
      <c r="E8" s="4">
        <f>(Wages!N46-SUM(Wages!N39:N44))/2</f>
        <v>382771.88</v>
      </c>
      <c r="F8" s="4">
        <f>E8*A3</f>
        <v>92094.914327999999</v>
      </c>
    </row>
    <row r="9" spans="1:6" x14ac:dyDescent="0.25">
      <c r="A9" t="s">
        <v>55</v>
      </c>
      <c r="C9" s="4">
        <f>(Wages!M$46-SUM(Wages!M$39:M$44))/2</f>
        <v>402258.74725000007</v>
      </c>
      <c r="D9" s="4">
        <f>C9*A3</f>
        <v>96783.454588350025</v>
      </c>
      <c r="E9" s="4">
        <f>(Wages!N46-SUM(Wages!P39:P44))/2</f>
        <v>385021.88</v>
      </c>
      <c r="F9" s="4">
        <f>E9*A5</f>
        <v>103763.39666000001</v>
      </c>
    </row>
    <row r="11" spans="1:6" x14ac:dyDescent="0.25">
      <c r="A11" t="s">
        <v>54</v>
      </c>
    </row>
    <row r="12" spans="1:6" x14ac:dyDescent="0.25">
      <c r="A12" t="s">
        <v>53</v>
      </c>
      <c r="C12" s="4">
        <f>(Wages!O46-SUM(Wages!O39:O44))/2</f>
        <v>85333.092750000011</v>
      </c>
      <c r="D12" s="4">
        <f>C12*A3</f>
        <v>20531.142115650004</v>
      </c>
      <c r="E12" s="4">
        <f>(Wages!P46-SUM(Wages!P39:P44))/2</f>
        <v>85545</v>
      </c>
      <c r="F12" s="4">
        <f>E12*A3</f>
        <v>20582.127</v>
      </c>
    </row>
    <row r="13" spans="1:6" x14ac:dyDescent="0.25">
      <c r="A13" t="s">
        <v>55</v>
      </c>
      <c r="C13" s="4">
        <f>Wages!O46/2</f>
        <v>86458.092750000011</v>
      </c>
      <c r="D13" s="4">
        <f>C13*A3</f>
        <v>20801.817115650003</v>
      </c>
      <c r="E13" s="4">
        <f>(Wages!P46-SUM(Wages!P39:P44))/2</f>
        <v>85545</v>
      </c>
      <c r="F13" s="4">
        <f>E13*A5</f>
        <v>23054.377500000002</v>
      </c>
    </row>
    <row r="15" spans="1:6" x14ac:dyDescent="0.25">
      <c r="D15" s="3">
        <f>SUM(D8:D13)</f>
        <v>234899.86840800004</v>
      </c>
      <c r="F15" s="4">
        <f>SUM(F8:F13)</f>
        <v>239494.81548800002</v>
      </c>
    </row>
    <row r="17" spans="3:6" x14ac:dyDescent="0.25">
      <c r="C17" s="17" t="s">
        <v>70</v>
      </c>
      <c r="F17" s="4">
        <f>F15-D15</f>
        <v>4594.9470799999835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0D429-9FA3-4CC5-9ECC-81DF73EFF126}">
  <dimension ref="A1:O40"/>
  <sheetViews>
    <sheetView workbookViewId="0">
      <selection activeCell="L6" sqref="L6"/>
    </sheetView>
  </sheetViews>
  <sheetFormatPr defaultRowHeight="15" x14ac:dyDescent="0.25"/>
  <cols>
    <col min="3" max="3" width="11.5703125" customWidth="1"/>
    <col min="4" max="4" width="11.5703125" bestFit="1" customWidth="1"/>
    <col min="5" max="5" width="6.28515625" customWidth="1"/>
    <col min="6" max="7" width="11.5703125" bestFit="1" customWidth="1"/>
    <col min="8" max="8" width="11.28515625" customWidth="1"/>
    <col min="9" max="9" width="3" customWidth="1"/>
    <col min="12" max="12" width="10.42578125" customWidth="1"/>
    <col min="13" max="13" width="11.28515625" bestFit="1" customWidth="1"/>
    <col min="14" max="14" width="10.5703125" bestFit="1" customWidth="1"/>
    <col min="15" max="15" width="11.28515625" customWidth="1"/>
  </cols>
  <sheetData>
    <row r="1" spans="1:15" x14ac:dyDescent="0.25">
      <c r="A1" t="s">
        <v>32</v>
      </c>
      <c r="J1" t="s">
        <v>32</v>
      </c>
    </row>
    <row r="2" spans="1:15" x14ac:dyDescent="0.25">
      <c r="A2" t="s">
        <v>33</v>
      </c>
      <c r="F2" s="42" t="s">
        <v>45</v>
      </c>
      <c r="G2" s="42"/>
      <c r="H2" s="42"/>
      <c r="J2" s="42" t="s">
        <v>46</v>
      </c>
      <c r="K2" s="42"/>
      <c r="L2" s="42"/>
      <c r="M2" s="42"/>
      <c r="N2" s="42"/>
      <c r="O2" s="42"/>
    </row>
    <row r="3" spans="1:15" ht="45" x14ac:dyDescent="0.25">
      <c r="F3" s="9" t="s">
        <v>34</v>
      </c>
      <c r="G3" s="9" t="s">
        <v>35</v>
      </c>
      <c r="H3" s="15" t="s">
        <v>36</v>
      </c>
      <c r="M3" s="9" t="s">
        <v>34</v>
      </c>
      <c r="N3" s="9" t="s">
        <v>35</v>
      </c>
      <c r="O3" s="15" t="s">
        <v>36</v>
      </c>
    </row>
    <row r="4" spans="1:15" x14ac:dyDescent="0.25">
      <c r="A4" s="2" t="s">
        <v>0</v>
      </c>
      <c r="H4" s="14"/>
      <c r="O4" s="14"/>
    </row>
    <row r="5" spans="1:15" x14ac:dyDescent="0.25">
      <c r="A5" t="s">
        <v>2</v>
      </c>
      <c r="F5" s="12">
        <f>(907.84*12)*0.75</f>
        <v>8170.5599999999995</v>
      </c>
      <c r="G5" s="12">
        <f>(871*12)*0.75</f>
        <v>7839</v>
      </c>
      <c r="H5" s="12">
        <f>G5*0.78</f>
        <v>6114.42</v>
      </c>
      <c r="J5" t="s">
        <v>2</v>
      </c>
      <c r="M5" s="12">
        <f>(907.84*12)*0.25</f>
        <v>2723.52</v>
      </c>
      <c r="N5" s="12">
        <f>(871*12)*0.25</f>
        <v>2613</v>
      </c>
      <c r="O5" s="12">
        <f>N5*0.78</f>
        <v>2038.14</v>
      </c>
    </row>
    <row r="6" spans="1:15" x14ac:dyDescent="0.25">
      <c r="A6" t="s">
        <v>3</v>
      </c>
      <c r="F6" s="12">
        <f t="shared" ref="F6:M35" si="0">907.84*12</f>
        <v>10894.08</v>
      </c>
      <c r="G6" s="12">
        <f t="shared" ref="G6:N35" si="1">871*12</f>
        <v>10452</v>
      </c>
      <c r="H6" s="12">
        <f t="shared" ref="H6:H17" si="2">G6*0.78</f>
        <v>8152.56</v>
      </c>
      <c r="J6" t="s">
        <v>6</v>
      </c>
      <c r="M6" s="12">
        <f>((907.84*12)*0.19)</f>
        <v>2069.8751999999999</v>
      </c>
      <c r="N6" s="12">
        <f>(871*12)*0.19</f>
        <v>1985.88</v>
      </c>
      <c r="O6" s="12">
        <f t="shared" ref="O6:O7" si="3">N6*0.78</f>
        <v>1548.9864000000002</v>
      </c>
    </row>
    <row r="7" spans="1:15" x14ac:dyDescent="0.25">
      <c r="A7" t="s">
        <v>4</v>
      </c>
      <c r="F7" s="12">
        <f t="shared" si="0"/>
        <v>10894.08</v>
      </c>
      <c r="G7" s="12">
        <f t="shared" si="1"/>
        <v>10452</v>
      </c>
      <c r="H7" s="12">
        <f t="shared" si="2"/>
        <v>8152.56</v>
      </c>
      <c r="J7" t="s">
        <v>50</v>
      </c>
      <c r="M7" s="12">
        <f>(907.84*12)*0.12</f>
        <v>1307.2895999999998</v>
      </c>
      <c r="N7" s="12">
        <f>(871*12)*0.12</f>
        <v>1254.24</v>
      </c>
      <c r="O7" s="12">
        <f t="shared" si="3"/>
        <v>978.30720000000008</v>
      </c>
    </row>
    <row r="8" spans="1:15" hidden="1" x14ac:dyDescent="0.25">
      <c r="F8" s="12"/>
      <c r="G8" s="12"/>
      <c r="H8" s="12"/>
      <c r="M8" s="12"/>
      <c r="N8" s="12"/>
      <c r="O8" s="12"/>
    </row>
    <row r="9" spans="1:15" x14ac:dyDescent="0.25">
      <c r="A9" t="s">
        <v>6</v>
      </c>
      <c r="F9" s="12">
        <f>(907.84*12)*0.81</f>
        <v>8824.2048000000013</v>
      </c>
      <c r="G9" s="12">
        <f>(871*12)*0.81</f>
        <v>8466.1200000000008</v>
      </c>
      <c r="H9" s="12">
        <f t="shared" si="2"/>
        <v>6603.5736000000006</v>
      </c>
      <c r="J9" t="s">
        <v>5</v>
      </c>
      <c r="M9" s="12">
        <f t="shared" si="0"/>
        <v>10894.08</v>
      </c>
      <c r="N9" s="12">
        <f t="shared" si="1"/>
        <v>10452</v>
      </c>
      <c r="O9" s="12">
        <f>N9*0.78</f>
        <v>8152.56</v>
      </c>
    </row>
    <row r="10" spans="1:15" x14ac:dyDescent="0.25">
      <c r="A10" t="s">
        <v>7</v>
      </c>
      <c r="F10" s="12">
        <f t="shared" si="0"/>
        <v>10894.08</v>
      </c>
      <c r="G10" s="12">
        <f t="shared" si="1"/>
        <v>10452</v>
      </c>
      <c r="H10" s="12">
        <f t="shared" si="2"/>
        <v>8152.56</v>
      </c>
      <c r="J10" t="s">
        <v>10</v>
      </c>
      <c r="M10" s="12">
        <f t="shared" si="0"/>
        <v>10894.08</v>
      </c>
      <c r="N10" s="12">
        <f t="shared" si="1"/>
        <v>10452</v>
      </c>
      <c r="O10" s="12">
        <f>N10*0.78</f>
        <v>8152.56</v>
      </c>
    </row>
    <row r="11" spans="1:15" x14ac:dyDescent="0.25">
      <c r="A11" t="s">
        <v>8</v>
      </c>
      <c r="F11" s="12">
        <f t="shared" si="0"/>
        <v>10894.08</v>
      </c>
      <c r="G11" s="12">
        <f t="shared" si="1"/>
        <v>10452</v>
      </c>
      <c r="H11" s="12">
        <f t="shared" si="2"/>
        <v>8152.56</v>
      </c>
      <c r="J11" t="s">
        <v>13</v>
      </c>
      <c r="M11" s="12">
        <f t="shared" si="0"/>
        <v>10894.08</v>
      </c>
      <c r="N11" s="12">
        <f t="shared" si="1"/>
        <v>10452</v>
      </c>
      <c r="O11" s="12">
        <f>N11*0.78</f>
        <v>8152.56</v>
      </c>
    </row>
    <row r="12" spans="1:15" x14ac:dyDescent="0.25">
      <c r="A12" s="7" t="s">
        <v>29</v>
      </c>
      <c r="B12" s="7"/>
      <c r="C12" s="7"/>
      <c r="F12" s="12">
        <f t="shared" si="0"/>
        <v>10894.08</v>
      </c>
      <c r="G12" s="12">
        <f>871*3</f>
        <v>2613</v>
      </c>
      <c r="H12" s="12">
        <f t="shared" si="2"/>
        <v>2038.14</v>
      </c>
      <c r="J12" t="s">
        <v>14</v>
      </c>
      <c r="M12" s="12">
        <f t="shared" si="0"/>
        <v>10894.08</v>
      </c>
      <c r="N12" s="12">
        <f t="shared" si="1"/>
        <v>10452</v>
      </c>
      <c r="O12" s="12">
        <f t="shared" ref="O12" si="4">N12*0.78</f>
        <v>8152.56</v>
      </c>
    </row>
    <row r="13" spans="1:15" x14ac:dyDescent="0.25">
      <c r="A13" t="s">
        <v>9</v>
      </c>
      <c r="F13" s="12">
        <f t="shared" si="0"/>
        <v>10894.08</v>
      </c>
      <c r="G13" s="12">
        <f t="shared" si="1"/>
        <v>10452</v>
      </c>
      <c r="H13" s="12">
        <f t="shared" si="2"/>
        <v>8152.56</v>
      </c>
    </row>
    <row r="14" spans="1:15" x14ac:dyDescent="0.25">
      <c r="A14" t="s">
        <v>9</v>
      </c>
      <c r="F14" s="12">
        <f t="shared" si="0"/>
        <v>10894.08</v>
      </c>
      <c r="G14" s="12">
        <f t="shared" si="1"/>
        <v>10452</v>
      </c>
      <c r="H14" s="12">
        <f t="shared" si="2"/>
        <v>8152.56</v>
      </c>
      <c r="L14" t="s">
        <v>47</v>
      </c>
      <c r="M14" s="12">
        <f>SUM(M5:M12)</f>
        <v>49677.004800000002</v>
      </c>
      <c r="N14" s="12">
        <f>SUM(N5:N12)</f>
        <v>47661.119999999995</v>
      </c>
      <c r="O14" s="12">
        <f>SUM(O5:O12)</f>
        <v>37175.673600000002</v>
      </c>
    </row>
    <row r="15" spans="1:15" hidden="1" x14ac:dyDescent="0.25">
      <c r="F15" s="12"/>
      <c r="G15" s="12"/>
      <c r="H15" s="12"/>
      <c r="L15" s="1" t="s">
        <v>47</v>
      </c>
      <c r="M15" s="12">
        <f>SUM(M9:M12)</f>
        <v>43576.32</v>
      </c>
      <c r="N15" s="12">
        <f>SUM(N9:N12)</f>
        <v>41808</v>
      </c>
      <c r="O15" s="12">
        <f>SUM(O9:O12)</f>
        <v>32610.240000000002</v>
      </c>
    </row>
    <row r="16" spans="1:15" x14ac:dyDescent="0.25">
      <c r="A16" t="s">
        <v>11</v>
      </c>
      <c r="F16" s="12">
        <f t="shared" si="0"/>
        <v>10894.08</v>
      </c>
      <c r="G16" s="12">
        <f t="shared" si="1"/>
        <v>10452</v>
      </c>
      <c r="H16" s="12">
        <f t="shared" si="2"/>
        <v>8152.56</v>
      </c>
      <c r="M16" s="12"/>
      <c r="N16" s="12"/>
      <c r="O16" s="12"/>
    </row>
    <row r="17" spans="1:15" x14ac:dyDescent="0.25">
      <c r="A17" t="s">
        <v>12</v>
      </c>
      <c r="F17" s="12">
        <f t="shared" si="0"/>
        <v>10894.08</v>
      </c>
      <c r="G17" s="12">
        <f t="shared" si="1"/>
        <v>10452</v>
      </c>
      <c r="H17" s="12">
        <f t="shared" si="2"/>
        <v>8152.56</v>
      </c>
      <c r="J17" t="s">
        <v>39</v>
      </c>
      <c r="M17" s="12">
        <f>N14</f>
        <v>47661.119999999995</v>
      </c>
      <c r="N17" s="12"/>
      <c r="O17" s="12"/>
    </row>
    <row r="18" spans="1:15" x14ac:dyDescent="0.25">
      <c r="A18" s="7" t="s">
        <v>12</v>
      </c>
      <c r="B18" s="7"/>
      <c r="C18" s="7"/>
      <c r="F18" s="12">
        <f t="shared" si="0"/>
        <v>10894.08</v>
      </c>
      <c r="G18" s="12">
        <v>0</v>
      </c>
      <c r="H18" s="12">
        <v>0</v>
      </c>
      <c r="J18" t="s">
        <v>37</v>
      </c>
      <c r="M18" s="12">
        <f>O14</f>
        <v>37175.673600000002</v>
      </c>
      <c r="N18" s="12"/>
      <c r="O18" s="12"/>
    </row>
    <row r="19" spans="1:15" x14ac:dyDescent="0.25">
      <c r="A19" s="7" t="s">
        <v>12</v>
      </c>
      <c r="B19" s="7"/>
      <c r="C19" s="7"/>
      <c r="F19" s="12">
        <f t="shared" si="0"/>
        <v>10894.08</v>
      </c>
      <c r="G19" s="12">
        <v>0</v>
      </c>
      <c r="H19" s="12">
        <v>0</v>
      </c>
      <c r="J19" t="s">
        <v>38</v>
      </c>
      <c r="M19" s="12">
        <f>M18-M17</f>
        <v>-10485.446399999993</v>
      </c>
      <c r="N19" s="12"/>
      <c r="O19" s="12"/>
    </row>
    <row r="20" spans="1:15" hidden="1" x14ac:dyDescent="0.25">
      <c r="F20" s="12"/>
      <c r="G20" s="12"/>
      <c r="H20" s="12"/>
      <c r="J20" t="s">
        <v>38</v>
      </c>
      <c r="M20">
        <f>M17-M18</f>
        <v>10485.446399999993</v>
      </c>
    </row>
    <row r="21" spans="1:15" x14ac:dyDescent="0.25">
      <c r="A21" t="s">
        <v>12</v>
      </c>
      <c r="F21" s="12">
        <f t="shared" si="0"/>
        <v>10894.08</v>
      </c>
      <c r="G21" s="12">
        <f t="shared" si="1"/>
        <v>10452</v>
      </c>
      <c r="H21" s="12">
        <f t="shared" ref="H21" si="5">G21*0.78</f>
        <v>8152.56</v>
      </c>
    </row>
    <row r="22" spans="1:15" x14ac:dyDescent="0.25">
      <c r="A22" s="7" t="s">
        <v>12</v>
      </c>
      <c r="B22" s="7"/>
      <c r="C22" s="7"/>
      <c r="F22" s="12">
        <f t="shared" si="0"/>
        <v>10894.08</v>
      </c>
      <c r="G22" s="12">
        <v>0</v>
      </c>
      <c r="H22" s="12">
        <v>0</v>
      </c>
    </row>
    <row r="23" spans="1:15" x14ac:dyDescent="0.25">
      <c r="A23" t="s">
        <v>12</v>
      </c>
      <c r="F23" s="12">
        <f t="shared" si="0"/>
        <v>10894.08</v>
      </c>
      <c r="G23" s="12">
        <f t="shared" si="1"/>
        <v>10452</v>
      </c>
      <c r="H23" s="12">
        <f t="shared" ref="H23:H27" si="6">G23*0.78</f>
        <v>8152.56</v>
      </c>
    </row>
    <row r="24" spans="1:15" x14ac:dyDescent="0.25">
      <c r="A24" s="20" t="s">
        <v>9</v>
      </c>
      <c r="B24" s="20"/>
      <c r="C24" s="20"/>
      <c r="F24" s="12">
        <v>0</v>
      </c>
      <c r="G24" s="12">
        <f t="shared" si="1"/>
        <v>10452</v>
      </c>
      <c r="H24" s="12">
        <f t="shared" si="6"/>
        <v>8152.56</v>
      </c>
    </row>
    <row r="25" spans="1:15" x14ac:dyDescent="0.25">
      <c r="A25" s="20" t="s">
        <v>15</v>
      </c>
      <c r="B25" s="20"/>
      <c r="C25" s="20"/>
      <c r="F25" s="12">
        <v>0</v>
      </c>
      <c r="G25" s="12">
        <f t="shared" si="1"/>
        <v>10452</v>
      </c>
      <c r="H25" s="12">
        <f t="shared" si="6"/>
        <v>8152.56</v>
      </c>
    </row>
    <row r="26" spans="1:15" x14ac:dyDescent="0.25">
      <c r="A26" t="s">
        <v>15</v>
      </c>
      <c r="F26" s="12">
        <f>(907.84*12)*0.88</f>
        <v>9586.7903999999999</v>
      </c>
      <c r="G26" s="12">
        <f>(871*12)*0.88</f>
        <v>9197.76</v>
      </c>
      <c r="H26" s="12">
        <f t="shared" si="6"/>
        <v>7174.2528000000002</v>
      </c>
    </row>
    <row r="27" spans="1:15" x14ac:dyDescent="0.25">
      <c r="A27" t="s">
        <v>15</v>
      </c>
      <c r="F27" s="12">
        <f t="shared" si="0"/>
        <v>10894.08</v>
      </c>
      <c r="G27" s="12">
        <f t="shared" si="1"/>
        <v>10452</v>
      </c>
      <c r="H27" s="12">
        <f t="shared" si="6"/>
        <v>8152.56</v>
      </c>
    </row>
    <row r="28" spans="1:15" x14ac:dyDescent="0.25">
      <c r="A28" s="7" t="s">
        <v>30</v>
      </c>
      <c r="B28" s="7"/>
      <c r="C28" s="7"/>
      <c r="F28" s="12">
        <f t="shared" si="0"/>
        <v>10894.08</v>
      </c>
      <c r="G28" s="12">
        <v>0</v>
      </c>
      <c r="H28" s="12">
        <v>0</v>
      </c>
    </row>
    <row r="29" spans="1:15" x14ac:dyDescent="0.25">
      <c r="A29" s="20" t="s">
        <v>12</v>
      </c>
      <c r="B29" s="20"/>
      <c r="C29" s="20"/>
      <c r="F29" s="12">
        <v>0</v>
      </c>
      <c r="G29" s="12">
        <f t="shared" si="1"/>
        <v>10452</v>
      </c>
      <c r="H29" s="12">
        <f t="shared" ref="H29:H31" si="7">G29*0.78</f>
        <v>8152.56</v>
      </c>
    </row>
    <row r="30" spans="1:15" x14ac:dyDescent="0.25">
      <c r="A30" t="s">
        <v>15</v>
      </c>
      <c r="F30" s="12">
        <f t="shared" si="0"/>
        <v>10894.08</v>
      </c>
      <c r="G30" s="12">
        <f t="shared" si="1"/>
        <v>10452</v>
      </c>
      <c r="H30" s="12">
        <f t="shared" si="7"/>
        <v>8152.56</v>
      </c>
    </row>
    <row r="31" spans="1:15" x14ac:dyDescent="0.25">
      <c r="A31" t="s">
        <v>15</v>
      </c>
      <c r="F31" s="12">
        <f t="shared" si="0"/>
        <v>10894.08</v>
      </c>
      <c r="G31" s="12">
        <f t="shared" si="1"/>
        <v>10452</v>
      </c>
      <c r="H31" s="12">
        <f t="shared" si="7"/>
        <v>8152.56</v>
      </c>
    </row>
    <row r="32" spans="1:15" x14ac:dyDescent="0.25">
      <c r="A32" s="7" t="s">
        <v>31</v>
      </c>
      <c r="B32" s="7"/>
      <c r="C32" s="7"/>
      <c r="F32" s="12">
        <f>907.84*12</f>
        <v>10894.08</v>
      </c>
      <c r="G32" s="12">
        <v>0</v>
      </c>
      <c r="H32" s="12">
        <v>0</v>
      </c>
    </row>
    <row r="33" spans="1:8" x14ac:dyDescent="0.25">
      <c r="A33" s="7" t="s">
        <v>74</v>
      </c>
      <c r="B33" s="7"/>
      <c r="C33" s="7"/>
      <c r="F33" s="12">
        <f>907.84*1</f>
        <v>907.84</v>
      </c>
      <c r="G33" s="12">
        <v>0</v>
      </c>
      <c r="H33" s="12">
        <v>0</v>
      </c>
    </row>
    <row r="34" spans="1:8" x14ac:dyDescent="0.25">
      <c r="A34" s="7" t="s">
        <v>16</v>
      </c>
      <c r="B34" s="7"/>
      <c r="C34" s="7"/>
      <c r="F34" s="12">
        <f t="shared" si="0"/>
        <v>10894.08</v>
      </c>
      <c r="G34" s="12">
        <f t="shared" si="1"/>
        <v>10452</v>
      </c>
      <c r="H34" s="12">
        <f t="shared" ref="H34:H35" si="8">G34*0.78</f>
        <v>8152.56</v>
      </c>
    </row>
    <row r="35" spans="1:8" x14ac:dyDescent="0.25">
      <c r="A35" s="7" t="s">
        <v>15</v>
      </c>
      <c r="B35" s="7"/>
      <c r="C35" s="7"/>
      <c r="F35" s="12">
        <f t="shared" si="0"/>
        <v>10894.08</v>
      </c>
      <c r="G35" s="12">
        <f t="shared" si="1"/>
        <v>10452</v>
      </c>
      <c r="H35" s="12">
        <f t="shared" si="8"/>
        <v>8152.56</v>
      </c>
    </row>
    <row r="36" spans="1:8" x14ac:dyDescent="0.25">
      <c r="F36" s="12"/>
      <c r="G36" s="12"/>
      <c r="H36" s="12"/>
    </row>
    <row r="37" spans="1:8" x14ac:dyDescent="0.25">
      <c r="E37" s="1" t="s">
        <v>47</v>
      </c>
      <c r="F37" s="13">
        <f>SUM(F5:F36)</f>
        <v>256265.07519999988</v>
      </c>
      <c r="G37" s="13">
        <f>SUM(G5:G36)</f>
        <v>216251.88</v>
      </c>
      <c r="H37" s="13">
        <f>SUM(H5:H36)</f>
        <v>168676.46639999998</v>
      </c>
    </row>
    <row r="38" spans="1:8" x14ac:dyDescent="0.25">
      <c r="A38" t="s">
        <v>39</v>
      </c>
      <c r="D38" s="12">
        <f>G37</f>
        <v>216251.88</v>
      </c>
      <c r="F38" s="12"/>
      <c r="G38" s="12"/>
      <c r="H38" s="12"/>
    </row>
    <row r="39" spans="1:8" x14ac:dyDescent="0.25">
      <c r="A39" t="s">
        <v>37</v>
      </c>
      <c r="D39" s="12">
        <f>H37</f>
        <v>168676.46639999998</v>
      </c>
      <c r="F39" s="12"/>
      <c r="G39" s="12"/>
      <c r="H39" s="12"/>
    </row>
    <row r="40" spans="1:8" x14ac:dyDescent="0.25">
      <c r="A40" t="s">
        <v>38</v>
      </c>
      <c r="D40" s="12">
        <f>D39-D38</f>
        <v>-47575.413600000029</v>
      </c>
      <c r="F40" s="12"/>
      <c r="G40" s="12"/>
      <c r="H40" s="12"/>
    </row>
  </sheetData>
  <mergeCells count="2">
    <mergeCell ref="F2:H2"/>
    <mergeCell ref="J2:O2"/>
  </mergeCells>
  <pageMargins left="0.25" right="0.25" top="0.75" bottom="0.75" header="0.3" footer="0.3"/>
  <pageSetup scale="85" orientation="landscape" horizontalDpi="0" verticalDpi="0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DDABE-A92F-411D-AC2C-E21308D3EC5A}">
  <dimension ref="A1:P37"/>
  <sheetViews>
    <sheetView tabSelected="1" workbookViewId="0">
      <selection activeCell="M16" sqref="M16"/>
    </sheetView>
  </sheetViews>
  <sheetFormatPr defaultRowHeight="15" x14ac:dyDescent="0.25"/>
  <cols>
    <col min="3" max="3" width="11.7109375" customWidth="1"/>
    <col min="4" max="4" width="10.28515625" bestFit="1" customWidth="1"/>
    <col min="5" max="5" width="6.28515625" customWidth="1"/>
    <col min="6" max="8" width="9.5703125" bestFit="1" customWidth="1"/>
    <col min="13" max="13" width="11.28515625" customWidth="1"/>
    <col min="14" max="15" width="9.5703125" bestFit="1" customWidth="1"/>
    <col min="16" max="16" width="9.28515625" bestFit="1" customWidth="1"/>
  </cols>
  <sheetData>
    <row r="1" spans="1:16" x14ac:dyDescent="0.25">
      <c r="A1" t="s">
        <v>40</v>
      </c>
      <c r="K1" t="s">
        <v>40</v>
      </c>
    </row>
    <row r="2" spans="1:16" x14ac:dyDescent="0.25">
      <c r="A2" t="s">
        <v>41</v>
      </c>
    </row>
    <row r="3" spans="1:16" x14ac:dyDescent="0.25">
      <c r="F3" s="42" t="s">
        <v>45</v>
      </c>
      <c r="G3" s="42"/>
      <c r="H3" s="42"/>
      <c r="I3" s="42"/>
      <c r="K3" s="42" t="s">
        <v>46</v>
      </c>
      <c r="L3" s="42"/>
      <c r="M3" s="42"/>
      <c r="N3" s="42"/>
      <c r="O3" s="42"/>
      <c r="P3" s="42"/>
    </row>
    <row r="4" spans="1:16" x14ac:dyDescent="0.25">
      <c r="A4" s="2" t="s">
        <v>0</v>
      </c>
      <c r="F4" t="s">
        <v>34</v>
      </c>
      <c r="G4" t="s">
        <v>35</v>
      </c>
      <c r="H4" t="s">
        <v>42</v>
      </c>
      <c r="N4" t="s">
        <v>34</v>
      </c>
      <c r="O4" t="s">
        <v>35</v>
      </c>
      <c r="P4" t="s">
        <v>42</v>
      </c>
    </row>
    <row r="5" spans="1:16" x14ac:dyDescent="0.25">
      <c r="A5" t="s">
        <v>2</v>
      </c>
      <c r="F5" s="12">
        <f>(28.13*12)*0.75</f>
        <v>253.17000000000002</v>
      </c>
      <c r="G5" s="12">
        <f>(28.13*12)*0.75</f>
        <v>253.17000000000002</v>
      </c>
      <c r="H5" s="12">
        <f>G5*0.4</f>
        <v>101.26800000000001</v>
      </c>
      <c r="K5" t="s">
        <v>2</v>
      </c>
      <c r="N5" s="12">
        <f>(28.13*12)*0.25</f>
        <v>84.39</v>
      </c>
      <c r="O5" s="12">
        <f>(28.13*12)*0.25</f>
        <v>84.39</v>
      </c>
      <c r="P5" s="12">
        <f t="shared" ref="P5:P11" si="0">O5*0.4</f>
        <v>33.756</v>
      </c>
    </row>
    <row r="6" spans="1:16" x14ac:dyDescent="0.25">
      <c r="A6" t="s">
        <v>3</v>
      </c>
      <c r="F6" s="12">
        <f t="shared" ref="F6:O20" si="1">28.13*12</f>
        <v>337.56</v>
      </c>
      <c r="G6" s="12">
        <f t="shared" si="1"/>
        <v>337.56</v>
      </c>
      <c r="H6" s="12">
        <f t="shared" ref="H6:H7" si="2">G6*0.4</f>
        <v>135.024</v>
      </c>
      <c r="K6" t="s">
        <v>6</v>
      </c>
      <c r="N6" s="12">
        <f>(28.13*12)*0.19</f>
        <v>64.136399999999995</v>
      </c>
      <c r="O6" s="12">
        <f>(28.13*12)*0.19</f>
        <v>64.136399999999995</v>
      </c>
      <c r="P6" s="12">
        <f t="shared" si="0"/>
        <v>25.65456</v>
      </c>
    </row>
    <row r="7" spans="1:16" x14ac:dyDescent="0.25">
      <c r="A7" t="s">
        <v>4</v>
      </c>
      <c r="F7" s="12">
        <f t="shared" si="1"/>
        <v>337.56</v>
      </c>
      <c r="G7" s="12">
        <f t="shared" si="1"/>
        <v>337.56</v>
      </c>
      <c r="H7" s="12">
        <f t="shared" si="2"/>
        <v>135.024</v>
      </c>
      <c r="K7" t="s">
        <v>50</v>
      </c>
      <c r="N7" s="12">
        <f>(28.13*12)*0.12</f>
        <v>40.507199999999997</v>
      </c>
      <c r="O7" s="12">
        <f>(28.13*12)*0.12</f>
        <v>40.507199999999997</v>
      </c>
      <c r="P7" s="12">
        <f t="shared" si="0"/>
        <v>16.20288</v>
      </c>
    </row>
    <row r="8" spans="1:16" x14ac:dyDescent="0.25">
      <c r="A8" t="s">
        <v>6</v>
      </c>
      <c r="F8" s="12">
        <f>(28.13*12)*0.81</f>
        <v>273.42360000000002</v>
      </c>
      <c r="G8" s="12">
        <f>(28.13*12)*0.81</f>
        <v>273.42360000000002</v>
      </c>
      <c r="H8" s="12">
        <f t="shared" ref="H8:H17" si="3">G8*0.4</f>
        <v>109.36944000000001</v>
      </c>
      <c r="K8" t="s">
        <v>5</v>
      </c>
      <c r="N8" s="12">
        <f t="shared" si="1"/>
        <v>337.56</v>
      </c>
      <c r="O8" s="12">
        <f t="shared" si="1"/>
        <v>337.56</v>
      </c>
      <c r="P8" s="12">
        <f t="shared" si="0"/>
        <v>135.024</v>
      </c>
    </row>
    <row r="9" spans="1:16" x14ac:dyDescent="0.25">
      <c r="A9" t="s">
        <v>7</v>
      </c>
      <c r="F9" s="12">
        <f t="shared" si="1"/>
        <v>337.56</v>
      </c>
      <c r="G9" s="12">
        <f t="shared" si="1"/>
        <v>337.56</v>
      </c>
      <c r="H9" s="12">
        <f t="shared" si="3"/>
        <v>135.024</v>
      </c>
      <c r="K9" t="s">
        <v>10</v>
      </c>
      <c r="N9" s="12">
        <f t="shared" si="1"/>
        <v>337.56</v>
      </c>
      <c r="O9" s="12">
        <f t="shared" si="1"/>
        <v>337.56</v>
      </c>
      <c r="P9" s="12">
        <f t="shared" si="0"/>
        <v>135.024</v>
      </c>
    </row>
    <row r="10" spans="1:16" x14ac:dyDescent="0.25">
      <c r="A10" t="s">
        <v>8</v>
      </c>
      <c r="F10" s="12">
        <f t="shared" si="1"/>
        <v>337.56</v>
      </c>
      <c r="G10" s="12">
        <f t="shared" si="1"/>
        <v>337.56</v>
      </c>
      <c r="H10" s="12">
        <f t="shared" si="3"/>
        <v>135.024</v>
      </c>
      <c r="K10" t="s">
        <v>13</v>
      </c>
      <c r="N10" s="12">
        <f t="shared" si="1"/>
        <v>337.56</v>
      </c>
      <c r="O10" s="12">
        <f t="shared" si="1"/>
        <v>337.56</v>
      </c>
      <c r="P10" s="12">
        <f t="shared" si="0"/>
        <v>135.024</v>
      </c>
    </row>
    <row r="11" spans="1:16" x14ac:dyDescent="0.25">
      <c r="A11" s="7" t="s">
        <v>29</v>
      </c>
      <c r="B11" s="7"/>
      <c r="C11" s="7"/>
      <c r="F11" s="12">
        <f t="shared" si="1"/>
        <v>337.56</v>
      </c>
      <c r="G11" s="12">
        <f>28.13*3</f>
        <v>84.39</v>
      </c>
      <c r="H11" s="12">
        <f t="shared" si="3"/>
        <v>33.756</v>
      </c>
      <c r="K11" t="s">
        <v>14</v>
      </c>
      <c r="N11" s="12">
        <f t="shared" si="1"/>
        <v>337.56</v>
      </c>
      <c r="O11" s="12">
        <f t="shared" si="1"/>
        <v>337.56</v>
      </c>
      <c r="P11" s="12">
        <f t="shared" si="0"/>
        <v>135.024</v>
      </c>
    </row>
    <row r="12" spans="1:16" x14ac:dyDescent="0.25">
      <c r="A12" t="s">
        <v>9</v>
      </c>
      <c r="F12" s="12">
        <f t="shared" si="1"/>
        <v>337.56</v>
      </c>
      <c r="G12" s="12">
        <f t="shared" si="1"/>
        <v>337.56</v>
      </c>
      <c r="H12" s="12">
        <f t="shared" si="3"/>
        <v>135.024</v>
      </c>
      <c r="N12" s="12"/>
      <c r="O12" s="12"/>
      <c r="P12" s="12"/>
    </row>
    <row r="13" spans="1:16" x14ac:dyDescent="0.25">
      <c r="A13" t="s">
        <v>9</v>
      </c>
      <c r="F13" s="12">
        <f t="shared" si="1"/>
        <v>337.56</v>
      </c>
      <c r="G13" s="12">
        <f t="shared" si="1"/>
        <v>337.56</v>
      </c>
      <c r="H13" s="12">
        <f t="shared" si="3"/>
        <v>135.024</v>
      </c>
      <c r="M13" s="10" t="s">
        <v>51</v>
      </c>
      <c r="N13" s="12">
        <f>SUM(N5:N11)</f>
        <v>1539.2735999999998</v>
      </c>
      <c r="O13" s="12">
        <f t="shared" ref="O13:P13" si="4">SUM(O5:O11)</f>
        <v>1539.2735999999998</v>
      </c>
      <c r="P13" s="12">
        <f t="shared" si="4"/>
        <v>615.70943999999997</v>
      </c>
    </row>
    <row r="14" spans="1:16" x14ac:dyDescent="0.25">
      <c r="A14" t="s">
        <v>11</v>
      </c>
      <c r="F14" s="12">
        <f t="shared" si="1"/>
        <v>337.56</v>
      </c>
      <c r="G14" s="12">
        <f t="shared" si="1"/>
        <v>337.56</v>
      </c>
      <c r="H14" s="12">
        <f t="shared" si="3"/>
        <v>135.024</v>
      </c>
      <c r="N14" s="12"/>
      <c r="O14" s="12"/>
      <c r="P14" s="12"/>
    </row>
    <row r="15" spans="1:16" x14ac:dyDescent="0.25">
      <c r="A15" t="s">
        <v>12</v>
      </c>
      <c r="F15" s="12">
        <f t="shared" si="1"/>
        <v>337.56</v>
      </c>
      <c r="G15" s="12">
        <f t="shared" si="1"/>
        <v>337.56</v>
      </c>
      <c r="H15" s="12">
        <f t="shared" si="3"/>
        <v>135.024</v>
      </c>
      <c r="K15" t="s">
        <v>39</v>
      </c>
      <c r="N15" s="12">
        <f>O13</f>
        <v>1539.2735999999998</v>
      </c>
      <c r="O15" s="12"/>
      <c r="P15" s="12"/>
    </row>
    <row r="16" spans="1:16" x14ac:dyDescent="0.25">
      <c r="A16" s="7" t="s">
        <v>12</v>
      </c>
      <c r="B16" s="7"/>
      <c r="C16" s="7"/>
      <c r="F16" s="12">
        <f t="shared" si="1"/>
        <v>337.56</v>
      </c>
      <c r="G16" s="12">
        <v>0</v>
      </c>
      <c r="H16" s="12">
        <f t="shared" si="3"/>
        <v>0</v>
      </c>
      <c r="K16" t="s">
        <v>37</v>
      </c>
      <c r="N16" s="12">
        <f>P13</f>
        <v>615.70943999999997</v>
      </c>
      <c r="O16" s="12"/>
      <c r="P16" s="12"/>
    </row>
    <row r="17" spans="1:16" x14ac:dyDescent="0.25">
      <c r="A17" s="7" t="s">
        <v>12</v>
      </c>
      <c r="B17" s="7"/>
      <c r="C17" s="7"/>
      <c r="F17" s="12">
        <f t="shared" si="1"/>
        <v>337.56</v>
      </c>
      <c r="G17" s="12">
        <v>0</v>
      </c>
      <c r="H17" s="12">
        <f t="shared" si="3"/>
        <v>0</v>
      </c>
      <c r="K17" t="s">
        <v>38</v>
      </c>
      <c r="N17" s="12">
        <f>N16-N15</f>
        <v>-923.56415999999979</v>
      </c>
      <c r="O17" s="12"/>
      <c r="P17" s="12"/>
    </row>
    <row r="18" spans="1:16" x14ac:dyDescent="0.25">
      <c r="A18" t="s">
        <v>12</v>
      </c>
      <c r="F18" s="12">
        <f t="shared" si="1"/>
        <v>337.56</v>
      </c>
      <c r="G18" s="12">
        <f t="shared" si="1"/>
        <v>337.56</v>
      </c>
      <c r="H18" s="12">
        <f>G18*0.4</f>
        <v>135.024</v>
      </c>
    </row>
    <row r="19" spans="1:16" x14ac:dyDescent="0.25">
      <c r="A19" s="7" t="s">
        <v>12</v>
      </c>
      <c r="B19" s="7"/>
      <c r="C19" s="7"/>
      <c r="F19" s="12">
        <f t="shared" si="1"/>
        <v>337.56</v>
      </c>
      <c r="G19" s="12">
        <v>0</v>
      </c>
      <c r="H19" s="12">
        <v>0</v>
      </c>
    </row>
    <row r="20" spans="1:16" x14ac:dyDescent="0.25">
      <c r="A20" t="s">
        <v>12</v>
      </c>
      <c r="F20" s="12">
        <f t="shared" si="1"/>
        <v>337.56</v>
      </c>
      <c r="G20" s="12">
        <f t="shared" si="1"/>
        <v>337.56</v>
      </c>
      <c r="H20" s="12">
        <f>G20*0.4</f>
        <v>135.024</v>
      </c>
    </row>
    <row r="21" spans="1:16" x14ac:dyDescent="0.25">
      <c r="A21" s="20" t="s">
        <v>9</v>
      </c>
      <c r="B21" s="20"/>
      <c r="C21" s="20"/>
      <c r="F21" s="12">
        <v>0</v>
      </c>
      <c r="G21" s="12">
        <f t="shared" ref="G21:G24" si="5">28.13*12</f>
        <v>337.56</v>
      </c>
      <c r="H21" s="12">
        <f>G21*0.4</f>
        <v>135.024</v>
      </c>
    </row>
    <row r="22" spans="1:16" x14ac:dyDescent="0.25">
      <c r="A22" s="20" t="s">
        <v>15</v>
      </c>
      <c r="B22" s="20"/>
      <c r="C22" s="20"/>
      <c r="F22" s="12">
        <v>0</v>
      </c>
      <c r="G22" s="12">
        <f t="shared" si="5"/>
        <v>337.56</v>
      </c>
      <c r="H22" s="12">
        <f>G22*0.4</f>
        <v>135.024</v>
      </c>
    </row>
    <row r="23" spans="1:16" x14ac:dyDescent="0.25">
      <c r="A23" t="s">
        <v>15</v>
      </c>
      <c r="F23" s="12">
        <f>(28.13*12)*0.88</f>
        <v>297.05279999999999</v>
      </c>
      <c r="G23" s="12">
        <f>(28.13*12)*0.88</f>
        <v>297.05279999999999</v>
      </c>
      <c r="H23" s="12">
        <f>G23*0.4</f>
        <v>118.82112000000001</v>
      </c>
    </row>
    <row r="24" spans="1:16" x14ac:dyDescent="0.25">
      <c r="A24" t="s">
        <v>15</v>
      </c>
      <c r="F24" s="12">
        <f t="shared" ref="F24:F25" si="6">28.13*12</f>
        <v>337.56</v>
      </c>
      <c r="G24" s="12">
        <f t="shared" si="5"/>
        <v>337.56</v>
      </c>
      <c r="H24" s="12">
        <f>G24*0.4</f>
        <v>135.024</v>
      </c>
    </row>
    <row r="25" spans="1:16" x14ac:dyDescent="0.25">
      <c r="A25" s="7" t="s">
        <v>76</v>
      </c>
      <c r="B25" s="7"/>
      <c r="C25" s="7"/>
      <c r="F25" s="12">
        <f t="shared" si="6"/>
        <v>337.56</v>
      </c>
      <c r="G25" s="12">
        <v>0</v>
      </c>
      <c r="H25" s="12">
        <v>0</v>
      </c>
    </row>
    <row r="26" spans="1:16" x14ac:dyDescent="0.25">
      <c r="A26" s="20" t="s">
        <v>12</v>
      </c>
      <c r="B26" s="20"/>
      <c r="C26" s="20"/>
      <c r="F26" s="12">
        <v>0</v>
      </c>
      <c r="G26" s="12">
        <f t="shared" ref="G26:G28" si="7">28.13*12</f>
        <v>337.56</v>
      </c>
      <c r="H26" s="12">
        <f t="shared" ref="H26:H28" si="8">G26*0.4</f>
        <v>135.024</v>
      </c>
    </row>
    <row r="27" spans="1:16" x14ac:dyDescent="0.25">
      <c r="A27" t="s">
        <v>15</v>
      </c>
      <c r="F27" s="12">
        <f t="shared" ref="F27:F29" si="9">28.13*12</f>
        <v>337.56</v>
      </c>
      <c r="G27" s="12">
        <f t="shared" si="7"/>
        <v>337.56</v>
      </c>
      <c r="H27" s="12">
        <f t="shared" si="8"/>
        <v>135.024</v>
      </c>
    </row>
    <row r="28" spans="1:16" x14ac:dyDescent="0.25">
      <c r="A28" t="s">
        <v>15</v>
      </c>
      <c r="F28" s="12">
        <f t="shared" si="9"/>
        <v>337.56</v>
      </c>
      <c r="G28" s="12">
        <f t="shared" si="7"/>
        <v>337.56</v>
      </c>
      <c r="H28" s="12">
        <f t="shared" si="8"/>
        <v>135.024</v>
      </c>
    </row>
    <row r="29" spans="1:16" x14ac:dyDescent="0.25">
      <c r="A29" s="7" t="s">
        <v>31</v>
      </c>
      <c r="B29" s="7"/>
      <c r="C29" s="7"/>
      <c r="F29" s="12">
        <f t="shared" si="9"/>
        <v>337.56</v>
      </c>
      <c r="G29" s="12">
        <v>0</v>
      </c>
      <c r="H29" s="12">
        <v>0</v>
      </c>
    </row>
    <row r="30" spans="1:16" x14ac:dyDescent="0.25">
      <c r="A30" s="7" t="s">
        <v>74</v>
      </c>
      <c r="B30" s="7"/>
      <c r="C30" s="7"/>
      <c r="F30" s="12">
        <f>28.13*1</f>
        <v>28.13</v>
      </c>
      <c r="G30" s="12">
        <v>0</v>
      </c>
      <c r="H30" s="12">
        <v>0</v>
      </c>
    </row>
    <row r="31" spans="1:16" x14ac:dyDescent="0.25">
      <c r="A31" s="7" t="s">
        <v>58</v>
      </c>
      <c r="B31" s="7"/>
      <c r="C31" s="7"/>
      <c r="F31" s="12">
        <f>28.13*3</f>
        <v>84.39</v>
      </c>
      <c r="G31" s="12">
        <v>0</v>
      </c>
      <c r="H31" s="12">
        <v>0</v>
      </c>
    </row>
    <row r="32" spans="1:16" x14ac:dyDescent="0.25">
      <c r="A32" s="7" t="s">
        <v>57</v>
      </c>
      <c r="B32" s="7"/>
      <c r="C32" s="7"/>
      <c r="F32" s="12">
        <f>28.13*3</f>
        <v>84.39</v>
      </c>
      <c r="G32" s="12">
        <v>0</v>
      </c>
      <c r="H32" s="12">
        <v>0</v>
      </c>
    </row>
    <row r="33" spans="1:8" x14ac:dyDescent="0.25">
      <c r="F33" s="12"/>
      <c r="G33" s="12"/>
      <c r="H33" s="12"/>
    </row>
    <row r="34" spans="1:8" x14ac:dyDescent="0.25">
      <c r="E34" s="10" t="s">
        <v>51</v>
      </c>
      <c r="F34" s="12">
        <f>SUM(F5:F33)</f>
        <v>7434.1964000000044</v>
      </c>
      <c r="G34" s="12">
        <f>SUM(G5:G33)</f>
        <v>6308.9964000000027</v>
      </c>
      <c r="H34" s="12">
        <f>SUM(H5:H33)</f>
        <v>2523.598559999999</v>
      </c>
    </row>
    <row r="35" spans="1:8" x14ac:dyDescent="0.25">
      <c r="A35" t="s">
        <v>39</v>
      </c>
      <c r="D35" s="12">
        <f>G34</f>
        <v>6308.9964000000027</v>
      </c>
      <c r="F35" s="12"/>
      <c r="G35" s="12"/>
      <c r="H35" s="12"/>
    </row>
    <row r="36" spans="1:8" x14ac:dyDescent="0.25">
      <c r="A36" t="s">
        <v>37</v>
      </c>
      <c r="D36" s="12">
        <f>H34</f>
        <v>2523.598559999999</v>
      </c>
      <c r="F36" s="12"/>
      <c r="G36" s="12"/>
      <c r="H36" s="12"/>
    </row>
    <row r="37" spans="1:8" x14ac:dyDescent="0.25">
      <c r="A37" t="s">
        <v>38</v>
      </c>
      <c r="D37" s="12">
        <f>D36-D35</f>
        <v>-3785.3978400000037</v>
      </c>
    </row>
  </sheetData>
  <mergeCells count="2">
    <mergeCell ref="F3:I3"/>
    <mergeCell ref="K3:P3"/>
  </mergeCells>
  <pageMargins left="0.7" right="0.7" top="0.75" bottom="0.75" header="0.3" footer="0.3"/>
  <pageSetup scale="90" orientation="landscape" horizontalDpi="0" verticalDpi="0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Wages</vt:lpstr>
      <vt:lpstr>OT &amp; Bonus</vt:lpstr>
      <vt:lpstr>Retirement</vt:lpstr>
      <vt:lpstr>Health Ins</vt:lpstr>
      <vt:lpstr>Dental Ins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HLN</dc:creator>
  <cp:lastModifiedBy>HLN</cp:lastModifiedBy>
  <cp:lastPrinted>2021-08-03T20:15:24Z</cp:lastPrinted>
  <dcterms:created xsi:type="dcterms:W3CDTF">2021-07-06T14:26:19Z</dcterms:created>
  <dcterms:modified xsi:type="dcterms:W3CDTF">2021-08-03T20:23:47Z</dcterms:modified>
</cp:coreProperties>
</file>