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N\Documents\Columbia-Adair County\PSC Application\"/>
    </mc:Choice>
  </mc:AlternateContent>
  <xr:revisionPtr revIDLastSave="0" documentId="13_ncr:1_{B1BDDF7B-BEC7-4166-9977-ED268D4B50A0}" xr6:coauthVersionLast="47" xr6:coauthVersionMax="47" xr10:uidLastSave="{00000000-0000-0000-0000-000000000000}"/>
  <bookViews>
    <workbookView xWindow="-120" yWindow="-120" windowWidth="20730" windowHeight="11160" activeTab="5" xr2:uid="{5E004967-20BE-44FC-9610-D748123F422E}"/>
  </bookViews>
  <sheets>
    <sheet name="Debt-RD Project" sheetId="1" r:id="rId1"/>
    <sheet name="2021 Debt Data" sheetId="2" r:id="rId2"/>
    <sheet name="KRWFC" sheetId="8" r:id="rId3"/>
    <sheet name="RD Debt Data" sheetId="3" r:id="rId4"/>
    <sheet name="5 Yr Water" sheetId="6" r:id="rId5"/>
    <sheet name="5 Yr Sewer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8" l="1"/>
  <c r="E5" i="8"/>
  <c r="D9" i="7"/>
  <c r="R7" i="7"/>
  <c r="O7" i="7"/>
  <c r="L7" i="7"/>
  <c r="I7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Q5" i="7"/>
  <c r="P5" i="7"/>
  <c r="N5" i="7"/>
  <c r="N9" i="7" s="1"/>
  <c r="M5" i="7"/>
  <c r="K5" i="7"/>
  <c r="J5" i="7"/>
  <c r="H6" i="7"/>
  <c r="G6" i="7"/>
  <c r="H5" i="7"/>
  <c r="G5" i="7"/>
  <c r="E5" i="7"/>
  <c r="D5" i="7"/>
  <c r="R5" i="7"/>
  <c r="O5" i="7"/>
  <c r="L5" i="7"/>
  <c r="I5" i="7"/>
  <c r="F5" i="7"/>
  <c r="R6" i="7"/>
  <c r="Q6" i="7"/>
  <c r="P6" i="7"/>
  <c r="O6" i="7"/>
  <c r="N6" i="7"/>
  <c r="M6" i="7"/>
  <c r="L6" i="7"/>
  <c r="K6" i="7"/>
  <c r="J6" i="7"/>
  <c r="I6" i="7"/>
  <c r="I9" i="7" s="1"/>
  <c r="F9" i="7"/>
  <c r="E6" i="7"/>
  <c r="D6" i="7"/>
  <c r="R14" i="6"/>
  <c r="Q14" i="6"/>
  <c r="P14" i="6"/>
  <c r="O14" i="6"/>
  <c r="N14" i="6"/>
  <c r="M14" i="6"/>
  <c r="L14" i="6"/>
  <c r="K14" i="6"/>
  <c r="J14" i="6"/>
  <c r="I14" i="6"/>
  <c r="H14" i="6"/>
  <c r="G14" i="6"/>
  <c r="E14" i="6"/>
  <c r="D14" i="6"/>
  <c r="R9" i="7"/>
  <c r="R8" i="7"/>
  <c r="Q8" i="7"/>
  <c r="P8" i="7"/>
  <c r="P9" i="7" s="1"/>
  <c r="O8" i="7"/>
  <c r="N8" i="7"/>
  <c r="M8" i="7"/>
  <c r="L8" i="7"/>
  <c r="L9" i="7" s="1"/>
  <c r="K8" i="7"/>
  <c r="J8" i="7"/>
  <c r="I8" i="7"/>
  <c r="H8" i="7"/>
  <c r="G8" i="7"/>
  <c r="F8" i="7"/>
  <c r="E8" i="7"/>
  <c r="Q7" i="7"/>
  <c r="P7" i="7"/>
  <c r="N7" i="7"/>
  <c r="M7" i="7"/>
  <c r="K7" i="7"/>
  <c r="J7" i="7"/>
  <c r="J9" i="7" s="1"/>
  <c r="H7" i="7"/>
  <c r="G7" i="7"/>
  <c r="D8" i="7"/>
  <c r="T20" i="2"/>
  <c r="Q20" i="2"/>
  <c r="O13" i="6" s="1"/>
  <c r="N20" i="2"/>
  <c r="L13" i="6" s="1"/>
  <c r="K20" i="2"/>
  <c r="I13" i="6" s="1"/>
  <c r="H20" i="2"/>
  <c r="N19" i="2"/>
  <c r="K19" i="2"/>
  <c r="H19" i="2"/>
  <c r="H15" i="2"/>
  <c r="T22" i="2"/>
  <c r="Q22" i="2"/>
  <c r="N22" i="2"/>
  <c r="L15" i="6" s="1"/>
  <c r="K22" i="2"/>
  <c r="I15" i="6" s="1"/>
  <c r="T23" i="2"/>
  <c r="Q23" i="2"/>
  <c r="N23" i="2"/>
  <c r="K23" i="2"/>
  <c r="T21" i="2"/>
  <c r="Q21" i="2"/>
  <c r="K21" i="2"/>
  <c r="N21" i="2"/>
  <c r="H21" i="2"/>
  <c r="F14" i="6" s="1"/>
  <c r="Z7" i="3"/>
  <c r="Y7" i="3"/>
  <c r="V7" i="3"/>
  <c r="U7" i="3"/>
  <c r="R7" i="3"/>
  <c r="Q7" i="3"/>
  <c r="N7" i="3"/>
  <c r="M7" i="3"/>
  <c r="J7" i="3"/>
  <c r="I7" i="3"/>
  <c r="Q16" i="6"/>
  <c r="P16" i="6"/>
  <c r="N16" i="6"/>
  <c r="M16" i="6"/>
  <c r="K16" i="6"/>
  <c r="J16" i="6"/>
  <c r="H16" i="6"/>
  <c r="G16" i="6"/>
  <c r="E16" i="6"/>
  <c r="D16" i="6"/>
  <c r="R16" i="6"/>
  <c r="O16" i="6"/>
  <c r="L16" i="6"/>
  <c r="I16" i="6"/>
  <c r="F16" i="6"/>
  <c r="R15" i="6"/>
  <c r="Q15" i="6"/>
  <c r="P15" i="6"/>
  <c r="O15" i="6"/>
  <c r="N15" i="6"/>
  <c r="M15" i="6"/>
  <c r="K15" i="6"/>
  <c r="J15" i="6"/>
  <c r="H15" i="6"/>
  <c r="G15" i="6"/>
  <c r="F15" i="6"/>
  <c r="R13" i="6"/>
  <c r="Q13" i="6"/>
  <c r="P13" i="6"/>
  <c r="N13" i="6"/>
  <c r="M13" i="6"/>
  <c r="K13" i="6"/>
  <c r="J13" i="6"/>
  <c r="H13" i="6"/>
  <c r="G13" i="6"/>
  <c r="F13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R9" i="6"/>
  <c r="Q9" i="6"/>
  <c r="P9" i="6"/>
  <c r="O9" i="6"/>
  <c r="N9" i="6"/>
  <c r="M9" i="6"/>
  <c r="L9" i="6"/>
  <c r="K9" i="6"/>
  <c r="J9" i="6"/>
  <c r="I9" i="6"/>
  <c r="H9" i="6"/>
  <c r="G9" i="6"/>
  <c r="F9" i="6"/>
  <c r="R8" i="6"/>
  <c r="Q8" i="6"/>
  <c r="P8" i="6"/>
  <c r="O8" i="6"/>
  <c r="N8" i="6"/>
  <c r="M8" i="6"/>
  <c r="L8" i="6"/>
  <c r="K8" i="6"/>
  <c r="J8" i="6"/>
  <c r="I8" i="6"/>
  <c r="H8" i="6"/>
  <c r="G8" i="6"/>
  <c r="F8" i="6"/>
  <c r="R7" i="6"/>
  <c r="Q7" i="6"/>
  <c r="P7" i="6"/>
  <c r="O7" i="6"/>
  <c r="N7" i="6"/>
  <c r="M7" i="6"/>
  <c r="L7" i="6"/>
  <c r="K7" i="6"/>
  <c r="J7" i="6"/>
  <c r="I7" i="6"/>
  <c r="H7" i="6"/>
  <c r="G7" i="6"/>
  <c r="F7" i="6"/>
  <c r="R6" i="6"/>
  <c r="Q6" i="6"/>
  <c r="P6" i="6"/>
  <c r="O6" i="6"/>
  <c r="N6" i="6"/>
  <c r="M6" i="6"/>
  <c r="L6" i="6"/>
  <c r="K6" i="6"/>
  <c r="J6" i="6"/>
  <c r="I6" i="6"/>
  <c r="H6" i="6"/>
  <c r="G6" i="6"/>
  <c r="F6" i="6"/>
  <c r="R5" i="6"/>
  <c r="Q5" i="6"/>
  <c r="P5" i="6"/>
  <c r="O5" i="6"/>
  <c r="N5" i="6"/>
  <c r="M5" i="6"/>
  <c r="L5" i="6"/>
  <c r="K5" i="6"/>
  <c r="J5" i="6"/>
  <c r="I5" i="6"/>
  <c r="H5" i="6"/>
  <c r="G5" i="6"/>
  <c r="F5" i="6"/>
  <c r="R4" i="6"/>
  <c r="Q4" i="6"/>
  <c r="P4" i="6"/>
  <c r="O4" i="6"/>
  <c r="N4" i="6"/>
  <c r="M4" i="6"/>
  <c r="L4" i="6"/>
  <c r="K4" i="6"/>
  <c r="J4" i="6"/>
  <c r="I4" i="6"/>
  <c r="H4" i="6"/>
  <c r="G4" i="6"/>
  <c r="F4" i="6"/>
  <c r="E15" i="6"/>
  <c r="E13" i="6"/>
  <c r="E12" i="6"/>
  <c r="E10" i="6"/>
  <c r="E9" i="6"/>
  <c r="E8" i="6"/>
  <c r="E7" i="6"/>
  <c r="E6" i="6"/>
  <c r="E5" i="6"/>
  <c r="E4" i="6"/>
  <c r="D15" i="6"/>
  <c r="D13" i="6"/>
  <c r="D12" i="6"/>
  <c r="D10" i="6"/>
  <c r="D9" i="6"/>
  <c r="D8" i="6"/>
  <c r="D7" i="6"/>
  <c r="D6" i="6"/>
  <c r="D5" i="6"/>
  <c r="D4" i="6"/>
  <c r="Q9" i="7" l="1"/>
  <c r="M9" i="7"/>
  <c r="K9" i="7"/>
  <c r="E9" i="7"/>
  <c r="G9" i="7"/>
  <c r="O9" i="7"/>
  <c r="H9" i="7"/>
  <c r="R18" i="6"/>
  <c r="F18" i="6"/>
  <c r="O18" i="6"/>
  <c r="L18" i="6"/>
  <c r="I18" i="6"/>
  <c r="J18" i="6"/>
  <c r="R21" i="2"/>
  <c r="P18" i="6" s="1"/>
  <c r="O21" i="2"/>
  <c r="M18" i="6" s="1"/>
  <c r="L21" i="2"/>
  <c r="I21" i="2"/>
  <c r="G18" i="6" s="1"/>
  <c r="F21" i="2"/>
  <c r="D18" i="6" s="1"/>
  <c r="S18" i="2"/>
  <c r="P18" i="2"/>
  <c r="M18" i="2"/>
  <c r="J18" i="2"/>
  <c r="G18" i="2"/>
  <c r="S14" i="2"/>
  <c r="P14" i="2"/>
  <c r="M14" i="2"/>
  <c r="J14" i="2"/>
  <c r="G14" i="2"/>
  <c r="S13" i="2"/>
  <c r="P13" i="2"/>
  <c r="M13" i="2"/>
  <c r="J13" i="2"/>
  <c r="G13" i="2"/>
  <c r="S11" i="2"/>
  <c r="P11" i="2"/>
  <c r="M11" i="2"/>
  <c r="J11" i="2"/>
  <c r="G11" i="2"/>
  <c r="F11" i="2"/>
  <c r="K7" i="3"/>
  <c r="O7" i="3" s="1"/>
  <c r="G7" i="3"/>
  <c r="G21" i="2"/>
  <c r="E18" i="6" s="1"/>
  <c r="AA6" i="3"/>
  <c r="AA5" i="3"/>
  <c r="AA4" i="3"/>
  <c r="AA3" i="3"/>
  <c r="Z6" i="3"/>
  <c r="Z5" i="3"/>
  <c r="Z4" i="3"/>
  <c r="Z3" i="3"/>
  <c r="Y6" i="3"/>
  <c r="Y5" i="3"/>
  <c r="Y4" i="3"/>
  <c r="Y3" i="3"/>
  <c r="W6" i="3"/>
  <c r="W5" i="3"/>
  <c r="W4" i="3"/>
  <c r="W3" i="3"/>
  <c r="V6" i="3"/>
  <c r="V5" i="3"/>
  <c r="V4" i="3"/>
  <c r="V3" i="3"/>
  <c r="U6" i="3"/>
  <c r="U5" i="3"/>
  <c r="U4" i="3"/>
  <c r="U3" i="3"/>
  <c r="S6" i="3"/>
  <c r="S5" i="3"/>
  <c r="S4" i="3"/>
  <c r="S3" i="3"/>
  <c r="R6" i="3"/>
  <c r="R5" i="3"/>
  <c r="R4" i="3"/>
  <c r="R3" i="3"/>
  <c r="Q6" i="3"/>
  <c r="Q5" i="3"/>
  <c r="Q4" i="3"/>
  <c r="Q3" i="3"/>
  <c r="O6" i="3"/>
  <c r="O5" i="3"/>
  <c r="O4" i="3"/>
  <c r="O3" i="3"/>
  <c r="N6" i="3"/>
  <c r="N5" i="3"/>
  <c r="N4" i="3"/>
  <c r="N3" i="3"/>
  <c r="M6" i="3"/>
  <c r="M5" i="3"/>
  <c r="M4" i="3"/>
  <c r="M3" i="3"/>
  <c r="K6" i="3"/>
  <c r="J6" i="3"/>
  <c r="I6" i="3"/>
  <c r="K5" i="3"/>
  <c r="J5" i="3"/>
  <c r="I5" i="3"/>
  <c r="K4" i="3"/>
  <c r="J4" i="3"/>
  <c r="I4" i="3"/>
  <c r="G6" i="3"/>
  <c r="G5" i="3"/>
  <c r="G4" i="3"/>
  <c r="F6" i="3"/>
  <c r="F5" i="3"/>
  <c r="F4" i="3"/>
  <c r="D6" i="3"/>
  <c r="D5" i="3"/>
  <c r="D4" i="3"/>
  <c r="J3" i="3"/>
  <c r="F3" i="3"/>
  <c r="D3" i="3"/>
  <c r="C11" i="7" l="1"/>
  <c r="C13" i="7" s="1"/>
  <c r="J21" i="2"/>
  <c r="H18" i="6" s="1"/>
  <c r="S7" i="3"/>
  <c r="G3" i="3"/>
  <c r="I3" i="3"/>
  <c r="M21" i="2" l="1"/>
  <c r="K18" i="6" s="1"/>
  <c r="W7" i="3"/>
  <c r="K3" i="3"/>
  <c r="S17" i="2"/>
  <c r="P17" i="2"/>
  <c r="M17" i="2"/>
  <c r="J17" i="2"/>
  <c r="G17" i="2"/>
  <c r="P21" i="2" l="1"/>
  <c r="N18" i="6" s="1"/>
  <c r="AA7" i="3"/>
  <c r="S21" i="2"/>
  <c r="Q18" i="6" s="1"/>
  <c r="G24" i="2"/>
  <c r="J24" i="2"/>
  <c r="M24" i="2"/>
  <c r="P24" i="2"/>
  <c r="S24" i="2"/>
  <c r="S23" i="2"/>
  <c r="R23" i="2"/>
  <c r="P23" i="2"/>
  <c r="O23" i="2"/>
  <c r="M23" i="2"/>
  <c r="L23" i="2"/>
  <c r="J23" i="2"/>
  <c r="I23" i="2"/>
  <c r="S22" i="2"/>
  <c r="R22" i="2"/>
  <c r="P22" i="2"/>
  <c r="O22" i="2"/>
  <c r="M22" i="2"/>
  <c r="L22" i="2"/>
  <c r="J22" i="2"/>
  <c r="I22" i="2"/>
  <c r="F18" i="2"/>
  <c r="F14" i="2"/>
  <c r="F13" i="2"/>
  <c r="S20" i="2"/>
  <c r="R20" i="2"/>
  <c r="P20" i="2"/>
  <c r="O20" i="2"/>
  <c r="M20" i="2"/>
  <c r="L20" i="2"/>
  <c r="J20" i="2"/>
  <c r="I20" i="2"/>
  <c r="G20" i="2"/>
  <c r="F20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T19" i="2"/>
  <c r="S19" i="2"/>
  <c r="R19" i="2"/>
  <c r="Q19" i="2"/>
  <c r="P19" i="2"/>
  <c r="O19" i="2"/>
  <c r="M19" i="2"/>
  <c r="L19" i="2"/>
  <c r="J19" i="2"/>
  <c r="I19" i="2"/>
  <c r="G19" i="2"/>
  <c r="F19" i="2"/>
  <c r="T15" i="2"/>
  <c r="S15" i="2"/>
  <c r="R15" i="2"/>
  <c r="Q15" i="2"/>
  <c r="P15" i="2"/>
  <c r="O15" i="2"/>
  <c r="N15" i="2"/>
  <c r="M15" i="2"/>
  <c r="L15" i="2"/>
  <c r="K15" i="2"/>
  <c r="J15" i="2"/>
  <c r="I15" i="2"/>
  <c r="G15" i="2"/>
  <c r="F15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J22" i="1"/>
  <c r="D20" i="6" l="1"/>
  <c r="D22" i="6" s="1"/>
  <c r="Q17" i="1"/>
  <c r="Q16" i="1"/>
  <c r="Q14" i="1"/>
  <c r="Q13" i="1"/>
  <c r="Q12" i="1"/>
  <c r="Q11" i="1"/>
  <c r="Q22" i="1" s="1"/>
  <c r="Q26" i="1" s="1"/>
  <c r="I22" i="1" l="1"/>
  <c r="I23" i="1" s="1"/>
  <c r="O22" i="1"/>
  <c r="H21" i="1" l="1"/>
  <c r="H20" i="1"/>
  <c r="H19" i="1"/>
  <c r="H18" i="1"/>
  <c r="H17" i="1"/>
  <c r="H16" i="1"/>
  <c r="H14" i="1"/>
  <c r="H13" i="1"/>
  <c r="H12" i="1"/>
  <c r="H11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<sst xmlns="http://schemas.openxmlformats.org/spreadsheetml/2006/main" count="315" uniqueCount="74">
  <si>
    <t>Project Type</t>
  </si>
  <si>
    <t>Type of Loan</t>
  </si>
  <si>
    <t>Owed to:</t>
  </si>
  <si>
    <t>Balance</t>
  </si>
  <si>
    <t>Terms (yrs)</t>
  </si>
  <si>
    <t>Date of 1st Payment</t>
  </si>
  <si>
    <t>Annual Payment</t>
  </si>
  <si>
    <t>Annual Reserve</t>
  </si>
  <si>
    <t>Reserve on Hand</t>
  </si>
  <si>
    <t>Interest Rate</t>
  </si>
  <si>
    <t>Maturity Date</t>
  </si>
  <si>
    <t>Water</t>
  </si>
  <si>
    <t>Year</t>
  </si>
  <si>
    <t>sewer</t>
  </si>
  <si>
    <t>RD</t>
  </si>
  <si>
    <t>KIA</t>
  </si>
  <si>
    <t>KRWFC</t>
  </si>
  <si>
    <t>Existing RD</t>
  </si>
  <si>
    <t>Other</t>
  </si>
  <si>
    <t>Proposed</t>
  </si>
  <si>
    <t>Total Reserve Required</t>
  </si>
  <si>
    <t>Reserve should have on hand</t>
  </si>
  <si>
    <t>restricted cash - 18 audit</t>
  </si>
  <si>
    <t>monthly deposits should be this</t>
  </si>
  <si>
    <t>Water/sewer</t>
  </si>
  <si>
    <t>Principal &amp; Interest Payments</t>
  </si>
  <si>
    <t xml:space="preserve">Principal </t>
  </si>
  <si>
    <t>Interest</t>
  </si>
  <si>
    <t>Loan #</t>
  </si>
  <si>
    <t>F06-01</t>
  </si>
  <si>
    <t>F07-01</t>
  </si>
  <si>
    <t>F10-01</t>
  </si>
  <si>
    <t>F11-10</t>
  </si>
  <si>
    <t>F12-04</t>
  </si>
  <si>
    <t>91-18</t>
  </si>
  <si>
    <t>91-46</t>
  </si>
  <si>
    <t>91-40</t>
  </si>
  <si>
    <t>91-20</t>
  </si>
  <si>
    <t>91-47</t>
  </si>
  <si>
    <t>91-22</t>
  </si>
  <si>
    <t>91-45</t>
  </si>
  <si>
    <t>91-24</t>
  </si>
  <si>
    <t>93-42</t>
  </si>
  <si>
    <t>RD Bonds refinanced in 2020 with KRWFC</t>
  </si>
  <si>
    <t>92-41</t>
  </si>
  <si>
    <t>F10-02</t>
  </si>
  <si>
    <t>F20-009</t>
  </si>
  <si>
    <t>A20-016</t>
  </si>
  <si>
    <t>2013 D</t>
  </si>
  <si>
    <t>RD Loan</t>
  </si>
  <si>
    <t>Number</t>
  </si>
  <si>
    <t>Principal</t>
  </si>
  <si>
    <t>Refinancing</t>
  </si>
  <si>
    <t>% Water</t>
  </si>
  <si>
    <t>2020 G</t>
  </si>
  <si>
    <t>Totals:</t>
  </si>
  <si>
    <t>Five Year Total:</t>
  </si>
  <si>
    <t>Five Year Average:</t>
  </si>
  <si>
    <t>Service Fee/Reserve</t>
  </si>
  <si>
    <t>Five Year Total</t>
  </si>
  <si>
    <t xml:space="preserve"> </t>
  </si>
  <si>
    <t>Five Year Average</t>
  </si>
  <si>
    <t>Sewer</t>
  </si>
  <si>
    <r>
      <t>Water/</t>
    </r>
    <r>
      <rPr>
        <i/>
        <sz val="11"/>
        <color theme="1"/>
        <rFont val="Calibri"/>
        <family val="2"/>
        <scheme val="minor"/>
      </rPr>
      <t>sewer</t>
    </r>
  </si>
  <si>
    <t>Loan</t>
  </si>
  <si>
    <t>Bonds</t>
  </si>
  <si>
    <t>Loan - in construction</t>
  </si>
  <si>
    <t>Bonds - in construction</t>
  </si>
  <si>
    <t>RD 2021</t>
  </si>
  <si>
    <t>Total Amount of Refinancing:</t>
  </si>
  <si>
    <t>Amount of Sewer Portion:</t>
  </si>
  <si>
    <t>Percent Sewer:</t>
  </si>
  <si>
    <t>WATER DEBT - 5 YEAR AVERAGE</t>
  </si>
  <si>
    <t>SEWER DEBT - 5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</si>
</sst>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164" fontId="0" fillId="0" borderId="0" xfId="1" applyNumberFormat="1" applyFont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2" xfId="1" applyNumberFormat="1" applyFont="1" applyBorder="1"/>
    <xf numFmtId="44" fontId="0" fillId="0" borderId="2" xfId="2" applyFont="1" applyBorder="1"/>
    <xf numFmtId="0" fontId="2" fillId="0" borderId="0" xfId="0" applyFont="1"/>
    <xf numFmtId="0" fontId="0" fillId="0" borderId="1" xfId="0" applyFill="1" applyBorder="1"/>
    <xf numFmtId="0" fontId="0" fillId="2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3" applyNumberFormat="1" applyFont="1"/>
    <xf numFmtId="44" fontId="0" fillId="0" borderId="0" xfId="2" applyFont="1"/>
    <xf numFmtId="43" fontId="0" fillId="0" borderId="0" xfId="1" applyFont="1"/>
    <xf numFmtId="9" fontId="0" fillId="0" borderId="0" xfId="0" applyNumberFormat="1"/>
    <xf numFmtId="43" fontId="0" fillId="0" borderId="0" xfId="0" applyNumberFormat="1"/>
    <xf numFmtId="0" fontId="0" fillId="3" borderId="0" xfId="0" applyFill="1"/>
    <xf numFmtId="43" fontId="0" fillId="3" borderId="0" xfId="0" applyNumberFormat="1" applyFill="1"/>
    <xf numFmtId="0" fontId="3" fillId="0" borderId="1" xfId="0" applyFont="1" applyFill="1" applyBorder="1" applyAlignment="1">
      <alignment wrapText="1"/>
    </xf>
    <xf numFmtId="43" fontId="0" fillId="0" borderId="1" xfId="0" applyNumberFormat="1" applyBorder="1"/>
    <xf numFmtId="0" fontId="0" fillId="0" borderId="0" xfId="0" applyFill="1"/>
    <xf numFmtId="0" fontId="0" fillId="4" borderId="0" xfId="0" applyFill="1"/>
    <xf numFmtId="9" fontId="0" fillId="0" borderId="0" xfId="3" applyFont="1"/>
    <xf numFmtId="9" fontId="0" fillId="0" borderId="0" xfId="3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BD8E-952D-4C6F-AA60-9F116324509B}">
  <dimension ref="A1:R26"/>
  <sheetViews>
    <sheetView topLeftCell="A10" workbookViewId="0">
      <selection activeCell="G16" sqref="G16"/>
    </sheetView>
  </sheetViews>
  <sheetFormatPr defaultRowHeight="15" x14ac:dyDescent="0.25"/>
  <cols>
    <col min="2" max="2" width="12.7109375" bestFit="1" customWidth="1"/>
    <col min="3" max="3" width="12.140625" customWidth="1"/>
    <col min="6" max="6" width="11.28515625" customWidth="1"/>
    <col min="7" max="7" width="12.140625" customWidth="1"/>
    <col min="9" max="9" width="10.5703125" bestFit="1" customWidth="1"/>
    <col min="15" max="15" width="13.28515625" bestFit="1" customWidth="1"/>
    <col min="17" max="17" width="11.85546875" customWidth="1"/>
  </cols>
  <sheetData>
    <row r="1" spans="1:17" ht="45" x14ac:dyDescent="0.25">
      <c r="A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O1" s="5" t="s">
        <v>20</v>
      </c>
      <c r="Q1" s="6" t="s">
        <v>21</v>
      </c>
    </row>
    <row r="2" spans="1:17" x14ac:dyDescent="0.25">
      <c r="A2">
        <v>2004</v>
      </c>
      <c r="B2" t="s">
        <v>11</v>
      </c>
      <c r="C2" t="s">
        <v>17</v>
      </c>
      <c r="D2" t="s">
        <v>14</v>
      </c>
      <c r="E2">
        <v>994000</v>
      </c>
      <c r="F2">
        <v>40</v>
      </c>
      <c r="G2" s="3">
        <v>38169</v>
      </c>
      <c r="H2">
        <f>20612+21122+24000</f>
        <v>65734</v>
      </c>
      <c r="J2">
        <v>69000</v>
      </c>
      <c r="K2">
        <v>4.25</v>
      </c>
      <c r="L2">
        <v>2043</v>
      </c>
      <c r="O2">
        <v>69000</v>
      </c>
      <c r="Q2">
        <v>69000</v>
      </c>
    </row>
    <row r="3" spans="1:17" x14ac:dyDescent="0.25">
      <c r="A3">
        <v>2004</v>
      </c>
      <c r="B3" t="s">
        <v>11</v>
      </c>
      <c r="C3" t="s">
        <v>17</v>
      </c>
      <c r="D3" t="s">
        <v>14</v>
      </c>
      <c r="E3">
        <v>393500</v>
      </c>
      <c r="F3">
        <v>40</v>
      </c>
      <c r="G3" s="3">
        <v>38169</v>
      </c>
      <c r="H3">
        <f>8561+8561+10000</f>
        <v>27122</v>
      </c>
      <c r="J3">
        <v>27600</v>
      </c>
      <c r="K3">
        <v>4.25</v>
      </c>
      <c r="L3">
        <v>2043</v>
      </c>
      <c r="O3">
        <v>27600</v>
      </c>
      <c r="Q3">
        <v>27600</v>
      </c>
    </row>
    <row r="4" spans="1:17" x14ac:dyDescent="0.25">
      <c r="A4">
        <v>2006</v>
      </c>
      <c r="B4" t="s">
        <v>11</v>
      </c>
      <c r="C4" t="s">
        <v>17</v>
      </c>
      <c r="D4" t="s">
        <v>14</v>
      </c>
      <c r="E4">
        <v>2943500</v>
      </c>
      <c r="F4">
        <v>40</v>
      </c>
      <c r="G4" s="3">
        <v>38899</v>
      </c>
      <c r="H4">
        <f>63087+64389+59500</f>
        <v>186976</v>
      </c>
      <c r="J4">
        <v>206400</v>
      </c>
      <c r="K4">
        <v>4.375</v>
      </c>
      <c r="L4">
        <v>2045</v>
      </c>
      <c r="O4">
        <v>206400</v>
      </c>
      <c r="Q4">
        <v>206400</v>
      </c>
    </row>
    <row r="5" spans="1:17" x14ac:dyDescent="0.25">
      <c r="A5">
        <v>2007</v>
      </c>
      <c r="B5" t="s">
        <v>11</v>
      </c>
      <c r="C5" t="s">
        <v>17</v>
      </c>
      <c r="D5" t="s">
        <v>14</v>
      </c>
      <c r="E5">
        <v>639000</v>
      </c>
      <c r="F5">
        <v>40</v>
      </c>
      <c r="G5" s="3">
        <v>39264</v>
      </c>
      <c r="H5">
        <f>13302+13578+13000</f>
        <v>39880</v>
      </c>
      <c r="J5">
        <v>40240</v>
      </c>
      <c r="K5">
        <v>4.25</v>
      </c>
      <c r="L5">
        <v>2046</v>
      </c>
      <c r="O5">
        <v>40240</v>
      </c>
      <c r="Q5">
        <v>40240</v>
      </c>
    </row>
    <row r="6" spans="1:17" x14ac:dyDescent="0.25">
      <c r="A6">
        <v>2008</v>
      </c>
      <c r="B6" t="s">
        <v>11</v>
      </c>
      <c r="C6" t="s">
        <v>17</v>
      </c>
      <c r="D6" t="s">
        <v>14</v>
      </c>
      <c r="E6">
        <v>265400</v>
      </c>
      <c r="F6">
        <v>40</v>
      </c>
      <c r="G6" s="3">
        <v>39630</v>
      </c>
      <c r="H6">
        <f>5702+5805+4700</f>
        <v>16207</v>
      </c>
      <c r="K6">
        <v>4.375</v>
      </c>
      <c r="L6">
        <v>2048</v>
      </c>
    </row>
    <row r="7" spans="1:17" x14ac:dyDescent="0.25">
      <c r="A7">
        <v>2008</v>
      </c>
      <c r="B7" t="s">
        <v>13</v>
      </c>
      <c r="C7" t="s">
        <v>17</v>
      </c>
      <c r="D7" t="s">
        <v>14</v>
      </c>
      <c r="E7">
        <v>99200</v>
      </c>
      <c r="F7">
        <v>40</v>
      </c>
      <c r="G7" s="3">
        <v>39630</v>
      </c>
      <c r="H7">
        <f>2046+2046+2000</f>
        <v>6092</v>
      </c>
      <c r="J7">
        <v>6600</v>
      </c>
      <c r="K7">
        <v>4.125</v>
      </c>
      <c r="L7">
        <v>2047</v>
      </c>
      <c r="O7">
        <v>6600</v>
      </c>
      <c r="Q7">
        <v>6600</v>
      </c>
    </row>
    <row r="8" spans="1:17" x14ac:dyDescent="0.25">
      <c r="A8">
        <v>2008</v>
      </c>
      <c r="B8" t="s">
        <v>11</v>
      </c>
      <c r="C8" t="s">
        <v>18</v>
      </c>
      <c r="D8" t="s">
        <v>15</v>
      </c>
      <c r="E8">
        <v>2032831</v>
      </c>
      <c r="F8">
        <v>20</v>
      </c>
      <c r="G8" s="3">
        <v>39783</v>
      </c>
      <c r="H8">
        <f>127571+127428</f>
        <v>254999</v>
      </c>
      <c r="J8">
        <v>368000</v>
      </c>
      <c r="K8">
        <v>1</v>
      </c>
      <c r="L8">
        <v>2028</v>
      </c>
      <c r="O8">
        <v>368000</v>
      </c>
      <c r="Q8">
        <v>368000</v>
      </c>
    </row>
    <row r="9" spans="1:17" x14ac:dyDescent="0.25">
      <c r="A9">
        <v>2009</v>
      </c>
      <c r="B9" t="s">
        <v>11</v>
      </c>
      <c r="C9" t="s">
        <v>17</v>
      </c>
      <c r="D9" t="s">
        <v>14</v>
      </c>
      <c r="E9">
        <v>972500</v>
      </c>
      <c r="F9">
        <v>40</v>
      </c>
      <c r="G9" s="3">
        <v>39995</v>
      </c>
      <c r="H9">
        <f>11307+11548</f>
        <v>22855</v>
      </c>
      <c r="J9">
        <v>47040</v>
      </c>
      <c r="K9">
        <v>2.375</v>
      </c>
      <c r="L9">
        <v>2050</v>
      </c>
      <c r="O9">
        <v>47040</v>
      </c>
      <c r="Q9">
        <v>47040</v>
      </c>
    </row>
    <row r="10" spans="1:17" x14ac:dyDescent="0.25">
      <c r="A10">
        <v>2009</v>
      </c>
      <c r="B10" t="s">
        <v>11</v>
      </c>
      <c r="C10" t="s">
        <v>18</v>
      </c>
      <c r="D10" t="s">
        <v>15</v>
      </c>
      <c r="E10">
        <v>474750</v>
      </c>
      <c r="F10">
        <v>20</v>
      </c>
      <c r="G10" s="3">
        <v>39965</v>
      </c>
      <c r="H10">
        <v>20300</v>
      </c>
      <c r="J10">
        <v>301200</v>
      </c>
      <c r="K10">
        <v>1</v>
      </c>
      <c r="L10">
        <v>2028</v>
      </c>
      <c r="O10">
        <v>301200</v>
      </c>
      <c r="Q10">
        <v>301200</v>
      </c>
    </row>
    <row r="11" spans="1:17" x14ac:dyDescent="0.25">
      <c r="A11">
        <v>2011</v>
      </c>
      <c r="B11" t="s">
        <v>11</v>
      </c>
      <c r="C11" t="s">
        <v>17</v>
      </c>
      <c r="D11" t="s">
        <v>14</v>
      </c>
      <c r="E11">
        <v>1072500</v>
      </c>
      <c r="F11">
        <v>40</v>
      </c>
      <c r="G11" s="3">
        <v>40725</v>
      </c>
      <c r="H11">
        <f>15742+16087+23000</f>
        <v>54829</v>
      </c>
      <c r="I11">
        <v>4740</v>
      </c>
      <c r="J11">
        <v>42660</v>
      </c>
      <c r="K11">
        <v>3</v>
      </c>
      <c r="L11">
        <v>2051</v>
      </c>
      <c r="O11">
        <v>47400</v>
      </c>
      <c r="Q11">
        <f>4740*9</f>
        <v>42660</v>
      </c>
    </row>
    <row r="12" spans="1:17" x14ac:dyDescent="0.25">
      <c r="A12">
        <v>2012</v>
      </c>
      <c r="B12" t="s">
        <v>11</v>
      </c>
      <c r="C12" t="s">
        <v>17</v>
      </c>
      <c r="D12" t="s">
        <v>14</v>
      </c>
      <c r="E12">
        <v>1333000</v>
      </c>
      <c r="F12">
        <v>40</v>
      </c>
      <c r="G12" s="3">
        <v>41091</v>
      </c>
      <c r="H12">
        <f>13876+14163+27000</f>
        <v>55039</v>
      </c>
      <c r="I12">
        <v>5880</v>
      </c>
      <c r="J12">
        <v>25738</v>
      </c>
      <c r="K12">
        <v>2.125</v>
      </c>
      <c r="L12">
        <v>2052</v>
      </c>
      <c r="O12">
        <v>58800</v>
      </c>
      <c r="Q12">
        <f>5880*8</f>
        <v>47040</v>
      </c>
    </row>
    <row r="13" spans="1:17" x14ac:dyDescent="0.25">
      <c r="A13">
        <v>2012</v>
      </c>
      <c r="B13" t="s">
        <v>11</v>
      </c>
      <c r="C13" t="s">
        <v>18</v>
      </c>
      <c r="D13" t="s">
        <v>15</v>
      </c>
      <c r="E13">
        <v>1097994</v>
      </c>
      <c r="F13">
        <v>20</v>
      </c>
      <c r="G13" s="3">
        <v>41244</v>
      </c>
      <c r="H13">
        <f>13876+14163+27000</f>
        <v>55039</v>
      </c>
      <c r="I13">
        <v>4250</v>
      </c>
      <c r="K13">
        <v>1</v>
      </c>
      <c r="L13">
        <v>2032</v>
      </c>
      <c r="O13">
        <v>42500</v>
      </c>
      <c r="Q13">
        <f>4250*8</f>
        <v>34000</v>
      </c>
    </row>
    <row r="14" spans="1:17" x14ac:dyDescent="0.25">
      <c r="A14">
        <v>2013</v>
      </c>
      <c r="B14" t="s">
        <v>11</v>
      </c>
      <c r="C14" t="s">
        <v>18</v>
      </c>
      <c r="D14" t="s">
        <v>15</v>
      </c>
      <c r="E14">
        <v>2689800</v>
      </c>
      <c r="F14">
        <v>20</v>
      </c>
      <c r="G14" s="3">
        <v>41426</v>
      </c>
      <c r="H14">
        <f>113944+113822</f>
        <v>227766</v>
      </c>
      <c r="I14">
        <v>10000</v>
      </c>
      <c r="K14">
        <v>1</v>
      </c>
      <c r="L14">
        <v>2032</v>
      </c>
      <c r="O14">
        <v>100000</v>
      </c>
      <c r="Q14">
        <f>10000*7</f>
        <v>70000</v>
      </c>
    </row>
    <row r="15" spans="1:17" x14ac:dyDescent="0.25">
      <c r="A15">
        <v>2013</v>
      </c>
      <c r="B15" t="s">
        <v>24</v>
      </c>
      <c r="C15" t="s">
        <v>18</v>
      </c>
      <c r="D15" t="s">
        <v>16</v>
      </c>
      <c r="E15">
        <v>3552915</v>
      </c>
      <c r="F15">
        <v>26</v>
      </c>
      <c r="G15" s="3">
        <v>41487</v>
      </c>
      <c r="H15">
        <v>296686</v>
      </c>
      <c r="K15">
        <v>3.9</v>
      </c>
      <c r="L15">
        <v>2040</v>
      </c>
    </row>
    <row r="16" spans="1:17" x14ac:dyDescent="0.25">
      <c r="A16">
        <v>2014</v>
      </c>
      <c r="B16" t="s">
        <v>13</v>
      </c>
      <c r="C16" t="s">
        <v>17</v>
      </c>
      <c r="D16" t="s">
        <v>14</v>
      </c>
      <c r="E16">
        <v>655500</v>
      </c>
      <c r="F16">
        <v>40</v>
      </c>
      <c r="G16" s="3">
        <v>41821</v>
      </c>
      <c r="H16">
        <f>6018+6145+13500</f>
        <v>25663</v>
      </c>
      <c r="I16">
        <v>2580</v>
      </c>
      <c r="K16">
        <v>1.875</v>
      </c>
      <c r="L16">
        <v>2054</v>
      </c>
      <c r="O16">
        <v>25800</v>
      </c>
      <c r="Q16">
        <f>2580*5</f>
        <v>12900</v>
      </c>
    </row>
    <row r="17" spans="1:18" x14ac:dyDescent="0.25">
      <c r="A17">
        <v>2015</v>
      </c>
      <c r="B17" t="s">
        <v>11</v>
      </c>
      <c r="C17" t="s">
        <v>18</v>
      </c>
      <c r="D17" t="s">
        <v>15</v>
      </c>
      <c r="E17">
        <v>743436</v>
      </c>
      <c r="F17">
        <v>30</v>
      </c>
      <c r="G17" s="3">
        <v>42156</v>
      </c>
      <c r="H17">
        <f>17770+17754</f>
        <v>35524</v>
      </c>
      <c r="I17">
        <v>7300</v>
      </c>
      <c r="K17">
        <v>1</v>
      </c>
      <c r="L17">
        <v>2044</v>
      </c>
      <c r="O17">
        <v>73000</v>
      </c>
      <c r="Q17">
        <f>7300*4</f>
        <v>29200</v>
      </c>
    </row>
    <row r="18" spans="1:18" x14ac:dyDescent="0.25">
      <c r="A18">
        <v>2019</v>
      </c>
      <c r="B18" t="s">
        <v>11</v>
      </c>
      <c r="C18" t="s">
        <v>18</v>
      </c>
      <c r="D18" t="s">
        <v>15</v>
      </c>
      <c r="E18">
        <v>2417515</v>
      </c>
      <c r="F18">
        <v>30</v>
      </c>
      <c r="G18" s="3">
        <v>43617</v>
      </c>
      <c r="H18">
        <f>49478+49431</f>
        <v>98909</v>
      </c>
      <c r="I18">
        <v>10000</v>
      </c>
      <c r="K18">
        <v>0.75</v>
      </c>
      <c r="L18">
        <v>2048</v>
      </c>
      <c r="O18">
        <v>100000</v>
      </c>
      <c r="Q18">
        <v>10000</v>
      </c>
    </row>
    <row r="19" spans="1:18" x14ac:dyDescent="0.25">
      <c r="A19">
        <v>2020</v>
      </c>
      <c r="B19" t="s">
        <v>24</v>
      </c>
      <c r="C19" t="s">
        <v>19</v>
      </c>
      <c r="D19" t="s">
        <v>14</v>
      </c>
      <c r="E19">
        <v>1815000</v>
      </c>
      <c r="F19">
        <v>40</v>
      </c>
      <c r="G19" s="3">
        <v>44378</v>
      </c>
      <c r="H19">
        <f>29110+38286</f>
        <v>67396</v>
      </c>
      <c r="K19">
        <v>2.125</v>
      </c>
      <c r="L19">
        <v>2061</v>
      </c>
    </row>
    <row r="20" spans="1:18" x14ac:dyDescent="0.25">
      <c r="A20">
        <v>2020</v>
      </c>
      <c r="B20" t="s">
        <v>11</v>
      </c>
      <c r="C20" t="s">
        <v>19</v>
      </c>
      <c r="D20" t="s">
        <v>15</v>
      </c>
      <c r="E20">
        <v>1342530</v>
      </c>
      <c r="F20">
        <v>30</v>
      </c>
      <c r="G20" s="3">
        <v>44531</v>
      </c>
      <c r="H20">
        <f>63988+9948</f>
        <v>73936</v>
      </c>
      <c r="K20">
        <v>0.5</v>
      </c>
      <c r="L20">
        <v>2051</v>
      </c>
    </row>
    <row r="21" spans="1:18" x14ac:dyDescent="0.25">
      <c r="A21">
        <v>2020</v>
      </c>
      <c r="B21" t="s">
        <v>13</v>
      </c>
      <c r="C21" t="s">
        <v>19</v>
      </c>
      <c r="D21" t="s">
        <v>15</v>
      </c>
      <c r="E21">
        <v>1433870</v>
      </c>
      <c r="F21">
        <v>30</v>
      </c>
      <c r="G21" s="3">
        <v>44531</v>
      </c>
      <c r="H21">
        <f>100325+15597</f>
        <v>115922</v>
      </c>
      <c r="K21">
        <v>0.5</v>
      </c>
      <c r="L21">
        <v>2051</v>
      </c>
    </row>
    <row r="22" spans="1:18" x14ac:dyDescent="0.25">
      <c r="I22">
        <f>SUM(I2:I21)</f>
        <v>44750</v>
      </c>
      <c r="J22">
        <f>SUM(J2:J21)</f>
        <v>1134478</v>
      </c>
      <c r="O22" s="8">
        <f>SUM(O2:O21)</f>
        <v>1513580</v>
      </c>
      <c r="Q22" s="8">
        <f>SUM(Q2:Q21)</f>
        <v>1311880</v>
      </c>
    </row>
    <row r="23" spans="1:18" x14ac:dyDescent="0.25">
      <c r="I23" s="9">
        <f>I22/12</f>
        <v>3729.1666666666665</v>
      </c>
      <c r="J23" s="10" t="s">
        <v>23</v>
      </c>
    </row>
    <row r="24" spans="1:18" x14ac:dyDescent="0.25">
      <c r="Q24" s="4">
        <v>1134478</v>
      </c>
      <c r="R24" t="s">
        <v>22</v>
      </c>
    </row>
    <row r="26" spans="1:18" x14ac:dyDescent="0.25">
      <c r="Q26" s="7">
        <f>Q22-Q24</f>
        <v>177402</v>
      </c>
    </row>
  </sheetData>
  <pageMargins left="0.7" right="0.7" top="0.75" bottom="0.75" header="0.3" footer="0.3"/>
  <pageSetup paperSize="3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7820-4CB1-4425-BD34-1022A2887524}">
  <dimension ref="A1:T28"/>
  <sheetViews>
    <sheetView topLeftCell="A7" workbookViewId="0">
      <selection activeCell="B10" sqref="B10"/>
    </sheetView>
  </sheetViews>
  <sheetFormatPr defaultRowHeight="15" x14ac:dyDescent="0.25"/>
  <cols>
    <col min="1" max="1" width="12.7109375" bestFit="1" customWidth="1"/>
    <col min="2" max="2" width="20.42578125" customWidth="1"/>
    <col min="6" max="7" width="11.7109375" bestFit="1" customWidth="1"/>
    <col min="8" max="8" width="10.5703125" customWidth="1"/>
    <col min="9" max="9" width="11.5703125" bestFit="1" customWidth="1"/>
    <col min="10" max="10" width="11.7109375" bestFit="1" customWidth="1"/>
    <col min="11" max="11" width="10.85546875" customWidth="1"/>
    <col min="12" max="12" width="11.5703125" bestFit="1" customWidth="1"/>
    <col min="13" max="13" width="11.7109375" bestFit="1" customWidth="1"/>
    <col min="14" max="14" width="10.5703125" bestFit="1" customWidth="1"/>
    <col min="15" max="15" width="11.5703125" bestFit="1" customWidth="1"/>
    <col min="16" max="16" width="11.7109375" bestFit="1" customWidth="1"/>
    <col min="17" max="17" width="10.5703125" bestFit="1" customWidth="1"/>
    <col min="18" max="18" width="11.5703125" bestFit="1" customWidth="1"/>
    <col min="19" max="19" width="11.7109375" bestFit="1" customWidth="1"/>
    <col min="20" max="20" width="10.5703125" bestFit="1" customWidth="1"/>
  </cols>
  <sheetData>
    <row r="1" spans="1:20" x14ac:dyDescent="0.25">
      <c r="F1" s="29" t="s">
        <v>25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x14ac:dyDescent="0.25">
      <c r="F2" s="30">
        <v>2022</v>
      </c>
      <c r="G2" s="30"/>
      <c r="H2" s="30"/>
      <c r="I2" s="30">
        <v>2023</v>
      </c>
      <c r="J2" s="30"/>
      <c r="K2" s="30"/>
      <c r="L2" s="30">
        <v>2024</v>
      </c>
      <c r="M2" s="30"/>
      <c r="N2" s="30"/>
      <c r="O2" s="30">
        <v>2025</v>
      </c>
      <c r="P2" s="30"/>
      <c r="Q2" s="30"/>
      <c r="R2" s="30">
        <v>2026</v>
      </c>
      <c r="S2" s="30"/>
      <c r="T2" s="30"/>
    </row>
    <row r="3" spans="1:20" ht="39" x14ac:dyDescent="0.25">
      <c r="A3" s="1" t="s">
        <v>0</v>
      </c>
      <c r="B3" s="1" t="s">
        <v>1</v>
      </c>
      <c r="C3" s="1" t="s">
        <v>2</v>
      </c>
      <c r="D3" s="1" t="s">
        <v>28</v>
      </c>
      <c r="E3" s="1" t="s">
        <v>53</v>
      </c>
      <c r="F3" s="11" t="s">
        <v>26</v>
      </c>
      <c r="G3" s="11" t="s">
        <v>27</v>
      </c>
      <c r="H3" s="23" t="s">
        <v>58</v>
      </c>
      <c r="I3" s="11" t="s">
        <v>26</v>
      </c>
      <c r="J3" s="11" t="s">
        <v>27</v>
      </c>
      <c r="K3" s="23" t="s">
        <v>58</v>
      </c>
      <c r="L3" s="11" t="s">
        <v>26</v>
      </c>
      <c r="M3" s="11" t="s">
        <v>27</v>
      </c>
      <c r="N3" s="23" t="s">
        <v>58</v>
      </c>
      <c r="O3" s="11" t="s">
        <v>26</v>
      </c>
      <c r="P3" s="11" t="s">
        <v>27</v>
      </c>
      <c r="Q3" s="23" t="s">
        <v>58</v>
      </c>
      <c r="R3" s="11" t="s">
        <v>26</v>
      </c>
      <c r="S3" s="11" t="s">
        <v>27</v>
      </c>
      <c r="T3" s="23" t="s">
        <v>58</v>
      </c>
    </row>
    <row r="4" spans="1:20" x14ac:dyDescent="0.25">
      <c r="A4" s="12" t="s">
        <v>11</v>
      </c>
      <c r="B4" s="12" t="s">
        <v>65</v>
      </c>
      <c r="C4" s="12" t="s">
        <v>14</v>
      </c>
      <c r="D4" s="12" t="s">
        <v>34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x14ac:dyDescent="0.25">
      <c r="A5" s="12" t="s">
        <v>11</v>
      </c>
      <c r="B5" s="12" t="s">
        <v>65</v>
      </c>
      <c r="C5" s="12" t="s">
        <v>14</v>
      </c>
      <c r="D5" s="12" t="s">
        <v>36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5">
      <c r="A6" s="12" t="s">
        <v>11</v>
      </c>
      <c r="B6" s="12" t="s">
        <v>65</v>
      </c>
      <c r="C6" s="12" t="s">
        <v>14</v>
      </c>
      <c r="D6" s="12" t="s">
        <v>35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25">
      <c r="A7" s="12" t="s">
        <v>11</v>
      </c>
      <c r="B7" s="12" t="s">
        <v>65</v>
      </c>
      <c r="C7" s="12" t="s">
        <v>14</v>
      </c>
      <c r="D7" s="12" t="s">
        <v>37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x14ac:dyDescent="0.25">
      <c r="A8" s="12" t="s">
        <v>11</v>
      </c>
      <c r="B8" s="12" t="s">
        <v>65</v>
      </c>
      <c r="C8" s="12" t="s">
        <v>14</v>
      </c>
      <c r="D8" s="12" t="s">
        <v>38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x14ac:dyDescent="0.25">
      <c r="A9" s="12" t="s">
        <v>13</v>
      </c>
      <c r="B9" s="12" t="s">
        <v>65</v>
      </c>
      <c r="C9" s="12" t="s">
        <v>14</v>
      </c>
      <c r="D9" s="12" t="s">
        <v>44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x14ac:dyDescent="0.25">
      <c r="A10" t="s">
        <v>11</v>
      </c>
      <c r="B10" t="s">
        <v>64</v>
      </c>
      <c r="C10" t="s">
        <v>15</v>
      </c>
      <c r="D10" t="s">
        <v>29</v>
      </c>
      <c r="E10">
        <v>100</v>
      </c>
      <c r="F10" s="18">
        <f>117181+117767</f>
        <v>234948</v>
      </c>
      <c r="G10" s="18">
        <f>7849+7263</f>
        <v>15112</v>
      </c>
      <c r="H10" s="18">
        <f>1962+1815</f>
        <v>3777</v>
      </c>
      <c r="I10" s="18">
        <f>118356+118947</f>
        <v>237303</v>
      </c>
      <c r="J10" s="18">
        <f>6674+6083</f>
        <v>12757</v>
      </c>
      <c r="K10" s="18">
        <f>1668+1520</f>
        <v>3188</v>
      </c>
      <c r="L10" s="18">
        <f>119542+120140</f>
        <v>239682</v>
      </c>
      <c r="M10" s="18">
        <f>5488+4890</f>
        <v>10378</v>
      </c>
      <c r="N10" s="18">
        <f>1372+1222</f>
        <v>2594</v>
      </c>
      <c r="O10" s="18">
        <f>120741+121344</f>
        <v>242085</v>
      </c>
      <c r="P10" s="18">
        <f>4289+3686</f>
        <v>7975</v>
      </c>
      <c r="Q10" s="18">
        <f>1072+921</f>
        <v>1993</v>
      </c>
      <c r="R10" s="18">
        <f>121951+122561</f>
        <v>244512</v>
      </c>
      <c r="S10" s="18">
        <f>3079+2469</f>
        <v>5548</v>
      </c>
      <c r="T10" s="18">
        <f>769+617</f>
        <v>1386</v>
      </c>
    </row>
    <row r="11" spans="1:20" x14ac:dyDescent="0.25">
      <c r="A11" t="s">
        <v>11</v>
      </c>
      <c r="B11" t="s">
        <v>65</v>
      </c>
      <c r="C11" t="s">
        <v>14</v>
      </c>
      <c r="D11" t="s">
        <v>39</v>
      </c>
      <c r="E11">
        <v>100</v>
      </c>
      <c r="F11" s="18">
        <f>'RD Debt Data'!H3</f>
        <v>21400</v>
      </c>
      <c r="G11" s="18">
        <f>'RD Debt Data'!I3+'RD Debt Data'!J3</f>
        <v>21866.625</v>
      </c>
      <c r="H11" s="18">
        <v>0</v>
      </c>
      <c r="I11" s="18">
        <v>22000</v>
      </c>
      <c r="J11" s="18">
        <f>'RD Debt Data'!M3+'RD Debt Data'!N3</f>
        <v>21351.25</v>
      </c>
      <c r="K11" s="18">
        <v>0</v>
      </c>
      <c r="L11" s="18">
        <v>22600</v>
      </c>
      <c r="M11" s="18">
        <f>'RD Debt Data'!Q3+'RD Debt Data'!R3</f>
        <v>20821.625</v>
      </c>
      <c r="N11" s="18">
        <v>0</v>
      </c>
      <c r="O11" s="18">
        <v>23200</v>
      </c>
      <c r="P11" s="18">
        <f>'RD Debt Data'!U3+'RD Debt Data'!V3</f>
        <v>20277.75</v>
      </c>
      <c r="Q11" s="18">
        <v>0</v>
      </c>
      <c r="R11" s="18">
        <v>23900</v>
      </c>
      <c r="S11" s="18">
        <f>'RD Debt Data'!Y3+'RD Debt Data'!Z3</f>
        <v>19718.4375</v>
      </c>
      <c r="T11" s="18">
        <v>0</v>
      </c>
    </row>
    <row r="12" spans="1:20" x14ac:dyDescent="0.25">
      <c r="A12" t="s">
        <v>11</v>
      </c>
      <c r="B12" t="s">
        <v>64</v>
      </c>
      <c r="C12" t="s">
        <v>15</v>
      </c>
      <c r="D12" t="s">
        <v>30</v>
      </c>
      <c r="E12">
        <v>100</v>
      </c>
      <c r="F12" s="18">
        <f>25781+25909</f>
        <v>51690</v>
      </c>
      <c r="G12" s="18">
        <f>1864+1735</f>
        <v>3599</v>
      </c>
      <c r="H12" s="18">
        <f>466+433</f>
        <v>899</v>
      </c>
      <c r="I12" s="18">
        <f>26039+26169</f>
        <v>52208</v>
      </c>
      <c r="J12" s="18">
        <f>1606+1475</f>
        <v>3081</v>
      </c>
      <c r="K12" s="18">
        <f>401+368</f>
        <v>769</v>
      </c>
      <c r="L12" s="18">
        <f>26300+26432</f>
        <v>52732</v>
      </c>
      <c r="M12" s="18">
        <f>1345+1213</f>
        <v>2558</v>
      </c>
      <c r="N12" s="18">
        <f>336+303</f>
        <v>639</v>
      </c>
      <c r="O12" s="18">
        <f>26564+26696</f>
        <v>53260</v>
      </c>
      <c r="P12" s="18">
        <f>1081+948</f>
        <v>2029</v>
      </c>
      <c r="Q12" s="18">
        <f>270+237</f>
        <v>507</v>
      </c>
      <c r="R12" s="18">
        <f>26830+26964</f>
        <v>53794</v>
      </c>
      <c r="S12" s="18">
        <f>815+680</f>
        <v>1495</v>
      </c>
      <c r="T12" s="18">
        <f>203+170</f>
        <v>373</v>
      </c>
    </row>
    <row r="13" spans="1:20" x14ac:dyDescent="0.25">
      <c r="A13" t="s">
        <v>11</v>
      </c>
      <c r="B13" t="s">
        <v>65</v>
      </c>
      <c r="C13" t="s">
        <v>14</v>
      </c>
      <c r="D13" t="s">
        <v>40</v>
      </c>
      <c r="E13">
        <v>100</v>
      </c>
      <c r="F13" s="18">
        <f>24000</f>
        <v>24000</v>
      </c>
      <c r="G13" s="18">
        <f>'RD Debt Data'!I4+'RD Debt Data'!J4</f>
        <v>30420</v>
      </c>
      <c r="H13" s="18">
        <v>0</v>
      </c>
      <c r="I13" s="18">
        <v>24500</v>
      </c>
      <c r="J13" s="18">
        <f>'RD Debt Data'!M4+'RD Debt Data'!N4</f>
        <v>29692.5</v>
      </c>
      <c r="K13" s="18">
        <v>0</v>
      </c>
      <c r="L13" s="18">
        <v>25000</v>
      </c>
      <c r="M13" s="18">
        <f>'RD Debt Data'!Q4+'RD Debt Data'!R4</f>
        <v>28950</v>
      </c>
      <c r="N13" s="18">
        <v>0</v>
      </c>
      <c r="O13" s="18">
        <v>25500</v>
      </c>
      <c r="P13" s="18">
        <f>'RD Debt Data'!U4+'RD Debt Data'!V4</f>
        <v>28192.5</v>
      </c>
      <c r="Q13" s="18">
        <v>0</v>
      </c>
      <c r="R13" s="18">
        <v>26500</v>
      </c>
      <c r="S13" s="18">
        <f>'RD Debt Data'!Y4+'RD Debt Data'!Z4</f>
        <v>27412.5</v>
      </c>
      <c r="T13" s="18">
        <v>0</v>
      </c>
    </row>
    <row r="14" spans="1:20" x14ac:dyDescent="0.25">
      <c r="A14" t="s">
        <v>11</v>
      </c>
      <c r="B14" t="s">
        <v>65</v>
      </c>
      <c r="C14" t="s">
        <v>14</v>
      </c>
      <c r="D14" t="s">
        <v>41</v>
      </c>
      <c r="E14">
        <v>100</v>
      </c>
      <c r="F14" s="18">
        <f>28500</f>
        <v>28500</v>
      </c>
      <c r="G14" s="18">
        <f>'RD Debt Data'!I5+'RD Debt Data'!J5</f>
        <v>26865.312500000004</v>
      </c>
      <c r="H14" s="18">
        <v>0</v>
      </c>
      <c r="I14" s="18">
        <v>29000</v>
      </c>
      <c r="J14" s="18">
        <f>'RD Debt Data'!M5+'RD Debt Data'!N5</f>
        <v>26254.375000000004</v>
      </c>
      <c r="K14" s="18">
        <v>0</v>
      </c>
      <c r="L14" s="18">
        <v>29500</v>
      </c>
      <c r="M14" s="18">
        <f>'RD Debt Data'!Q5+'RD Debt Data'!R5</f>
        <v>25632.8125</v>
      </c>
      <c r="N14" s="18">
        <v>0</v>
      </c>
      <c r="O14" s="18">
        <v>30500</v>
      </c>
      <c r="P14" s="18">
        <f>'RD Debt Data'!U5+'RD Debt Data'!V5</f>
        <v>24995.3125</v>
      </c>
      <c r="Q14" s="18">
        <v>0</v>
      </c>
      <c r="R14" s="18">
        <v>31000</v>
      </c>
      <c r="S14" s="18">
        <f>'RD Debt Data'!Y5+'RD Debt Data'!Z5</f>
        <v>24341.875</v>
      </c>
      <c r="T14" s="18">
        <v>0</v>
      </c>
    </row>
    <row r="15" spans="1:20" x14ac:dyDescent="0.25">
      <c r="A15" t="s">
        <v>11</v>
      </c>
      <c r="B15" t="s">
        <v>64</v>
      </c>
      <c r="C15" t="s">
        <v>15</v>
      </c>
      <c r="D15" t="s">
        <v>31</v>
      </c>
      <c r="E15">
        <v>100</v>
      </c>
      <c r="F15" s="18">
        <f>99090+99585</f>
        <v>198675</v>
      </c>
      <c r="G15" s="18">
        <f>11491+10996</f>
        <v>22487</v>
      </c>
      <c r="H15" s="18">
        <f>2872+2749+10000</f>
        <v>15621</v>
      </c>
      <c r="I15" s="18">
        <f>100083+100584</f>
        <v>200667</v>
      </c>
      <c r="J15" s="18">
        <f>10498+9997</f>
        <v>20495</v>
      </c>
      <c r="K15" s="18">
        <f>2624+2499</f>
        <v>5123</v>
      </c>
      <c r="L15" s="18">
        <f>101087+101592</f>
        <v>202679</v>
      </c>
      <c r="M15" s="18">
        <f>9495+8989</f>
        <v>18484</v>
      </c>
      <c r="N15" s="18">
        <f>2373+2247</f>
        <v>4620</v>
      </c>
      <c r="O15" s="18">
        <f>102100+102610</f>
        <v>204710</v>
      </c>
      <c r="P15" s="18">
        <f>8481+7971</f>
        <v>16452</v>
      </c>
      <c r="Q15" s="18">
        <f>2120+1992</f>
        <v>4112</v>
      </c>
      <c r="R15" s="18">
        <f>103124+103639</f>
        <v>206763</v>
      </c>
      <c r="S15" s="18">
        <f>7458+6942</f>
        <v>14400</v>
      </c>
      <c r="T15" s="18">
        <f>1864+1735</f>
        <v>3599</v>
      </c>
    </row>
    <row r="16" spans="1:20" x14ac:dyDescent="0.25">
      <c r="A16" t="s">
        <v>11</v>
      </c>
      <c r="B16" t="s">
        <v>64</v>
      </c>
      <c r="C16" t="s">
        <v>15</v>
      </c>
      <c r="D16" t="s">
        <v>45</v>
      </c>
      <c r="E16">
        <v>100</v>
      </c>
      <c r="F16" s="18">
        <f>42174+42385</f>
        <v>84559</v>
      </c>
      <c r="G16" s="18">
        <f>4656+4446</f>
        <v>9102</v>
      </c>
      <c r="H16" s="18">
        <f>1164+1111</f>
        <v>2275</v>
      </c>
      <c r="I16" s="18">
        <f>42597+42810</f>
        <v>85407</v>
      </c>
      <c r="J16" s="18">
        <f>4234+4021</f>
        <v>8255</v>
      </c>
      <c r="K16" s="18">
        <f>1058+1005</f>
        <v>2063</v>
      </c>
      <c r="L16" s="18">
        <f>43024+43239</f>
        <v>86263</v>
      </c>
      <c r="M16" s="18">
        <f>3807+3591</f>
        <v>7398</v>
      </c>
      <c r="N16" s="18">
        <f>951+897</f>
        <v>1848</v>
      </c>
      <c r="O16" s="18">
        <f>43455+43673</f>
        <v>87128</v>
      </c>
      <c r="P16" s="18">
        <f>3375+3158</f>
        <v>6533</v>
      </c>
      <c r="Q16" s="18">
        <f>843+789</f>
        <v>1632</v>
      </c>
      <c r="R16" s="18">
        <f>43891+44110</f>
        <v>88001</v>
      </c>
      <c r="S16" s="18">
        <f>2940+2720</f>
        <v>5660</v>
      </c>
      <c r="T16" s="18">
        <f>735+680</f>
        <v>1415</v>
      </c>
    </row>
    <row r="17" spans="1:20" x14ac:dyDescent="0.25">
      <c r="A17" t="s">
        <v>63</v>
      </c>
      <c r="B17" t="s">
        <v>52</v>
      </c>
      <c r="C17" t="s">
        <v>16</v>
      </c>
      <c r="D17" t="s">
        <v>48</v>
      </c>
      <c r="E17">
        <v>67</v>
      </c>
      <c r="F17" s="18">
        <v>205000</v>
      </c>
      <c r="G17" s="18">
        <f>41681.88*2</f>
        <v>83363.759999999995</v>
      </c>
      <c r="H17" s="18">
        <v>450</v>
      </c>
      <c r="I17" s="18">
        <v>210000</v>
      </c>
      <c r="J17" s="18">
        <f>37059.38*2</f>
        <v>74118.759999999995</v>
      </c>
      <c r="K17" s="18">
        <v>450</v>
      </c>
      <c r="L17" s="18">
        <v>215000</v>
      </c>
      <c r="M17" s="18">
        <f>32544.38*2</f>
        <v>65088.76</v>
      </c>
      <c r="N17" s="18">
        <v>450</v>
      </c>
      <c r="O17" s="18">
        <v>225000</v>
      </c>
      <c r="P17" s="18">
        <f>27921.88*2</f>
        <v>55843.76</v>
      </c>
      <c r="Q17" s="18">
        <v>450</v>
      </c>
      <c r="R17" s="18">
        <v>150000</v>
      </c>
      <c r="S17" s="18">
        <f>23084.38*2</f>
        <v>46168.76</v>
      </c>
      <c r="T17" s="18">
        <v>450</v>
      </c>
    </row>
    <row r="18" spans="1:20" x14ac:dyDescent="0.25">
      <c r="A18" s="26" t="s">
        <v>13</v>
      </c>
      <c r="B18" t="s">
        <v>65</v>
      </c>
      <c r="C18" t="s">
        <v>14</v>
      </c>
      <c r="D18" t="s">
        <v>42</v>
      </c>
      <c r="E18">
        <v>0</v>
      </c>
      <c r="F18" s="18">
        <f>14000</f>
        <v>14000</v>
      </c>
      <c r="G18" s="18">
        <f>'RD Debt Data'!I6+'RD Debt Data'!J6</f>
        <v>11653.125</v>
      </c>
      <c r="H18" s="18">
        <v>0</v>
      </c>
      <c r="I18" s="18">
        <v>14000</v>
      </c>
      <c r="J18" s="18">
        <f>'RD Debt Data'!M6+'RD Debt Data'!N6</f>
        <v>11390.625</v>
      </c>
      <c r="K18" s="18">
        <v>0</v>
      </c>
      <c r="L18" s="18">
        <v>14500</v>
      </c>
      <c r="M18" s="18">
        <f>'RD Debt Data'!Q6+'RD Debt Data'!R6</f>
        <v>11123.4375</v>
      </c>
      <c r="N18" s="18">
        <v>0</v>
      </c>
      <c r="O18" s="18">
        <v>14500</v>
      </c>
      <c r="P18" s="18">
        <f>'RD Debt Data'!U6+'RD Debt Data'!V6</f>
        <v>10851.5625</v>
      </c>
      <c r="Q18" s="18">
        <v>0</v>
      </c>
      <c r="R18" s="18">
        <v>15000</v>
      </c>
      <c r="S18" s="18">
        <f>'RD Debt Data'!Y6+'RD Debt Data'!Z6</f>
        <v>10575</v>
      </c>
      <c r="T18" s="18">
        <v>0</v>
      </c>
    </row>
    <row r="19" spans="1:20" x14ac:dyDescent="0.25">
      <c r="A19" t="s">
        <v>11</v>
      </c>
      <c r="B19" t="s">
        <v>64</v>
      </c>
      <c r="C19" t="s">
        <v>15</v>
      </c>
      <c r="D19" t="s">
        <v>32</v>
      </c>
      <c r="E19">
        <v>100</v>
      </c>
      <c r="F19" s="18">
        <f>13388+13455</f>
        <v>26843</v>
      </c>
      <c r="G19" s="18">
        <f>3452+3385</f>
        <v>6837</v>
      </c>
      <c r="H19" s="18">
        <f>863+846+7300</f>
        <v>9009</v>
      </c>
      <c r="I19" s="18">
        <f>13523+13590</f>
        <v>27113</v>
      </c>
      <c r="J19" s="18">
        <f>3318+3250</f>
        <v>6568</v>
      </c>
      <c r="K19" s="18">
        <f>829+812+7300</f>
        <v>8941</v>
      </c>
      <c r="L19" s="18">
        <f>13658+13727</f>
        <v>27385</v>
      </c>
      <c r="M19" s="18">
        <f>3182+3114</f>
        <v>6296</v>
      </c>
      <c r="N19" s="18">
        <f>795+778+7300</f>
        <v>8873</v>
      </c>
      <c r="O19" s="18">
        <f>13795+13864</f>
        <v>27659</v>
      </c>
      <c r="P19" s="18">
        <f>3046+2977</f>
        <v>6023</v>
      </c>
      <c r="Q19" s="18">
        <f>761+744</f>
        <v>1505</v>
      </c>
      <c r="R19" s="18">
        <f>13933+14003</f>
        <v>27936</v>
      </c>
      <c r="S19" s="18">
        <f>2907+2838</f>
        <v>5745</v>
      </c>
      <c r="T19" s="18">
        <f>726+709</f>
        <v>1435</v>
      </c>
    </row>
    <row r="20" spans="1:20" x14ac:dyDescent="0.25">
      <c r="A20" t="s">
        <v>11</v>
      </c>
      <c r="B20" t="s">
        <v>64</v>
      </c>
      <c r="C20" t="s">
        <v>15</v>
      </c>
      <c r="D20" t="s">
        <v>33</v>
      </c>
      <c r="E20">
        <v>100</v>
      </c>
      <c r="F20" s="18">
        <f>37954+38096</f>
        <v>76050</v>
      </c>
      <c r="G20" s="18">
        <f>8501+8359</f>
        <v>16860</v>
      </c>
      <c r="H20" s="18">
        <f>2833+2786+10000</f>
        <v>15619</v>
      </c>
      <c r="I20" s="18">
        <f>38383+38239</f>
        <v>76622</v>
      </c>
      <c r="J20" s="18">
        <f>8216+8073</f>
        <v>16289</v>
      </c>
      <c r="K20" s="18">
        <f>2738+2691+10000</f>
        <v>15429</v>
      </c>
      <c r="L20" s="18">
        <f>38526+38671</f>
        <v>77197</v>
      </c>
      <c r="M20" s="18">
        <f>7929+7784</f>
        <v>15713</v>
      </c>
      <c r="N20" s="18">
        <f>2643+2594+10000</f>
        <v>15237</v>
      </c>
      <c r="O20" s="18">
        <f>38816+38962</f>
        <v>77778</v>
      </c>
      <c r="P20" s="18">
        <f>7639+7494</f>
        <v>15133</v>
      </c>
      <c r="Q20" s="18">
        <f>2546+2498+10000</f>
        <v>15044</v>
      </c>
      <c r="R20" s="18">
        <f>39108+39254</f>
        <v>78362</v>
      </c>
      <c r="S20" s="18">
        <f>7347+7201</f>
        <v>14548</v>
      </c>
      <c r="T20" s="18">
        <f>2449+2400+10000</f>
        <v>14849</v>
      </c>
    </row>
    <row r="21" spans="1:20" x14ac:dyDescent="0.25">
      <c r="A21" t="s">
        <v>63</v>
      </c>
      <c r="B21" t="s">
        <v>67</v>
      </c>
      <c r="C21" t="s">
        <v>14</v>
      </c>
      <c r="E21">
        <v>87</v>
      </c>
      <c r="F21" s="18">
        <f>'RD Debt Data'!H7</f>
        <v>37000</v>
      </c>
      <c r="G21" s="18">
        <f>'RD Debt Data'!I7+'RD Debt Data'!J7</f>
        <v>26743.75</v>
      </c>
      <c r="H21" s="18">
        <f>530*12</f>
        <v>6360</v>
      </c>
      <c r="I21" s="18">
        <f>'RD Debt Data'!L7</f>
        <v>37500</v>
      </c>
      <c r="J21" s="18">
        <f>'RD Debt Data'!M7+'RD Debt Data'!N7</f>
        <v>26235</v>
      </c>
      <c r="K21" s="18">
        <f>530*12</f>
        <v>6360</v>
      </c>
      <c r="L21" s="18">
        <f>'RD Debt Data'!P7</f>
        <v>38000</v>
      </c>
      <c r="M21" s="18">
        <f>'RD Debt Data'!Q7+'RD Debt Data'!R7</f>
        <v>25719</v>
      </c>
      <c r="N21" s="18">
        <f>530*12</f>
        <v>6360</v>
      </c>
      <c r="O21" s="18">
        <f>'RD Debt Data'!T7</f>
        <v>38500</v>
      </c>
      <c r="P21" s="18">
        <f>'RD Debt Data'!U7+'RD Debt Data'!V7</f>
        <v>25196</v>
      </c>
      <c r="Q21" s="18">
        <f>530*12</f>
        <v>6360</v>
      </c>
      <c r="R21" s="18">
        <f>'RD Debt Data'!X7</f>
        <v>39000</v>
      </c>
      <c r="S21" s="18">
        <f>'RD Debt Data'!Y7+'RD Debt Data'!Z7</f>
        <v>24667</v>
      </c>
      <c r="T21" s="18">
        <f>530*12</f>
        <v>6360</v>
      </c>
    </row>
    <row r="22" spans="1:20" x14ac:dyDescent="0.25">
      <c r="A22" t="s">
        <v>11</v>
      </c>
      <c r="B22" t="s">
        <v>66</v>
      </c>
      <c r="C22" t="s">
        <v>15</v>
      </c>
      <c r="D22" t="s">
        <v>46</v>
      </c>
      <c r="E22">
        <v>100</v>
      </c>
      <c r="F22" s="18">
        <v>12460</v>
      </c>
      <c r="G22" s="18">
        <v>2013</v>
      </c>
      <c r="H22" s="18">
        <v>1006</v>
      </c>
      <c r="I22" s="18">
        <f>12491+12522</f>
        <v>25013</v>
      </c>
      <c r="J22" s="18">
        <f>1982+1951</f>
        <v>3933</v>
      </c>
      <c r="K22" s="18">
        <f>991+975+3700</f>
        <v>5666</v>
      </c>
      <c r="L22" s="18">
        <f>12553+12585</f>
        <v>25138</v>
      </c>
      <c r="M22" s="18">
        <f>1920+1888</f>
        <v>3808</v>
      </c>
      <c r="N22" s="18">
        <f>960+944+3700</f>
        <v>5604</v>
      </c>
      <c r="O22" s="18">
        <f>12616+12648</f>
        <v>25264</v>
      </c>
      <c r="P22" s="18">
        <f>1857+1825</f>
        <v>3682</v>
      </c>
      <c r="Q22" s="18">
        <f>928+912+3700</f>
        <v>5540</v>
      </c>
      <c r="R22" s="18">
        <f>12680+12711</f>
        <v>25391</v>
      </c>
      <c r="S22" s="18">
        <f>1794+1762</f>
        <v>3556</v>
      </c>
      <c r="T22" s="18">
        <f>897+881+3700</f>
        <v>5478</v>
      </c>
    </row>
    <row r="23" spans="1:20" x14ac:dyDescent="0.25">
      <c r="A23" s="26" t="s">
        <v>13</v>
      </c>
      <c r="B23" t="s">
        <v>66</v>
      </c>
      <c r="C23" t="s">
        <v>15</v>
      </c>
      <c r="D23" t="s">
        <v>47</v>
      </c>
      <c r="E23">
        <v>0</v>
      </c>
      <c r="F23" s="18"/>
      <c r="G23" s="18"/>
      <c r="H23" s="18"/>
      <c r="I23" s="18">
        <f>32559+32640</f>
        <v>65199</v>
      </c>
      <c r="J23" s="18">
        <f>5262+5180</f>
        <v>10442</v>
      </c>
      <c r="K23" s="18">
        <f>2104+2072+5300</f>
        <v>9476</v>
      </c>
      <c r="L23" s="18">
        <f>32722+32804</f>
        <v>65526</v>
      </c>
      <c r="M23" s="18">
        <f>5099+5017</f>
        <v>10116</v>
      </c>
      <c r="N23" s="18">
        <f>2039+2006+5300</f>
        <v>9345</v>
      </c>
      <c r="O23" s="18">
        <f>32886+32968</f>
        <v>65854</v>
      </c>
      <c r="P23" s="18">
        <f>4935+4853</f>
        <v>9788</v>
      </c>
      <c r="Q23" s="18">
        <f>1974+1941+5300</f>
        <v>9215</v>
      </c>
      <c r="R23" s="18">
        <f>33051+33133</f>
        <v>66184</v>
      </c>
      <c r="S23" s="18">
        <f>4770+4688</f>
        <v>9458</v>
      </c>
      <c r="T23" s="18">
        <f>1908+1875+5300</f>
        <v>9083</v>
      </c>
    </row>
    <row r="24" spans="1:20" x14ac:dyDescent="0.25">
      <c r="A24" t="s">
        <v>63</v>
      </c>
      <c r="B24" t="s">
        <v>52</v>
      </c>
      <c r="C24" t="s">
        <v>16</v>
      </c>
      <c r="D24" t="s">
        <v>54</v>
      </c>
      <c r="E24" s="19">
        <v>0.98</v>
      </c>
      <c r="F24" s="18">
        <v>160000</v>
      </c>
      <c r="G24" s="18">
        <f>70162+70162</f>
        <v>140324</v>
      </c>
      <c r="H24" s="18">
        <v>450</v>
      </c>
      <c r="I24" s="18">
        <v>160000</v>
      </c>
      <c r="J24" s="18">
        <f>68362+68362</f>
        <v>136724</v>
      </c>
      <c r="K24" s="18">
        <v>450</v>
      </c>
      <c r="L24" s="18">
        <v>165000</v>
      </c>
      <c r="M24" s="18">
        <f>66562+66562</f>
        <v>133124</v>
      </c>
      <c r="N24" s="18">
        <v>450</v>
      </c>
      <c r="O24" s="18">
        <v>165000</v>
      </c>
      <c r="P24" s="18">
        <f>64706+64706</f>
        <v>129412</v>
      </c>
      <c r="Q24" s="18">
        <v>450</v>
      </c>
      <c r="R24" s="18">
        <v>170000</v>
      </c>
      <c r="S24" s="18">
        <f>62850+62850</f>
        <v>125700</v>
      </c>
      <c r="T24" s="18">
        <v>450</v>
      </c>
    </row>
    <row r="25" spans="1:20" x14ac:dyDescent="0.25"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x14ac:dyDescent="0.25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8" spans="1:20" x14ac:dyDescent="0.25">
      <c r="A28" s="12"/>
      <c r="B28" t="s">
        <v>43</v>
      </c>
    </row>
  </sheetData>
  <mergeCells count="6">
    <mergeCell ref="F1:T1"/>
    <mergeCell ref="F2:H2"/>
    <mergeCell ref="I2:K2"/>
    <mergeCell ref="L2:N2"/>
    <mergeCell ref="O2:Q2"/>
    <mergeCell ref="R2:T2"/>
  </mergeCells>
  <pageMargins left="0.25" right="0.25" top="0.75" bottom="0.75" header="0.3" footer="0.3"/>
  <pageSetup paperSize="3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CE578-4227-42EF-B98E-CBE4D2127B7D}">
  <dimension ref="A1:E11"/>
  <sheetViews>
    <sheetView workbookViewId="0">
      <selection activeCell="E11" sqref="E11"/>
    </sheetView>
  </sheetViews>
  <sheetFormatPr defaultRowHeight="15" x14ac:dyDescent="0.25"/>
  <cols>
    <col min="5" max="5" width="13.28515625" bestFit="1" customWidth="1"/>
  </cols>
  <sheetData>
    <row r="1" spans="1:5" x14ac:dyDescent="0.25">
      <c r="A1">
        <v>2013</v>
      </c>
      <c r="B1" t="s">
        <v>52</v>
      </c>
    </row>
    <row r="2" spans="1:5" x14ac:dyDescent="0.25">
      <c r="A2" t="s">
        <v>69</v>
      </c>
      <c r="E2" s="18">
        <v>3780000</v>
      </c>
    </row>
    <row r="3" spans="1:5" x14ac:dyDescent="0.25">
      <c r="A3" t="s">
        <v>70</v>
      </c>
      <c r="E3" s="18">
        <v>1247400</v>
      </c>
    </row>
    <row r="5" spans="1:5" x14ac:dyDescent="0.25">
      <c r="B5" t="s">
        <v>71</v>
      </c>
      <c r="E5" s="27">
        <f>E3/E2</f>
        <v>0.33</v>
      </c>
    </row>
    <row r="7" spans="1:5" x14ac:dyDescent="0.25">
      <c r="A7">
        <v>2020</v>
      </c>
      <c r="B7" t="s">
        <v>52</v>
      </c>
    </row>
    <row r="8" spans="1:5" x14ac:dyDescent="0.25">
      <c r="A8" t="s">
        <v>69</v>
      </c>
      <c r="E8" s="18">
        <v>5110000</v>
      </c>
    </row>
    <row r="9" spans="1:5" x14ac:dyDescent="0.25">
      <c r="A9" t="s">
        <v>70</v>
      </c>
      <c r="E9" s="18">
        <v>95000</v>
      </c>
    </row>
    <row r="11" spans="1:5" x14ac:dyDescent="0.25">
      <c r="B11" t="s">
        <v>71</v>
      </c>
      <c r="E11" s="28">
        <f>E9/E8</f>
        <v>1.8590998043052837E-2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FA51-19D4-4312-8A19-E8AEB13F1A78}">
  <dimension ref="A1:AA7"/>
  <sheetViews>
    <sheetView workbookViewId="0">
      <selection activeCell="A8" sqref="A8"/>
    </sheetView>
  </sheetViews>
  <sheetFormatPr defaultRowHeight="15" x14ac:dyDescent="0.25"/>
  <cols>
    <col min="3" max="3" width="14.28515625" bestFit="1" customWidth="1"/>
    <col min="4" max="6" width="11.5703125" bestFit="1" customWidth="1"/>
    <col min="7" max="7" width="14.28515625" bestFit="1" customWidth="1"/>
    <col min="8" max="8" width="11.5703125" bestFit="1" customWidth="1"/>
    <col min="9" max="9" width="12.5703125" bestFit="1" customWidth="1"/>
    <col min="10" max="10" width="11.5703125" bestFit="1" customWidth="1"/>
    <col min="11" max="11" width="14.28515625" bestFit="1" customWidth="1"/>
    <col min="12" max="14" width="11.5703125" bestFit="1" customWidth="1"/>
    <col min="15" max="15" width="14.28515625" bestFit="1" customWidth="1"/>
    <col min="16" max="18" width="11.5703125" bestFit="1" customWidth="1"/>
    <col min="19" max="19" width="14.28515625" bestFit="1" customWidth="1"/>
    <col min="20" max="22" width="11.5703125" bestFit="1" customWidth="1"/>
    <col min="23" max="23" width="14.28515625" bestFit="1" customWidth="1"/>
    <col min="24" max="26" width="11.5703125" bestFit="1" customWidth="1"/>
    <col min="27" max="27" width="14.28515625" bestFit="1" customWidth="1"/>
  </cols>
  <sheetData>
    <row r="1" spans="1:27" ht="30" x14ac:dyDescent="0.25">
      <c r="A1" t="s">
        <v>49</v>
      </c>
      <c r="B1" s="15" t="s">
        <v>9</v>
      </c>
      <c r="C1" s="3">
        <v>44196</v>
      </c>
      <c r="D1" s="3">
        <v>44197</v>
      </c>
      <c r="E1" s="3">
        <v>44197</v>
      </c>
      <c r="F1" s="3">
        <v>44378</v>
      </c>
      <c r="G1" s="3">
        <v>44561</v>
      </c>
      <c r="H1" s="3">
        <v>44562</v>
      </c>
      <c r="I1" s="3">
        <v>44562</v>
      </c>
      <c r="J1" s="3">
        <v>44743</v>
      </c>
      <c r="K1" s="3">
        <v>44926</v>
      </c>
      <c r="L1" s="3">
        <v>44927</v>
      </c>
      <c r="M1" s="3">
        <v>44927</v>
      </c>
      <c r="N1" s="3">
        <v>45108</v>
      </c>
      <c r="O1" s="3">
        <v>45291</v>
      </c>
      <c r="P1" s="3">
        <v>45292</v>
      </c>
      <c r="Q1" s="3">
        <v>45292</v>
      </c>
      <c r="R1" s="3">
        <v>45474</v>
      </c>
      <c r="S1" s="3">
        <v>45657</v>
      </c>
      <c r="T1" s="3">
        <v>45658</v>
      </c>
      <c r="U1" s="3">
        <v>45658</v>
      </c>
      <c r="V1" s="3">
        <v>45839</v>
      </c>
      <c r="W1" s="3">
        <v>46022</v>
      </c>
      <c r="X1" s="3">
        <v>46023</v>
      </c>
      <c r="Y1" s="3">
        <v>46023</v>
      </c>
      <c r="Z1" s="3">
        <v>46204</v>
      </c>
      <c r="AA1" s="3">
        <v>46387</v>
      </c>
    </row>
    <row r="2" spans="1:27" x14ac:dyDescent="0.25">
      <c r="A2" t="s">
        <v>50</v>
      </c>
      <c r="C2" s="14" t="s">
        <v>3</v>
      </c>
      <c r="D2" s="13" t="s">
        <v>27</v>
      </c>
      <c r="E2" s="13" t="s">
        <v>51</v>
      </c>
      <c r="F2" s="13" t="s">
        <v>27</v>
      </c>
      <c r="G2" s="13" t="s">
        <v>3</v>
      </c>
      <c r="H2" s="13" t="s">
        <v>51</v>
      </c>
      <c r="I2" s="13" t="s">
        <v>27</v>
      </c>
      <c r="J2" s="13" t="s">
        <v>27</v>
      </c>
      <c r="K2" s="13" t="s">
        <v>3</v>
      </c>
      <c r="L2" s="13" t="s">
        <v>51</v>
      </c>
      <c r="M2" s="13" t="s">
        <v>27</v>
      </c>
      <c r="N2" s="13" t="s">
        <v>27</v>
      </c>
      <c r="O2" s="13" t="s">
        <v>3</v>
      </c>
      <c r="P2" s="13" t="s">
        <v>51</v>
      </c>
      <c r="Q2" s="13" t="s">
        <v>27</v>
      </c>
      <c r="R2" s="13" t="s">
        <v>27</v>
      </c>
      <c r="S2" s="13" t="s">
        <v>3</v>
      </c>
      <c r="T2" s="13" t="s">
        <v>51</v>
      </c>
      <c r="U2" s="13" t="s">
        <v>27</v>
      </c>
      <c r="V2" s="13" t="s">
        <v>27</v>
      </c>
      <c r="W2" s="13" t="s">
        <v>3</v>
      </c>
      <c r="X2" s="13" t="s">
        <v>51</v>
      </c>
      <c r="Y2" s="13" t="s">
        <v>27</v>
      </c>
      <c r="Z2" s="13" t="s">
        <v>27</v>
      </c>
      <c r="AA2" s="13" t="s">
        <v>3</v>
      </c>
    </row>
    <row r="3" spans="1:27" x14ac:dyDescent="0.25">
      <c r="A3" t="s">
        <v>39</v>
      </c>
      <c r="B3" s="16">
        <v>2.375E-2</v>
      </c>
      <c r="C3" s="17">
        <v>952200</v>
      </c>
      <c r="D3" s="17">
        <f>(C3*B3)/2</f>
        <v>11307.375</v>
      </c>
      <c r="E3" s="17">
        <v>20800</v>
      </c>
      <c r="F3" s="17">
        <f>((C3-E3)*B3)/2</f>
        <v>11060.375</v>
      </c>
      <c r="G3" s="17">
        <f>C3-E3</f>
        <v>931400</v>
      </c>
      <c r="H3" s="17">
        <v>21400</v>
      </c>
      <c r="I3" s="17">
        <f>F3</f>
        <v>11060.375</v>
      </c>
      <c r="J3" s="17">
        <f>((G3-H3)*$B3)/2</f>
        <v>10806.25</v>
      </c>
      <c r="K3" s="17">
        <f>G3-H3</f>
        <v>910000</v>
      </c>
      <c r="L3" s="17">
        <v>22000</v>
      </c>
      <c r="M3" s="17">
        <f>J3</f>
        <v>10806.25</v>
      </c>
      <c r="N3" s="17">
        <f>((K3-L3)*$B3)/2</f>
        <v>10545</v>
      </c>
      <c r="O3" s="17">
        <f>K3-L3</f>
        <v>888000</v>
      </c>
      <c r="P3" s="17">
        <v>22600</v>
      </c>
      <c r="Q3" s="17">
        <f>N3</f>
        <v>10545</v>
      </c>
      <c r="R3" s="17">
        <f>((O3-P3)*$B3)/2</f>
        <v>10276.625</v>
      </c>
      <c r="S3" s="17">
        <f>O3-P3</f>
        <v>865400</v>
      </c>
      <c r="T3" s="17">
        <v>23200</v>
      </c>
      <c r="U3" s="17">
        <f>R3</f>
        <v>10276.625</v>
      </c>
      <c r="V3" s="17">
        <f>((S3-T3)*$B3)/2</f>
        <v>10001.125</v>
      </c>
      <c r="W3" s="17">
        <f>S3-T3</f>
        <v>842200</v>
      </c>
      <c r="X3" s="17">
        <v>23900</v>
      </c>
      <c r="Y3" s="17">
        <f>V3</f>
        <v>10001.125</v>
      </c>
      <c r="Z3" s="17">
        <f>((W3-X3)*$B3)/2</f>
        <v>9717.3125</v>
      </c>
      <c r="AA3" s="17">
        <f>W3-X3</f>
        <v>818300</v>
      </c>
    </row>
    <row r="4" spans="1:27" x14ac:dyDescent="0.25">
      <c r="A4" t="s">
        <v>40</v>
      </c>
      <c r="B4" s="16">
        <v>0.03</v>
      </c>
      <c r="C4" s="17">
        <v>1049500</v>
      </c>
      <c r="D4" s="17">
        <f>(C4*B4)/2</f>
        <v>15742.5</v>
      </c>
      <c r="E4" s="17">
        <v>23500</v>
      </c>
      <c r="F4" s="17">
        <f t="shared" ref="F4:F6" si="0">((C4-E4)*B4)/2</f>
        <v>15390</v>
      </c>
      <c r="G4" s="17">
        <f t="shared" ref="G4:G6" si="1">C4-E4</f>
        <v>1026000</v>
      </c>
      <c r="H4" s="17">
        <v>24000</v>
      </c>
      <c r="I4" s="17">
        <f t="shared" ref="I4:I6" si="2">F4</f>
        <v>15390</v>
      </c>
      <c r="J4" s="17">
        <f t="shared" ref="J4:J6" si="3">((G4-H4)*$B4)/2</f>
        <v>15030</v>
      </c>
      <c r="K4" s="17">
        <f t="shared" ref="K4:K7" si="4">G4-H4</f>
        <v>1002000</v>
      </c>
      <c r="L4" s="17">
        <v>24500</v>
      </c>
      <c r="M4" s="17">
        <f>J4</f>
        <v>15030</v>
      </c>
      <c r="N4" s="17">
        <f t="shared" ref="N4:N6" si="5">((K4-L4)*$B4)/2</f>
        <v>14662.5</v>
      </c>
      <c r="O4" s="17">
        <f t="shared" ref="O4:O6" si="6">K4-L4</f>
        <v>977500</v>
      </c>
      <c r="P4" s="17">
        <v>25000</v>
      </c>
      <c r="Q4" s="17">
        <f t="shared" ref="Q4:Q6" si="7">N4</f>
        <v>14662.5</v>
      </c>
      <c r="R4" s="17">
        <f t="shared" ref="R4:R6" si="8">((O4-P4)*$B4)/2</f>
        <v>14287.5</v>
      </c>
      <c r="S4" s="17">
        <f t="shared" ref="S4:S6" si="9">O4-P4</f>
        <v>952500</v>
      </c>
      <c r="T4" s="17">
        <v>25500</v>
      </c>
      <c r="U4" s="17">
        <f t="shared" ref="U4:U6" si="10">R4</f>
        <v>14287.5</v>
      </c>
      <c r="V4" s="17">
        <f t="shared" ref="V4:V6" si="11">((S4-T4)*$B4)/2</f>
        <v>13905</v>
      </c>
      <c r="W4" s="17">
        <f t="shared" ref="W4:W6" si="12">S4-T4</f>
        <v>927000</v>
      </c>
      <c r="X4" s="17">
        <v>26500</v>
      </c>
      <c r="Y4" s="17">
        <f>V4</f>
        <v>13905</v>
      </c>
      <c r="Z4" s="17">
        <f t="shared" ref="Z4:Z6" si="13">((W4-X4)*$B4)/2</f>
        <v>13507.5</v>
      </c>
      <c r="AA4" s="17">
        <f t="shared" ref="AA4:AA6" si="14">W4-X4</f>
        <v>900500</v>
      </c>
    </row>
    <row r="5" spans="1:27" x14ac:dyDescent="0.25">
      <c r="A5" t="s">
        <v>41</v>
      </c>
      <c r="B5" s="16">
        <v>2.1250000000000002E-2</v>
      </c>
      <c r="C5" s="17">
        <v>1306000</v>
      </c>
      <c r="D5" s="17">
        <f t="shared" ref="D5:D6" si="15">(C5*B5)/2</f>
        <v>13876.250000000002</v>
      </c>
      <c r="E5" s="17">
        <v>27500</v>
      </c>
      <c r="F5" s="17">
        <f t="shared" si="0"/>
        <v>13584.062500000002</v>
      </c>
      <c r="G5" s="17">
        <f t="shared" si="1"/>
        <v>1278500</v>
      </c>
      <c r="H5" s="17">
        <v>28500</v>
      </c>
      <c r="I5" s="17">
        <f t="shared" si="2"/>
        <v>13584.062500000002</v>
      </c>
      <c r="J5" s="17">
        <f t="shared" si="3"/>
        <v>13281.250000000002</v>
      </c>
      <c r="K5" s="17">
        <f t="shared" si="4"/>
        <v>1250000</v>
      </c>
      <c r="L5" s="17">
        <v>29000</v>
      </c>
      <c r="M5" s="17">
        <f>J5</f>
        <v>13281.250000000002</v>
      </c>
      <c r="N5" s="17">
        <f t="shared" si="5"/>
        <v>12973.125000000002</v>
      </c>
      <c r="O5" s="17">
        <f t="shared" si="6"/>
        <v>1221000</v>
      </c>
      <c r="P5" s="17">
        <v>29500</v>
      </c>
      <c r="Q5" s="17">
        <f t="shared" si="7"/>
        <v>12973.125000000002</v>
      </c>
      <c r="R5" s="17">
        <f t="shared" si="8"/>
        <v>12659.6875</v>
      </c>
      <c r="S5" s="17">
        <f t="shared" si="9"/>
        <v>1191500</v>
      </c>
      <c r="T5" s="17">
        <v>30500</v>
      </c>
      <c r="U5" s="17">
        <f t="shared" si="10"/>
        <v>12659.6875</v>
      </c>
      <c r="V5" s="17">
        <f t="shared" si="11"/>
        <v>12335.625</v>
      </c>
      <c r="W5" s="17">
        <f t="shared" si="12"/>
        <v>1161000</v>
      </c>
      <c r="X5" s="17">
        <v>31000</v>
      </c>
      <c r="Y5" s="17">
        <f>V5</f>
        <v>12335.625</v>
      </c>
      <c r="Z5" s="17">
        <f t="shared" si="13"/>
        <v>12006.25</v>
      </c>
      <c r="AA5" s="17">
        <f t="shared" si="14"/>
        <v>1130000</v>
      </c>
    </row>
    <row r="6" spans="1:27" x14ac:dyDescent="0.25">
      <c r="A6" t="s">
        <v>42</v>
      </c>
      <c r="B6" s="16">
        <v>1.8749999999999999E-2</v>
      </c>
      <c r="C6" s="17">
        <v>642000</v>
      </c>
      <c r="D6" s="17">
        <f t="shared" si="15"/>
        <v>6018.75</v>
      </c>
      <c r="E6" s="17">
        <v>13500</v>
      </c>
      <c r="F6" s="17">
        <f t="shared" si="0"/>
        <v>5892.1875</v>
      </c>
      <c r="G6" s="17">
        <f t="shared" si="1"/>
        <v>628500</v>
      </c>
      <c r="H6" s="17">
        <v>14000</v>
      </c>
      <c r="I6" s="17">
        <f t="shared" si="2"/>
        <v>5892.1875</v>
      </c>
      <c r="J6" s="17">
        <f t="shared" si="3"/>
        <v>5760.9375</v>
      </c>
      <c r="K6" s="17">
        <f t="shared" si="4"/>
        <v>614500</v>
      </c>
      <c r="L6" s="17">
        <v>14000</v>
      </c>
      <c r="M6" s="17">
        <f>J6</f>
        <v>5760.9375</v>
      </c>
      <c r="N6" s="17">
        <f t="shared" si="5"/>
        <v>5629.6875</v>
      </c>
      <c r="O6" s="17">
        <f t="shared" si="6"/>
        <v>600500</v>
      </c>
      <c r="P6" s="17">
        <v>14500</v>
      </c>
      <c r="Q6" s="17">
        <f t="shared" si="7"/>
        <v>5629.6875</v>
      </c>
      <c r="R6" s="17">
        <f t="shared" si="8"/>
        <v>5493.75</v>
      </c>
      <c r="S6" s="17">
        <f t="shared" si="9"/>
        <v>586000</v>
      </c>
      <c r="T6" s="17">
        <v>14500</v>
      </c>
      <c r="U6" s="17">
        <f t="shared" si="10"/>
        <v>5493.75</v>
      </c>
      <c r="V6" s="17">
        <f t="shared" si="11"/>
        <v>5357.8125</v>
      </c>
      <c r="W6" s="17">
        <f t="shared" si="12"/>
        <v>571500</v>
      </c>
      <c r="X6" s="17">
        <v>15000</v>
      </c>
      <c r="Y6" s="17">
        <f>V6</f>
        <v>5357.8125</v>
      </c>
      <c r="Z6" s="17">
        <f t="shared" si="13"/>
        <v>5217.1875</v>
      </c>
      <c r="AA6" s="17">
        <f t="shared" si="14"/>
        <v>556500</v>
      </c>
    </row>
    <row r="7" spans="1:27" x14ac:dyDescent="0.25">
      <c r="A7">
        <v>2021</v>
      </c>
      <c r="B7" s="16">
        <v>1.375E-2</v>
      </c>
      <c r="C7" s="17">
        <v>1945000</v>
      </c>
      <c r="D7" s="17"/>
      <c r="F7" s="17"/>
      <c r="G7" s="17">
        <f t="shared" ref="G7" si="16">C7-E7</f>
        <v>1945000</v>
      </c>
      <c r="H7" s="17">
        <v>37000</v>
      </c>
      <c r="I7" s="17">
        <f>(G7*0.01375)/2</f>
        <v>13371.875</v>
      </c>
      <c r="J7" s="17">
        <f>I7</f>
        <v>13371.875</v>
      </c>
      <c r="K7" s="17">
        <f t="shared" si="4"/>
        <v>1908000</v>
      </c>
      <c r="L7" s="17">
        <v>37500</v>
      </c>
      <c r="M7" s="17">
        <f>(K7*0.01375)/2</f>
        <v>13117.5</v>
      </c>
      <c r="N7" s="17">
        <f>M7</f>
        <v>13117.5</v>
      </c>
      <c r="O7" s="17">
        <f t="shared" ref="O7" si="17">K7-L7</f>
        <v>1870500</v>
      </c>
      <c r="P7" s="17">
        <v>38000</v>
      </c>
      <c r="Q7" s="17">
        <f>25719/2</f>
        <v>12859.5</v>
      </c>
      <c r="R7" s="17">
        <f>Q7</f>
        <v>12859.5</v>
      </c>
      <c r="S7" s="17">
        <f t="shared" ref="S7" si="18">O7-P7</f>
        <v>1832500</v>
      </c>
      <c r="T7" s="17">
        <v>38500</v>
      </c>
      <c r="U7" s="17">
        <f>25196/2</f>
        <v>12598</v>
      </c>
      <c r="V7" s="17">
        <f>U7</f>
        <v>12598</v>
      </c>
      <c r="W7" s="17">
        <f t="shared" ref="W7" si="19">S7-T7</f>
        <v>1794000</v>
      </c>
      <c r="X7" s="17">
        <v>39000</v>
      </c>
      <c r="Y7" s="17">
        <f>24667/2</f>
        <v>12333.5</v>
      </c>
      <c r="Z7" s="17">
        <f>Y7</f>
        <v>12333.5</v>
      </c>
      <c r="AA7" s="17">
        <f t="shared" ref="AA7" si="20">W7-X7</f>
        <v>1755000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9D389-39D0-4D49-9994-6A953FCB8315}">
  <dimension ref="A1:R22"/>
  <sheetViews>
    <sheetView zoomScaleNormal="100" workbookViewId="0"/>
  </sheetViews>
  <sheetFormatPr defaultRowHeight="15" x14ac:dyDescent="0.25"/>
  <cols>
    <col min="1" max="1" width="17.85546875" customWidth="1"/>
    <col min="4" max="4" width="13.28515625" bestFit="1" customWidth="1"/>
    <col min="5" max="5" width="11.5703125" bestFit="1" customWidth="1"/>
    <col min="6" max="6" width="10.5703125" bestFit="1" customWidth="1"/>
    <col min="7" max="7" width="13.28515625" bestFit="1" customWidth="1"/>
    <col min="8" max="8" width="11.5703125" bestFit="1" customWidth="1"/>
    <col min="9" max="9" width="10.5703125" bestFit="1" customWidth="1"/>
    <col min="10" max="10" width="13.28515625" bestFit="1" customWidth="1"/>
    <col min="11" max="11" width="11.5703125" bestFit="1" customWidth="1"/>
    <col min="12" max="12" width="10.5703125" bestFit="1" customWidth="1"/>
    <col min="13" max="13" width="13.28515625" bestFit="1" customWidth="1"/>
    <col min="14" max="14" width="11.5703125" bestFit="1" customWidth="1"/>
    <col min="15" max="15" width="10.5703125" bestFit="1" customWidth="1"/>
    <col min="16" max="16" width="13.28515625" bestFit="1" customWidth="1"/>
    <col min="17" max="17" width="11.5703125" bestFit="1" customWidth="1"/>
    <col min="18" max="18" width="10.5703125" bestFit="1" customWidth="1"/>
  </cols>
  <sheetData>
    <row r="1" spans="1:18" x14ac:dyDescent="0.25">
      <c r="A1" s="31" t="s">
        <v>72</v>
      </c>
      <c r="D1" s="29" t="s">
        <v>25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D2" s="30">
        <v>2022</v>
      </c>
      <c r="E2" s="30"/>
      <c r="F2" s="30"/>
      <c r="G2" s="30">
        <v>2023</v>
      </c>
      <c r="H2" s="30"/>
      <c r="I2" s="30"/>
      <c r="J2" s="30">
        <v>2024</v>
      </c>
      <c r="K2" s="30"/>
      <c r="L2" s="30"/>
      <c r="M2" s="30">
        <v>2025</v>
      </c>
      <c r="N2" s="30"/>
      <c r="O2" s="30"/>
      <c r="P2" s="30">
        <v>2026</v>
      </c>
      <c r="Q2" s="30"/>
      <c r="R2" s="30"/>
    </row>
    <row r="3" spans="1:18" ht="26.25" x14ac:dyDescent="0.25">
      <c r="D3" s="11" t="s">
        <v>26</v>
      </c>
      <c r="E3" s="11" t="s">
        <v>27</v>
      </c>
      <c r="F3" s="23" t="s">
        <v>58</v>
      </c>
      <c r="G3" s="11" t="s">
        <v>26</v>
      </c>
      <c r="H3" s="11" t="s">
        <v>27</v>
      </c>
      <c r="I3" s="23" t="s">
        <v>58</v>
      </c>
      <c r="J3" s="11" t="s">
        <v>26</v>
      </c>
      <c r="K3" s="11" t="s">
        <v>27</v>
      </c>
      <c r="L3" s="23" t="s">
        <v>58</v>
      </c>
      <c r="M3" s="11" t="s">
        <v>26</v>
      </c>
      <c r="N3" s="11" t="s">
        <v>27</v>
      </c>
      <c r="O3" s="23" t="s">
        <v>58</v>
      </c>
      <c r="P3" s="11" t="s">
        <v>26</v>
      </c>
      <c r="Q3" s="11" t="s">
        <v>27</v>
      </c>
      <c r="R3" s="23" t="s">
        <v>58</v>
      </c>
    </row>
    <row r="4" spans="1:18" x14ac:dyDescent="0.25">
      <c r="A4" t="s">
        <v>11</v>
      </c>
      <c r="B4" t="s">
        <v>15</v>
      </c>
      <c r="C4" t="s">
        <v>29</v>
      </c>
      <c r="D4" s="20">
        <f>'2021 Debt Data'!F10</f>
        <v>234948</v>
      </c>
      <c r="E4" s="20">
        <f>'2021 Debt Data'!G10</f>
        <v>15112</v>
      </c>
      <c r="F4" s="20">
        <f>'2021 Debt Data'!H10</f>
        <v>3777</v>
      </c>
      <c r="G4" s="20">
        <f>'2021 Debt Data'!I10</f>
        <v>237303</v>
      </c>
      <c r="H4" s="20">
        <f>'2021 Debt Data'!J10</f>
        <v>12757</v>
      </c>
      <c r="I4" s="20">
        <f>'2021 Debt Data'!K10</f>
        <v>3188</v>
      </c>
      <c r="J4" s="20">
        <f>'2021 Debt Data'!L10</f>
        <v>239682</v>
      </c>
      <c r="K4" s="20">
        <f>'2021 Debt Data'!M10</f>
        <v>10378</v>
      </c>
      <c r="L4" s="20">
        <f>'2021 Debt Data'!N10</f>
        <v>2594</v>
      </c>
      <c r="M4" s="20">
        <f>'2021 Debt Data'!O10</f>
        <v>242085</v>
      </c>
      <c r="N4" s="20">
        <f>'2021 Debt Data'!P10</f>
        <v>7975</v>
      </c>
      <c r="O4" s="20">
        <f>'2021 Debt Data'!Q10</f>
        <v>1993</v>
      </c>
      <c r="P4" s="20">
        <f>'2021 Debt Data'!R10</f>
        <v>244512</v>
      </c>
      <c r="Q4" s="20">
        <f>'2021 Debt Data'!S10</f>
        <v>5548</v>
      </c>
      <c r="R4" s="20">
        <f>'2021 Debt Data'!T10</f>
        <v>1386</v>
      </c>
    </row>
    <row r="5" spans="1:18" x14ac:dyDescent="0.25">
      <c r="A5" t="s">
        <v>11</v>
      </c>
      <c r="B5" t="s">
        <v>14</v>
      </c>
      <c r="C5" t="s">
        <v>39</v>
      </c>
      <c r="D5" s="20">
        <f>'2021 Debt Data'!F11</f>
        <v>21400</v>
      </c>
      <c r="E5" s="20">
        <f>'2021 Debt Data'!G11</f>
        <v>21866.625</v>
      </c>
      <c r="F5" s="20">
        <f>'2021 Debt Data'!H11</f>
        <v>0</v>
      </c>
      <c r="G5" s="20">
        <f>'2021 Debt Data'!I11</f>
        <v>22000</v>
      </c>
      <c r="H5" s="20">
        <f>'2021 Debt Data'!J11</f>
        <v>21351.25</v>
      </c>
      <c r="I5" s="20">
        <f>'2021 Debt Data'!K11</f>
        <v>0</v>
      </c>
      <c r="J5" s="20">
        <f>'2021 Debt Data'!L11</f>
        <v>22600</v>
      </c>
      <c r="K5" s="20">
        <f>'2021 Debt Data'!M11</f>
        <v>20821.625</v>
      </c>
      <c r="L5" s="20">
        <f>'2021 Debt Data'!N11</f>
        <v>0</v>
      </c>
      <c r="M5" s="20">
        <f>'2021 Debt Data'!O11</f>
        <v>23200</v>
      </c>
      <c r="N5" s="20">
        <f>'2021 Debt Data'!P11</f>
        <v>20277.75</v>
      </c>
      <c r="O5" s="20">
        <f>'2021 Debt Data'!Q11</f>
        <v>0</v>
      </c>
      <c r="P5" s="20">
        <f>'2021 Debt Data'!R11</f>
        <v>23900</v>
      </c>
      <c r="Q5" s="20">
        <f>'2021 Debt Data'!S11</f>
        <v>19718.4375</v>
      </c>
      <c r="R5" s="20">
        <f>'2021 Debt Data'!T11</f>
        <v>0</v>
      </c>
    </row>
    <row r="6" spans="1:18" x14ac:dyDescent="0.25">
      <c r="A6" t="s">
        <v>11</v>
      </c>
      <c r="B6" t="s">
        <v>15</v>
      </c>
      <c r="C6" t="s">
        <v>30</v>
      </c>
      <c r="D6" s="20">
        <f>'2021 Debt Data'!F12</f>
        <v>51690</v>
      </c>
      <c r="E6" s="20">
        <f>'2021 Debt Data'!G12</f>
        <v>3599</v>
      </c>
      <c r="F6" s="20">
        <f>'2021 Debt Data'!H12</f>
        <v>899</v>
      </c>
      <c r="G6" s="20">
        <f>'2021 Debt Data'!I12</f>
        <v>52208</v>
      </c>
      <c r="H6" s="20">
        <f>'2021 Debt Data'!J12</f>
        <v>3081</v>
      </c>
      <c r="I6" s="20">
        <f>'2021 Debt Data'!K12</f>
        <v>769</v>
      </c>
      <c r="J6" s="20">
        <f>'2021 Debt Data'!L12</f>
        <v>52732</v>
      </c>
      <c r="K6" s="20">
        <f>'2021 Debt Data'!M12</f>
        <v>2558</v>
      </c>
      <c r="L6" s="20">
        <f>'2021 Debt Data'!N12</f>
        <v>639</v>
      </c>
      <c r="M6" s="20">
        <f>'2021 Debt Data'!O12</f>
        <v>53260</v>
      </c>
      <c r="N6" s="20">
        <f>'2021 Debt Data'!P12</f>
        <v>2029</v>
      </c>
      <c r="O6" s="20">
        <f>'2021 Debt Data'!Q12</f>
        <v>507</v>
      </c>
      <c r="P6" s="20">
        <f>'2021 Debt Data'!R12</f>
        <v>53794</v>
      </c>
      <c r="Q6" s="20">
        <f>'2021 Debt Data'!S12</f>
        <v>1495</v>
      </c>
      <c r="R6" s="20">
        <f>'2021 Debt Data'!T12</f>
        <v>373</v>
      </c>
    </row>
    <row r="7" spans="1:18" x14ac:dyDescent="0.25">
      <c r="A7" t="s">
        <v>11</v>
      </c>
      <c r="B7" t="s">
        <v>14</v>
      </c>
      <c r="C7" t="s">
        <v>40</v>
      </c>
      <c r="D7" s="20">
        <f>'2021 Debt Data'!F13</f>
        <v>24000</v>
      </c>
      <c r="E7" s="20">
        <f>'2021 Debt Data'!G13</f>
        <v>30420</v>
      </c>
      <c r="F7" s="20">
        <f>'2021 Debt Data'!H13</f>
        <v>0</v>
      </c>
      <c r="G7" s="20">
        <f>'2021 Debt Data'!I13</f>
        <v>24500</v>
      </c>
      <c r="H7" s="20">
        <f>'2021 Debt Data'!J13</f>
        <v>29692.5</v>
      </c>
      <c r="I7" s="20">
        <f>'2021 Debt Data'!K13</f>
        <v>0</v>
      </c>
      <c r="J7" s="20">
        <f>'2021 Debt Data'!L13</f>
        <v>25000</v>
      </c>
      <c r="K7" s="20">
        <f>'2021 Debt Data'!M13</f>
        <v>28950</v>
      </c>
      <c r="L7" s="20">
        <f>'2021 Debt Data'!N13</f>
        <v>0</v>
      </c>
      <c r="M7" s="20">
        <f>'2021 Debt Data'!O13</f>
        <v>25500</v>
      </c>
      <c r="N7" s="20">
        <f>'2021 Debt Data'!P13</f>
        <v>28192.5</v>
      </c>
      <c r="O7" s="20">
        <f>'2021 Debt Data'!Q13</f>
        <v>0</v>
      </c>
      <c r="P7" s="20">
        <f>'2021 Debt Data'!R13</f>
        <v>26500</v>
      </c>
      <c r="Q7" s="20">
        <f>'2021 Debt Data'!S13</f>
        <v>27412.5</v>
      </c>
      <c r="R7" s="20">
        <f>'2021 Debt Data'!T13</f>
        <v>0</v>
      </c>
    </row>
    <row r="8" spans="1:18" x14ac:dyDescent="0.25">
      <c r="A8" t="s">
        <v>11</v>
      </c>
      <c r="B8" t="s">
        <v>14</v>
      </c>
      <c r="C8" t="s">
        <v>41</v>
      </c>
      <c r="D8" s="20">
        <f>'2021 Debt Data'!F14</f>
        <v>28500</v>
      </c>
      <c r="E8" s="20">
        <f>'2021 Debt Data'!G14</f>
        <v>26865.312500000004</v>
      </c>
      <c r="F8" s="20">
        <f>'2021 Debt Data'!H14</f>
        <v>0</v>
      </c>
      <c r="G8" s="20">
        <f>'2021 Debt Data'!I14</f>
        <v>29000</v>
      </c>
      <c r="H8" s="20">
        <f>'2021 Debt Data'!J14</f>
        <v>26254.375000000004</v>
      </c>
      <c r="I8" s="20">
        <f>'2021 Debt Data'!K14</f>
        <v>0</v>
      </c>
      <c r="J8" s="20">
        <f>'2021 Debt Data'!L14</f>
        <v>29500</v>
      </c>
      <c r="K8" s="20">
        <f>'2021 Debt Data'!M14</f>
        <v>25632.8125</v>
      </c>
      <c r="L8" s="20">
        <f>'2021 Debt Data'!N14</f>
        <v>0</v>
      </c>
      <c r="M8" s="20">
        <f>'2021 Debt Data'!O14</f>
        <v>30500</v>
      </c>
      <c r="N8" s="20">
        <f>'2021 Debt Data'!P14</f>
        <v>24995.3125</v>
      </c>
      <c r="O8" s="20">
        <f>'2021 Debt Data'!Q14</f>
        <v>0</v>
      </c>
      <c r="P8" s="20">
        <f>'2021 Debt Data'!R14</f>
        <v>31000</v>
      </c>
      <c r="Q8" s="20">
        <f>'2021 Debt Data'!S14</f>
        <v>24341.875</v>
      </c>
      <c r="R8" s="20">
        <f>'2021 Debt Data'!T14</f>
        <v>0</v>
      </c>
    </row>
    <row r="9" spans="1:18" x14ac:dyDescent="0.25">
      <c r="A9" t="s">
        <v>11</v>
      </c>
      <c r="B9" t="s">
        <v>15</v>
      </c>
      <c r="C9" t="s">
        <v>31</v>
      </c>
      <c r="D9" s="20">
        <f>'2021 Debt Data'!F15</f>
        <v>198675</v>
      </c>
      <c r="E9" s="20">
        <f>'2021 Debt Data'!G15</f>
        <v>22487</v>
      </c>
      <c r="F9" s="20">
        <f>'2021 Debt Data'!H15</f>
        <v>15621</v>
      </c>
      <c r="G9" s="20">
        <f>'2021 Debt Data'!I15</f>
        <v>200667</v>
      </c>
      <c r="H9" s="20">
        <f>'2021 Debt Data'!J15</f>
        <v>20495</v>
      </c>
      <c r="I9" s="20">
        <f>'2021 Debt Data'!K15</f>
        <v>5123</v>
      </c>
      <c r="J9" s="20">
        <f>'2021 Debt Data'!L15</f>
        <v>202679</v>
      </c>
      <c r="K9" s="20">
        <f>'2021 Debt Data'!M15</f>
        <v>18484</v>
      </c>
      <c r="L9" s="20">
        <f>'2021 Debt Data'!N15</f>
        <v>4620</v>
      </c>
      <c r="M9" s="20">
        <f>'2021 Debt Data'!O15</f>
        <v>204710</v>
      </c>
      <c r="N9" s="20">
        <f>'2021 Debt Data'!P15</f>
        <v>16452</v>
      </c>
      <c r="O9" s="20">
        <f>'2021 Debt Data'!Q15</f>
        <v>4112</v>
      </c>
      <c r="P9" s="20">
        <f>'2021 Debt Data'!R15</f>
        <v>206763</v>
      </c>
      <c r="Q9" s="20">
        <f>'2021 Debt Data'!S15</f>
        <v>14400</v>
      </c>
      <c r="R9" s="20">
        <f>'2021 Debt Data'!T15</f>
        <v>3599</v>
      </c>
    </row>
    <row r="10" spans="1:18" x14ac:dyDescent="0.25">
      <c r="A10" t="s">
        <v>11</v>
      </c>
      <c r="B10" t="s">
        <v>15</v>
      </c>
      <c r="C10" t="s">
        <v>45</v>
      </c>
      <c r="D10" s="20">
        <f>'2021 Debt Data'!F16</f>
        <v>84559</v>
      </c>
      <c r="E10" s="20">
        <f>'2021 Debt Data'!G16</f>
        <v>9102</v>
      </c>
      <c r="F10" s="20">
        <f>'2021 Debt Data'!H16</f>
        <v>2275</v>
      </c>
      <c r="G10" s="20">
        <f>'2021 Debt Data'!I16</f>
        <v>85407</v>
      </c>
      <c r="H10" s="20">
        <f>'2021 Debt Data'!J16</f>
        <v>8255</v>
      </c>
      <c r="I10" s="20">
        <f>'2021 Debt Data'!K16</f>
        <v>2063</v>
      </c>
      <c r="J10" s="20">
        <f>'2021 Debt Data'!L16</f>
        <v>86263</v>
      </c>
      <c r="K10" s="20">
        <f>'2021 Debt Data'!M16</f>
        <v>7398</v>
      </c>
      <c r="L10" s="20">
        <f>'2021 Debt Data'!N16</f>
        <v>1848</v>
      </c>
      <c r="M10" s="20">
        <f>'2021 Debt Data'!O16</f>
        <v>87128</v>
      </c>
      <c r="N10" s="20">
        <f>'2021 Debt Data'!P16</f>
        <v>6533</v>
      </c>
      <c r="O10" s="20">
        <f>'2021 Debt Data'!Q16</f>
        <v>1632</v>
      </c>
      <c r="P10" s="20">
        <f>'2021 Debt Data'!R16</f>
        <v>88001</v>
      </c>
      <c r="Q10" s="20">
        <f>'2021 Debt Data'!S16</f>
        <v>5660</v>
      </c>
      <c r="R10" s="20">
        <f>'2021 Debt Data'!T16</f>
        <v>1415</v>
      </c>
    </row>
    <row r="11" spans="1:18" x14ac:dyDescent="0.25">
      <c r="A11" s="12" t="s">
        <v>24</v>
      </c>
      <c r="B11" t="s">
        <v>16</v>
      </c>
      <c r="C11" t="s">
        <v>48</v>
      </c>
      <c r="D11" s="20">
        <f>'2021 Debt Data'!F17*0.67</f>
        <v>137350</v>
      </c>
      <c r="E11" s="20">
        <f>'2021 Debt Data'!G17*0.67</f>
        <v>55853.7192</v>
      </c>
      <c r="F11" s="20">
        <f>'2021 Debt Data'!H17*0.67</f>
        <v>301.5</v>
      </c>
      <c r="G11" s="20">
        <f>'2021 Debt Data'!I17*0.67</f>
        <v>140700</v>
      </c>
      <c r="H11" s="20">
        <f>'2021 Debt Data'!J17*0.67</f>
        <v>49659.569199999998</v>
      </c>
      <c r="I11" s="20">
        <f>'2021 Debt Data'!K17*0.67</f>
        <v>301.5</v>
      </c>
      <c r="J11" s="20">
        <f>'2021 Debt Data'!L17*0.67</f>
        <v>144050</v>
      </c>
      <c r="K11" s="20">
        <f>'2021 Debt Data'!M17*0.67</f>
        <v>43609.469200000007</v>
      </c>
      <c r="L11" s="20">
        <f>'2021 Debt Data'!N17*0.67</f>
        <v>301.5</v>
      </c>
      <c r="M11" s="20">
        <f>'2021 Debt Data'!O17*0.67</f>
        <v>150750</v>
      </c>
      <c r="N11" s="20">
        <f>'2021 Debt Data'!P17*0.67</f>
        <v>37415.319200000005</v>
      </c>
      <c r="O11" s="20">
        <f>'2021 Debt Data'!Q17*0.67</f>
        <v>301.5</v>
      </c>
      <c r="P11" s="20">
        <f>'2021 Debt Data'!R17*0.67</f>
        <v>100500</v>
      </c>
      <c r="Q11" s="20">
        <f>'2021 Debt Data'!S17*0.67</f>
        <v>30933.069200000002</v>
      </c>
      <c r="R11" s="20">
        <f>'2021 Debt Data'!T17*0.67</f>
        <v>301.5</v>
      </c>
    </row>
    <row r="12" spans="1:18" x14ac:dyDescent="0.25">
      <c r="A12" t="s">
        <v>11</v>
      </c>
      <c r="B12" t="s">
        <v>15</v>
      </c>
      <c r="C12" t="s">
        <v>32</v>
      </c>
      <c r="D12" s="20">
        <f>'2021 Debt Data'!F19</f>
        <v>26843</v>
      </c>
      <c r="E12" s="20">
        <f>'2021 Debt Data'!G19</f>
        <v>6837</v>
      </c>
      <c r="F12" s="20">
        <f>'2021 Debt Data'!H19</f>
        <v>9009</v>
      </c>
      <c r="G12" s="20">
        <f>'2021 Debt Data'!I19</f>
        <v>27113</v>
      </c>
      <c r="H12" s="20">
        <f>'2021 Debt Data'!J19</f>
        <v>6568</v>
      </c>
      <c r="I12" s="20">
        <f>'2021 Debt Data'!K19</f>
        <v>8941</v>
      </c>
      <c r="J12" s="20">
        <f>'2021 Debt Data'!L19</f>
        <v>27385</v>
      </c>
      <c r="K12" s="20">
        <f>'2021 Debt Data'!M19</f>
        <v>6296</v>
      </c>
      <c r="L12" s="20">
        <f>'2021 Debt Data'!N19</f>
        <v>8873</v>
      </c>
      <c r="M12" s="20">
        <f>'2021 Debt Data'!O19</f>
        <v>27659</v>
      </c>
      <c r="N12" s="20">
        <f>'2021 Debt Data'!P19</f>
        <v>6023</v>
      </c>
      <c r="O12" s="20">
        <f>'2021 Debt Data'!Q19</f>
        <v>1505</v>
      </c>
      <c r="P12" s="20">
        <f>'2021 Debt Data'!R19</f>
        <v>27936</v>
      </c>
      <c r="Q12" s="20">
        <f>'2021 Debt Data'!S19</f>
        <v>5745</v>
      </c>
      <c r="R12" s="20">
        <f>'2021 Debt Data'!T19</f>
        <v>1435</v>
      </c>
    </row>
    <row r="13" spans="1:18" x14ac:dyDescent="0.25">
      <c r="A13" t="s">
        <v>11</v>
      </c>
      <c r="B13" t="s">
        <v>15</v>
      </c>
      <c r="C13" t="s">
        <v>33</v>
      </c>
      <c r="D13" s="20">
        <f>'2021 Debt Data'!F20</f>
        <v>76050</v>
      </c>
      <c r="E13" s="20">
        <f>'2021 Debt Data'!G20</f>
        <v>16860</v>
      </c>
      <c r="F13" s="20">
        <f>'2021 Debt Data'!H20</f>
        <v>15619</v>
      </c>
      <c r="G13" s="20">
        <f>'2021 Debt Data'!I20</f>
        <v>76622</v>
      </c>
      <c r="H13" s="20">
        <f>'2021 Debt Data'!J20</f>
        <v>16289</v>
      </c>
      <c r="I13" s="20">
        <f>'2021 Debt Data'!K20</f>
        <v>15429</v>
      </c>
      <c r="J13" s="20">
        <f>'2021 Debt Data'!L20</f>
        <v>77197</v>
      </c>
      <c r="K13" s="20">
        <f>'2021 Debt Data'!M20</f>
        <v>15713</v>
      </c>
      <c r="L13" s="20">
        <f>'2021 Debt Data'!N20</f>
        <v>15237</v>
      </c>
      <c r="M13" s="20">
        <f>'2021 Debt Data'!O20</f>
        <v>77778</v>
      </c>
      <c r="N13" s="20">
        <f>'2021 Debt Data'!P20</f>
        <v>15133</v>
      </c>
      <c r="O13" s="20">
        <f>'2021 Debt Data'!Q20</f>
        <v>15044</v>
      </c>
      <c r="P13" s="20">
        <f>'2021 Debt Data'!R20</f>
        <v>78362</v>
      </c>
      <c r="Q13" s="20">
        <f>'2021 Debt Data'!S20</f>
        <v>14548</v>
      </c>
      <c r="R13" s="20">
        <f>'2021 Debt Data'!T20</f>
        <v>14849</v>
      </c>
    </row>
    <row r="14" spans="1:18" x14ac:dyDescent="0.25">
      <c r="A14" s="12" t="s">
        <v>24</v>
      </c>
      <c r="B14" t="s">
        <v>14</v>
      </c>
      <c r="C14" t="s">
        <v>68</v>
      </c>
      <c r="D14" s="20">
        <f>'2021 Debt Data'!F21*0.87</f>
        <v>32190</v>
      </c>
      <c r="E14" s="20">
        <f>'2021 Debt Data'!G21*0.87</f>
        <v>23267.0625</v>
      </c>
      <c r="F14" s="20">
        <f>'2021 Debt Data'!H21</f>
        <v>6360</v>
      </c>
      <c r="G14" s="20">
        <f>'2021 Debt Data'!I21*0.87</f>
        <v>32625</v>
      </c>
      <c r="H14" s="20">
        <f>'2021 Debt Data'!J21*0.87</f>
        <v>22824.45</v>
      </c>
      <c r="I14" s="20">
        <f>'2021 Debt Data'!K21*0.87</f>
        <v>5533.2</v>
      </c>
      <c r="J14" s="20">
        <f>'2021 Debt Data'!L21*0.87</f>
        <v>33060</v>
      </c>
      <c r="K14" s="20">
        <f>'2021 Debt Data'!M21*0.87</f>
        <v>22375.53</v>
      </c>
      <c r="L14" s="20">
        <f>'2021 Debt Data'!N21*0.87</f>
        <v>5533.2</v>
      </c>
      <c r="M14" s="20">
        <f>'2021 Debt Data'!O21*0.87</f>
        <v>33495</v>
      </c>
      <c r="N14" s="20">
        <f>'2021 Debt Data'!P21*0.87</f>
        <v>21920.52</v>
      </c>
      <c r="O14" s="20">
        <f>'2021 Debt Data'!Q21*0.87</f>
        <v>5533.2</v>
      </c>
      <c r="P14" s="20">
        <f>'2021 Debt Data'!R21*0.87</f>
        <v>33930</v>
      </c>
      <c r="Q14" s="20">
        <f>'2021 Debt Data'!S21*0.87</f>
        <v>21460.29</v>
      </c>
      <c r="R14" s="20">
        <f>'2021 Debt Data'!T21*0.87</f>
        <v>5533.2</v>
      </c>
    </row>
    <row r="15" spans="1:18" x14ac:dyDescent="0.25">
      <c r="A15" t="s">
        <v>11</v>
      </c>
      <c r="B15" t="s">
        <v>15</v>
      </c>
      <c r="C15" t="s">
        <v>46</v>
      </c>
      <c r="D15" s="20">
        <f>'2021 Debt Data'!F22</f>
        <v>12460</v>
      </c>
      <c r="E15" s="20">
        <f>'2021 Debt Data'!G22</f>
        <v>2013</v>
      </c>
      <c r="F15" s="20">
        <f>'2021 Debt Data'!H22</f>
        <v>1006</v>
      </c>
      <c r="G15" s="20">
        <f>'2021 Debt Data'!I22</f>
        <v>25013</v>
      </c>
      <c r="H15" s="20">
        <f>'2021 Debt Data'!J22</f>
        <v>3933</v>
      </c>
      <c r="I15" s="20">
        <f>'2021 Debt Data'!K22</f>
        <v>5666</v>
      </c>
      <c r="J15" s="20">
        <f>'2021 Debt Data'!L22</f>
        <v>25138</v>
      </c>
      <c r="K15" s="20">
        <f>'2021 Debt Data'!M22</f>
        <v>3808</v>
      </c>
      <c r="L15" s="20">
        <f>'2021 Debt Data'!N22</f>
        <v>5604</v>
      </c>
      <c r="M15" s="20">
        <f>'2021 Debt Data'!O22</f>
        <v>25264</v>
      </c>
      <c r="N15" s="20">
        <f>'2021 Debt Data'!P22</f>
        <v>3682</v>
      </c>
      <c r="O15" s="20">
        <f>'2021 Debt Data'!Q22</f>
        <v>5540</v>
      </c>
      <c r="P15" s="20">
        <f>'2021 Debt Data'!R22</f>
        <v>25391</v>
      </c>
      <c r="Q15" s="20">
        <f>'2021 Debt Data'!S22</f>
        <v>3556</v>
      </c>
      <c r="R15" s="20">
        <f>'2021 Debt Data'!T22</f>
        <v>5478</v>
      </c>
    </row>
    <row r="16" spans="1:18" x14ac:dyDescent="0.25">
      <c r="A16" s="12" t="s">
        <v>24</v>
      </c>
      <c r="B16" t="s">
        <v>16</v>
      </c>
      <c r="C16" t="s">
        <v>54</v>
      </c>
      <c r="D16" s="20">
        <f>'2021 Debt Data'!F24*0.98</f>
        <v>156800</v>
      </c>
      <c r="E16" s="20">
        <f>'2021 Debt Data'!G24*0.98</f>
        <v>137517.51999999999</v>
      </c>
      <c r="F16" s="20">
        <f>'2021 Debt Data'!H24</f>
        <v>450</v>
      </c>
      <c r="G16" s="20">
        <f>'2021 Debt Data'!I24*0.98</f>
        <v>156800</v>
      </c>
      <c r="H16" s="20">
        <f>'2021 Debt Data'!J24*0.98</f>
        <v>133989.51999999999</v>
      </c>
      <c r="I16" s="20">
        <f>'2021 Debt Data'!K24</f>
        <v>450</v>
      </c>
      <c r="J16" s="20">
        <f>'2021 Debt Data'!L24*0.98</f>
        <v>161700</v>
      </c>
      <c r="K16" s="20">
        <f>'2021 Debt Data'!M24*0.98</f>
        <v>130461.52</v>
      </c>
      <c r="L16" s="20">
        <f>'2021 Debt Data'!N24</f>
        <v>450</v>
      </c>
      <c r="M16" s="20">
        <f>'2021 Debt Data'!O24*0.98</f>
        <v>161700</v>
      </c>
      <c r="N16" s="20">
        <f>'2021 Debt Data'!P24*0.98</f>
        <v>126823.76</v>
      </c>
      <c r="O16" s="20">
        <f>'2021 Debt Data'!Q24</f>
        <v>450</v>
      </c>
      <c r="P16" s="20">
        <f>'2021 Debt Data'!R24*0.98</f>
        <v>166600</v>
      </c>
      <c r="Q16" s="20">
        <f>'2021 Debt Data'!S24*0.98</f>
        <v>123186</v>
      </c>
      <c r="R16" s="20">
        <f>'2021 Debt Data'!T24</f>
        <v>450</v>
      </c>
    </row>
    <row r="18" spans="1:18" x14ac:dyDescent="0.25">
      <c r="A18" s="21" t="s">
        <v>55</v>
      </c>
      <c r="D18" s="22">
        <f>SUM(D4:D16)</f>
        <v>1085465</v>
      </c>
      <c r="E18" s="22">
        <f t="shared" ref="E18:R18" si="0">SUM(E4:E16)</f>
        <v>371800.23919999995</v>
      </c>
      <c r="F18" s="22">
        <f t="shared" si="0"/>
        <v>55317.5</v>
      </c>
      <c r="G18" s="22">
        <f t="shared" si="0"/>
        <v>1109958</v>
      </c>
      <c r="H18" s="22">
        <f t="shared" si="0"/>
        <v>355149.6642</v>
      </c>
      <c r="I18" s="22">
        <f t="shared" si="0"/>
        <v>47463.7</v>
      </c>
      <c r="J18" s="22">
        <f t="shared" si="0"/>
        <v>1126986</v>
      </c>
      <c r="K18" s="22">
        <f t="shared" si="0"/>
        <v>336485.95669999998</v>
      </c>
      <c r="L18" s="22">
        <f t="shared" si="0"/>
        <v>45699.7</v>
      </c>
      <c r="M18" s="22">
        <f t="shared" si="0"/>
        <v>1143029</v>
      </c>
      <c r="N18" s="22">
        <f t="shared" si="0"/>
        <v>317452.1617</v>
      </c>
      <c r="O18" s="22">
        <f t="shared" si="0"/>
        <v>36617.699999999997</v>
      </c>
      <c r="P18" s="22">
        <f t="shared" si="0"/>
        <v>1107189</v>
      </c>
      <c r="Q18" s="22">
        <f t="shared" si="0"/>
        <v>298004.17170000001</v>
      </c>
      <c r="R18" s="22">
        <f t="shared" si="0"/>
        <v>34819.699999999997</v>
      </c>
    </row>
    <row r="20" spans="1:18" x14ac:dyDescent="0.25">
      <c r="A20" s="21" t="s">
        <v>56</v>
      </c>
      <c r="D20" s="22">
        <f>D18+E18+G18+H18+J18+K18+M18+N18+P18+Q18</f>
        <v>7251519.1934999991</v>
      </c>
    </row>
    <row r="22" spans="1:18" x14ac:dyDescent="0.25">
      <c r="A22" s="21" t="s">
        <v>57</v>
      </c>
      <c r="D22" s="22">
        <f>D20/5</f>
        <v>1450303.8386999997</v>
      </c>
    </row>
  </sheetData>
  <mergeCells count="6">
    <mergeCell ref="D1:R1"/>
    <mergeCell ref="D2:F2"/>
    <mergeCell ref="G2:I2"/>
    <mergeCell ref="J2:L2"/>
    <mergeCell ref="M2:O2"/>
    <mergeCell ref="P2:R2"/>
  </mergeCells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018C2-3967-40C0-A912-E34AAF1E3CCF}">
  <dimension ref="A1:R13"/>
  <sheetViews>
    <sheetView tabSelected="1" workbookViewId="0"/>
  </sheetViews>
  <sheetFormatPr defaultRowHeight="15" x14ac:dyDescent="0.25"/>
  <cols>
    <col min="1" max="1" width="17.28515625" customWidth="1"/>
    <col min="3" max="3" width="11.5703125" bestFit="1" customWidth="1"/>
    <col min="4" max="5" width="10.5703125" bestFit="1" customWidth="1"/>
    <col min="6" max="6" width="11.140625" customWidth="1"/>
    <col min="7" max="7" width="11.5703125" bestFit="1" customWidth="1"/>
    <col min="8" max="8" width="10.5703125" bestFit="1" customWidth="1"/>
    <col min="9" max="9" width="10.5703125" customWidth="1"/>
    <col min="10" max="10" width="11.5703125" bestFit="1" customWidth="1"/>
    <col min="11" max="11" width="10.5703125" bestFit="1" customWidth="1"/>
    <col min="12" max="12" width="10.28515625" bestFit="1" customWidth="1"/>
    <col min="13" max="13" width="11.5703125" bestFit="1" customWidth="1"/>
    <col min="14" max="15" width="10.5703125" bestFit="1" customWidth="1"/>
    <col min="16" max="16" width="11.5703125" bestFit="1" customWidth="1"/>
    <col min="17" max="17" width="10.5703125" bestFit="1" customWidth="1"/>
    <col min="18" max="18" width="11.140625" customWidth="1"/>
  </cols>
  <sheetData>
    <row r="1" spans="1:18" x14ac:dyDescent="0.25">
      <c r="A1" s="31" t="s">
        <v>73</v>
      </c>
      <c r="D1" s="29" t="s">
        <v>25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D2" s="30">
        <v>2022</v>
      </c>
      <c r="E2" s="30"/>
      <c r="F2" s="30"/>
      <c r="G2" s="30">
        <v>2023</v>
      </c>
      <c r="H2" s="30"/>
      <c r="I2" s="30"/>
      <c r="J2" s="30">
        <v>2024</v>
      </c>
      <c r="K2" s="30"/>
      <c r="L2" s="30"/>
      <c r="M2" s="30">
        <v>2025</v>
      </c>
      <c r="N2" s="30"/>
      <c r="O2" s="30"/>
      <c r="P2" s="30">
        <v>2026</v>
      </c>
      <c r="Q2" s="30"/>
      <c r="R2" s="30"/>
    </row>
    <row r="3" spans="1:18" ht="39" x14ac:dyDescent="0.25">
      <c r="D3" s="11" t="s">
        <v>26</v>
      </c>
      <c r="E3" s="11" t="s">
        <v>27</v>
      </c>
      <c r="F3" s="23" t="s">
        <v>58</v>
      </c>
      <c r="G3" s="11" t="s">
        <v>26</v>
      </c>
      <c r="H3" s="11" t="s">
        <v>27</v>
      </c>
      <c r="I3" s="23" t="s">
        <v>58</v>
      </c>
      <c r="J3" s="11" t="s">
        <v>26</v>
      </c>
      <c r="K3" s="11" t="s">
        <v>27</v>
      </c>
      <c r="L3" s="23" t="s">
        <v>58</v>
      </c>
      <c r="M3" s="11" t="s">
        <v>26</v>
      </c>
      <c r="N3" s="11" t="s">
        <v>27</v>
      </c>
      <c r="O3" s="23" t="s">
        <v>58</v>
      </c>
      <c r="P3" s="11" t="s">
        <v>26</v>
      </c>
      <c r="Q3" s="11" t="s">
        <v>27</v>
      </c>
      <c r="R3" s="23" t="s">
        <v>58</v>
      </c>
    </row>
    <row r="4" spans="1:18" x14ac:dyDescent="0.25">
      <c r="A4" s="12" t="s">
        <v>24</v>
      </c>
      <c r="B4" t="s">
        <v>16</v>
      </c>
      <c r="C4" t="s">
        <v>48</v>
      </c>
      <c r="D4" s="20">
        <f>'2021 Debt Data'!F17*0.33</f>
        <v>67650</v>
      </c>
      <c r="E4" s="20">
        <f>'2021 Debt Data'!G17*0.33</f>
        <v>27510.040799999999</v>
      </c>
      <c r="F4" s="20">
        <f>'2021 Debt Data'!H17*0.33</f>
        <v>148.5</v>
      </c>
      <c r="G4" s="20">
        <f>'2021 Debt Data'!I17*0.33</f>
        <v>69300</v>
      </c>
      <c r="H4" s="20">
        <f>'2021 Debt Data'!J17*0.33</f>
        <v>24459.1908</v>
      </c>
      <c r="I4" s="20">
        <f>'2021 Debt Data'!K17*0.33</f>
        <v>148.5</v>
      </c>
      <c r="J4" s="20">
        <f>'2021 Debt Data'!L17*0.33</f>
        <v>70950</v>
      </c>
      <c r="K4" s="20">
        <f>'2021 Debt Data'!M17*0.33</f>
        <v>21479.290800000002</v>
      </c>
      <c r="L4" s="20">
        <f>'2021 Debt Data'!N17*0.33</f>
        <v>148.5</v>
      </c>
      <c r="M4" s="20">
        <f>'2021 Debt Data'!O17*0.33</f>
        <v>74250</v>
      </c>
      <c r="N4" s="20">
        <f>'2021 Debt Data'!P17*0.33</f>
        <v>18428.4408</v>
      </c>
      <c r="O4" s="20">
        <f>'2021 Debt Data'!Q17*0.33</f>
        <v>148.5</v>
      </c>
      <c r="P4" s="20">
        <f>'2021 Debt Data'!R17*0.33</f>
        <v>49500</v>
      </c>
      <c r="Q4" s="20">
        <f>'2021 Debt Data'!S17*0.33</f>
        <v>15235.690800000002</v>
      </c>
      <c r="R4" s="20">
        <f>'2021 Debt Data'!T17*0.33</f>
        <v>148.5</v>
      </c>
    </row>
    <row r="5" spans="1:18" x14ac:dyDescent="0.25">
      <c r="A5" s="12" t="s">
        <v>62</v>
      </c>
      <c r="B5" t="s">
        <v>14</v>
      </c>
      <c r="C5" t="s">
        <v>42</v>
      </c>
      <c r="D5" s="20">
        <f>'2021 Debt Data'!F18</f>
        <v>14000</v>
      </c>
      <c r="E5" s="20">
        <f>'2021 Debt Data'!G18</f>
        <v>11653.125</v>
      </c>
      <c r="F5" s="20">
        <f>'2021 Debt Data'!H11</f>
        <v>0</v>
      </c>
      <c r="G5" s="20">
        <f>'2021 Debt Data'!I18</f>
        <v>14000</v>
      </c>
      <c r="H5" s="20">
        <f>'2021 Debt Data'!J18</f>
        <v>11390.625</v>
      </c>
      <c r="I5" s="20">
        <f>'2021 Debt Data'!K11</f>
        <v>0</v>
      </c>
      <c r="J5" s="20">
        <f>'2021 Debt Data'!L18</f>
        <v>14500</v>
      </c>
      <c r="K5" s="20">
        <f>'2021 Debt Data'!M18</f>
        <v>11123.4375</v>
      </c>
      <c r="L5" s="20">
        <f>'2021 Debt Data'!N11</f>
        <v>0</v>
      </c>
      <c r="M5" s="20">
        <f>'2021 Debt Data'!O18</f>
        <v>14500</v>
      </c>
      <c r="N5" s="20">
        <f>'2021 Debt Data'!P18</f>
        <v>10851.5625</v>
      </c>
      <c r="O5" s="20">
        <f>'2021 Debt Data'!Q11</f>
        <v>0</v>
      </c>
      <c r="P5" s="20">
        <f>'2021 Debt Data'!R18</f>
        <v>15000</v>
      </c>
      <c r="Q5" s="20">
        <f>'2021 Debt Data'!S18</f>
        <v>10575</v>
      </c>
      <c r="R5" s="20">
        <f>'2021 Debt Data'!T11</f>
        <v>0</v>
      </c>
    </row>
    <row r="6" spans="1:18" x14ac:dyDescent="0.25">
      <c r="A6" s="12" t="s">
        <v>24</v>
      </c>
      <c r="B6" t="s">
        <v>14</v>
      </c>
      <c r="C6" t="s">
        <v>68</v>
      </c>
      <c r="D6" s="20">
        <f>'2021 Debt Data'!F21*0.13</f>
        <v>4810</v>
      </c>
      <c r="E6" s="20">
        <f>'2021 Debt Data'!G21*0.13</f>
        <v>3476.6875</v>
      </c>
      <c r="F6" s="20">
        <v>0</v>
      </c>
      <c r="G6" s="20">
        <f>'2021 Debt Data'!I21*0.13</f>
        <v>4875</v>
      </c>
      <c r="H6" s="20">
        <f>'2021 Debt Data'!J21*0.13</f>
        <v>3410.55</v>
      </c>
      <c r="I6" s="20">
        <f>'2021 Debt Data'!K21*0.13</f>
        <v>826.80000000000007</v>
      </c>
      <c r="J6" s="20">
        <f>'2021 Debt Data'!L21*0.13</f>
        <v>4940</v>
      </c>
      <c r="K6" s="20">
        <f>'2021 Debt Data'!M21*0.13</f>
        <v>3343.4700000000003</v>
      </c>
      <c r="L6" s="20">
        <f>'2021 Debt Data'!N21*0.13</f>
        <v>826.80000000000007</v>
      </c>
      <c r="M6" s="20">
        <f>'2021 Debt Data'!O21*0.13</f>
        <v>5005</v>
      </c>
      <c r="N6" s="20">
        <f>'2021 Debt Data'!P21*0.13</f>
        <v>3275.48</v>
      </c>
      <c r="O6" s="20">
        <f>'2021 Debt Data'!Q21*0.13</f>
        <v>826.80000000000007</v>
      </c>
      <c r="P6" s="20">
        <f>'2021 Debt Data'!R21*0.13</f>
        <v>5070</v>
      </c>
      <c r="Q6" s="20">
        <f>'2021 Debt Data'!S21*0.13</f>
        <v>3206.71</v>
      </c>
      <c r="R6" s="20">
        <f>'2021 Debt Data'!T21*0.13</f>
        <v>826.80000000000007</v>
      </c>
    </row>
    <row r="7" spans="1:18" x14ac:dyDescent="0.25">
      <c r="A7" t="s">
        <v>13</v>
      </c>
      <c r="B7" t="s">
        <v>15</v>
      </c>
      <c r="C7" t="s">
        <v>47</v>
      </c>
      <c r="G7" s="20">
        <f>'2021 Debt Data'!I23</f>
        <v>65199</v>
      </c>
      <c r="H7" s="20">
        <f>'2021 Debt Data'!J23</f>
        <v>10442</v>
      </c>
      <c r="I7" s="20">
        <f>'2021 Debt Data'!K23</f>
        <v>9476</v>
      </c>
      <c r="J7" s="20">
        <f>'2021 Debt Data'!L23</f>
        <v>65526</v>
      </c>
      <c r="K7" s="20">
        <f>'2021 Debt Data'!M23</f>
        <v>10116</v>
      </c>
      <c r="L7" s="20">
        <f>'2021 Debt Data'!N23</f>
        <v>9345</v>
      </c>
      <c r="M7" s="20">
        <f>'2021 Debt Data'!O23</f>
        <v>65854</v>
      </c>
      <c r="N7" s="20">
        <f>'2021 Debt Data'!P23</f>
        <v>9788</v>
      </c>
      <c r="O7" s="20">
        <f>'2021 Debt Data'!Q23</f>
        <v>9215</v>
      </c>
      <c r="P7" s="20">
        <f>'2021 Debt Data'!R23</f>
        <v>66184</v>
      </c>
      <c r="Q7" s="20">
        <f>'2021 Debt Data'!S23</f>
        <v>9458</v>
      </c>
      <c r="R7" s="20">
        <f>'2021 Debt Data'!T23</f>
        <v>9083</v>
      </c>
    </row>
    <row r="8" spans="1:18" x14ac:dyDescent="0.25">
      <c r="A8" s="12" t="s">
        <v>24</v>
      </c>
      <c r="B8" t="s">
        <v>16</v>
      </c>
      <c r="C8" t="s">
        <v>54</v>
      </c>
      <c r="D8" s="24">
        <f>'2021 Debt Data'!F24*0.02</f>
        <v>3200</v>
      </c>
      <c r="E8" s="24">
        <f>'2021 Debt Data'!G24*0.02</f>
        <v>2806.48</v>
      </c>
      <c r="F8" s="24">
        <f>'2021 Debt Data'!H24*0.02</f>
        <v>9</v>
      </c>
      <c r="G8" s="24">
        <f>'2021 Debt Data'!I24*0.02</f>
        <v>3200</v>
      </c>
      <c r="H8" s="24">
        <f>'2021 Debt Data'!J24*0.02</f>
        <v>2734.48</v>
      </c>
      <c r="I8" s="24">
        <f>'2021 Debt Data'!K24*0.02</f>
        <v>9</v>
      </c>
      <c r="J8" s="24">
        <f>'2021 Debt Data'!L24*0.02</f>
        <v>3300</v>
      </c>
      <c r="K8" s="24">
        <f>'2021 Debt Data'!M24*0.02</f>
        <v>2662.48</v>
      </c>
      <c r="L8" s="24">
        <f>'2021 Debt Data'!N24*0.02</f>
        <v>9</v>
      </c>
      <c r="M8" s="24">
        <f>'2021 Debt Data'!O24*0.02</f>
        <v>3300</v>
      </c>
      <c r="N8" s="24">
        <f>'2021 Debt Data'!P24*0.02</f>
        <v>2588.2400000000002</v>
      </c>
      <c r="O8" s="24">
        <f>'2021 Debt Data'!Q24*0.02</f>
        <v>9</v>
      </c>
      <c r="P8" s="24">
        <f>'2021 Debt Data'!R24*0.02</f>
        <v>3400</v>
      </c>
      <c r="Q8" s="24">
        <f>'2021 Debt Data'!S24*0.02</f>
        <v>2514</v>
      </c>
      <c r="R8" s="24">
        <f>'2021 Debt Data'!T24*0.02</f>
        <v>9</v>
      </c>
    </row>
    <row r="9" spans="1:18" x14ac:dyDescent="0.25">
      <c r="A9" s="25"/>
      <c r="D9" s="20">
        <f>SUM(D4:D8)</f>
        <v>89660</v>
      </c>
      <c r="E9" s="20">
        <f t="shared" ref="E9:P9" si="0">SUM(E4:E8)</f>
        <v>45446.333300000006</v>
      </c>
      <c r="F9" s="20">
        <f t="shared" si="0"/>
        <v>157.5</v>
      </c>
      <c r="G9" s="20">
        <f t="shared" si="0"/>
        <v>156574</v>
      </c>
      <c r="H9" s="20">
        <f t="shared" si="0"/>
        <v>52436.845800000003</v>
      </c>
      <c r="I9" s="20">
        <f t="shared" si="0"/>
        <v>10460.299999999999</v>
      </c>
      <c r="J9" s="20">
        <f t="shared" si="0"/>
        <v>159216</v>
      </c>
      <c r="K9" s="20">
        <f t="shared" si="0"/>
        <v>48724.678300000007</v>
      </c>
      <c r="L9" s="20">
        <f t="shared" si="0"/>
        <v>10329.299999999999</v>
      </c>
      <c r="M9" s="20">
        <f t="shared" si="0"/>
        <v>162909</v>
      </c>
      <c r="N9" s="20">
        <f t="shared" si="0"/>
        <v>44931.723299999998</v>
      </c>
      <c r="O9" s="20">
        <f t="shared" si="0"/>
        <v>10199.299999999999</v>
      </c>
      <c r="P9" s="20">
        <f t="shared" si="0"/>
        <v>139154</v>
      </c>
      <c r="Q9" s="20">
        <f t="shared" ref="Q9" si="1">SUM(Q4:Q8)</f>
        <v>40989.400800000003</v>
      </c>
      <c r="R9" s="20">
        <f t="shared" ref="R9" si="2">SUM(R4:R8)</f>
        <v>10067.299999999999</v>
      </c>
    </row>
    <row r="11" spans="1:18" x14ac:dyDescent="0.25">
      <c r="A11" s="12" t="s">
        <v>59</v>
      </c>
      <c r="C11" s="20">
        <f>D9+E9+G9+H9+J9+K9+M9+N9+P9+Q9</f>
        <v>940041.98149999999</v>
      </c>
    </row>
    <row r="12" spans="1:18" x14ac:dyDescent="0.25">
      <c r="A12" t="s">
        <v>60</v>
      </c>
    </row>
    <row r="13" spans="1:18" x14ac:dyDescent="0.25">
      <c r="A13" s="12" t="s">
        <v>61</v>
      </c>
      <c r="C13" s="20">
        <f>C11/5</f>
        <v>188008.39629999999</v>
      </c>
    </row>
  </sheetData>
  <mergeCells count="6">
    <mergeCell ref="D1:R1"/>
    <mergeCell ref="D2:F2"/>
    <mergeCell ref="G2:I2"/>
    <mergeCell ref="J2:L2"/>
    <mergeCell ref="M2:O2"/>
    <mergeCell ref="P2:R2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Debt-RD Project</vt:lpstr>
      <vt:lpstr>2021 Debt Data</vt:lpstr>
      <vt:lpstr>KRWFC</vt:lpstr>
      <vt:lpstr>RD Debt Data</vt:lpstr>
      <vt:lpstr>5 Yr Water</vt:lpstr>
      <vt:lpstr>5 Yr Sewer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HLN</dc:creator>
  <cp:lastModifiedBy>HLN</cp:lastModifiedBy>
  <cp:lastPrinted>2021-07-29T19:56:33Z</cp:lastPrinted>
  <dcterms:created xsi:type="dcterms:W3CDTF">2020-02-03T20:11:51Z</dcterms:created>
  <dcterms:modified xsi:type="dcterms:W3CDTF">2021-07-29T21:44:48Z</dcterms:modified>
</cp:coreProperties>
</file>