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D63402A6-3593-4AC6-A4B0-5C044F7A0FC2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9" r:id="rId7"/>
  </sheets>
  <externalReferences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2" l="1"/>
  <c r="K11" i="2"/>
  <c r="M19" i="1" l="1"/>
  <c r="L19" i="1"/>
  <c r="B12" i="2" l="1"/>
  <c r="E12" i="1"/>
  <c r="G17" i="1" l="1"/>
  <c r="I16" i="2" l="1"/>
  <c r="J16" i="2" s="1"/>
  <c r="H16" i="2"/>
  <c r="K16" i="2" s="1"/>
  <c r="E16" i="2"/>
  <c r="D16" i="9" l="1"/>
  <c r="B16" i="9"/>
  <c r="H12" i="8"/>
  <c r="H16" i="1" l="1"/>
  <c r="D13" i="8" l="1"/>
  <c r="E13" i="8" s="1"/>
  <c r="B13" i="8"/>
  <c r="C16" i="9" l="1"/>
  <c r="E16" i="9"/>
  <c r="K17" i="2"/>
  <c r="H14" i="2"/>
  <c r="K14" i="2" s="1"/>
  <c r="H13" i="2"/>
  <c r="K13" i="2" s="1"/>
  <c r="H12" i="2"/>
  <c r="K12" i="2" s="1"/>
  <c r="H9" i="9"/>
  <c r="G12" i="9"/>
  <c r="G11" i="9"/>
  <c r="G10" i="9"/>
  <c r="G9" i="9"/>
  <c r="G12" i="2" s="1"/>
  <c r="G8" i="9"/>
  <c r="E14" i="9"/>
  <c r="D14" i="9"/>
  <c r="B14" i="9"/>
  <c r="G16" i="1" l="1"/>
  <c r="F41" i="1" l="1"/>
  <c r="J41" i="1" s="1"/>
  <c r="E11" i="8" l="1"/>
  <c r="E10" i="8"/>
  <c r="E9" i="8"/>
  <c r="E8" i="8"/>
  <c r="E7" i="8"/>
  <c r="C13" i="8"/>
  <c r="C12" i="8"/>
  <c r="C11" i="8"/>
  <c r="G11" i="8" s="1"/>
  <c r="C10" i="8"/>
  <c r="C9" i="8"/>
  <c r="G9" i="8" s="1"/>
  <c r="C8" i="8"/>
  <c r="C7" i="8"/>
  <c r="G10" i="8" l="1"/>
  <c r="G7" i="8"/>
  <c r="G8" i="8"/>
  <c r="H8" i="8" s="1"/>
  <c r="H10" i="8"/>
  <c r="G14" i="1"/>
  <c r="H9" i="8"/>
  <c r="G13" i="1"/>
  <c r="H7" i="8"/>
  <c r="G11" i="1"/>
  <c r="H11" i="8"/>
  <c r="G15" i="1"/>
  <c r="G39" i="1"/>
  <c r="E39" i="1"/>
  <c r="D39" i="1"/>
  <c r="C39" i="1"/>
  <c r="B39" i="1"/>
  <c r="G12" i="1" l="1"/>
  <c r="A46" i="1"/>
  <c r="H33" i="1" l="1"/>
  <c r="F14" i="1" l="1"/>
  <c r="F16" i="1" l="1"/>
  <c r="F13" i="1"/>
  <c r="F15" i="1"/>
  <c r="F11" i="1"/>
  <c r="F12" i="1"/>
  <c r="E19" i="1" l="1"/>
  <c r="C19" i="1" l="1"/>
  <c r="D19" i="1"/>
  <c r="B19" i="1"/>
  <c r="E30" i="2" l="1"/>
  <c r="E29" i="2"/>
  <c r="E28" i="2"/>
  <c r="C32" i="2"/>
  <c r="B32" i="2" l="1"/>
  <c r="D32" i="2"/>
  <c r="E27" i="2"/>
  <c r="E32" i="2" l="1"/>
  <c r="I30" i="2" l="1"/>
  <c r="J30" i="2" s="1"/>
  <c r="I27" i="2"/>
  <c r="G29" i="2"/>
  <c r="I29" i="2" s="1"/>
  <c r="J29" i="2" s="1"/>
  <c r="G28" i="2"/>
  <c r="I28" i="2" s="1"/>
  <c r="I25" i="2"/>
  <c r="J27" i="2" l="1"/>
  <c r="I32" i="2"/>
  <c r="J28" i="2"/>
  <c r="J32" i="2" l="1"/>
  <c r="I19" i="1" l="1"/>
  <c r="F19" i="1" l="1"/>
  <c r="B1" i="3" l="1"/>
  <c r="B1" i="4"/>
  <c r="B1" i="5"/>
  <c r="I22" i="3"/>
  <c r="I18" i="3"/>
  <c r="I15" i="3"/>
  <c r="A43" i="1"/>
  <c r="L25" i="3"/>
  <c r="B3" i="4"/>
  <c r="B3" i="3" s="1"/>
  <c r="E34" i="1"/>
  <c r="F34" i="1" s="1"/>
  <c r="G34" i="1" s="1"/>
  <c r="B34" i="1"/>
  <c r="C34" i="1" s="1"/>
  <c r="D34" i="1" s="1"/>
  <c r="H9" i="1"/>
  <c r="I9" i="1" s="1"/>
  <c r="A44" i="1"/>
  <c r="C9" i="1"/>
  <c r="D9" i="1" s="1"/>
  <c r="I28" i="3"/>
  <c r="N19" i="1" l="1"/>
  <c r="G19" i="1"/>
  <c r="F28" i="3" l="1"/>
  <c r="D20" i="5" l="1"/>
  <c r="G22" i="3"/>
  <c r="G18" i="3" l="1"/>
  <c r="D17" i="5"/>
  <c r="I17" i="2" l="1"/>
  <c r="E14" i="2"/>
  <c r="I11" i="2"/>
  <c r="I14" i="2"/>
  <c r="I13" i="2"/>
  <c r="I15" i="2"/>
  <c r="C19" i="2"/>
  <c r="C34" i="2" s="1"/>
  <c r="E12" i="2"/>
  <c r="I12" i="2"/>
  <c r="E17" i="2"/>
  <c r="E13" i="2"/>
  <c r="E15" i="2"/>
  <c r="J14" i="2" l="1"/>
  <c r="J13" i="2"/>
  <c r="J11" i="2"/>
  <c r="J12" i="2"/>
  <c r="J15" i="2"/>
  <c r="J17" i="2"/>
  <c r="B19" i="2" l="1"/>
  <c r="B34" i="2" s="1"/>
  <c r="K19" i="2"/>
  <c r="I19" i="2"/>
  <c r="G28" i="3" l="1"/>
  <c r="H28" i="3" s="1"/>
  <c r="K28" i="3" s="1"/>
  <c r="D23" i="5"/>
  <c r="D19" i="2" l="1"/>
  <c r="D34" i="2" s="1"/>
  <c r="E19" i="2"/>
  <c r="E34" i="2" s="1"/>
  <c r="J19" i="2"/>
  <c r="G15" i="3" l="1"/>
  <c r="D14" i="5"/>
  <c r="F22" i="3" l="1"/>
  <c r="H22" i="3" s="1"/>
  <c r="K22" i="3" s="1"/>
  <c r="F39" i="1" l="1"/>
  <c r="J39" i="1" s="1"/>
  <c r="F18" i="3" s="1"/>
  <c r="H18" i="3" s="1"/>
  <c r="K18" i="3" s="1"/>
  <c r="K25" i="3" s="1"/>
  <c r="H19" i="1"/>
  <c r="O19" i="1" s="1"/>
  <c r="F15" i="3" s="1"/>
  <c r="H15" i="3" s="1"/>
  <c r="K15" i="3" l="1"/>
  <c r="H30" i="3"/>
</calcChain>
</file>

<file path=xl/sharedStrings.xml><?xml version="1.0" encoding="utf-8"?>
<sst xmlns="http://schemas.openxmlformats.org/spreadsheetml/2006/main" count="241" uniqueCount="150">
  <si>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</si>
  <si>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</si>
  <si>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</si>
  <si>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</si>
  <si>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</si>
  <si>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</si>
  <si>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</si>
  <si>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</si>
  <si>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</si>
  <si>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</si>
  <si>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</si>
  <si>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</si>
  <si>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</si>
  <si>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</si>
  <si>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</si>
  <si>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</si>
  <si>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</si>
  <si>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</si>
  <si>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</si>
  <si>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</si>
  <si>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</si>
  <si>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</si>
  <si>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</si>
  <si>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</si>
  <si>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</si>
  <si>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</si>
  <si>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</si>
  <si>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</si>
  <si>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</si>
  <si>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</si>
  <si>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</si>
  <si>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</si>
  <si>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</si>
  <si>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</si>
  <si>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</si>
  <si>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</si>
  <si>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</si>
  <si>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</si>
  <si>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</si>
  <si>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</si>
  <si>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</si>
  <si>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</si>
  <si>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</si>
  <si>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</si>
  <si>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</si>
  <si>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</si>
  <si>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</si>
  <si>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</si>
  <si>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</si>
  <si>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</si>
  <si>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</si>
  <si>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</si>
  <si>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</si>
  <si>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</si>
  <si>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</si>
  <si>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</si>
  <si>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</si>
  <si>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</si>
  <si>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</si>
  <si>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</si>
  <si>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</si>
  <si>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</si>
  <si>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</si>
  <si>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</si>
  <si>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</si>
  <si>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</si>
  <si>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</si>
  <si>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</si>
  <si>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</si>
  <si>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</si>
  <si>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</si>
  <si>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</si>
  <si>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</si>
  <si>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</si>
  <si>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</si>
  <si>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</si>
  <si>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</si>
  <si>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</si>
  <si>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Riders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</si>
  <si>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</si>
  <si>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</si>
  <si>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</si>
  <si>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</si>
  <si>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</si>
  <si>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</si>
  <si>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</si>
  <si>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</si>
  <si>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</si>
  <si>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</si>
  <si>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</si>
  <si>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</si>
  <si>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</si>
  <si>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</si>
  <si>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</si>
  <si>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</si>
  <si>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</si>
  <si>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</si>
  <si>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My Home Energy Report</t>
  </si>
  <si>
    <t>Low Income Neighborhood</t>
  </si>
  <si>
    <t>Low Income Services</t>
  </si>
  <si>
    <t>Residential Energy Assessments</t>
  </si>
  <si>
    <t>Smart $aver® Custom</t>
  </si>
  <si>
    <t>(Over)/Under</t>
  </si>
  <si>
    <t>(D) Recovery allowed in accordance with the Commission's Order in Case No. 2012-00085.</t>
  </si>
  <si>
    <t>(E) Recovery allowed in accordance with the Commission's Order in Case No. 2012-00085.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</si>
  <si>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</si>
  <si>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</si>
  <si>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</si>
  <si>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</si>
  <si>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</si>
  <si>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</si>
  <si>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of Costs (B)</t>
  </si>
  <si>
    <t>Small Business Energy Saver</t>
  </si>
  <si>
    <t>(C) Allocation of program expenditures to gas and electric in accordance with the Commission's Order in Case No. 2014-00388.</t>
  </si>
  <si>
    <t>(C) Recovery allowed in accordance with the Commission's Order in Case No. 2012-00085.</t>
  </si>
  <si>
    <t>Power Manager®</t>
  </si>
  <si>
    <t>PowerShare®</t>
  </si>
  <si>
    <t>Residential Program Summary (A)</t>
  </si>
  <si>
    <t>NonResidential Program Summary (A)</t>
  </si>
  <si>
    <t xml:space="preserve">Reconciliation  </t>
  </si>
  <si>
    <t>July 2019 to June 2020</t>
  </si>
  <si>
    <t>(C) Smart $aver® Prescriptive consists of the following technologies: Energy Efficient Food Service Projects, HVAC, Lighting, IT, Pumps and Motors, and Process Equipment.</t>
  </si>
  <si>
    <t>Smart $aver® Prescriptive (C)</t>
  </si>
  <si>
    <t>Projected</t>
  </si>
  <si>
    <t>(1)Load Impacts Net of Free Riders at Meter</t>
  </si>
  <si>
    <t>(B) Allocation of program expenditures to gas and electric in accordance with the Commission's Order in Case No. 2014-00388.</t>
  </si>
  <si>
    <t>(A) See Appendix B, page 2 of 7</t>
  </si>
  <si>
    <t>(1) Load Impacts Net of Free Riders at Meter</t>
  </si>
  <si>
    <t xml:space="preserve">Allocation Factors Projected </t>
  </si>
  <si>
    <t>Smart $aver® Prescriptive</t>
  </si>
  <si>
    <t>Summary of Load Impacts July 2021 Through June 2022 (1)</t>
  </si>
  <si>
    <t>Summary of Load Impacts July 2019 Through June 2020 (1)</t>
  </si>
  <si>
    <t>For July 2019 Through June 2020</t>
  </si>
  <si>
    <t>Allocation Factors based on July 2019-June 2020</t>
  </si>
  <si>
    <t>July 2020 to June 2021</t>
  </si>
  <si>
    <t xml:space="preserve">2021-2022 Projected Program Costs, Lost Revenues, and Shared Savings </t>
  </si>
  <si>
    <t>7/2019 to 6/2020 (A)</t>
  </si>
  <si>
    <t>7/2019 to 6/2020 (B)</t>
  </si>
  <si>
    <t>(B) Actual program expenditures, lost revenues (for this period and from prior period DSM measure installations), and shared savings for the period July 1, 2019 through June 30, 2020.</t>
  </si>
  <si>
    <t>(F) Revenues collected through the DSM Rider between July 1, 2019 and June 30, 2020.</t>
  </si>
  <si>
    <t>(A) Amounts identified in report filed in Case No. 2018-00370</t>
  </si>
  <si>
    <t>(A) (Over)/Under of Appendix B page 1 multiplied by the average three-month commercial paper rate for 2019 to include interest on over or under-recovery in accordance with the Commission's order in Case No. 95-312. Value is:</t>
  </si>
  <si>
    <t>Peak Time Rebate Program</t>
  </si>
  <si>
    <t>(A) Costs, Lost Revenues (for this period and from prior period DSM measure installations), and Shared Savings for Year 9 of portfolio.</t>
  </si>
  <si>
    <t>Revenues collected</t>
  </si>
  <si>
    <t>Power Manager® for Business(F)</t>
  </si>
  <si>
    <t>(F) Costs associated with customers still on the program during the fiscal year.</t>
  </si>
  <si>
    <t>Low Income Neighborhood(D)</t>
  </si>
  <si>
    <t>Residential Smart $aver®(D)</t>
  </si>
  <si>
    <t>(D) Yellow highlighted rows include modifications to programs as described in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</si>
</sst>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164" fontId="7" fillId="0" borderId="0" xfId="2" applyNumberFormat="1" applyFont="1" applyFill="1"/>
    <xf numFmtId="167" fontId="0" fillId="0" borderId="0" xfId="2" applyNumberFormat="1" applyFont="1" applyFill="1"/>
    <xf numFmtId="0" fontId="1" fillId="0" borderId="0" xfId="0" applyFont="1" applyFill="1" applyBorder="1"/>
    <xf numFmtId="164" fontId="1" fillId="0" borderId="0" xfId="2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9" fillId="0" borderId="0" xfId="2" applyNumberFormat="1" applyFont="1" applyFill="1" applyBorder="1"/>
    <xf numFmtId="0" fontId="1" fillId="0" borderId="3" xfId="0" applyFont="1" applyFill="1" applyBorder="1"/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/>
    <xf numFmtId="0" fontId="0" fillId="0" borderId="0" xfId="0" applyFill="1" applyAlignment="1">
      <alignment horizontal="center"/>
    </xf>
    <xf numFmtId="164" fontId="4" fillId="0" borderId="0" xfId="5" applyNumberFormat="1" applyFont="1" applyFill="1"/>
    <xf numFmtId="0" fontId="0" fillId="0" borderId="0" xfId="0" applyFill="1"/>
    <xf numFmtId="0" fontId="1" fillId="0" borderId="0" xfId="0" applyFont="1" applyFill="1"/>
    <xf numFmtId="0" fontId="1" fillId="0" borderId="0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 wrapText="1"/>
    </xf>
    <xf numFmtId="167" fontId="7" fillId="0" borderId="0" xfId="2" applyNumberFormat="1" applyFont="1" applyFill="1"/>
    <xf numFmtId="0" fontId="1" fillId="0" borderId="0" xfId="12" applyFill="1"/>
    <xf numFmtId="0" fontId="8" fillId="0" borderId="0" xfId="12" applyFont="1" applyFill="1" applyAlignment="1">
      <alignment horizontal="right"/>
    </xf>
    <xf numFmtId="0" fontId="1" fillId="0" borderId="0" xfId="12" applyFill="1" applyAlignment="1">
      <alignment horizontal="left"/>
    </xf>
    <xf numFmtId="0" fontId="1" fillId="0" borderId="0" xfId="12" applyFont="1" applyFill="1"/>
    <xf numFmtId="0" fontId="1" fillId="0" borderId="0" xfId="12" applyFill="1" applyAlignment="1">
      <alignment horizontal="center"/>
    </xf>
    <xf numFmtId="0" fontId="1" fillId="0" borderId="0" xfId="12" applyFont="1" applyFill="1" applyAlignment="1">
      <alignment horizontal="left"/>
    </xf>
    <xf numFmtId="164" fontId="4" fillId="0" borderId="0" xfId="13" applyNumberFormat="1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164" fontId="1" fillId="0" borderId="0" xfId="13" applyNumberFormat="1" applyFont="1" applyFill="1"/>
    <xf numFmtId="164" fontId="1" fillId="0" borderId="0" xfId="12" applyNumberFormat="1" applyFill="1"/>
    <xf numFmtId="164" fontId="0" fillId="0" borderId="0" xfId="13" applyNumberFormat="1" applyFont="1" applyFill="1"/>
    <xf numFmtId="164" fontId="1" fillId="0" borderId="0" xfId="12" applyNumberFormat="1" applyFont="1" applyFill="1"/>
    <xf numFmtId="165" fontId="0" fillId="0" borderId="0" xfId="14" applyNumberFormat="1" applyFont="1" applyFill="1"/>
    <xf numFmtId="0" fontId="1" fillId="0" borderId="0" xfId="12" applyFont="1" applyFill="1" applyAlignment="1">
      <alignment horizontal="center"/>
    </xf>
    <xf numFmtId="0" fontId="11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1" fillId="0" borderId="0" xfId="12" applyFont="1" applyFill="1" applyAlignment="1">
      <alignment horizontal="left" indent="6"/>
    </xf>
    <xf numFmtId="0" fontId="1" fillId="0" borderId="0" xfId="12" applyFont="1" applyFill="1" applyAlignment="1">
      <alignment horizontal="left" indent="7"/>
    </xf>
    <xf numFmtId="0" fontId="1" fillId="0" borderId="0" xfId="12" applyFont="1" applyFill="1" applyAlignment="1">
      <alignment horizontal="left" vertical="center" indent="1"/>
    </xf>
    <xf numFmtId="0" fontId="1" fillId="0" borderId="0" xfId="9" applyFont="1" applyFill="1"/>
    <xf numFmtId="0" fontId="1" fillId="0" borderId="0" xfId="9" applyFill="1"/>
    <xf numFmtId="0" fontId="11" fillId="0" borderId="0" xfId="9" applyFont="1" applyFill="1"/>
    <xf numFmtId="0" fontId="1" fillId="0" borderId="0" xfId="9" applyFont="1"/>
    <xf numFmtId="169" fontId="1" fillId="0" borderId="4" xfId="6" applyNumberFormat="1" applyFont="1" applyBorder="1"/>
    <xf numFmtId="169" fontId="11" fillId="0" borderId="5" xfId="6" applyNumberFormat="1" applyFont="1" applyBorder="1"/>
    <xf numFmtId="9" fontId="11" fillId="0" borderId="0" xfId="6" applyFont="1" applyBorder="1"/>
    <xf numFmtId="0" fontId="0" fillId="0" borderId="0" xfId="0" applyFill="1" applyAlignment="1">
      <alignment horizontal="left" indent="1"/>
    </xf>
    <xf numFmtId="164" fontId="7" fillId="0" borderId="3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0" fontId="11" fillId="0" borderId="0" xfId="9" applyFont="1" applyFill="1" applyAlignment="1">
      <alignment horizontal="left" indent="16"/>
    </xf>
    <xf numFmtId="0" fontId="1" fillId="0" borderId="0" xfId="9" applyFont="1" applyFill="1" applyBorder="1" applyAlignment="1"/>
    <xf numFmtId="0" fontId="11" fillId="0" borderId="0" xfId="9" applyFont="1" applyFill="1" applyBorder="1"/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center"/>
    </xf>
    <xf numFmtId="9" fontId="1" fillId="0" borderId="0" xfId="9" applyNumberFormat="1" applyFont="1" applyFill="1"/>
    <xf numFmtId="0" fontId="11" fillId="0" borderId="2" xfId="9" applyFont="1" applyFill="1" applyBorder="1"/>
    <xf numFmtId="166" fontId="11" fillId="0" borderId="5" xfId="9" applyNumberFormat="1" applyFont="1" applyFill="1" applyBorder="1"/>
    <xf numFmtId="166" fontId="11" fillId="0" borderId="0" xfId="9" applyNumberFormat="1" applyFont="1" applyFill="1" applyBorder="1"/>
    <xf numFmtId="9" fontId="11" fillId="0" borderId="0" xfId="6" applyFont="1" applyFill="1" applyBorder="1"/>
    <xf numFmtId="0" fontId="1" fillId="0" borderId="0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4" xfId="7" applyNumberFormat="1" applyFont="1" applyFill="1" applyBorder="1"/>
    <xf numFmtId="169" fontId="1" fillId="0" borderId="4" xfId="6" applyNumberFormat="1" applyFont="1" applyFill="1" applyBorder="1"/>
    <xf numFmtId="166" fontId="11" fillId="0" borderId="4" xfId="8" applyNumberFormat="1" applyFont="1" applyFill="1" applyBorder="1"/>
    <xf numFmtId="169" fontId="11" fillId="0" borderId="5" xfId="6" applyNumberFormat="1" applyFont="1" applyFill="1" applyBorder="1"/>
    <xf numFmtId="164" fontId="1" fillId="0" borderId="3" xfId="0" applyNumberFormat="1" applyFont="1" applyFill="1" applyBorder="1"/>
    <xf numFmtId="164" fontId="1" fillId="0" borderId="0" xfId="2" applyNumberFormat="1" applyFont="1" applyFill="1" applyBorder="1" applyAlignment="1">
      <alignment horizontal="left"/>
    </xf>
    <xf numFmtId="0" fontId="1" fillId="0" borderId="0" xfId="10" applyFont="1" applyFill="1"/>
    <xf numFmtId="0" fontId="1" fillId="0" borderId="0" xfId="10" applyFont="1"/>
    <xf numFmtId="0" fontId="11" fillId="0" borderId="0" xfId="10" applyFont="1" applyFill="1" applyAlignment="1">
      <alignment horizontal="left"/>
    </xf>
    <xf numFmtId="0" fontId="11" fillId="0" borderId="0" xfId="10" applyFont="1"/>
    <xf numFmtId="0" fontId="1" fillId="0" borderId="6" xfId="10" applyFont="1" applyBorder="1" applyAlignment="1">
      <alignment horizontal="left" indent="5"/>
    </xf>
    <xf numFmtId="0" fontId="1" fillId="0" borderId="0" xfId="10" applyFont="1" applyBorder="1" applyAlignment="1">
      <alignment horizontal="left" indent="5"/>
    </xf>
    <xf numFmtId="0" fontId="3" fillId="0" borderId="4" xfId="10" applyFont="1" applyBorder="1" applyAlignment="1">
      <alignment horizontal="center" wrapText="1"/>
    </xf>
    <xf numFmtId="0" fontId="3" fillId="0" borderId="8" xfId="10" applyFont="1" applyBorder="1" applyAlignment="1">
      <alignment horizontal="center" wrapText="1"/>
    </xf>
    <xf numFmtId="0" fontId="13" fillId="0" borderId="6" xfId="10" applyFont="1" applyBorder="1" applyAlignment="1">
      <alignment horizontal="center" wrapText="1"/>
    </xf>
    <xf numFmtId="9" fontId="3" fillId="0" borderId="0" xfId="9" applyNumberFormat="1" applyFont="1" applyAlignment="1">
      <alignment horizontal="center" wrapText="1"/>
    </xf>
    <xf numFmtId="0" fontId="11" fillId="0" borderId="7" xfId="10" applyFont="1" applyBorder="1"/>
    <xf numFmtId="166" fontId="1" fillId="0" borderId="4" xfId="7" applyNumberFormat="1" applyFont="1" applyBorder="1"/>
    <xf numFmtId="166" fontId="11" fillId="0" borderId="6" xfId="8" applyNumberFormat="1" applyFont="1" applyFill="1" applyBorder="1"/>
    <xf numFmtId="9" fontId="1" fillId="0" borderId="0" xfId="9" applyNumberFormat="1" applyFont="1"/>
    <xf numFmtId="0" fontId="1" fillId="0" borderId="0" xfId="10" applyFont="1" applyFill="1" applyBorder="1"/>
    <xf numFmtId="9" fontId="1" fillId="0" borderId="0" xfId="6" applyFont="1"/>
    <xf numFmtId="0" fontId="11" fillId="0" borderId="9" xfId="10" applyFont="1" applyBorder="1"/>
    <xf numFmtId="166" fontId="11" fillId="0" borderId="5" xfId="10" applyNumberFormat="1" applyFont="1" applyBorder="1"/>
    <xf numFmtId="166" fontId="11" fillId="0" borderId="10" xfId="10" applyNumberFormat="1" applyFont="1" applyBorder="1"/>
    <xf numFmtId="166" fontId="11" fillId="0" borderId="0" xfId="10" applyNumberFormat="1" applyFont="1" applyBorder="1"/>
    <xf numFmtId="0" fontId="1" fillId="0" borderId="0" xfId="10" applyFont="1" applyBorder="1"/>
    <xf numFmtId="0" fontId="11" fillId="0" borderId="0" xfId="10" applyFont="1" applyBorder="1"/>
    <xf numFmtId="0" fontId="1" fillId="0" borderId="0" xfId="9"/>
    <xf numFmtId="0" fontId="11" fillId="0" borderId="0" xfId="10" applyFont="1" applyFill="1" applyBorder="1"/>
    <xf numFmtId="0" fontId="14" fillId="0" borderId="0" xfId="0" applyFont="1" applyBorder="1" applyAlignment="1"/>
    <xf numFmtId="0" fontId="15" fillId="0" borderId="7" xfId="10" applyFont="1" applyBorder="1" applyAlignment="1">
      <alignment wrapText="1"/>
    </xf>
    <xf numFmtId="166" fontId="11" fillId="0" borderId="0" xfId="10" applyNumberFormat="1" applyFont="1" applyFill="1" applyBorder="1"/>
    <xf numFmtId="0" fontId="11" fillId="0" borderId="0" xfId="10" applyFont="1" applyFill="1" applyAlignment="1">
      <alignment horizontal="left" indent="17"/>
    </xf>
    <xf numFmtId="167" fontId="0" fillId="0" borderId="0" xfId="0" applyNumberFormat="1" applyFill="1"/>
    <xf numFmtId="0" fontId="1" fillId="2" borderId="0" xfId="12" applyFill="1"/>
    <xf numFmtId="164" fontId="1" fillId="2" borderId="0" xfId="13" applyNumberFormat="1" applyFont="1" applyFill="1"/>
    <xf numFmtId="0" fontId="1" fillId="0" borderId="0" xfId="12"/>
    <xf numFmtId="164" fontId="7" fillId="2" borderId="0" xfId="2" applyNumberFormat="1" applyFont="1" applyFill="1"/>
    <xf numFmtId="164" fontId="0" fillId="2" borderId="0" xfId="0" applyNumberFormat="1" applyFill="1"/>
    <xf numFmtId="166" fontId="0" fillId="2" borderId="0" xfId="1" applyNumberFormat="1" applyFont="1" applyFill="1"/>
    <xf numFmtId="167" fontId="1" fillId="2" borderId="0" xfId="2" applyNumberFormat="1" applyFont="1" applyFill="1"/>
    <xf numFmtId="0" fontId="0" fillId="2" borderId="0" xfId="0" applyFill="1"/>
    <xf numFmtId="0" fontId="1" fillId="0" borderId="0" xfId="12" applyFont="1" applyFill="1" applyAlignment="1">
      <alignment horizontal="center" wrapText="1"/>
    </xf>
    <xf numFmtId="0" fontId="1" fillId="0" borderId="0" xfId="9" applyFont="1" applyFill="1" applyBorder="1" applyAlignment="1">
      <alignment horizontal="center" vertical="center" wrapText="1"/>
    </xf>
    <xf numFmtId="0" fontId="1" fillId="0" borderId="0" xfId="9" applyFont="1" applyFill="1" applyBorder="1" applyAlignment="1">
      <alignment horizontal="center" wrapText="1"/>
    </xf>
  </cellXfs>
  <cellStyles count="15">
    <cellStyle name="Comma" xfId="1" builtinId="3"/>
    <cellStyle name="Comma 10" xfId="8" xr:uid="{00000000-0005-0000-0000-000001000000}"/>
    <cellStyle name="Comma 2" xfId="3" xr:uid="{00000000-0005-0000-0000-000002000000}"/>
    <cellStyle name="Comma 2 6" xfId="7" xr:uid="{00000000-0005-0000-0000-000003000000}"/>
    <cellStyle name="Currency" xfId="2" builtinId="4"/>
    <cellStyle name="Currency 10 5" xfId="13" xr:uid="{00000000-0005-0000-0000-000005000000}"/>
    <cellStyle name="Currency 2" xfId="5" xr:uid="{00000000-0005-0000-0000-000006000000}"/>
    <cellStyle name="Hyperlink 8" xfId="11" xr:uid="{00000000-0005-0000-0000-000007000000}"/>
    <cellStyle name="Normal" xfId="0" builtinId="0"/>
    <cellStyle name="Normal - Style2 2" xfId="12" xr:uid="{00000000-0005-0000-0000-000009000000}"/>
    <cellStyle name="Normal 2" xfId="4" xr:uid="{00000000-0005-0000-0000-00000A000000}"/>
    <cellStyle name="Normal 2 2 2" xfId="9" xr:uid="{00000000-0005-0000-0000-00000B000000}"/>
    <cellStyle name="Normal 2 26" xfId="10" xr:uid="{00000000-0005-0000-0000-00000C000000}"/>
    <cellStyle name="Percent 10 10" xfId="14" xr:uid="{00000000-0005-0000-0000-00000D000000}"/>
    <cellStyle name="Percent 2 2" xfId="6" xr:uid="{00000000-0005-0000-0000-00000E000000}"/>
  </cellStyles>
  <dxfs count="0"/>
  <tableStyles count="0" defaultTableStyle="TableStyleMedium9" defaultPivotStyle="PivotStyleLight16"/>
  <colors>
    <mruColors>
      <color rgb="FFFFCC66"/>
      <color rgb="FFFE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KY%202018-19%20True%20Up%20working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Copy%20of%20KY%202018-19%20True%20Up%20jah%2092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Lookup"/>
      <sheetName val="INPUTS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F14">
            <v>1798.8978824673843</v>
          </cell>
          <cell r="G14">
            <v>0.42381465384518713</v>
          </cell>
          <cell r="H14">
            <v>5</v>
          </cell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F15">
            <v>244949.65544260415</v>
          </cell>
          <cell r="G15">
            <v>72.29155215754804</v>
          </cell>
          <cell r="H15">
            <v>608</v>
          </cell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F16">
            <v>223874.45724960719</v>
          </cell>
          <cell r="G16">
            <v>51.521481541481862</v>
          </cell>
          <cell r="H16">
            <v>131</v>
          </cell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F17">
            <v>41723.69207210029</v>
          </cell>
          <cell r="G17">
            <v>11.264711221124152</v>
          </cell>
          <cell r="H17">
            <v>1753</v>
          </cell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F18">
            <v>416795.54794966424</v>
          </cell>
          <cell r="G18">
            <v>74.10863428377624</v>
          </cell>
          <cell r="H18">
            <v>2579</v>
          </cell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F19">
            <v>6177961.1143357465</v>
          </cell>
          <cell r="G19">
            <v>726.28579718205685</v>
          </cell>
          <cell r="H19">
            <v>234560</v>
          </cell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F20">
            <v>7107103.3649321897</v>
          </cell>
          <cell r="G20">
            <v>935.89599103983232</v>
          </cell>
          <cell r="H20">
            <v>239636</v>
          </cell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R20">
            <v>202155.39248032248</v>
          </cell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Y20">
            <v>2221551.4711748082</v>
          </cell>
          <cell r="Z20">
            <v>16792.148896494473</v>
          </cell>
        </row>
        <row r="23">
          <cell r="D23" t="str">
            <v>Power Manager®</v>
          </cell>
          <cell r="F23">
            <v>0</v>
          </cell>
          <cell r="G23">
            <v>14014.366017272929</v>
          </cell>
          <cell r="H23">
            <v>12474</v>
          </cell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Y24">
            <v>-6.6686765060752604</v>
          </cell>
          <cell r="Z24">
            <v>0</v>
          </cell>
        </row>
        <row r="25">
          <cell r="D25" t="str">
            <v>Total</v>
          </cell>
          <cell r="F25">
            <v>0</v>
          </cell>
          <cell r="G25">
            <v>14014.366017272929</v>
          </cell>
          <cell r="H25">
            <v>12474</v>
          </cell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R25">
            <v>108088.98083095119</v>
          </cell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Y25">
            <v>677035.53442481044</v>
          </cell>
          <cell r="Z25">
            <v>0</v>
          </cell>
        </row>
        <row r="28">
          <cell r="D28" t="str">
            <v>Small Business Energy Saver</v>
          </cell>
          <cell r="F28">
            <v>1996312.6520040715</v>
          </cell>
          <cell r="G28">
            <v>348.52253580442402</v>
          </cell>
          <cell r="H28">
            <v>1886689</v>
          </cell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F29">
            <v>11825493.727586938</v>
          </cell>
          <cell r="G29">
            <v>1474.3834159121645</v>
          </cell>
          <cell r="H29">
            <v>3344</v>
          </cell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F31">
            <v>108257.05095257622</v>
          </cell>
          <cell r="G31">
            <v>12.41002823950293</v>
          </cell>
          <cell r="H31">
            <v>86</v>
          </cell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F32">
            <v>166665.95801041156</v>
          </cell>
          <cell r="G32">
            <v>78.422957139228316</v>
          </cell>
          <cell r="H32">
            <v>311217.48000000004</v>
          </cell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F34">
            <v>5007195.99827863</v>
          </cell>
          <cell r="G34">
            <v>959.98823670651859</v>
          </cell>
          <cell r="H34">
            <v>55356</v>
          </cell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F35">
            <v>49238.250117521224</v>
          </cell>
          <cell r="G35">
            <v>14.768999729148236</v>
          </cell>
          <cell r="H35">
            <v>130</v>
          </cell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Y36">
            <v>2256.2783311577318</v>
          </cell>
          <cell r="Z36">
            <v>0</v>
          </cell>
        </row>
        <row r="37">
          <cell r="D37" t="str">
            <v>Total</v>
          </cell>
          <cell r="F37">
            <v>19153163.63695015</v>
          </cell>
          <cell r="G37">
            <v>2888.4961735309867</v>
          </cell>
          <cell r="H37">
            <v>2256822.48</v>
          </cell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R37">
            <v>922012.15118247492</v>
          </cell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Y37">
            <v>3459913.9579520607</v>
          </cell>
          <cell r="Z37">
            <v>21325.957655464976</v>
          </cell>
        </row>
        <row r="40">
          <cell r="D40" t="str">
            <v>Power Manager® for Business</v>
          </cell>
          <cell r="F40">
            <v>939.30476258170734</v>
          </cell>
          <cell r="G40">
            <v>63.804322648652295</v>
          </cell>
          <cell r="H40">
            <v>52.710000000000008</v>
          </cell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F41">
            <v>0</v>
          </cell>
          <cell r="G41">
            <v>18468.774692028546</v>
          </cell>
          <cell r="H41">
            <v>17</v>
          </cell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Y41">
            <v>750678.95112324378</v>
          </cell>
          <cell r="Z41">
            <v>0</v>
          </cell>
        </row>
        <row r="42">
          <cell r="D42" t="str">
            <v>Total</v>
          </cell>
          <cell r="F42">
            <v>939.30476258170734</v>
          </cell>
          <cell r="G42">
            <v>18532.579014677198</v>
          </cell>
          <cell r="H42">
            <v>69.710000000000008</v>
          </cell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R42">
            <v>157922.87235929756</v>
          </cell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Y42">
            <v>753938.07330136723</v>
          </cell>
          <cell r="Z42">
            <v>0</v>
          </cell>
        </row>
        <row r="45">
          <cell r="D45" t="str">
            <v>Payment Plus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</row>
        <row r="46">
          <cell r="D46" t="str">
            <v>Total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</row>
        <row r="48">
          <cell r="F48">
            <v>26261206.306644924</v>
          </cell>
          <cell r="G48">
            <v>36371.337196520944</v>
          </cell>
          <cell r="H48">
            <v>2509002.19</v>
          </cell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R48">
            <v>1390179.396853046</v>
          </cell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INPUTS"/>
      <sheetName val="Lookup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E13"/>
          <cell r="F13">
            <v>0</v>
          </cell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E14"/>
          <cell r="F14">
            <v>1798.8978824673843</v>
          </cell>
          <cell r="G14">
            <v>0.42381465384518713</v>
          </cell>
          <cell r="H14">
            <v>5</v>
          </cell>
          <cell r="I14"/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S14"/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X14"/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E15"/>
          <cell r="F15">
            <v>244949.65544260415</v>
          </cell>
          <cell r="G15">
            <v>72.29155215754804</v>
          </cell>
          <cell r="H15">
            <v>608</v>
          </cell>
          <cell r="I15"/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S15"/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X15"/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E16"/>
          <cell r="F16">
            <v>223874.45724960719</v>
          </cell>
          <cell r="G16">
            <v>51.521481541481862</v>
          </cell>
          <cell r="H16">
            <v>131</v>
          </cell>
          <cell r="I16"/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S16"/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X16"/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E17"/>
          <cell r="F17">
            <v>41723.69207210029</v>
          </cell>
          <cell r="G17">
            <v>11.264711221124152</v>
          </cell>
          <cell r="H17">
            <v>1753</v>
          </cell>
          <cell r="I17"/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S17"/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X17"/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E18"/>
          <cell r="F18">
            <v>416795.54794966424</v>
          </cell>
          <cell r="G18">
            <v>74.10863428377624</v>
          </cell>
          <cell r="H18">
            <v>2579</v>
          </cell>
          <cell r="I18"/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S18"/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X18"/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E19"/>
          <cell r="F19">
            <v>6177961.1143357465</v>
          </cell>
          <cell r="G19">
            <v>726.28579718205685</v>
          </cell>
          <cell r="H19">
            <v>234560</v>
          </cell>
          <cell r="I19"/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S19"/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X19"/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E20"/>
          <cell r="F20">
            <v>7107103.3649321897</v>
          </cell>
          <cell r="G20">
            <v>935.89599103983232</v>
          </cell>
          <cell r="H20">
            <v>239636</v>
          </cell>
          <cell r="I20"/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Q20"/>
          <cell r="R20">
            <v>202155.39248032248</v>
          </cell>
          <cell r="S20"/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X20"/>
          <cell r="Y20">
            <v>2221551.4711748082</v>
          </cell>
          <cell r="Z20">
            <v>16792.148896494473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D23" t="str">
            <v>Power Manager®</v>
          </cell>
          <cell r="E23"/>
          <cell r="F23">
            <v>0</v>
          </cell>
          <cell r="G23">
            <v>14014.366017272929</v>
          </cell>
          <cell r="H23">
            <v>12474</v>
          </cell>
          <cell r="I23"/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S23"/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X23"/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E24"/>
          <cell r="F24">
            <v>0</v>
          </cell>
          <cell r="G24">
            <v>0</v>
          </cell>
          <cell r="H24">
            <v>0</v>
          </cell>
          <cell r="I24"/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S24"/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X24"/>
          <cell r="Y24">
            <v>-6.6686765060752604</v>
          </cell>
          <cell r="Z24">
            <v>0</v>
          </cell>
        </row>
        <row r="25">
          <cell r="D25" t="str">
            <v>Total</v>
          </cell>
          <cell r="E25"/>
          <cell r="F25">
            <v>0</v>
          </cell>
          <cell r="G25">
            <v>14014.366017272929</v>
          </cell>
          <cell r="H25">
            <v>12474</v>
          </cell>
          <cell r="I25"/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Q25"/>
          <cell r="R25">
            <v>108088.98083095119</v>
          </cell>
          <cell r="S25"/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X25"/>
          <cell r="Y25">
            <v>677035.53442481044</v>
          </cell>
          <cell r="Z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D28" t="str">
            <v>Small Business Energy Saver</v>
          </cell>
          <cell r="E28"/>
          <cell r="F28">
            <v>1996312.6520040715</v>
          </cell>
          <cell r="G28">
            <v>348.52253580442402</v>
          </cell>
          <cell r="H28">
            <v>1886689</v>
          </cell>
          <cell r="I28"/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S28"/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X28"/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E29"/>
          <cell r="F29">
            <v>11825493.727586938</v>
          </cell>
          <cell r="G29">
            <v>1474.3834159121645</v>
          </cell>
          <cell r="H29">
            <v>3344</v>
          </cell>
          <cell r="I29"/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S29"/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X29"/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E30"/>
          <cell r="F30">
            <v>0</v>
          </cell>
          <cell r="G30">
            <v>0</v>
          </cell>
          <cell r="H30">
            <v>0</v>
          </cell>
          <cell r="I30"/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S30"/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X30"/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E31"/>
          <cell r="F31">
            <v>108257.05095257622</v>
          </cell>
          <cell r="G31">
            <v>12.41002823950293</v>
          </cell>
          <cell r="H31">
            <v>86</v>
          </cell>
          <cell r="I31"/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S31"/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X31"/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E32"/>
          <cell r="F32">
            <v>166665.95801041156</v>
          </cell>
          <cell r="G32">
            <v>78.422957139228316</v>
          </cell>
          <cell r="H32">
            <v>311217.48000000004</v>
          </cell>
          <cell r="I32"/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S32"/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X32"/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E33"/>
          <cell r="F33">
            <v>0</v>
          </cell>
          <cell r="G33">
            <v>0</v>
          </cell>
          <cell r="H33">
            <v>0</v>
          </cell>
          <cell r="I33"/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S33"/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X33"/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E34"/>
          <cell r="F34">
            <v>5007195.99827863</v>
          </cell>
          <cell r="G34">
            <v>959.98823670651859</v>
          </cell>
          <cell r="H34">
            <v>55356</v>
          </cell>
          <cell r="I34"/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S34"/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X34"/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E35"/>
          <cell r="F35">
            <v>49238.250117521224</v>
          </cell>
          <cell r="G35">
            <v>14.768999729148236</v>
          </cell>
          <cell r="H35">
            <v>130</v>
          </cell>
          <cell r="I35"/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S35"/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X35"/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E36"/>
          <cell r="F36">
            <v>0</v>
          </cell>
          <cell r="G36">
            <v>0</v>
          </cell>
          <cell r="H36">
            <v>0</v>
          </cell>
          <cell r="I36"/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S36"/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X36"/>
          <cell r="Y36">
            <v>2256.2783311577318</v>
          </cell>
          <cell r="Z36">
            <v>0</v>
          </cell>
        </row>
        <row r="37">
          <cell r="D37" t="str">
            <v>Total</v>
          </cell>
          <cell r="E37"/>
          <cell r="F37">
            <v>19153163.63695015</v>
          </cell>
          <cell r="G37">
            <v>2888.4961735309867</v>
          </cell>
          <cell r="H37">
            <v>2256822.48</v>
          </cell>
          <cell r="I37"/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Q37"/>
          <cell r="R37">
            <v>922012.15118247492</v>
          </cell>
          <cell r="S37"/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X37"/>
          <cell r="Y37">
            <v>3459913.9579520607</v>
          </cell>
          <cell r="Z37">
            <v>21325.957655464976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D40" t="str">
            <v>Power Manager® for Business</v>
          </cell>
          <cell r="E40"/>
          <cell r="F40">
            <v>939.30476258170734</v>
          </cell>
          <cell r="G40">
            <v>63.804322648652295</v>
          </cell>
          <cell r="H40">
            <v>52.710000000000008</v>
          </cell>
          <cell r="I40"/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S40"/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X40"/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E41"/>
          <cell r="F41">
            <v>0</v>
          </cell>
          <cell r="G41">
            <v>18468.774692028546</v>
          </cell>
          <cell r="H41">
            <v>17</v>
          </cell>
          <cell r="I41"/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S41"/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X41"/>
          <cell r="Y41">
            <v>750678.95112324378</v>
          </cell>
          <cell r="Z41">
            <v>0</v>
          </cell>
        </row>
        <row r="42">
          <cell r="D42" t="str">
            <v>Total</v>
          </cell>
          <cell r="E42"/>
          <cell r="F42">
            <v>939.30476258170734</v>
          </cell>
          <cell r="G42">
            <v>18532.579014677198</v>
          </cell>
          <cell r="H42">
            <v>69.710000000000008</v>
          </cell>
          <cell r="I42"/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Q42"/>
          <cell r="R42">
            <v>157922.87235929756</v>
          </cell>
          <cell r="S42"/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X42"/>
          <cell r="Y42">
            <v>753938.07330136723</v>
          </cell>
          <cell r="Z42">
            <v>0</v>
          </cell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D45" t="str">
            <v>Payment Plus</v>
          </cell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>
            <v>0</v>
          </cell>
          <cell r="Z45">
            <v>0</v>
          </cell>
        </row>
        <row r="46">
          <cell r="D46" t="str">
            <v>Total</v>
          </cell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>
            <v>0</v>
          </cell>
          <cell r="Z46">
            <v>0</v>
          </cell>
        </row>
        <row r="47"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D48"/>
          <cell r="E48"/>
          <cell r="F48">
            <v>26261206.306644924</v>
          </cell>
          <cell r="G48">
            <v>36371.337196520944</v>
          </cell>
          <cell r="H48">
            <v>2509002.19</v>
          </cell>
          <cell r="I48"/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Q48"/>
          <cell r="R48">
            <v>1390179.396853046</v>
          </cell>
          <cell r="S48"/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X48"/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tabSelected="1" view="pageLayout" zoomScale="85" zoomScaleNormal="85" zoomScalePageLayoutView="85" workbookViewId="0">
      <selection activeCell="A80" sqref="A80"/>
    </sheetView>
  </sheetViews>
  <sheetFormatPr defaultColWidth="9.28515625" defaultRowHeight="12.75" x14ac:dyDescent="0.2"/>
  <cols>
    <col min="1" max="1" width="57.42578125" style="43" customWidth="1"/>
    <col min="2" max="4" width="22.42578125" style="43" customWidth="1"/>
    <col min="5" max="5" width="18.28515625" style="43" customWidth="1"/>
    <col min="6" max="6" width="17.7109375" style="43" customWidth="1"/>
    <col min="7" max="7" width="17.5703125" style="43" customWidth="1"/>
    <col min="8" max="9" width="18.28515625" style="43" customWidth="1"/>
    <col min="10" max="10" width="15.28515625" style="43" customWidth="1"/>
    <col min="11" max="11" width="15.7109375" style="43" customWidth="1"/>
    <col min="12" max="13" width="13.28515625" style="43" customWidth="1"/>
    <col min="14" max="14" width="12.28515625" style="43" customWidth="1"/>
    <col min="15" max="15" width="13.28515625" style="43" customWidth="1"/>
    <col min="16" max="16384" width="9.28515625" style="43"/>
  </cols>
  <sheetData>
    <row r="1" spans="1:19" x14ac:dyDescent="0.2">
      <c r="S1" s="2"/>
    </row>
    <row r="2" spans="1:19" x14ac:dyDescent="0.2">
      <c r="O2" s="44"/>
    </row>
    <row r="3" spans="1:19" x14ac:dyDescent="0.2">
      <c r="E3" s="43" t="s">
        <v>0</v>
      </c>
    </row>
    <row r="4" spans="1:19" x14ac:dyDescent="0.2">
      <c r="S4" s="2"/>
    </row>
    <row r="5" spans="1:19" x14ac:dyDescent="0.2">
      <c r="E5" s="43" t="s">
        <v>1</v>
      </c>
      <c r="J5" s="44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66</v>
      </c>
      <c r="M7" s="10" t="s">
        <v>67</v>
      </c>
      <c r="N7" s="10" t="s">
        <v>68</v>
      </c>
      <c r="O7" s="10" t="s">
        <v>69</v>
      </c>
    </row>
    <row r="8" spans="1:19" x14ac:dyDescent="0.2">
      <c r="A8" s="43" t="s">
        <v>21</v>
      </c>
      <c r="B8" s="41" t="s">
        <v>12</v>
      </c>
      <c r="C8" s="41" t="s">
        <v>62</v>
      </c>
      <c r="D8" s="41" t="s">
        <v>63</v>
      </c>
      <c r="E8" s="43" t="s">
        <v>13</v>
      </c>
      <c r="F8" s="44" t="s">
        <v>95</v>
      </c>
      <c r="H8" s="41" t="s">
        <v>64</v>
      </c>
      <c r="I8" s="41" t="s">
        <v>65</v>
      </c>
      <c r="J8" s="88">
        <v>2019</v>
      </c>
      <c r="K8" s="43" t="s">
        <v>119</v>
      </c>
      <c r="L8" s="43" t="s">
        <v>14</v>
      </c>
      <c r="N8" s="38" t="s">
        <v>15</v>
      </c>
      <c r="O8" s="38"/>
      <c r="S8" s="2"/>
    </row>
    <row r="9" spans="1:19" x14ac:dyDescent="0.2">
      <c r="B9" s="89" t="s">
        <v>136</v>
      </c>
      <c r="C9" s="11" t="str">
        <f>B9</f>
        <v>7/2019 to 6/2020 (A)</v>
      </c>
      <c r="D9" s="11" t="str">
        <f>C9</f>
        <v>7/2019 to 6/2020 (A)</v>
      </c>
      <c r="E9" s="32" t="s">
        <v>137</v>
      </c>
      <c r="F9" s="11" t="s">
        <v>16</v>
      </c>
      <c r="G9" s="11" t="s">
        <v>17</v>
      </c>
      <c r="H9" s="8" t="str">
        <f>E9</f>
        <v>7/2019 to 6/2020 (B)</v>
      </c>
      <c r="I9" s="8" t="str">
        <f>H9</f>
        <v>7/2019 to 6/2020 (B)</v>
      </c>
      <c r="J9" s="12" t="s">
        <v>22</v>
      </c>
      <c r="K9" s="12" t="s">
        <v>23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ht="5.25" customHeight="1" x14ac:dyDescent="0.2">
      <c r="B10" s="24"/>
      <c r="C10" s="24"/>
      <c r="D10" s="24"/>
      <c r="E10" s="24"/>
      <c r="F10" s="2"/>
      <c r="G10" s="2"/>
      <c r="H10" s="24"/>
      <c r="I10" s="24"/>
      <c r="L10" s="41"/>
      <c r="M10" s="41"/>
      <c r="N10" s="41"/>
      <c r="O10" s="41"/>
      <c r="Q10" s="1"/>
      <c r="S10" s="9"/>
    </row>
    <row r="11" spans="1:19" x14ac:dyDescent="0.2">
      <c r="A11" s="43" t="s">
        <v>98</v>
      </c>
      <c r="B11" s="24">
        <v>371468</v>
      </c>
      <c r="C11" s="24">
        <v>7935</v>
      </c>
      <c r="D11" s="24">
        <v>-15844</v>
      </c>
      <c r="E11" s="24">
        <v>158232.41545800856</v>
      </c>
      <c r="F11" s="2">
        <f>$E11*VLOOKUP($A11,'Page 6'!$A$7:$H$12,8,FALSE)</f>
        <v>0</v>
      </c>
      <c r="G11" s="2">
        <f>$E11*VLOOKUP($A11,'Page 6'!$A$7:$H$12,7,FALSE)</f>
        <v>158232.41545800856</v>
      </c>
      <c r="H11" s="24">
        <v>3394.1237637125</v>
      </c>
      <c r="I11" s="24">
        <v>-7678.069153437109</v>
      </c>
      <c r="L11" s="41"/>
      <c r="M11" s="41"/>
      <c r="N11" s="41"/>
      <c r="O11" s="41"/>
    </row>
    <row r="12" spans="1:19" x14ac:dyDescent="0.2">
      <c r="A12" s="1" t="s">
        <v>99</v>
      </c>
      <c r="B12" s="24">
        <v>810628</v>
      </c>
      <c r="C12" s="24">
        <v>11128</v>
      </c>
      <c r="D12" s="24">
        <v>-30069</v>
      </c>
      <c r="E12" s="24">
        <f>376520.605874917+101045</f>
        <v>477565.605874917</v>
      </c>
      <c r="F12" s="2">
        <f>$E12*VLOOKUP($A12,'Page 6'!$A$7:$H$12,8,FALSE)</f>
        <v>275989.010176401</v>
      </c>
      <c r="G12" s="2">
        <f>$E12*VLOOKUP($A12,'Page 6'!$A$7:$H$12,7,FALSE)</f>
        <v>201576.59569851606</v>
      </c>
      <c r="H12" s="24">
        <v>4095.184515833334</v>
      </c>
      <c r="I12" s="24">
        <v>-28150.720790663712</v>
      </c>
      <c r="L12" s="41"/>
      <c r="M12" s="41"/>
      <c r="N12" s="41"/>
      <c r="O12" s="41"/>
    </row>
    <row r="13" spans="1:19" x14ac:dyDescent="0.2">
      <c r="A13" s="43" t="s">
        <v>97</v>
      </c>
      <c r="B13" s="56">
        <v>165696</v>
      </c>
      <c r="C13" s="56">
        <v>161739</v>
      </c>
      <c r="D13" s="56">
        <v>13511</v>
      </c>
      <c r="E13" s="24">
        <v>82027.503813393472</v>
      </c>
      <c r="F13" s="2">
        <f>$E13*VLOOKUP($A13,'Page 6'!$A$7:$H$12,8,FALSE)</f>
        <v>0</v>
      </c>
      <c r="G13" s="2">
        <f>$E13*VLOOKUP($A13,'Page 6'!$A$7:$H$12,7,FALSE)</f>
        <v>82027.503813393472</v>
      </c>
      <c r="H13" s="24">
        <v>34406.298972699384</v>
      </c>
      <c r="I13" s="24">
        <v>707.38912708773569</v>
      </c>
      <c r="L13" s="41"/>
      <c r="M13" s="41"/>
      <c r="N13" s="41"/>
      <c r="O13" s="41"/>
    </row>
    <row r="14" spans="1:19" x14ac:dyDescent="0.2">
      <c r="A14" s="1" t="s">
        <v>100</v>
      </c>
      <c r="B14" s="24">
        <v>326678</v>
      </c>
      <c r="C14" s="24">
        <v>15180</v>
      </c>
      <c r="D14" s="24">
        <v>7262</v>
      </c>
      <c r="E14" s="24">
        <v>152246.87767588306</v>
      </c>
      <c r="F14" s="2">
        <f>$E14*VLOOKUP($A14,'Page 6'!$A$7:$H$12,8,FALSE)</f>
        <v>0</v>
      </c>
      <c r="G14" s="2">
        <f>$E14*VLOOKUP($A14,'Page 6'!$A$7:$H$12,7,FALSE)</f>
        <v>152246.87767588306</v>
      </c>
      <c r="H14" s="24">
        <v>12090.459222396343</v>
      </c>
      <c r="I14" s="24">
        <v>6202.8795051280613</v>
      </c>
      <c r="L14" s="41"/>
      <c r="M14" s="41"/>
      <c r="N14" s="41"/>
      <c r="O14" s="41"/>
    </row>
    <row r="15" spans="1:19" x14ac:dyDescent="0.2">
      <c r="A15" s="43" t="s">
        <v>96</v>
      </c>
      <c r="B15" s="56">
        <v>1949221</v>
      </c>
      <c r="C15" s="56">
        <v>260300</v>
      </c>
      <c r="D15" s="56">
        <v>252080</v>
      </c>
      <c r="E15" s="24">
        <v>2064344.8325785939</v>
      </c>
      <c r="F15" s="2">
        <f>$E15*VLOOKUP($A15,'Page 6'!$A$7:$H$12,8,FALSE)</f>
        <v>0</v>
      </c>
      <c r="G15" s="2">
        <f>$E15*VLOOKUP($A15,'Page 6'!$A$7:$H$12,7,FALSE)</f>
        <v>2064344.8325785939</v>
      </c>
      <c r="H15" s="24">
        <v>178042.25676798602</v>
      </c>
      <c r="I15" s="24">
        <v>195042.86029024128</v>
      </c>
      <c r="L15" s="41"/>
      <c r="M15" s="41"/>
      <c r="N15" s="41"/>
      <c r="O15" s="41"/>
    </row>
    <row r="16" spans="1:19" x14ac:dyDescent="0.2">
      <c r="A16" s="43" t="s">
        <v>115</v>
      </c>
      <c r="B16" s="56">
        <v>564560</v>
      </c>
      <c r="C16" s="56">
        <v>0</v>
      </c>
      <c r="D16" s="56">
        <v>131418</v>
      </c>
      <c r="E16" s="24">
        <v>607753.33781666355</v>
      </c>
      <c r="F16" s="2">
        <f>$E16*VLOOKUP($A16,'Page 6'!$A$7:$H$12,8,FALSE)</f>
        <v>0</v>
      </c>
      <c r="G16" s="2">
        <f>$E16*VLOOKUP($A16,'Page 6'!$A$7:$H$12,7,FALSE)</f>
        <v>607753.33781666355</v>
      </c>
      <c r="H16" s="24">
        <f>VLOOKUP($A16,[1]Programs!$D$13:$Z$48,23,FALSE)</f>
        <v>0</v>
      </c>
      <c r="I16" s="24">
        <v>117091.50936915628</v>
      </c>
      <c r="L16" s="41"/>
      <c r="M16" s="41"/>
      <c r="N16" s="41"/>
      <c r="O16" s="41"/>
    </row>
    <row r="17" spans="1:24" x14ac:dyDescent="0.2">
      <c r="A17" s="48" t="s">
        <v>142</v>
      </c>
      <c r="B17" s="56">
        <v>207736</v>
      </c>
      <c r="C17" s="56">
        <v>0</v>
      </c>
      <c r="D17" s="56">
        <v>0</v>
      </c>
      <c r="E17" s="24">
        <v>36811</v>
      </c>
      <c r="F17" s="2">
        <v>0</v>
      </c>
      <c r="G17" s="2">
        <f>E17</f>
        <v>36811</v>
      </c>
      <c r="H17" s="24">
        <v>0</v>
      </c>
      <c r="I17" s="24">
        <v>0</v>
      </c>
      <c r="L17" s="41"/>
      <c r="M17" s="41"/>
      <c r="N17" s="41"/>
      <c r="O17" s="41"/>
    </row>
    <row r="18" spans="1:24" x14ac:dyDescent="0.2">
      <c r="A18" s="75" t="s">
        <v>144</v>
      </c>
      <c r="B18" s="24"/>
      <c r="C18" s="24"/>
      <c r="D18" s="24"/>
      <c r="E18" s="24"/>
      <c r="F18" s="24"/>
      <c r="G18" s="40"/>
      <c r="H18" s="24"/>
      <c r="I18" s="24"/>
      <c r="L18" s="24">
        <v>-509633</v>
      </c>
      <c r="M18" s="24">
        <v>-3272047.01</v>
      </c>
      <c r="N18" s="41"/>
      <c r="O18" s="41"/>
    </row>
    <row r="19" spans="1:24" x14ac:dyDescent="0.2">
      <c r="A19" s="33" t="s">
        <v>33</v>
      </c>
      <c r="B19" s="35">
        <f t="shared" ref="B19:I19" si="0">SUM(B10:B18)</f>
        <v>4395987</v>
      </c>
      <c r="C19" s="35">
        <f t="shared" si="0"/>
        <v>456282</v>
      </c>
      <c r="D19" s="35">
        <f t="shared" si="0"/>
        <v>358358</v>
      </c>
      <c r="E19" s="35">
        <f t="shared" si="0"/>
        <v>3578981.5732174595</v>
      </c>
      <c r="F19" s="35">
        <f t="shared" si="0"/>
        <v>275989.010176401</v>
      </c>
      <c r="G19" s="35">
        <f t="shared" si="0"/>
        <v>3302992.5630410588</v>
      </c>
      <c r="H19" s="35">
        <f t="shared" si="0"/>
        <v>232028.32324262758</v>
      </c>
      <c r="I19" s="35">
        <f t="shared" si="0"/>
        <v>283215.84834751254</v>
      </c>
      <c r="J19" s="95">
        <v>1746882.1599498503</v>
      </c>
      <c r="K19" s="95">
        <v>-7212846.7231607325</v>
      </c>
      <c r="L19" s="34">
        <f>SUM(L18)</f>
        <v>-509633</v>
      </c>
      <c r="M19" s="34">
        <f>SUM(M18)</f>
        <v>-3272047.01</v>
      </c>
      <c r="N19" s="34">
        <f>F19+J19-L19</f>
        <v>2532504.1701262514</v>
      </c>
      <c r="O19" s="34">
        <f>G19+H19+I19+K19-M19</f>
        <v>-122562.97852953384</v>
      </c>
    </row>
    <row r="20" spans="1:24" x14ac:dyDescent="0.2">
      <c r="C20" s="14"/>
      <c r="E20" s="3"/>
      <c r="H20" s="3"/>
      <c r="I20" s="3"/>
    </row>
    <row r="21" spans="1:24" x14ac:dyDescent="0.2">
      <c r="A21" s="44" t="s">
        <v>140</v>
      </c>
      <c r="I21" s="2"/>
    </row>
    <row r="22" spans="1:24" x14ac:dyDescent="0.2">
      <c r="A22" s="44" t="s">
        <v>138</v>
      </c>
      <c r="H22" s="3"/>
      <c r="J22" s="40"/>
      <c r="K22" s="25"/>
      <c r="L22" s="2"/>
      <c r="M22" s="2"/>
    </row>
    <row r="23" spans="1:24" x14ac:dyDescent="0.2">
      <c r="A23" s="44" t="s">
        <v>113</v>
      </c>
      <c r="H23" s="7"/>
      <c r="I23" s="3"/>
      <c r="J23" s="40"/>
      <c r="L23" s="2"/>
      <c r="M23" s="2"/>
    </row>
    <row r="24" spans="1:24" x14ac:dyDescent="0.2">
      <c r="A24" s="44" t="s">
        <v>103</v>
      </c>
      <c r="E24" s="3"/>
      <c r="H24" s="7"/>
      <c r="L24" s="2"/>
      <c r="M24" s="2"/>
    </row>
    <row r="25" spans="1:24" x14ac:dyDescent="0.2">
      <c r="A25" s="44" t="s">
        <v>104</v>
      </c>
      <c r="H25" s="3"/>
    </row>
    <row r="26" spans="1:24" x14ac:dyDescent="0.2">
      <c r="A26" s="44" t="s">
        <v>139</v>
      </c>
      <c r="H26" s="7"/>
    </row>
    <row r="27" spans="1:24" x14ac:dyDescent="0.2">
      <c r="A27" s="43" t="s">
        <v>70</v>
      </c>
      <c r="H27" s="7"/>
    </row>
    <row r="28" spans="1:24" x14ac:dyDescent="0.2">
      <c r="A28" s="43" t="s">
        <v>71</v>
      </c>
      <c r="H28" s="3"/>
      <c r="M28" s="1"/>
    </row>
    <row r="29" spans="1:24" x14ac:dyDescent="0.2">
      <c r="A29" s="44"/>
      <c r="H29" s="3"/>
    </row>
    <row r="30" spans="1:24" x14ac:dyDescent="0.2">
      <c r="A30" s="44"/>
      <c r="H30" s="3"/>
    </row>
    <row r="31" spans="1:24" x14ac:dyDescent="0.2">
      <c r="E31" s="15"/>
      <c r="F31" s="15"/>
      <c r="G31" s="15"/>
      <c r="H31" s="15"/>
      <c r="I31" s="15"/>
      <c r="J31" s="15"/>
    </row>
    <row r="32" spans="1:24" x14ac:dyDescent="0.2">
      <c r="B32" s="10" t="s">
        <v>2</v>
      </c>
      <c r="C32" s="10" t="s">
        <v>3</v>
      </c>
      <c r="D32" s="10" t="s">
        <v>4</v>
      </c>
      <c r="E32" s="16" t="s">
        <v>5</v>
      </c>
      <c r="F32" s="16" t="s">
        <v>6</v>
      </c>
      <c r="G32" s="16" t="s">
        <v>7</v>
      </c>
      <c r="H32" s="16" t="s">
        <v>8</v>
      </c>
      <c r="I32" s="16" t="s">
        <v>9</v>
      </c>
      <c r="J32" s="16" t="s">
        <v>10</v>
      </c>
      <c r="Q32" s="10"/>
      <c r="R32" s="10"/>
      <c r="T32" s="10"/>
      <c r="U32" s="10"/>
      <c r="W32" s="10"/>
      <c r="X32" s="10"/>
    </row>
    <row r="33" spans="1:26" x14ac:dyDescent="0.2">
      <c r="A33" s="43" t="s">
        <v>24</v>
      </c>
      <c r="B33" s="43" t="s">
        <v>12</v>
      </c>
      <c r="C33" s="41" t="s">
        <v>62</v>
      </c>
      <c r="D33" s="41" t="s">
        <v>63</v>
      </c>
      <c r="E33" s="43" t="s">
        <v>13</v>
      </c>
      <c r="F33" s="41" t="s">
        <v>64</v>
      </c>
      <c r="G33" s="41" t="s">
        <v>65</v>
      </c>
      <c r="H33" s="13">
        <f>J8</f>
        <v>2019</v>
      </c>
      <c r="I33" s="41" t="s">
        <v>25</v>
      </c>
      <c r="J33" s="39" t="s">
        <v>102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B34" s="11" t="str">
        <f>B9</f>
        <v>7/2019 to 6/2020 (A)</v>
      </c>
      <c r="C34" s="11" t="str">
        <f>B34</f>
        <v>7/2019 to 6/2020 (A)</v>
      </c>
      <c r="D34" s="11" t="str">
        <f>C34</f>
        <v>7/2019 to 6/2020 (A)</v>
      </c>
      <c r="E34" s="8" t="str">
        <f>E9</f>
        <v>7/2019 to 6/2020 (B)</v>
      </c>
      <c r="F34" s="8" t="str">
        <f>E34</f>
        <v>7/2019 to 6/2020 (B)</v>
      </c>
      <c r="G34" s="8" t="str">
        <f>F34</f>
        <v>7/2019 to 6/2020 (B)</v>
      </c>
      <c r="H34" s="11" t="s">
        <v>26</v>
      </c>
      <c r="I34" s="11" t="s">
        <v>27</v>
      </c>
      <c r="J34" s="17" t="s">
        <v>72</v>
      </c>
      <c r="K34" s="1"/>
      <c r="L34" s="1"/>
      <c r="M34" s="13"/>
      <c r="N34" s="1"/>
      <c r="O34" s="13"/>
      <c r="P34" s="1"/>
      <c r="Q34" s="13"/>
      <c r="R34" s="13"/>
      <c r="S34" s="1"/>
      <c r="T34" s="13"/>
      <c r="U34" s="13"/>
      <c r="V34" s="1"/>
      <c r="W34" s="13"/>
      <c r="X34" s="13"/>
      <c r="Y34" s="1"/>
      <c r="Z34" s="1"/>
    </row>
    <row r="35" spans="1:26" s="1" customFormat="1" x14ac:dyDescent="0.2">
      <c r="A35" s="23" t="s">
        <v>112</v>
      </c>
      <c r="B35" s="24">
        <v>874529</v>
      </c>
      <c r="C35" s="24">
        <v>36499</v>
      </c>
      <c r="D35" s="24">
        <v>116303</v>
      </c>
      <c r="E35" s="24">
        <v>460325.94002386421</v>
      </c>
      <c r="F35" s="24">
        <v>94779.235009801137</v>
      </c>
      <c r="G35" s="24">
        <v>69968.158298072201</v>
      </c>
      <c r="H35" s="20"/>
      <c r="I35" s="20"/>
      <c r="K35" s="19"/>
      <c r="L35" s="20"/>
      <c r="M35" s="9"/>
      <c r="Q35" s="9"/>
      <c r="R35" s="5"/>
      <c r="T35" s="13"/>
      <c r="U35" s="13"/>
      <c r="W35" s="13"/>
      <c r="X35" s="13"/>
    </row>
    <row r="36" spans="1:26" x14ac:dyDescent="0.2">
      <c r="A36" s="44" t="s">
        <v>101</v>
      </c>
      <c r="B36" s="24">
        <v>675415</v>
      </c>
      <c r="C36" s="24">
        <v>36816</v>
      </c>
      <c r="D36" s="24">
        <v>155383</v>
      </c>
      <c r="E36" s="24">
        <v>397763.21405508067</v>
      </c>
      <c r="F36" s="24">
        <v>190461.2510333629</v>
      </c>
      <c r="G36" s="24">
        <v>125575.95417673521</v>
      </c>
      <c r="H36" s="18"/>
      <c r="I36" s="18"/>
      <c r="J36" s="1"/>
      <c r="K36" s="19"/>
      <c r="L36" s="19"/>
      <c r="M36" s="9"/>
      <c r="N36" s="1"/>
      <c r="O36" s="1"/>
      <c r="P36" s="1"/>
      <c r="Q36" s="9"/>
      <c r="R36" s="5"/>
      <c r="S36" s="1"/>
      <c r="T36" s="13"/>
      <c r="U36" s="13"/>
      <c r="V36" s="1"/>
      <c r="W36" s="13"/>
      <c r="X36" s="13"/>
      <c r="Y36" s="1"/>
      <c r="Z36" s="1"/>
    </row>
    <row r="37" spans="1:26" s="1" customFormat="1" x14ac:dyDescent="0.2">
      <c r="A37" s="23" t="s">
        <v>129</v>
      </c>
      <c r="B37" s="24">
        <v>1676125</v>
      </c>
      <c r="C37" s="24">
        <v>60956</v>
      </c>
      <c r="D37" s="24">
        <v>520952</v>
      </c>
      <c r="E37" s="24">
        <v>1141243.5082789101</v>
      </c>
      <c r="F37" s="24">
        <v>154998.16610351941</v>
      </c>
      <c r="G37" s="24">
        <v>452466.59268614906</v>
      </c>
      <c r="H37" s="20"/>
      <c r="I37" s="20"/>
      <c r="K37" s="19"/>
      <c r="L37" s="20"/>
      <c r="M37" s="9"/>
      <c r="Q37" s="9"/>
      <c r="R37" s="5"/>
      <c r="T37" s="13"/>
      <c r="U37" s="13"/>
      <c r="W37" s="13"/>
      <c r="X37" s="13"/>
    </row>
    <row r="38" spans="1:26" x14ac:dyDescent="0.2">
      <c r="A38" s="44" t="s">
        <v>145</v>
      </c>
      <c r="B38" s="56">
        <v>0</v>
      </c>
      <c r="C38" s="56">
        <v>0</v>
      </c>
      <c r="D38" s="56">
        <v>0</v>
      </c>
      <c r="E38" s="24">
        <v>1282.6377878245733</v>
      </c>
      <c r="F38" s="24">
        <v>79.893947999994708</v>
      </c>
      <c r="G38" s="24">
        <v>544.73588652004128</v>
      </c>
      <c r="H38" s="20"/>
      <c r="I38" s="20"/>
      <c r="J38" s="1"/>
      <c r="K38" s="1"/>
      <c r="L38" s="1"/>
      <c r="M38" s="13"/>
      <c r="N38" s="1"/>
      <c r="O38" s="13"/>
      <c r="P38" s="1"/>
      <c r="Q38" s="13"/>
      <c r="R38" s="13"/>
      <c r="S38" s="1"/>
      <c r="T38" s="13"/>
      <c r="U38" s="13"/>
      <c r="V38" s="1"/>
      <c r="W38" s="13"/>
      <c r="X38" s="13"/>
      <c r="Y38" s="1"/>
      <c r="Z38" s="1"/>
    </row>
    <row r="39" spans="1:26" x14ac:dyDescent="0.2">
      <c r="A39" s="37" t="s">
        <v>33</v>
      </c>
      <c r="B39" s="34">
        <f t="shared" ref="B39:G39" si="1">SUM(B35:B38)</f>
        <v>3226069</v>
      </c>
      <c r="C39" s="34">
        <f t="shared" si="1"/>
        <v>134271</v>
      </c>
      <c r="D39" s="34">
        <f t="shared" si="1"/>
        <v>792638</v>
      </c>
      <c r="E39" s="34">
        <f t="shared" si="1"/>
        <v>2000615.3001456794</v>
      </c>
      <c r="F39" s="34">
        <f t="shared" si="1"/>
        <v>440318.54609468341</v>
      </c>
      <c r="G39" s="34">
        <f t="shared" si="1"/>
        <v>648555.44104747649</v>
      </c>
      <c r="H39" s="34">
        <v>340778.7089915853</v>
      </c>
      <c r="I39" s="34">
        <v>8702093.1600000001</v>
      </c>
      <c r="J39" s="76">
        <f>E39+F39+G39+H39-I39</f>
        <v>-5271825.1637205761</v>
      </c>
    </row>
    <row r="40" spans="1:26" x14ac:dyDescent="0.2">
      <c r="A40" s="8"/>
      <c r="B40" s="63"/>
      <c r="C40" s="8"/>
      <c r="D40" s="8"/>
      <c r="E40" s="8"/>
      <c r="F40" s="63"/>
      <c r="G40" s="63"/>
      <c r="H40" s="32"/>
      <c r="I40" s="8"/>
      <c r="J40" s="8"/>
    </row>
    <row r="41" spans="1:26" x14ac:dyDescent="0.2">
      <c r="A41" s="23" t="s">
        <v>116</v>
      </c>
      <c r="B41" s="56">
        <v>908290</v>
      </c>
      <c r="C41" s="56">
        <v>0</v>
      </c>
      <c r="D41" s="56">
        <v>153191</v>
      </c>
      <c r="E41" s="24">
        <v>650303.18133108481</v>
      </c>
      <c r="F41" s="24">
        <f>VLOOKUP($A41,[2]Programs!$D$13:$Z$48,23,FALSE)</f>
        <v>0</v>
      </c>
      <c r="G41" s="24">
        <v>139904.51254323221</v>
      </c>
      <c r="H41" s="96">
        <v>304369.63801883371</v>
      </c>
      <c r="I41" s="5">
        <v>1514889.95</v>
      </c>
      <c r="J41" s="77">
        <f>E41+F41+G41+H41-I41</f>
        <v>-420312.61810684926</v>
      </c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x14ac:dyDescent="0.2">
      <c r="A42" s="23"/>
      <c r="B42" s="36"/>
      <c r="C42" s="36"/>
      <c r="D42" s="36"/>
      <c r="E42" s="9"/>
      <c r="F42" s="9"/>
      <c r="G42" s="9"/>
      <c r="H42" s="20"/>
      <c r="I42" s="20"/>
      <c r="J42" s="1"/>
      <c r="K42" s="19"/>
      <c r="L42" s="20"/>
      <c r="M42" s="9"/>
      <c r="N42" s="1"/>
      <c r="O42" s="1"/>
      <c r="P42" s="1"/>
      <c r="Q42" s="9"/>
      <c r="R42" s="5"/>
      <c r="S42" s="1"/>
      <c r="T42" s="13"/>
      <c r="U42" s="13"/>
      <c r="V42" s="1"/>
      <c r="W42" s="13"/>
      <c r="X42" s="13"/>
      <c r="Y42" s="1"/>
      <c r="Z42" s="1"/>
    </row>
    <row r="43" spans="1:26" x14ac:dyDescent="0.2">
      <c r="A43" s="44" t="str">
        <f>A21</f>
        <v>(A) Amounts identified in report filed in Case No. 2018-00370</v>
      </c>
      <c r="E43" s="3"/>
      <c r="F43" s="3"/>
      <c r="G43" s="3"/>
    </row>
    <row r="44" spans="1:26" x14ac:dyDescent="0.2">
      <c r="A44" s="43" t="str">
        <f>A22</f>
        <v>(B) Actual program expenditures, lost revenues (for this period and from prior period DSM measure installations), and shared savings for the period July 1, 2019 through June 30, 2020.</v>
      </c>
      <c r="F44" s="3"/>
      <c r="G44" s="3"/>
      <c r="H44" s="25"/>
      <c r="I44" s="2"/>
    </row>
    <row r="45" spans="1:26" x14ac:dyDescent="0.2">
      <c r="A45" s="44" t="s">
        <v>114</v>
      </c>
      <c r="F45" s="3"/>
      <c r="G45" s="3"/>
      <c r="I45" s="2"/>
    </row>
    <row r="46" spans="1:26" x14ac:dyDescent="0.2">
      <c r="A46" s="44" t="str">
        <f>"(D) "&amp;RIGHT(A26,LEN(A26)-4)</f>
        <v>(D) Revenues collected through the DSM Rider between July 1, 2019 and June 30, 2020.</v>
      </c>
      <c r="F46" s="3"/>
      <c r="G46" s="3"/>
      <c r="I46" s="2"/>
    </row>
    <row r="47" spans="1:26" x14ac:dyDescent="0.2">
      <c r="A47" s="44" t="s">
        <v>73</v>
      </c>
    </row>
    <row r="48" spans="1:26" x14ac:dyDescent="0.2">
      <c r="A48" s="48" t="s">
        <v>146</v>
      </c>
    </row>
    <row r="49" spans="1:1" x14ac:dyDescent="0.2">
      <c r="A49" s="28"/>
    </row>
  </sheetData>
  <phoneticPr fontId="2" type="noConversion"/>
  <pageMargins left="0.2" right="0.2" top="0.2" bottom="0.2" header="0.2" footer="0.2"/>
  <pageSetup paperSize="5" scale="59" orientation="landscape" r:id="rId1"/>
  <headerFooter alignWithMargins="0">
    <oddHeader>&amp;R&amp;"Times New Roman,Bold"KyPSC Case No. 2021-00313
Appendix B
Page &amp;P of &amp;N</oddHeader>
  </headerFooter>
  <ignoredErrors>
    <ignoredError sqref="B7:C7 M8:M9 L8:L9 D7:O7 B32:J32" numberStoredAsText="1"/>
    <ignoredError sqref="E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41"/>
  <sheetViews>
    <sheetView zoomScale="85" zoomScaleNormal="85" workbookViewId="0">
      <selection activeCell="A80" sqref="A80"/>
    </sheetView>
  </sheetViews>
  <sheetFormatPr defaultColWidth="9.28515625" defaultRowHeight="12.75" x14ac:dyDescent="0.2"/>
  <cols>
    <col min="1" max="1" width="56.5703125" style="48" customWidth="1"/>
    <col min="2" max="2" width="14" style="48" bestFit="1" customWidth="1"/>
    <col min="3" max="4" width="12.28515625" style="48" bestFit="1" customWidth="1"/>
    <col min="5" max="5" width="14" style="48" bestFit="1" customWidth="1"/>
    <col min="6" max="7" width="9.28515625" style="48"/>
    <col min="8" max="8" width="14.5703125" style="48" bestFit="1" customWidth="1"/>
    <col min="9" max="9" width="13" style="48" customWidth="1"/>
    <col min="10" max="10" width="13.28515625" style="48" customWidth="1"/>
    <col min="11" max="11" width="13.7109375" style="48" customWidth="1"/>
    <col min="12" max="12" width="9.28515625" style="48"/>
    <col min="13" max="13" width="11.5703125" style="48" bestFit="1" customWidth="1"/>
    <col min="14" max="14" width="9.28515625" style="48"/>
    <col min="15" max="15" width="14.5703125" style="50" customWidth="1"/>
    <col min="16" max="16" width="9.28515625" style="48"/>
    <col min="17" max="17" width="13" style="48" bestFit="1" customWidth="1"/>
    <col min="18" max="16384" width="9.28515625" style="48"/>
  </cols>
  <sheetData>
    <row r="1" spans="1:15" x14ac:dyDescent="0.2">
      <c r="B1" s="48" t="s">
        <v>0</v>
      </c>
      <c r="K1" s="49"/>
    </row>
    <row r="3" spans="1:15" x14ac:dyDescent="0.2">
      <c r="B3" s="51" t="s">
        <v>135</v>
      </c>
    </row>
    <row r="6" spans="1:15" x14ac:dyDescent="0.2">
      <c r="B6" s="66" t="s">
        <v>117</v>
      </c>
    </row>
    <row r="8" spans="1:15" s="52" customFormat="1" ht="26.25" customHeight="1" x14ac:dyDescent="0.2">
      <c r="C8" s="52" t="s">
        <v>28</v>
      </c>
      <c r="D8" s="52" t="s">
        <v>29</v>
      </c>
      <c r="G8" s="67" t="s">
        <v>111</v>
      </c>
      <c r="H8" s="53"/>
      <c r="J8" s="134" t="s">
        <v>76</v>
      </c>
      <c r="K8" s="134"/>
    </row>
    <row r="9" spans="1:15" s="52" customFormat="1" ht="15" x14ac:dyDescent="0.35">
      <c r="B9" s="54" t="s">
        <v>30</v>
      </c>
      <c r="C9" s="54" t="s">
        <v>31</v>
      </c>
      <c r="D9" s="54" t="s">
        <v>32</v>
      </c>
      <c r="E9" s="54" t="s">
        <v>33</v>
      </c>
      <c r="G9" s="55" t="s">
        <v>17</v>
      </c>
      <c r="H9" s="55" t="s">
        <v>16</v>
      </c>
      <c r="I9" s="55" t="s">
        <v>60</v>
      </c>
      <c r="J9" s="55" t="s">
        <v>17</v>
      </c>
      <c r="K9" s="55" t="s">
        <v>61</v>
      </c>
    </row>
    <row r="10" spans="1:15" x14ac:dyDescent="0.2">
      <c r="B10" s="56"/>
      <c r="C10" s="56"/>
      <c r="D10" s="56"/>
      <c r="E10" s="56"/>
      <c r="O10" s="48"/>
    </row>
    <row r="11" spans="1:15" x14ac:dyDescent="0.2">
      <c r="A11" s="126" t="s">
        <v>147</v>
      </c>
      <c r="B11" s="127">
        <v>535374.75</v>
      </c>
      <c r="C11" s="127">
        <v>16581.858231570732</v>
      </c>
      <c r="D11" s="127">
        <v>-18686.756929337251</v>
      </c>
      <c r="E11" s="127">
        <v>533269.85130223341</v>
      </c>
      <c r="F11" s="57"/>
      <c r="G11" s="64">
        <v>1</v>
      </c>
      <c r="H11" s="64">
        <v>0</v>
      </c>
      <c r="I11" s="58">
        <f t="shared" ref="I11:I17" si="0">G11*B11</f>
        <v>535374.75</v>
      </c>
      <c r="J11" s="57">
        <f t="shared" ref="J11:J17" si="1">I11+D11+C11</f>
        <v>533269.85130223341</v>
      </c>
      <c r="K11" s="58">
        <f t="shared" ref="K11:K17" si="2">H11*B11</f>
        <v>0</v>
      </c>
      <c r="M11" s="59"/>
      <c r="N11" s="57"/>
      <c r="O11" s="48"/>
    </row>
    <row r="12" spans="1:15" x14ac:dyDescent="0.2">
      <c r="A12" s="48" t="s">
        <v>99</v>
      </c>
      <c r="B12" s="56">
        <f>492672.581331677+182101</f>
        <v>674773.58133167704</v>
      </c>
      <c r="C12" s="56">
        <v>13371.66952305532</v>
      </c>
      <c r="D12" s="56">
        <v>-23003.953743671191</v>
      </c>
      <c r="E12" s="56">
        <f t="shared" ref="E12:E17" si="3">SUM(B12:D12)</f>
        <v>665141.29711106117</v>
      </c>
      <c r="F12" s="57"/>
      <c r="G12" s="64">
        <f>VLOOKUP($A12,'Page 7'!$A$7:$H$13,7,FALSE)</f>
        <v>0.57702135573183222</v>
      </c>
      <c r="H12" s="64">
        <f>VLOOKUP($A12,'Page 7'!$A$7:$H$13,8,FALSE)</f>
        <v>0.42297864426816784</v>
      </c>
      <c r="I12" s="58">
        <f t="shared" si="0"/>
        <v>389358.76671202801</v>
      </c>
      <c r="J12" s="57">
        <f t="shared" si="1"/>
        <v>379726.48249141214</v>
      </c>
      <c r="K12" s="58">
        <f t="shared" si="2"/>
        <v>285414.81461964903</v>
      </c>
      <c r="M12" s="59"/>
      <c r="N12" s="57"/>
      <c r="O12" s="48"/>
    </row>
    <row r="13" spans="1:15" x14ac:dyDescent="0.2">
      <c r="A13" s="48" t="s">
        <v>97</v>
      </c>
      <c r="B13" s="56">
        <v>92858.019931493502</v>
      </c>
      <c r="C13" s="56">
        <v>59707.291290642621</v>
      </c>
      <c r="D13" s="56">
        <v>4925.4348360743525</v>
      </c>
      <c r="E13" s="56">
        <f>SUM(B13:D13)</f>
        <v>157490.7460582105</v>
      </c>
      <c r="F13" s="57"/>
      <c r="G13" s="64">
        <v>1</v>
      </c>
      <c r="H13" s="64">
        <f>VLOOKUP($A13,'Page 7'!$A$7:$H$13,8,FALSE)</f>
        <v>0</v>
      </c>
      <c r="I13" s="58">
        <f>G13*B13</f>
        <v>92858.019931493502</v>
      </c>
      <c r="J13" s="57">
        <f>I13+D13+C13</f>
        <v>157490.74605821047</v>
      </c>
      <c r="K13" s="58">
        <f t="shared" si="2"/>
        <v>0</v>
      </c>
      <c r="M13" s="59"/>
      <c r="N13" s="57"/>
      <c r="O13" s="48"/>
    </row>
    <row r="14" spans="1:15" x14ac:dyDescent="0.2">
      <c r="A14" s="48" t="s">
        <v>100</v>
      </c>
      <c r="B14" s="56">
        <v>259934.61477975885</v>
      </c>
      <c r="C14" s="56">
        <v>20468.683798260805</v>
      </c>
      <c r="D14" s="56">
        <v>6025.6477234882595</v>
      </c>
      <c r="E14" s="56">
        <f t="shared" si="3"/>
        <v>286428.94630150794</v>
      </c>
      <c r="F14" s="57"/>
      <c r="G14" s="64">
        <v>1</v>
      </c>
      <c r="H14" s="64">
        <f>VLOOKUP($A14,'Page 7'!$A$7:$H$13,8,FALSE)</f>
        <v>0</v>
      </c>
      <c r="I14" s="58">
        <f t="shared" si="0"/>
        <v>259934.61477975885</v>
      </c>
      <c r="J14" s="57">
        <f t="shared" si="1"/>
        <v>286428.94630150794</v>
      </c>
      <c r="K14" s="58">
        <f t="shared" si="2"/>
        <v>0</v>
      </c>
      <c r="M14" s="59"/>
      <c r="N14" s="57"/>
      <c r="O14" s="48"/>
    </row>
    <row r="15" spans="1:15" x14ac:dyDescent="0.2">
      <c r="A15" s="126" t="s">
        <v>148</v>
      </c>
      <c r="B15" s="127">
        <v>1009464.3672511739</v>
      </c>
      <c r="C15" s="127">
        <v>138530.58935158642</v>
      </c>
      <c r="D15" s="127">
        <v>39241.489094728582</v>
      </c>
      <c r="E15" s="127">
        <f t="shared" si="3"/>
        <v>1187236.445697489</v>
      </c>
      <c r="F15" s="57"/>
      <c r="G15" s="64">
        <v>1</v>
      </c>
      <c r="H15" s="64">
        <v>0</v>
      </c>
      <c r="I15" s="58">
        <f t="shared" si="0"/>
        <v>1009464.3672511739</v>
      </c>
      <c r="J15" s="57">
        <f t="shared" si="1"/>
        <v>1187236.4456974887</v>
      </c>
      <c r="K15" s="58">
        <f t="shared" ref="K15:K16" si="4">H15*B15</f>
        <v>0</v>
      </c>
      <c r="M15" s="59"/>
      <c r="N15" s="57"/>
      <c r="O15" s="48"/>
    </row>
    <row r="16" spans="1:15" x14ac:dyDescent="0.2">
      <c r="A16" s="48" t="s">
        <v>115</v>
      </c>
      <c r="B16" s="56">
        <v>702947.21395612636</v>
      </c>
      <c r="C16" s="56">
        <v>0</v>
      </c>
      <c r="D16" s="56">
        <v>113198.70683430597</v>
      </c>
      <c r="E16" s="56">
        <f t="shared" ref="E16" si="5">SUM(B16:D16)</f>
        <v>816145.92079043237</v>
      </c>
      <c r="G16" s="64">
        <v>1</v>
      </c>
      <c r="H16" s="64">
        <f>VLOOKUP($A16,'Page 7'!$A$7:$H$13,8,FALSE)</f>
        <v>0</v>
      </c>
      <c r="I16" s="58">
        <f t="shared" ref="I16" si="6">G16*B16</f>
        <v>702947.21395612636</v>
      </c>
      <c r="J16" s="57">
        <f t="shared" ref="J16" si="7">I16+D16+C16</f>
        <v>816145.92079043237</v>
      </c>
      <c r="K16" s="58">
        <f t="shared" si="4"/>
        <v>0</v>
      </c>
      <c r="M16" s="59"/>
      <c r="N16" s="57"/>
      <c r="O16" s="48"/>
    </row>
    <row r="17" spans="1:15" x14ac:dyDescent="0.2">
      <c r="A17" s="48" t="s">
        <v>142</v>
      </c>
      <c r="B17" s="56">
        <v>197549</v>
      </c>
      <c r="C17" s="56">
        <v>0</v>
      </c>
      <c r="D17" s="56">
        <v>0</v>
      </c>
      <c r="E17" s="56">
        <f t="shared" si="3"/>
        <v>197549</v>
      </c>
      <c r="G17" s="64">
        <v>1</v>
      </c>
      <c r="H17" s="64">
        <v>0</v>
      </c>
      <c r="I17" s="58">
        <f t="shared" si="0"/>
        <v>197549</v>
      </c>
      <c r="J17" s="57">
        <f t="shared" si="1"/>
        <v>197549</v>
      </c>
      <c r="K17" s="58">
        <f t="shared" si="2"/>
        <v>0</v>
      </c>
      <c r="M17" s="59"/>
      <c r="N17" s="57"/>
      <c r="O17" s="48"/>
    </row>
    <row r="18" spans="1:15" x14ac:dyDescent="0.2">
      <c r="B18" s="56"/>
      <c r="C18" s="56"/>
      <c r="D18" s="59"/>
      <c r="E18" s="56"/>
      <c r="F18" s="57"/>
      <c r="G18" s="60"/>
      <c r="H18" s="60"/>
      <c r="I18" s="58"/>
      <c r="J18" s="57"/>
      <c r="K18" s="58"/>
      <c r="O18" s="48"/>
    </row>
    <row r="19" spans="1:15" x14ac:dyDescent="0.2">
      <c r="A19" s="48" t="s">
        <v>34</v>
      </c>
      <c r="B19" s="56">
        <f>SUM(B11:B17)</f>
        <v>3472901.5472502299</v>
      </c>
      <c r="C19" s="56">
        <f>SUM(C11:C17)</f>
        <v>248660.0921951159</v>
      </c>
      <c r="D19" s="56">
        <f>SUM(D11:D17)</f>
        <v>121700.56781558871</v>
      </c>
      <c r="E19" s="56">
        <f>SUM(E11:E17)</f>
        <v>3843262.2072609342</v>
      </c>
      <c r="I19" s="56">
        <f>SUM(I11:I17)</f>
        <v>3187486.7326305811</v>
      </c>
      <c r="J19" s="56">
        <f>SUM(J11:J17)</f>
        <v>3557847.392641285</v>
      </c>
      <c r="K19" s="56">
        <f>SUM(K11:K17)</f>
        <v>285414.81461964903</v>
      </c>
      <c r="O19" s="48"/>
    </row>
    <row r="20" spans="1:15" x14ac:dyDescent="0.2">
      <c r="B20" s="56"/>
      <c r="C20" s="56"/>
      <c r="D20" s="56"/>
      <c r="E20" s="56"/>
      <c r="I20" s="58"/>
      <c r="J20" s="57"/>
      <c r="K20" s="57"/>
      <c r="O20" s="48"/>
    </row>
    <row r="21" spans="1:15" x14ac:dyDescent="0.2">
      <c r="B21" s="56"/>
      <c r="C21" s="56"/>
      <c r="D21" s="56"/>
      <c r="E21" s="56"/>
      <c r="I21" s="58"/>
      <c r="J21" s="57"/>
      <c r="K21" s="57"/>
      <c r="O21" s="48"/>
    </row>
    <row r="22" spans="1:15" x14ac:dyDescent="0.2">
      <c r="B22" s="65" t="s">
        <v>118</v>
      </c>
      <c r="C22" s="51"/>
      <c r="D22" s="51"/>
      <c r="E22" s="51"/>
      <c r="I22" s="58"/>
      <c r="O22" s="48"/>
    </row>
    <row r="23" spans="1:15" x14ac:dyDescent="0.2">
      <c r="B23" s="51"/>
      <c r="C23" s="51"/>
      <c r="D23" s="51"/>
      <c r="E23" s="51"/>
      <c r="I23" s="58"/>
      <c r="O23" s="48"/>
    </row>
    <row r="24" spans="1:15" ht="29.25" customHeight="1" x14ac:dyDescent="0.2">
      <c r="B24" s="51"/>
      <c r="C24" s="61" t="s">
        <v>28</v>
      </c>
      <c r="D24" s="61" t="s">
        <v>29</v>
      </c>
      <c r="E24" s="51"/>
      <c r="G24" s="67" t="s">
        <v>111</v>
      </c>
      <c r="H24" s="53"/>
      <c r="I24" s="52"/>
      <c r="J24" s="134" t="s">
        <v>76</v>
      </c>
      <c r="K24" s="134"/>
      <c r="O24" s="48"/>
    </row>
    <row r="25" spans="1:15" ht="15" x14ac:dyDescent="0.35">
      <c r="B25" s="55" t="s">
        <v>30</v>
      </c>
      <c r="C25" s="55" t="s">
        <v>31</v>
      </c>
      <c r="D25" s="55" t="s">
        <v>32</v>
      </c>
      <c r="E25" s="55" t="s">
        <v>33</v>
      </c>
      <c r="G25" s="55" t="s">
        <v>17</v>
      </c>
      <c r="H25" s="55" t="s">
        <v>16</v>
      </c>
      <c r="I25" s="42" t="str">
        <f>I9</f>
        <v>Electric Costs</v>
      </c>
      <c r="J25" s="55" t="s">
        <v>17</v>
      </c>
      <c r="K25" s="55" t="s">
        <v>16</v>
      </c>
      <c r="O25" s="48"/>
    </row>
    <row r="26" spans="1:15" x14ac:dyDescent="0.2">
      <c r="B26" s="56"/>
      <c r="C26" s="56"/>
      <c r="D26" s="56"/>
      <c r="E26" s="56"/>
      <c r="G26" s="60"/>
      <c r="H26" s="60"/>
      <c r="I26" s="58"/>
      <c r="J26" s="57"/>
      <c r="K26" s="52"/>
    </row>
    <row r="27" spans="1:15" x14ac:dyDescent="0.2">
      <c r="A27" s="51" t="s">
        <v>112</v>
      </c>
      <c r="B27" s="56">
        <v>827238.28082721774</v>
      </c>
      <c r="C27" s="56">
        <v>40699.48761980619</v>
      </c>
      <c r="D27" s="56">
        <v>105787.02699304867</v>
      </c>
      <c r="E27" s="56">
        <f>SUM(B27:D27)</f>
        <v>973724.79544007266</v>
      </c>
      <c r="G27" s="60">
        <v>1</v>
      </c>
      <c r="H27" s="60">
        <v>0</v>
      </c>
      <c r="I27" s="58">
        <f>G27*B27</f>
        <v>827238.28082721774</v>
      </c>
      <c r="J27" s="57">
        <f>I27+D27+C27</f>
        <v>973724.79544007254</v>
      </c>
      <c r="K27" s="52" t="s">
        <v>20</v>
      </c>
      <c r="O27" s="48"/>
    </row>
    <row r="28" spans="1:15" x14ac:dyDescent="0.2">
      <c r="A28" s="48" t="s">
        <v>101</v>
      </c>
      <c r="B28" s="56">
        <v>938180.49698205898</v>
      </c>
      <c r="C28" s="56">
        <v>78053.416805323053</v>
      </c>
      <c r="D28" s="56">
        <v>233545.50771970616</v>
      </c>
      <c r="E28" s="56">
        <f>SUM(B28:D28)</f>
        <v>1249779.4215070882</v>
      </c>
      <c r="G28" s="60">
        <f>1-H28</f>
        <v>1</v>
      </c>
      <c r="H28" s="60">
        <v>0</v>
      </c>
      <c r="I28" s="58">
        <f>G28*B28</f>
        <v>938180.49698205898</v>
      </c>
      <c r="J28" s="57">
        <f t="shared" ref="J28:J30" si="8">I28+D28+C28</f>
        <v>1249779.4215070882</v>
      </c>
      <c r="K28" s="52" t="s">
        <v>20</v>
      </c>
    </row>
    <row r="29" spans="1:15" x14ac:dyDescent="0.2">
      <c r="A29" s="51" t="s">
        <v>122</v>
      </c>
      <c r="B29" s="56">
        <v>504974.96980185306</v>
      </c>
      <c r="C29" s="56">
        <v>43088.30126110492</v>
      </c>
      <c r="D29" s="56">
        <v>145367.93229419561</v>
      </c>
      <c r="E29" s="56">
        <f t="shared" ref="E29" si="9">SUM(B29:D29)</f>
        <v>693431.20335715357</v>
      </c>
      <c r="G29" s="60">
        <f>1-H29</f>
        <v>1</v>
      </c>
      <c r="H29" s="60">
        <v>0</v>
      </c>
      <c r="I29" s="58">
        <f t="shared" ref="I29:I30" si="10">G29*B29</f>
        <v>504974.96980185306</v>
      </c>
      <c r="J29" s="57">
        <f t="shared" si="8"/>
        <v>693431.20335715357</v>
      </c>
      <c r="K29" s="52" t="s">
        <v>20</v>
      </c>
    </row>
    <row r="30" spans="1:15" x14ac:dyDescent="0.2">
      <c r="A30" s="48" t="s">
        <v>116</v>
      </c>
      <c r="B30" s="56">
        <v>857738.20816039469</v>
      </c>
      <c r="C30" s="56">
        <v>0</v>
      </c>
      <c r="D30" s="56">
        <v>107427.62395990845</v>
      </c>
      <c r="E30" s="56">
        <f>SUM(B30:D30)</f>
        <v>965165.83212030318</v>
      </c>
      <c r="G30" s="60">
        <v>1</v>
      </c>
      <c r="H30" s="60">
        <v>0</v>
      </c>
      <c r="I30" s="58">
        <f t="shared" si="10"/>
        <v>857738.20816039469</v>
      </c>
      <c r="J30" s="57">
        <f t="shared" si="8"/>
        <v>965165.83212030318</v>
      </c>
      <c r="K30" s="52" t="s">
        <v>20</v>
      </c>
      <c r="O30" s="48"/>
    </row>
    <row r="31" spans="1:15" x14ac:dyDescent="0.2">
      <c r="B31" s="56"/>
      <c r="C31" s="56"/>
      <c r="D31" s="56"/>
      <c r="E31" s="56"/>
      <c r="I31" s="57"/>
      <c r="O31" s="48"/>
    </row>
    <row r="32" spans="1:15" x14ac:dyDescent="0.2">
      <c r="A32" s="51" t="s">
        <v>34</v>
      </c>
      <c r="B32" s="56">
        <f>SUM(B27:B30)</f>
        <v>3128131.9557715245</v>
      </c>
      <c r="C32" s="56">
        <f>SUM(C27:C30)</f>
        <v>161841.20568623417</v>
      </c>
      <c r="D32" s="56">
        <f>SUM(D27:D30)</f>
        <v>592128.0909668589</v>
      </c>
      <c r="E32" s="56">
        <f>SUM(E27:E30)</f>
        <v>3882101.2524246173</v>
      </c>
      <c r="I32" s="56">
        <f>SUM(I27:I30)</f>
        <v>3128131.9557715245</v>
      </c>
      <c r="J32" s="56">
        <f>SUM(J27:J30)</f>
        <v>3882101.2524246173</v>
      </c>
      <c r="K32" s="52" t="s">
        <v>20</v>
      </c>
      <c r="O32" s="48"/>
    </row>
    <row r="33" spans="1:15" x14ac:dyDescent="0.2">
      <c r="B33" s="56"/>
      <c r="C33" s="56"/>
      <c r="D33" s="56"/>
      <c r="E33" s="56"/>
      <c r="I33" s="57"/>
      <c r="J33" s="57"/>
      <c r="O33" s="48"/>
    </row>
    <row r="34" spans="1:15" x14ac:dyDescent="0.2">
      <c r="A34" s="62" t="s">
        <v>86</v>
      </c>
      <c r="B34" s="59">
        <f>SUM(B19,B32)</f>
        <v>6601033.5030217543</v>
      </c>
      <c r="C34" s="59">
        <f>SUM(C19,C32)</f>
        <v>410501.29788135004</v>
      </c>
      <c r="D34" s="59">
        <f>SUM(D19,D32)</f>
        <v>713828.65878244757</v>
      </c>
      <c r="E34" s="59">
        <f>SUM(E19,E32)</f>
        <v>7725363.459685551</v>
      </c>
      <c r="O34" s="48"/>
    </row>
    <row r="35" spans="1:15" x14ac:dyDescent="0.2">
      <c r="C35" s="57"/>
      <c r="D35" s="57"/>
      <c r="O35" s="48"/>
    </row>
    <row r="37" spans="1:15" x14ac:dyDescent="0.2">
      <c r="B37" s="51"/>
      <c r="C37" s="51"/>
      <c r="D37" s="51"/>
      <c r="E37" s="51"/>
      <c r="O37" s="48"/>
    </row>
    <row r="38" spans="1:15" x14ac:dyDescent="0.2">
      <c r="A38" s="51" t="s">
        <v>143</v>
      </c>
      <c r="O38" s="48"/>
    </row>
    <row r="39" spans="1:15" x14ac:dyDescent="0.2">
      <c r="A39" s="51" t="s">
        <v>125</v>
      </c>
      <c r="O39" s="48"/>
    </row>
    <row r="40" spans="1:15" x14ac:dyDescent="0.2">
      <c r="A40" s="48" t="s">
        <v>121</v>
      </c>
    </row>
    <row r="41" spans="1:15" x14ac:dyDescent="0.2">
      <c r="A41" s="128" t="s">
        <v>149</v>
      </c>
    </row>
  </sheetData>
  <mergeCells count="2">
    <mergeCell ref="J8:K8"/>
    <mergeCell ref="J24:K24"/>
  </mergeCells>
  <phoneticPr fontId="2" type="noConversion"/>
  <pageMargins left="0.2" right="0.2" top="0.2" bottom="0.2" header="0.2" footer="0.2"/>
  <pageSetup paperSize="5" scale="97" orientation="landscape" r:id="rId1"/>
  <headerFooter alignWithMargins="0">
    <oddHeader>&amp;R&amp;"Times New Roman,Bold"KyPSC Case No. 2021-00313
Appendix B
Page &amp;P of &amp;N</oddHeader>
  </headerFooter>
  <ignoredErrors>
    <ignoredError sqref="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27"/>
  <sheetViews>
    <sheetView zoomScale="80" zoomScaleNormal="80" workbookViewId="0">
      <selection activeCell="A80" sqref="A80"/>
    </sheetView>
  </sheetViews>
  <sheetFormatPr defaultColWidth="9.28515625" defaultRowHeight="12.75" x14ac:dyDescent="0.2"/>
  <cols>
    <col min="1" max="1" width="9.28515625" style="4"/>
    <col min="2" max="2" width="28.5703125" style="4" customWidth="1"/>
    <col min="3" max="3" width="17.5703125" style="4" customWidth="1"/>
    <col min="4" max="5" width="14.28515625" style="4" customWidth="1"/>
    <col min="6" max="7" width="9.28515625" style="4"/>
    <col min="8" max="8" width="10.28515625" style="4" customWidth="1"/>
    <col min="9" max="11" width="9.28515625" style="4"/>
    <col min="12" max="12" width="10.7109375" style="4" customWidth="1"/>
    <col min="13" max="13" width="9.28515625" style="4"/>
    <col min="14" max="14" width="11.28515625" style="4" bestFit="1" customWidth="1"/>
    <col min="15" max="16384" width="9.28515625" style="4"/>
  </cols>
  <sheetData>
    <row r="1" spans="1:14" x14ac:dyDescent="0.2">
      <c r="A1" s="43"/>
      <c r="B1" s="43" t="str">
        <f>'Page 1'!E3</f>
        <v xml:space="preserve">                      Kentucky DSM Rider</v>
      </c>
      <c r="C1" s="43"/>
      <c r="D1" s="31"/>
      <c r="E1" s="43"/>
      <c r="F1" s="43"/>
      <c r="G1" s="43"/>
      <c r="H1" s="43"/>
    </row>
    <row r="2" spans="1:14" x14ac:dyDescent="0.2">
      <c r="A2" s="43"/>
      <c r="B2" s="43"/>
      <c r="C2" s="43"/>
      <c r="D2" s="43"/>
      <c r="E2" s="43"/>
      <c r="F2" s="43"/>
      <c r="G2" s="43"/>
      <c r="H2" s="43"/>
    </row>
    <row r="3" spans="1:14" x14ac:dyDescent="0.2">
      <c r="A3" s="43"/>
      <c r="B3" s="43" t="s">
        <v>79</v>
      </c>
      <c r="C3" s="43"/>
      <c r="D3" s="43"/>
      <c r="E3" s="43"/>
      <c r="F3" s="43"/>
      <c r="G3" s="43"/>
      <c r="H3" s="43"/>
    </row>
    <row r="4" spans="1:14" x14ac:dyDescent="0.2">
      <c r="A4" s="43"/>
      <c r="B4" s="44" t="s">
        <v>74</v>
      </c>
      <c r="C4" s="43"/>
      <c r="D4" s="43"/>
      <c r="E4" s="43"/>
      <c r="F4" s="43"/>
      <c r="G4" s="43"/>
      <c r="H4" s="43"/>
    </row>
    <row r="5" spans="1:14" x14ac:dyDescent="0.2">
      <c r="A5" s="43"/>
      <c r="B5" s="43" t="s">
        <v>92</v>
      </c>
      <c r="C5" s="43"/>
      <c r="D5" s="43"/>
      <c r="E5" s="43"/>
      <c r="F5" s="43"/>
      <c r="G5" s="43"/>
      <c r="H5" s="43"/>
    </row>
    <row r="6" spans="1:14" x14ac:dyDescent="0.2">
      <c r="A6" s="43"/>
      <c r="B6" s="43"/>
      <c r="C6" s="43"/>
      <c r="D6" s="43"/>
      <c r="E6" s="43"/>
      <c r="F6" s="43"/>
      <c r="G6" s="43"/>
      <c r="H6" s="43"/>
    </row>
    <row r="7" spans="1:14" s="43" customFormat="1" x14ac:dyDescent="0.2">
      <c r="B7" s="44" t="s">
        <v>134</v>
      </c>
    </row>
    <row r="8" spans="1:14" x14ac:dyDescent="0.2">
      <c r="A8" s="43"/>
      <c r="B8" s="43"/>
      <c r="C8" s="43"/>
      <c r="D8" s="43"/>
      <c r="E8" s="43"/>
      <c r="F8" s="43"/>
      <c r="G8" s="43"/>
      <c r="H8" s="43"/>
    </row>
    <row r="9" spans="1:14" x14ac:dyDescent="0.2">
      <c r="A9" s="43"/>
      <c r="B9" s="43"/>
      <c r="C9" s="43"/>
      <c r="D9" s="43"/>
      <c r="E9" s="43"/>
      <c r="F9" s="43"/>
      <c r="G9" s="43"/>
      <c r="H9" s="43"/>
    </row>
    <row r="10" spans="1:14" x14ac:dyDescent="0.2">
      <c r="A10" s="43"/>
      <c r="B10" s="43"/>
      <c r="C10" s="43"/>
      <c r="D10" s="43" t="s">
        <v>35</v>
      </c>
      <c r="E10" s="43"/>
      <c r="F10" s="43"/>
      <c r="G10" s="43"/>
      <c r="H10" s="43"/>
    </row>
    <row r="11" spans="1:14" x14ac:dyDescent="0.2">
      <c r="A11" s="43"/>
      <c r="B11" s="43"/>
      <c r="C11" s="43"/>
      <c r="D11" s="43" t="s">
        <v>36</v>
      </c>
      <c r="E11" s="43"/>
      <c r="F11" s="43"/>
      <c r="G11" s="43"/>
      <c r="H11" s="43"/>
    </row>
    <row r="12" spans="1:14" x14ac:dyDescent="0.2">
      <c r="A12" s="43"/>
      <c r="B12" s="26" t="s">
        <v>37</v>
      </c>
      <c r="C12" s="43"/>
      <c r="D12" s="43"/>
      <c r="E12" s="43"/>
      <c r="F12" s="43"/>
      <c r="G12" s="43"/>
      <c r="H12" s="43"/>
    </row>
    <row r="13" spans="1:14" x14ac:dyDescent="0.2">
      <c r="A13" s="43"/>
      <c r="B13" s="43"/>
      <c r="C13" s="43"/>
      <c r="D13" s="43"/>
      <c r="E13" s="43"/>
      <c r="F13" s="43"/>
      <c r="G13" s="43"/>
      <c r="H13" s="43"/>
    </row>
    <row r="14" spans="1:14" x14ac:dyDescent="0.2">
      <c r="A14" s="43"/>
      <c r="B14" s="43" t="s">
        <v>38</v>
      </c>
      <c r="C14" s="43"/>
      <c r="D14" s="129">
        <f>'Page 2'!J19</f>
        <v>3557847.392641285</v>
      </c>
      <c r="E14" s="43"/>
      <c r="F14" s="43"/>
      <c r="G14" s="43"/>
      <c r="H14" s="43"/>
    </row>
    <row r="15" spans="1:14" x14ac:dyDescent="0.2">
      <c r="A15" s="43"/>
      <c r="B15" s="43"/>
      <c r="C15" s="43"/>
      <c r="D15" s="2"/>
      <c r="E15" s="43"/>
      <c r="F15" s="43"/>
      <c r="G15" s="43"/>
      <c r="H15" s="43"/>
    </row>
    <row r="16" spans="1:14" x14ac:dyDescent="0.2">
      <c r="A16" s="43"/>
      <c r="B16" s="43" t="s">
        <v>82</v>
      </c>
      <c r="C16" s="43"/>
      <c r="D16" s="2"/>
      <c r="E16" s="43"/>
      <c r="F16" s="43"/>
      <c r="G16" s="43"/>
      <c r="H16" s="6"/>
      <c r="I16" s="6"/>
      <c r="J16" s="6"/>
      <c r="K16" s="6"/>
      <c r="L16" s="7"/>
      <c r="N16" s="6"/>
    </row>
    <row r="17" spans="1:14" x14ac:dyDescent="0.2">
      <c r="A17" s="43"/>
      <c r="B17" s="43" t="s">
        <v>39</v>
      </c>
      <c r="C17" s="43"/>
      <c r="D17" s="2">
        <f>'Page 2'!J32-'Page 2'!J30</f>
        <v>2916935.4203043142</v>
      </c>
      <c r="E17" s="43"/>
      <c r="F17" s="43"/>
      <c r="G17" s="43"/>
      <c r="H17" s="43"/>
      <c r="N17" s="7"/>
    </row>
    <row r="18" spans="1:14" x14ac:dyDescent="0.2">
      <c r="A18" s="43"/>
      <c r="B18" s="43"/>
      <c r="C18" s="43"/>
      <c r="D18" s="2"/>
      <c r="E18" s="43"/>
      <c r="F18" s="43"/>
      <c r="G18" s="43"/>
      <c r="H18" s="43"/>
    </row>
    <row r="19" spans="1:14" x14ac:dyDescent="0.2">
      <c r="A19" s="43"/>
      <c r="B19" s="43" t="s">
        <v>84</v>
      </c>
      <c r="C19" s="43"/>
      <c r="D19" s="2"/>
      <c r="E19" s="43"/>
      <c r="F19" s="43"/>
      <c r="G19" s="43"/>
      <c r="H19" s="6"/>
    </row>
    <row r="20" spans="1:14" x14ac:dyDescent="0.2">
      <c r="A20" s="43"/>
      <c r="B20" s="43" t="s">
        <v>83</v>
      </c>
      <c r="C20" s="43"/>
      <c r="D20" s="2">
        <f>'Page 2'!J30</f>
        <v>965165.83212030318</v>
      </c>
      <c r="E20" s="43"/>
      <c r="F20" s="43"/>
      <c r="G20" s="43"/>
      <c r="H20" s="43"/>
    </row>
    <row r="21" spans="1:14" x14ac:dyDescent="0.2">
      <c r="A21" s="43"/>
      <c r="B21" s="43"/>
      <c r="C21" s="43"/>
      <c r="D21" s="2"/>
      <c r="E21" s="43"/>
      <c r="F21" s="43"/>
      <c r="G21" s="43"/>
      <c r="H21" s="43"/>
    </row>
    <row r="22" spans="1:14" x14ac:dyDescent="0.2">
      <c r="A22" s="43"/>
      <c r="B22" s="26" t="s">
        <v>40</v>
      </c>
      <c r="C22" s="43"/>
      <c r="D22" s="2"/>
      <c r="E22" s="43"/>
      <c r="F22" s="43"/>
      <c r="G22" s="43"/>
      <c r="H22" s="43"/>
    </row>
    <row r="23" spans="1:14" x14ac:dyDescent="0.2">
      <c r="A23" s="43"/>
      <c r="B23" s="43" t="s">
        <v>38</v>
      </c>
      <c r="C23" s="43"/>
      <c r="D23" s="2">
        <f>'Page 2'!K19</f>
        <v>285414.81461964903</v>
      </c>
      <c r="E23" s="43"/>
      <c r="F23" s="43"/>
      <c r="G23" s="43"/>
      <c r="H23" s="43"/>
    </row>
    <row r="24" spans="1:14" x14ac:dyDescent="0.2">
      <c r="A24" s="43"/>
      <c r="B24" s="43"/>
      <c r="C24" s="43"/>
      <c r="D24" s="43"/>
      <c r="E24" s="43"/>
      <c r="F24" s="43"/>
      <c r="G24" s="43"/>
      <c r="H24" s="43"/>
    </row>
    <row r="25" spans="1:14" x14ac:dyDescent="0.2">
      <c r="A25" s="43"/>
      <c r="B25" s="43"/>
      <c r="C25" s="43"/>
      <c r="D25" s="43"/>
      <c r="E25" s="43"/>
      <c r="F25" s="43"/>
      <c r="G25" s="43"/>
      <c r="H25" s="43"/>
    </row>
    <row r="26" spans="1:14" x14ac:dyDescent="0.2">
      <c r="A26" s="43"/>
      <c r="B26" s="44" t="s">
        <v>126</v>
      </c>
      <c r="C26" s="43"/>
      <c r="D26" s="43"/>
      <c r="E26" s="43"/>
      <c r="F26" s="43"/>
      <c r="G26" s="43"/>
      <c r="H26" s="43"/>
    </row>
    <row r="27" spans="1:14" x14ac:dyDescent="0.2">
      <c r="A27" s="43"/>
      <c r="B27" s="43"/>
      <c r="C27" s="43"/>
      <c r="D27" s="43"/>
      <c r="E27" s="43"/>
      <c r="F27" s="43"/>
      <c r="G27" s="43"/>
      <c r="H27" s="43"/>
    </row>
  </sheetData>
  <phoneticPr fontId="2" type="noConversion"/>
  <pageMargins left="0.2" right="0.2" top="0.2" bottom="0.2" header="0.2" footer="0.2"/>
  <pageSetup orientation="portrait" r:id="rId1"/>
  <headerFooter alignWithMargins="0">
    <oddHeader>&amp;R&amp;"Times New Roman,Bold"KyPSC Case No. 2021-00313
Appendix B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zoomScale="80" zoomScaleNormal="80" workbookViewId="0">
      <selection activeCell="A80" sqref="A80"/>
    </sheetView>
  </sheetViews>
  <sheetFormatPr defaultColWidth="9.28515625" defaultRowHeight="12.75" x14ac:dyDescent="0.2"/>
  <cols>
    <col min="1" max="1" width="9.28515625" style="4"/>
    <col min="2" max="2" width="30.7109375" style="4" customWidth="1"/>
    <col min="3" max="3" width="16.28515625" style="4" customWidth="1"/>
    <col min="4" max="4" width="12.7109375" style="4" bestFit="1" customWidth="1"/>
    <col min="5" max="5" width="15.28515625" style="4" bestFit="1" customWidth="1"/>
    <col min="6" max="6" width="10.42578125" style="4" customWidth="1"/>
    <col min="7" max="7" width="11.42578125" style="4" customWidth="1"/>
    <col min="8" max="10" width="9.28515625" style="4"/>
    <col min="11" max="11" width="11.28515625" style="4" customWidth="1"/>
    <col min="12" max="16384" width="9.28515625" style="4"/>
  </cols>
  <sheetData>
    <row r="1" spans="1:14" x14ac:dyDescent="0.2">
      <c r="A1" s="43"/>
      <c r="B1" s="43" t="str">
        <f>'Page 1'!E3</f>
        <v xml:space="preserve">                      Kentucky DSM Rider</v>
      </c>
      <c r="C1" s="31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">
      <c r="A3" s="43"/>
      <c r="B3" s="43" t="str">
        <f>'Page 3'!B3</f>
        <v>Duke Energy Kentucky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">
      <c r="A4" s="43"/>
      <c r="B4" s="44" t="s">
        <v>74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">
      <c r="A5" s="43"/>
      <c r="B5" s="43" t="s">
        <v>41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2">
      <c r="A8" s="43"/>
      <c r="B8" s="43" t="s">
        <v>42</v>
      </c>
      <c r="C8" s="43">
        <v>2021</v>
      </c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2">
      <c r="A9" s="43"/>
      <c r="B9" s="43"/>
      <c r="C9" s="43"/>
      <c r="D9" s="43"/>
      <c r="E9" s="44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">
      <c r="A10" s="43"/>
      <c r="B10" s="43" t="s">
        <v>87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x14ac:dyDescent="0.2">
      <c r="A12" s="43"/>
      <c r="B12" s="43" t="s">
        <v>45</v>
      </c>
      <c r="C12" s="6">
        <v>1487109844.9957395</v>
      </c>
      <c r="D12" s="43"/>
      <c r="E12" s="6"/>
      <c r="F12" s="44"/>
      <c r="G12" s="6"/>
      <c r="H12" s="6"/>
      <c r="I12" s="6"/>
      <c r="J12" s="6"/>
      <c r="K12" s="7"/>
      <c r="L12" s="43"/>
      <c r="M12" s="6"/>
      <c r="N12" s="43"/>
    </row>
    <row r="13" spans="1:14" x14ac:dyDescent="0.2">
      <c r="A13" s="43"/>
      <c r="B13" s="43"/>
      <c r="C13" s="6"/>
      <c r="D13" s="43"/>
      <c r="E13" s="43"/>
      <c r="F13" s="43"/>
      <c r="G13" s="43"/>
      <c r="H13" s="43"/>
      <c r="I13" s="43"/>
      <c r="J13" s="43"/>
      <c r="K13" s="43"/>
      <c r="L13" s="43"/>
      <c r="M13" s="7"/>
      <c r="N13" s="43"/>
    </row>
    <row r="14" spans="1:14" x14ac:dyDescent="0.2">
      <c r="A14" s="43"/>
      <c r="B14" s="43" t="s">
        <v>43</v>
      </c>
      <c r="C14" s="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x14ac:dyDescent="0.2">
      <c r="A15" s="43"/>
      <c r="B15" s="43" t="s">
        <v>44</v>
      </c>
      <c r="C15" s="7">
        <v>2237356418.0508285</v>
      </c>
      <c r="D15" s="43"/>
      <c r="E15" s="43"/>
      <c r="F15" s="44"/>
      <c r="G15" s="6"/>
      <c r="H15" s="43"/>
      <c r="I15" s="43"/>
      <c r="J15" s="43"/>
      <c r="K15" s="43"/>
      <c r="L15" s="43"/>
      <c r="M15" s="43"/>
      <c r="N15" s="43"/>
    </row>
    <row r="16" spans="1:14" x14ac:dyDescent="0.2">
      <c r="A16" s="43"/>
      <c r="B16" s="43"/>
      <c r="C16" s="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x14ac:dyDescent="0.2">
      <c r="A17" s="43"/>
      <c r="B17" s="43" t="s">
        <v>43</v>
      </c>
      <c r="C17" s="7"/>
      <c r="D17" s="43"/>
      <c r="E17" s="43"/>
      <c r="F17" s="7"/>
      <c r="G17" s="43"/>
      <c r="H17" s="43"/>
      <c r="I17" s="43"/>
      <c r="J17" s="43"/>
      <c r="K17" s="43"/>
      <c r="L17" s="43"/>
      <c r="M17" s="43"/>
      <c r="N17" s="43"/>
    </row>
    <row r="18" spans="1:14" x14ac:dyDescent="0.2">
      <c r="A18" s="43"/>
      <c r="B18" s="43" t="s">
        <v>80</v>
      </c>
      <c r="C18" s="7">
        <v>2475033418.0508285</v>
      </c>
      <c r="D18" s="43"/>
      <c r="E18" s="43"/>
      <c r="F18" s="7"/>
      <c r="G18" s="43"/>
      <c r="H18" s="43"/>
      <c r="I18" s="43"/>
      <c r="J18" s="43"/>
      <c r="K18" s="43"/>
      <c r="L18" s="43"/>
      <c r="M18" s="43"/>
      <c r="N18" s="43"/>
    </row>
    <row r="19" spans="1:14" x14ac:dyDescent="0.2">
      <c r="A19" s="43"/>
      <c r="B19" s="43"/>
      <c r="C19" s="6"/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">
      <c r="A20" s="43"/>
      <c r="B20" s="43" t="s">
        <v>88</v>
      </c>
      <c r="C20" s="6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">
      <c r="A21" s="43"/>
      <c r="B21" s="43"/>
      <c r="C21" s="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">
      <c r="A22" s="43"/>
      <c r="B22" s="43" t="s">
        <v>45</v>
      </c>
      <c r="C22" s="6">
        <v>62283830</v>
      </c>
      <c r="D22" s="43"/>
      <c r="E22" s="6"/>
      <c r="F22" s="44"/>
      <c r="G22" s="43"/>
      <c r="H22" s="43"/>
      <c r="I22" s="43"/>
      <c r="J22" s="43"/>
      <c r="K22" s="43"/>
      <c r="L22" s="43"/>
      <c r="M22" s="43"/>
      <c r="N22" s="43"/>
    </row>
    <row r="23" spans="1:14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x14ac:dyDescent="0.2">
      <c r="C25" s="43"/>
    </row>
    <row r="26" spans="1:14" x14ac:dyDescent="0.2">
      <c r="C26" s="43"/>
    </row>
  </sheetData>
  <phoneticPr fontId="2" type="noConversion"/>
  <pageMargins left="0.2" right="0.2" top="0.2" bottom="0.2" header="0.2" footer="0.2"/>
  <pageSetup orientation="portrait" r:id="rId1"/>
  <headerFooter alignWithMargins="0">
    <oddHeader>&amp;R&amp;"Times New Roman,Bold"KyPSC Case No. 2021-00313
Appendix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Q35"/>
  <sheetViews>
    <sheetView topLeftCell="A7" zoomScale="80" zoomScaleNormal="80" workbookViewId="0">
      <selection activeCell="A80" sqref="A80"/>
    </sheetView>
  </sheetViews>
  <sheetFormatPr defaultColWidth="9.28515625" defaultRowHeight="12.75" x14ac:dyDescent="0.2"/>
  <cols>
    <col min="1" max="1" width="13.5703125" style="43" customWidth="1"/>
    <col min="2" max="2" width="11.7109375" style="43" customWidth="1"/>
    <col min="3" max="3" width="16.7109375" style="43" customWidth="1"/>
    <col min="4" max="4" width="15.7109375" style="43" customWidth="1"/>
    <col min="5" max="5" width="1.28515625" style="43" customWidth="1"/>
    <col min="6" max="6" width="15.42578125" style="43" customWidth="1"/>
    <col min="7" max="7" width="13.28515625" style="43" customWidth="1"/>
    <col min="8" max="8" width="18.28515625" style="43" customWidth="1"/>
    <col min="9" max="9" width="14.5703125" style="43" customWidth="1"/>
    <col min="10" max="10" width="6.28515625" style="43" customWidth="1"/>
    <col min="11" max="11" width="22" style="43" customWidth="1"/>
    <col min="12" max="12" width="8.5703125" style="43" bestFit="1" customWidth="1"/>
    <col min="13" max="13" width="12.28515625" style="43" customWidth="1"/>
    <col min="14" max="14" width="21.42578125" style="43" customWidth="1"/>
    <col min="15" max="15" width="9.28515625" style="43"/>
    <col min="16" max="16" width="25" style="43" customWidth="1"/>
    <col min="17" max="17" width="9.28515625" style="43" bestFit="1" customWidth="1"/>
    <col min="18" max="16384" width="9.28515625" style="43"/>
  </cols>
  <sheetData>
    <row r="1" spans="2:14" x14ac:dyDescent="0.2">
      <c r="B1" s="43" t="str">
        <f>'Page 1'!E3</f>
        <v xml:space="preserve">                      Kentucky DSM Rider</v>
      </c>
      <c r="M1" s="25"/>
    </row>
    <row r="3" spans="2:14" x14ac:dyDescent="0.2">
      <c r="B3" s="43" t="str">
        <f>'Page 4'!B3</f>
        <v>Duke Energy Kentucky</v>
      </c>
    </row>
    <row r="4" spans="2:14" x14ac:dyDescent="0.2">
      <c r="B4" s="44" t="s">
        <v>74</v>
      </c>
    </row>
    <row r="5" spans="2:14" x14ac:dyDescent="0.2">
      <c r="B5" s="43" t="s">
        <v>46</v>
      </c>
    </row>
    <row r="7" spans="2:14" x14ac:dyDescent="0.2">
      <c r="B7" s="44" t="s">
        <v>120</v>
      </c>
    </row>
    <row r="9" spans="2:14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4" x14ac:dyDescent="0.2">
      <c r="G11" s="41" t="s">
        <v>47</v>
      </c>
      <c r="H11" s="41" t="s">
        <v>48</v>
      </c>
      <c r="I11" s="41" t="s">
        <v>49</v>
      </c>
    </row>
    <row r="12" spans="2:14" x14ac:dyDescent="0.2">
      <c r="B12" s="43" t="s">
        <v>50</v>
      </c>
      <c r="F12" s="41" t="s">
        <v>51</v>
      </c>
      <c r="G12" s="41" t="s">
        <v>35</v>
      </c>
      <c r="H12" s="41" t="s">
        <v>52</v>
      </c>
      <c r="I12" s="41" t="s">
        <v>53</v>
      </c>
      <c r="K12" s="43" t="s">
        <v>54</v>
      </c>
    </row>
    <row r="13" spans="2:14" x14ac:dyDescent="0.2">
      <c r="B13" s="43" t="s">
        <v>78</v>
      </c>
      <c r="F13" s="41" t="s">
        <v>57</v>
      </c>
      <c r="G13" s="41" t="s">
        <v>58</v>
      </c>
      <c r="H13" s="41" t="s">
        <v>55</v>
      </c>
      <c r="I13" s="41" t="s">
        <v>59</v>
      </c>
      <c r="K13" s="43" t="s">
        <v>75</v>
      </c>
    </row>
    <row r="14" spans="2:14" x14ac:dyDescent="0.2">
      <c r="B14" s="26" t="s">
        <v>37</v>
      </c>
      <c r="C14" s="26"/>
    </row>
    <row r="15" spans="2:14" x14ac:dyDescent="0.2">
      <c r="B15" s="43" t="s">
        <v>38</v>
      </c>
      <c r="D15" s="22"/>
      <c r="F15" s="2">
        <f>'Page 1'!O19*Q33</f>
        <v>-124291.11652680027</v>
      </c>
      <c r="G15" s="21">
        <f>'Page 2'!J19</f>
        <v>3557847.392641285</v>
      </c>
      <c r="H15" s="130">
        <f>SUM(D15:G15)</f>
        <v>3433556.2761144848</v>
      </c>
      <c r="I15" s="131">
        <f>'Page 4'!C12</f>
        <v>1487109844.9957395</v>
      </c>
      <c r="J15" s="22" t="s">
        <v>89</v>
      </c>
      <c r="K15" s="132">
        <f>H15/(I15)</f>
        <v>2.3088787204716015E-3</v>
      </c>
      <c r="L15" s="133" t="s">
        <v>56</v>
      </c>
      <c r="N15" s="125"/>
    </row>
    <row r="16" spans="2:14" x14ac:dyDescent="0.2">
      <c r="F16" s="6"/>
      <c r="J16" s="22"/>
    </row>
    <row r="17" spans="2:14" x14ac:dyDescent="0.2">
      <c r="B17" s="43" t="s">
        <v>82</v>
      </c>
      <c r="F17" s="6"/>
      <c r="J17" s="22"/>
    </row>
    <row r="18" spans="2:14" x14ac:dyDescent="0.2">
      <c r="B18" s="43" t="s">
        <v>39</v>
      </c>
      <c r="D18" s="2"/>
      <c r="F18" s="21">
        <f>'Page 1'!J39*Q33</f>
        <v>-5346157.898529036</v>
      </c>
      <c r="G18" s="2">
        <f>'Page 2'!J32-'Page 2'!J30</f>
        <v>2916935.4203043142</v>
      </c>
      <c r="H18" s="3">
        <f>SUM(D18:G18)</f>
        <v>-2429222.4782247217</v>
      </c>
      <c r="I18" s="6">
        <f>'Page 4'!C15</f>
        <v>2237356418.0508285</v>
      </c>
      <c r="J18" s="22" t="s">
        <v>89</v>
      </c>
      <c r="K18" s="47">
        <f>H18/(I18)</f>
        <v>-1.0857556974945663E-3</v>
      </c>
      <c r="L18" s="43" t="s">
        <v>56</v>
      </c>
      <c r="N18" s="125"/>
    </row>
    <row r="19" spans="2:14" x14ac:dyDescent="0.2">
      <c r="D19" s="2"/>
      <c r="F19" s="2"/>
      <c r="G19" s="2"/>
      <c r="H19" s="3"/>
      <c r="I19" s="6"/>
      <c r="J19" s="22"/>
      <c r="K19" s="22"/>
      <c r="N19" s="125"/>
    </row>
    <row r="20" spans="2:14" x14ac:dyDescent="0.2">
      <c r="B20" s="43" t="s">
        <v>84</v>
      </c>
      <c r="G20" s="2"/>
      <c r="H20" s="3"/>
      <c r="I20" s="6"/>
      <c r="J20" s="22"/>
      <c r="K20" s="22"/>
      <c r="N20" s="125"/>
    </row>
    <row r="21" spans="2:14" x14ac:dyDescent="0.2">
      <c r="B21" s="43" t="s">
        <v>83</v>
      </c>
      <c r="F21" s="2"/>
      <c r="G21" s="2"/>
      <c r="H21" s="3"/>
      <c r="I21" s="6"/>
      <c r="J21" s="22"/>
      <c r="K21" s="22"/>
      <c r="N21" s="125"/>
    </row>
    <row r="22" spans="2:14" x14ac:dyDescent="0.2">
      <c r="B22" s="43" t="s">
        <v>81</v>
      </c>
      <c r="D22" s="2"/>
      <c r="F22" s="21">
        <f>'Page 1'!J41*Q33</f>
        <v>-426239.02602215583</v>
      </c>
      <c r="G22" s="2">
        <f>'Page 2'!J30</f>
        <v>965165.83212030318</v>
      </c>
      <c r="H22" s="3">
        <f>SUM(D22:G22)</f>
        <v>538926.8060981473</v>
      </c>
      <c r="I22" s="6">
        <f>'Page 4'!C18</f>
        <v>2475033418.0508285</v>
      </c>
      <c r="J22" s="22" t="s">
        <v>89</v>
      </c>
      <c r="K22" s="47">
        <f>H22/(I22)</f>
        <v>2.1774526443467989E-4</v>
      </c>
      <c r="L22" s="43" t="s">
        <v>56</v>
      </c>
      <c r="N22" s="125"/>
    </row>
    <row r="23" spans="2:14" x14ac:dyDescent="0.2">
      <c r="D23" s="2"/>
      <c r="F23" s="2"/>
      <c r="G23" s="2"/>
      <c r="H23" s="3"/>
      <c r="I23" s="6"/>
      <c r="J23" s="22"/>
      <c r="K23" s="22"/>
      <c r="N23" s="125"/>
    </row>
    <row r="24" spans="2:14" x14ac:dyDescent="0.2">
      <c r="B24" s="43" t="s">
        <v>85</v>
      </c>
      <c r="D24" s="2"/>
      <c r="F24" s="2"/>
      <c r="G24" s="2"/>
      <c r="H24" s="3"/>
      <c r="I24" s="6"/>
      <c r="J24" s="22"/>
      <c r="K24" s="22"/>
      <c r="N24" s="125"/>
    </row>
    <row r="25" spans="2:14" x14ac:dyDescent="0.2">
      <c r="B25" s="43" t="s">
        <v>39</v>
      </c>
      <c r="D25" s="2"/>
      <c r="F25" s="2"/>
      <c r="G25" s="2"/>
      <c r="H25" s="3"/>
      <c r="I25" s="6"/>
      <c r="J25" s="22"/>
      <c r="K25" s="47">
        <f>K18+K22</f>
        <v>-8.6801043305988646E-4</v>
      </c>
      <c r="L25" s="43" t="str">
        <f>L22</f>
        <v>$/kWh</v>
      </c>
      <c r="N25" s="125"/>
    </row>
    <row r="26" spans="2:14" x14ac:dyDescent="0.2">
      <c r="F26" s="6"/>
    </row>
    <row r="27" spans="2:14" x14ac:dyDescent="0.2">
      <c r="B27" s="26" t="s">
        <v>40</v>
      </c>
      <c r="F27" s="6"/>
    </row>
    <row r="28" spans="2:14" x14ac:dyDescent="0.2">
      <c r="B28" s="43" t="s">
        <v>38</v>
      </c>
      <c r="D28" s="22"/>
      <c r="F28" s="2">
        <f>'Page 1'!N19*Q33</f>
        <v>2568212.4789250316</v>
      </c>
      <c r="G28" s="2">
        <f>'Page 2'!K19</f>
        <v>285414.81461964903</v>
      </c>
      <c r="H28" s="3">
        <f>SUM(D28:G28)</f>
        <v>2853627.2935446808</v>
      </c>
      <c r="I28" s="6">
        <f>'Page 4'!C22</f>
        <v>62283830</v>
      </c>
      <c r="J28" s="22" t="s">
        <v>90</v>
      </c>
      <c r="K28" s="22">
        <f>H28/(I28)</f>
        <v>4.5816503152498501E-2</v>
      </c>
      <c r="L28" s="43" t="s">
        <v>91</v>
      </c>
      <c r="N28" s="125"/>
    </row>
    <row r="30" spans="2:14" x14ac:dyDescent="0.2">
      <c r="C30" s="43" t="s">
        <v>77</v>
      </c>
      <c r="H30" s="3">
        <f>SUM(H15:H29)</f>
        <v>4396887.8975325916</v>
      </c>
    </row>
    <row r="31" spans="2:14" x14ac:dyDescent="0.2">
      <c r="H31" s="3"/>
    </row>
    <row r="33" spans="2:17" x14ac:dyDescent="0.2">
      <c r="B33" s="29" t="s">
        <v>141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Q33" s="90">
        <v>1.0141</v>
      </c>
    </row>
    <row r="34" spans="2:17" x14ac:dyDescent="0.2">
      <c r="B34" s="44" t="s">
        <v>93</v>
      </c>
    </row>
    <row r="35" spans="2:17" x14ac:dyDescent="0.2">
      <c r="B35" s="44" t="s">
        <v>94</v>
      </c>
    </row>
  </sheetData>
  <phoneticPr fontId="2" type="noConversion"/>
  <pageMargins left="0.2" right="0.2" top="0.2" bottom="0.2" header="0.2" footer="0.2"/>
  <pageSetup paperSize="5" scale="75" orientation="landscape" r:id="rId1"/>
  <headerFooter alignWithMargins="0">
    <oddHeader>&amp;R&amp;"Times New Roman,Bold"KyPSC Case No. 2021-00313
Appendix B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zoomScale="80" zoomScaleNormal="80" workbookViewId="0">
      <selection activeCell="A80" sqref="A80"/>
    </sheetView>
  </sheetViews>
  <sheetFormatPr defaultColWidth="9.28515625" defaultRowHeight="12.75" x14ac:dyDescent="0.2"/>
  <cols>
    <col min="1" max="1" width="44.28515625" style="69" bestFit="1" customWidth="1"/>
    <col min="2" max="2" width="18.42578125" style="69" customWidth="1"/>
    <col min="3" max="3" width="14.7109375" style="69" customWidth="1"/>
    <col min="4" max="4" width="12.28515625" style="69" customWidth="1"/>
    <col min="5" max="5" width="13" style="69" customWidth="1"/>
    <col min="6" max="6" width="1.28515625" style="69" customWidth="1"/>
    <col min="7" max="8" width="17.28515625" style="69" customWidth="1"/>
    <col min="9" max="9" width="9.42578125" style="69" customWidth="1"/>
    <col min="10" max="16384" width="9.28515625" style="69"/>
  </cols>
  <sheetData>
    <row r="1" spans="1:8" x14ac:dyDescent="0.2">
      <c r="A1" s="68"/>
    </row>
    <row r="3" spans="1:8" x14ac:dyDescent="0.2">
      <c r="A3" s="70"/>
      <c r="B3" s="68"/>
      <c r="C3" s="68"/>
      <c r="D3" s="68"/>
      <c r="E3" s="68"/>
      <c r="F3" s="70"/>
      <c r="G3" s="68"/>
      <c r="H3" s="68"/>
    </row>
    <row r="4" spans="1:8" ht="44.25" customHeight="1" x14ac:dyDescent="0.2">
      <c r="A4" s="78" t="s">
        <v>131</v>
      </c>
      <c r="B4" s="79"/>
      <c r="C4" s="79"/>
      <c r="D4" s="79"/>
      <c r="E4" s="79"/>
      <c r="F4" s="68"/>
      <c r="G4" s="135" t="s">
        <v>133</v>
      </c>
      <c r="H4" s="135"/>
    </row>
    <row r="5" spans="1:8" x14ac:dyDescent="0.2">
      <c r="A5" s="80"/>
      <c r="B5" s="79"/>
      <c r="C5" s="79"/>
      <c r="D5" s="79"/>
      <c r="E5" s="79"/>
      <c r="F5" s="68"/>
      <c r="G5" s="45"/>
      <c r="H5" s="45"/>
    </row>
    <row r="6" spans="1:8" ht="25.5" x14ac:dyDescent="0.2">
      <c r="A6" s="80" t="s">
        <v>21</v>
      </c>
      <c r="B6" s="81" t="s">
        <v>89</v>
      </c>
      <c r="C6" s="46" t="s">
        <v>107</v>
      </c>
      <c r="D6" s="82" t="s">
        <v>105</v>
      </c>
      <c r="E6" s="46" t="s">
        <v>107</v>
      </c>
      <c r="F6" s="68"/>
      <c r="G6" s="46" t="s">
        <v>109</v>
      </c>
      <c r="H6" s="46" t="s">
        <v>110</v>
      </c>
    </row>
    <row r="7" spans="1:8" x14ac:dyDescent="0.2">
      <c r="A7" s="70" t="s">
        <v>98</v>
      </c>
      <c r="B7" s="108">
        <v>138757.70996894428</v>
      </c>
      <c r="C7" s="92">
        <f t="shared" ref="C7:C13" si="0">B7/B$15</f>
        <v>9.2219679862341817E-5</v>
      </c>
      <c r="D7" s="93">
        <v>0</v>
      </c>
      <c r="E7" s="72">
        <f>D7/D$15</f>
        <v>0</v>
      </c>
      <c r="F7" s="68"/>
      <c r="G7" s="83">
        <f t="shared" ref="G7:G11" si="1">C7/SUM($C7,$E7)</f>
        <v>1</v>
      </c>
      <c r="H7" s="83">
        <f t="shared" ref="H7:H12" si="2">1-G7</f>
        <v>0</v>
      </c>
    </row>
    <row r="8" spans="1:8" x14ac:dyDescent="0.2">
      <c r="A8" s="70" t="s">
        <v>99</v>
      </c>
      <c r="B8" s="108">
        <v>122142.99997266289</v>
      </c>
      <c r="C8" s="92">
        <f t="shared" si="0"/>
        <v>8.1177387241588377E-5</v>
      </c>
      <c r="D8" s="93">
        <v>6548.527333333328</v>
      </c>
      <c r="E8" s="72">
        <f>D8/D$15</f>
        <v>1.1114418653552699E-4</v>
      </c>
      <c r="F8" s="68"/>
      <c r="G8" s="110">
        <f t="shared" si="1"/>
        <v>0.422091945522795</v>
      </c>
      <c r="H8" s="110">
        <f t="shared" si="2"/>
        <v>0.57790805447720506</v>
      </c>
    </row>
    <row r="9" spans="1:8" x14ac:dyDescent="0.2">
      <c r="A9" s="70" t="s">
        <v>97</v>
      </c>
      <c r="B9" s="108">
        <v>1596695.4843052027</v>
      </c>
      <c r="C9" s="92">
        <f t="shared" si="0"/>
        <v>1.0611788450042041E-3</v>
      </c>
      <c r="D9" s="93">
        <v>0</v>
      </c>
      <c r="E9" s="72">
        <f>D9/D$15</f>
        <v>0</v>
      </c>
      <c r="F9" s="68"/>
      <c r="G9" s="83">
        <f t="shared" si="1"/>
        <v>1</v>
      </c>
      <c r="H9" s="83">
        <f t="shared" si="2"/>
        <v>0</v>
      </c>
    </row>
    <row r="10" spans="1:8" x14ac:dyDescent="0.2">
      <c r="A10" s="70" t="s">
        <v>100</v>
      </c>
      <c r="B10" s="108">
        <v>285139.21388200583</v>
      </c>
      <c r="C10" s="92">
        <f t="shared" si="0"/>
        <v>1.8950620492572009E-4</v>
      </c>
      <c r="D10" s="93">
        <v>0</v>
      </c>
      <c r="E10" s="72">
        <f>D10/D$15</f>
        <v>0</v>
      </c>
      <c r="F10" s="68"/>
      <c r="G10" s="83">
        <f t="shared" si="1"/>
        <v>1</v>
      </c>
      <c r="H10" s="83">
        <f t="shared" si="2"/>
        <v>0</v>
      </c>
    </row>
    <row r="11" spans="1:8" x14ac:dyDescent="0.2">
      <c r="A11" s="70" t="s">
        <v>96</v>
      </c>
      <c r="B11" s="108">
        <v>6640872.9703401197</v>
      </c>
      <c r="C11" s="92">
        <f t="shared" si="0"/>
        <v>4.4135866718203404E-3</v>
      </c>
      <c r="D11" s="93">
        <v>0</v>
      </c>
      <c r="E11" s="72">
        <f>D11/D$15</f>
        <v>0</v>
      </c>
      <c r="F11" s="68"/>
      <c r="G11" s="83">
        <f t="shared" si="1"/>
        <v>1</v>
      </c>
      <c r="H11" s="83">
        <f t="shared" si="2"/>
        <v>0</v>
      </c>
    </row>
    <row r="12" spans="1:8" x14ac:dyDescent="0.2">
      <c r="A12" s="70" t="s">
        <v>115</v>
      </c>
      <c r="B12" s="91">
        <v>0</v>
      </c>
      <c r="C12" s="92">
        <f t="shared" si="0"/>
        <v>0</v>
      </c>
      <c r="D12" s="93">
        <v>0</v>
      </c>
      <c r="E12" s="72"/>
      <c r="F12" s="68"/>
      <c r="G12" s="83">
        <v>1</v>
      </c>
      <c r="H12" s="83">
        <f t="shared" si="2"/>
        <v>0</v>
      </c>
    </row>
    <row r="13" spans="1:8" x14ac:dyDescent="0.2">
      <c r="A13" s="84" t="s">
        <v>106</v>
      </c>
      <c r="B13" s="85">
        <f>SUM(B7:B12)</f>
        <v>8783608.3784689344</v>
      </c>
      <c r="C13" s="94">
        <f t="shared" si="0"/>
        <v>5.8376687888541936E-3</v>
      </c>
      <c r="D13" s="85">
        <f>SUM(D7:D12)</f>
        <v>6548.527333333328</v>
      </c>
      <c r="E13" s="73">
        <f>D13/D$15</f>
        <v>1.1114418653552699E-4</v>
      </c>
      <c r="F13" s="68"/>
      <c r="G13" s="68"/>
      <c r="H13" s="68"/>
    </row>
    <row r="14" spans="1:8" x14ac:dyDescent="0.2">
      <c r="A14" s="80"/>
      <c r="B14" s="86"/>
      <c r="C14" s="87"/>
      <c r="D14" s="86"/>
      <c r="E14" s="71"/>
      <c r="F14" s="68"/>
      <c r="G14" s="68"/>
      <c r="H14" s="68"/>
    </row>
    <row r="15" spans="1:8" x14ac:dyDescent="0.2">
      <c r="A15" s="80" t="s">
        <v>108</v>
      </c>
      <c r="B15" s="123">
        <v>1504643154</v>
      </c>
      <c r="C15" s="87">
        <v>1</v>
      </c>
      <c r="D15" s="123">
        <v>58919207</v>
      </c>
      <c r="E15" s="74">
        <v>1</v>
      </c>
      <c r="F15" s="68"/>
      <c r="G15" s="68"/>
      <c r="H15" s="68"/>
    </row>
    <row r="16" spans="1:8" x14ac:dyDescent="0.2">
      <c r="A16" s="70" t="s">
        <v>132</v>
      </c>
      <c r="B16" s="68"/>
      <c r="C16" s="68"/>
      <c r="D16" s="68"/>
      <c r="E16" s="70"/>
      <c r="F16" s="68"/>
      <c r="G16" s="68"/>
      <c r="H16" s="68"/>
    </row>
    <row r="18" spans="1:1" x14ac:dyDescent="0.2">
      <c r="A18" s="69" t="s">
        <v>127</v>
      </c>
    </row>
    <row r="19" spans="1:1" x14ac:dyDescent="0.2">
      <c r="A19" s="68"/>
    </row>
  </sheetData>
  <mergeCells count="1">
    <mergeCell ref="G4:H4"/>
  </mergeCells>
  <pageMargins left="0.2" right="0.2" top="0.2" bottom="0.2" header="0.2" footer="0.2"/>
  <pageSetup paperSize="5" orientation="landscape" r:id="rId1"/>
  <headerFooter alignWithMargins="0">
    <oddHeader>&amp;R&amp;"Times New Roman,Bold"KyPSC Case No. 2021-00313
Appendix B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0"/>
  <sheetViews>
    <sheetView workbookViewId="0">
      <selection activeCell="A80" sqref="A80"/>
    </sheetView>
  </sheetViews>
  <sheetFormatPr defaultColWidth="9.28515625" defaultRowHeight="12.75" x14ac:dyDescent="0.2"/>
  <cols>
    <col min="1" max="1" width="44.28515625" style="98" bestFit="1" customWidth="1"/>
    <col min="2" max="2" width="18.42578125" style="98" customWidth="1"/>
    <col min="3" max="3" width="14.7109375" style="98" customWidth="1"/>
    <col min="4" max="4" width="12.28515625" style="98" customWidth="1"/>
    <col min="5" max="5" width="13" style="98" customWidth="1"/>
    <col min="6" max="6" width="1.28515625" style="119" customWidth="1"/>
    <col min="7" max="8" width="17.28515625" style="119" customWidth="1"/>
    <col min="9" max="9" width="9.42578125" style="98" customWidth="1"/>
    <col min="10" max="16384" width="9.28515625" style="98"/>
  </cols>
  <sheetData>
    <row r="1" spans="1:8" x14ac:dyDescent="0.2">
      <c r="A1" s="97"/>
      <c r="B1" s="97"/>
      <c r="C1" s="97"/>
      <c r="D1" s="97"/>
      <c r="E1" s="97"/>
      <c r="F1" s="69"/>
      <c r="G1" s="69"/>
      <c r="H1" s="69"/>
    </row>
    <row r="2" spans="1:8" x14ac:dyDescent="0.2">
      <c r="A2" s="97"/>
      <c r="B2" s="97"/>
      <c r="C2" s="97"/>
      <c r="D2" s="97"/>
      <c r="E2" s="97"/>
      <c r="F2" s="69"/>
      <c r="G2" s="69"/>
      <c r="H2" s="69"/>
    </row>
    <row r="3" spans="1:8" x14ac:dyDescent="0.2">
      <c r="A3" s="97"/>
      <c r="B3" s="99"/>
      <c r="C3" s="99"/>
      <c r="D3" s="99"/>
      <c r="E3" s="99"/>
      <c r="F3" s="68"/>
      <c r="G3" s="136"/>
      <c r="H3" s="136"/>
    </row>
    <row r="4" spans="1:8" ht="30.75" customHeight="1" x14ac:dyDescent="0.2">
      <c r="A4" s="124" t="s">
        <v>130</v>
      </c>
      <c r="B4" s="97"/>
      <c r="C4" s="97"/>
      <c r="D4" s="97"/>
      <c r="E4" s="100"/>
      <c r="F4" s="71"/>
      <c r="G4" s="135" t="s">
        <v>128</v>
      </c>
      <c r="H4" s="135"/>
    </row>
    <row r="5" spans="1:8" x14ac:dyDescent="0.2">
      <c r="A5" s="100"/>
      <c r="B5" s="101"/>
      <c r="C5" s="102"/>
      <c r="D5" s="102"/>
      <c r="E5" s="102"/>
      <c r="F5" s="71"/>
      <c r="G5" s="46"/>
      <c r="H5" s="46"/>
    </row>
    <row r="6" spans="1:8" ht="25.5" x14ac:dyDescent="0.2">
      <c r="A6" s="122" t="s">
        <v>21</v>
      </c>
      <c r="B6" s="103" t="s">
        <v>89</v>
      </c>
      <c r="C6" s="104" t="s">
        <v>107</v>
      </c>
      <c r="D6" s="105" t="s">
        <v>105</v>
      </c>
      <c r="E6" s="103" t="s">
        <v>107</v>
      </c>
      <c r="F6" s="71"/>
      <c r="G6" s="106" t="s">
        <v>109</v>
      </c>
      <c r="H6" s="106" t="s">
        <v>110</v>
      </c>
    </row>
    <row r="7" spans="1:8" ht="4.5" customHeight="1" x14ac:dyDescent="0.2">
      <c r="A7" s="107"/>
      <c r="B7" s="108"/>
      <c r="C7" s="72"/>
      <c r="D7" s="109"/>
      <c r="E7" s="72"/>
      <c r="F7" s="71"/>
      <c r="G7" s="110"/>
      <c r="H7" s="110"/>
    </row>
    <row r="8" spans="1:8" x14ac:dyDescent="0.2">
      <c r="A8" s="107" t="s">
        <v>98</v>
      </c>
      <c r="B8" s="108">
        <v>224406.00000000003</v>
      </c>
      <c r="C8" s="72">
        <v>1.5090075609041511E-4</v>
      </c>
      <c r="D8" s="109">
        <v>0</v>
      </c>
      <c r="E8" s="72">
        <v>0</v>
      </c>
      <c r="F8" s="71"/>
      <c r="G8" s="110">
        <f t="shared" ref="G8:G12" si="0">C8/SUM($C8,$E8)</f>
        <v>1</v>
      </c>
      <c r="H8" s="110">
        <v>0</v>
      </c>
    </row>
    <row r="9" spans="1:8" x14ac:dyDescent="0.2">
      <c r="A9" s="107" t="s">
        <v>99</v>
      </c>
      <c r="B9" s="108">
        <v>255140.00000755192</v>
      </c>
      <c r="C9" s="72">
        <v>1.7156768941137089E-4</v>
      </c>
      <c r="D9" s="109">
        <v>7833.1666666666597</v>
      </c>
      <c r="E9" s="72">
        <v>1.2576565485241772E-4</v>
      </c>
      <c r="F9" s="71"/>
      <c r="G9" s="110">
        <f t="shared" si="0"/>
        <v>0.57702135573183222</v>
      </c>
      <c r="H9" s="110">
        <f t="shared" ref="H9" si="1">E9/SUM($C9,$E9)</f>
        <v>0.42297864426816784</v>
      </c>
    </row>
    <row r="10" spans="1:8" x14ac:dyDescent="0.2">
      <c r="A10" s="107" t="s">
        <v>97</v>
      </c>
      <c r="B10" s="108">
        <v>1338471.5</v>
      </c>
      <c r="C10" s="72">
        <v>9.0004884608910652E-4</v>
      </c>
      <c r="D10" s="109">
        <v>0</v>
      </c>
      <c r="E10" s="72">
        <v>0</v>
      </c>
      <c r="F10" s="71"/>
      <c r="G10" s="110">
        <f t="shared" si="0"/>
        <v>1</v>
      </c>
      <c r="H10" s="110">
        <v>0</v>
      </c>
    </row>
    <row r="11" spans="1:8" x14ac:dyDescent="0.2">
      <c r="A11" s="107" t="s">
        <v>100</v>
      </c>
      <c r="B11" s="108">
        <v>384319.88306235988</v>
      </c>
      <c r="C11" s="72">
        <v>2.5843409238028402E-4</v>
      </c>
      <c r="D11" s="109">
        <v>0</v>
      </c>
      <c r="E11" s="72">
        <v>0</v>
      </c>
      <c r="F11" s="71"/>
      <c r="G11" s="110">
        <f t="shared" si="0"/>
        <v>1</v>
      </c>
      <c r="H11" s="110">
        <v>0</v>
      </c>
    </row>
    <row r="12" spans="1:8" x14ac:dyDescent="0.2">
      <c r="A12" s="111" t="s">
        <v>96</v>
      </c>
      <c r="B12" s="108">
        <v>2038691.9860994066</v>
      </c>
      <c r="C12" s="72">
        <v>1.3709088087567644E-3</v>
      </c>
      <c r="D12" s="109">
        <v>0</v>
      </c>
      <c r="E12" s="72">
        <v>0</v>
      </c>
      <c r="F12" s="71"/>
      <c r="G12" s="110">
        <f t="shared" si="0"/>
        <v>1</v>
      </c>
      <c r="H12" s="110">
        <v>0</v>
      </c>
    </row>
    <row r="13" spans="1:8" x14ac:dyDescent="0.2">
      <c r="A13" s="107" t="s">
        <v>115</v>
      </c>
      <c r="B13" s="108">
        <v>0</v>
      </c>
      <c r="C13" s="72">
        <v>0</v>
      </c>
      <c r="D13" s="109">
        <v>0</v>
      </c>
      <c r="E13" s="72">
        <v>0</v>
      </c>
      <c r="F13" s="71"/>
      <c r="G13" s="110">
        <v>1</v>
      </c>
      <c r="H13" s="112">
        <v>0</v>
      </c>
    </row>
    <row r="14" spans="1:8" x14ac:dyDescent="0.2">
      <c r="A14" s="113" t="s">
        <v>106</v>
      </c>
      <c r="B14" s="114">
        <f>SUM(B7:B13)</f>
        <v>4241029.369169319</v>
      </c>
      <c r="C14" s="73">
        <v>2.8518601927279407E-3</v>
      </c>
      <c r="D14" s="115">
        <f>SUM(D7:D13)</f>
        <v>7833.1666666666597</v>
      </c>
      <c r="E14" s="73">
        <f>SUM(E7:E13)</f>
        <v>1.2576565485241772E-4</v>
      </c>
      <c r="F14" s="71"/>
      <c r="G14" s="71"/>
      <c r="H14" s="71"/>
    </row>
    <row r="15" spans="1:8" x14ac:dyDescent="0.2">
      <c r="A15" s="107"/>
      <c r="B15" s="116"/>
      <c r="C15" s="74"/>
      <c r="D15" s="116"/>
      <c r="E15" s="117"/>
      <c r="F15" s="71"/>
      <c r="G15" s="71"/>
      <c r="H15" s="71"/>
    </row>
    <row r="16" spans="1:8" x14ac:dyDescent="0.2">
      <c r="A16" s="107" t="s">
        <v>108</v>
      </c>
      <c r="B16" s="123">
        <f>'Page 4'!C12</f>
        <v>1487109844.9957395</v>
      </c>
      <c r="C16" s="74">
        <f>B16/$B$16</f>
        <v>1</v>
      </c>
      <c r="D16" s="123">
        <f>'Page 4'!C22</f>
        <v>62283830</v>
      </c>
      <c r="E16" s="74">
        <f>D16/$D$16</f>
        <v>1</v>
      </c>
      <c r="F16" s="71"/>
      <c r="G16" s="71"/>
      <c r="H16" s="71"/>
    </row>
    <row r="17" spans="1:5" x14ac:dyDescent="0.2">
      <c r="A17" s="118" t="s">
        <v>123</v>
      </c>
      <c r="B17" s="117"/>
      <c r="C17" s="117"/>
      <c r="D17" s="118"/>
      <c r="E17" s="117"/>
    </row>
    <row r="19" spans="1:5" x14ac:dyDescent="0.2">
      <c r="A19" s="120" t="s">
        <v>124</v>
      </c>
    </row>
    <row r="20" spans="1:5" ht="15" x14ac:dyDescent="0.25">
      <c r="A20" s="121"/>
    </row>
    <row r="21" spans="1:5" customFormat="1" x14ac:dyDescent="0.2"/>
    <row r="22" spans="1:5" customFormat="1" x14ac:dyDescent="0.2"/>
    <row r="23" spans="1:5" customFormat="1" x14ac:dyDescent="0.2"/>
    <row r="24" spans="1:5" customFormat="1" x14ac:dyDescent="0.2"/>
    <row r="25" spans="1:5" customFormat="1" x14ac:dyDescent="0.2"/>
    <row r="26" spans="1:5" customFormat="1" x14ac:dyDescent="0.2"/>
    <row r="27" spans="1:5" customFormat="1" x14ac:dyDescent="0.2"/>
    <row r="28" spans="1:5" customFormat="1" x14ac:dyDescent="0.2"/>
    <row r="29" spans="1:5" customFormat="1" x14ac:dyDescent="0.2"/>
    <row r="30" spans="1:5" customFormat="1" x14ac:dyDescent="0.2"/>
  </sheetData>
  <mergeCells count="2">
    <mergeCell ref="G3:H3"/>
    <mergeCell ref="G4:H4"/>
  </mergeCells>
  <pageMargins left="0.2" right="0.2" top="0.2" bottom="0.2" header="0.2" footer="0.2"/>
  <pageSetup paperSize="5" orientation="landscape" r:id="rId1"/>
  <headerFooter alignWithMargins="0">
    <oddHeader>&amp;R&amp;"Times New Roman,Bold"KyPSC Case No. 2021-00313
Appendix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24CEAEADE2B2458A3F96C7F6E72FFC" ma:contentTypeVersion="4" ma:contentTypeDescription="Create a new document." ma:contentTypeScope="" ma:versionID="0c13aa65d4040ff41ed989da4f7d9d80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176305-C948-4C65-B478-1CBD169A75AD}">
  <ds:schemaRefs>
    <ds:schemaRef ds:uri="http://purl.org/dc/elements/1.1/"/>
    <ds:schemaRef ds:uri="2612a682-5ffb-4b9c-9555-017618935178"/>
    <ds:schemaRef ds:uri="http://schemas.microsoft.com/office/infopath/2007/PartnerControls"/>
    <ds:schemaRef ds:uri="3c9d8c27-8a6d-4d9e-a15e-ef5d28c114af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999BAC0-8032-4ACF-9532-AE5CFCE587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45A3F8-3912-4CCA-BEB7-BFC844F88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2016-10-28T20:40:02Z</dcterms:created>
  <dcterms:modified xsi:type="dcterms:W3CDTF">2021-08-16T16:54:49Z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0x010100E224CEAEADE2B2458A3F96C7F6E72FFC</vt:lpwstr>
  </property>
</Properties>
</file>