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4_{8087C801-BC10-440A-923D-B36C384F42F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126" i="1" l="1"/>
  <c r="T126" i="1"/>
  <c r="L126" i="1"/>
  <c r="G126" i="1"/>
  <c r="D126" i="1"/>
  <c r="AB124" i="1"/>
  <c r="AD124" i="1" s="1"/>
  <c r="AF124" i="1" s="1"/>
  <c r="AH124" i="1" s="1"/>
  <c r="AJ124" i="1" s="1"/>
  <c r="AL124" i="1" s="1"/>
  <c r="AL126" i="1" s="1"/>
  <c r="W124" i="1"/>
  <c r="Y124" i="1" s="1"/>
  <c r="AA124" i="1" s="1"/>
  <c r="AN123" i="1"/>
  <c r="AL123" i="1"/>
  <c r="AJ123" i="1"/>
  <c r="AH123" i="1"/>
  <c r="AF123" i="1"/>
  <c r="AD123" i="1"/>
  <c r="AA123" i="1"/>
  <c r="AC123" i="1" s="1"/>
  <c r="Y123" i="1"/>
  <c r="AQ122" i="1"/>
  <c r="V122" i="1"/>
  <c r="X122" i="1" s="1"/>
  <c r="Z122" i="1" s="1"/>
  <c r="R122" i="1"/>
  <c r="P122" i="1"/>
  <c r="N122" i="1"/>
  <c r="L122" i="1"/>
  <c r="J122" i="1"/>
  <c r="K122" i="1" s="1"/>
  <c r="M122" i="1" s="1"/>
  <c r="O122" i="1" s="1"/>
  <c r="Q122" i="1" s="1"/>
  <c r="S122" i="1" s="1"/>
  <c r="U122" i="1" s="1"/>
  <c r="W122" i="1" s="1"/>
  <c r="H122" i="1"/>
  <c r="I122" i="1" s="1"/>
  <c r="AQ121" i="1"/>
  <c r="Z121" i="1"/>
  <c r="V121" i="1"/>
  <c r="R121" i="1"/>
  <c r="P121" i="1"/>
  <c r="P126" i="1" s="1"/>
  <c r="N121" i="1"/>
  <c r="N126" i="1" s="1"/>
  <c r="L121" i="1"/>
  <c r="J121" i="1"/>
  <c r="H121" i="1"/>
  <c r="H126" i="1" s="1"/>
  <c r="AL118" i="1"/>
  <c r="AB118" i="1"/>
  <c r="AC118" i="1" s="1"/>
  <c r="S118" i="1"/>
  <c r="R118" i="1"/>
  <c r="Q118" i="1"/>
  <c r="P118" i="1"/>
  <c r="O118" i="1"/>
  <c r="N118" i="1"/>
  <c r="L118" i="1"/>
  <c r="K118" i="1"/>
  <c r="M118" i="1" s="1"/>
  <c r="J118" i="1"/>
  <c r="I118" i="1"/>
  <c r="H118" i="1"/>
  <c r="G118" i="1"/>
  <c r="D118" i="1"/>
  <c r="AV114" i="1"/>
  <c r="T114" i="1"/>
  <c r="D114" i="1"/>
  <c r="AB113" i="1"/>
  <c r="AC113" i="1" s="1"/>
  <c r="AQ112" i="1"/>
  <c r="AH112" i="1"/>
  <c r="V112" i="1"/>
  <c r="U112" i="1"/>
  <c r="R112" i="1"/>
  <c r="Q112" i="1"/>
  <c r="S112" i="1" s="1"/>
  <c r="P112" i="1"/>
  <c r="N112" i="1"/>
  <c r="O112" i="1" s="1"/>
  <c r="AB111" i="1"/>
  <c r="U111" i="1"/>
  <c r="R111" i="1"/>
  <c r="R114" i="1" s="1"/>
  <c r="P111" i="1"/>
  <c r="N111" i="1"/>
  <c r="L111" i="1"/>
  <c r="J111" i="1"/>
  <c r="J114" i="1" s="1"/>
  <c r="H111" i="1"/>
  <c r="G111" i="1"/>
  <c r="I111" i="1" s="1"/>
  <c r="AC110" i="1"/>
  <c r="AE110" i="1" s="1"/>
  <c r="AG110" i="1" s="1"/>
  <c r="AI110" i="1" s="1"/>
  <c r="AB110" i="1"/>
  <c r="AD110" i="1" s="1"/>
  <c r="AF110" i="1" s="1"/>
  <c r="AH110" i="1" s="1"/>
  <c r="AJ110" i="1" s="1"/>
  <c r="P110" i="1"/>
  <c r="N110" i="1"/>
  <c r="L110" i="1"/>
  <c r="L114" i="1" s="1"/>
  <c r="J110" i="1"/>
  <c r="H110" i="1"/>
  <c r="G110" i="1"/>
  <c r="AV107" i="1"/>
  <c r="X107" i="1"/>
  <c r="D107" i="1"/>
  <c r="AQ105" i="1"/>
  <c r="Z105" i="1"/>
  <c r="Z107" i="1" s="1"/>
  <c r="T105" i="1"/>
  <c r="V105" i="1" s="1"/>
  <c r="R105" i="1"/>
  <c r="P105" i="1"/>
  <c r="N105" i="1"/>
  <c r="L105" i="1"/>
  <c r="L107" i="1" s="1"/>
  <c r="J105" i="1"/>
  <c r="H105" i="1"/>
  <c r="I105" i="1" s="1"/>
  <c r="K105" i="1" s="1"/>
  <c r="M105" i="1" s="1"/>
  <c r="O105" i="1" s="1"/>
  <c r="Q105" i="1" s="1"/>
  <c r="S105" i="1" s="1"/>
  <c r="U105" i="1" s="1"/>
  <c r="W105" i="1" s="1"/>
  <c r="Y105" i="1" s="1"/>
  <c r="AA105" i="1" s="1"/>
  <c r="AC105" i="1" s="1"/>
  <c r="AE105" i="1" s="1"/>
  <c r="AG105" i="1" s="1"/>
  <c r="AI105" i="1" s="1"/>
  <c r="AK105" i="1" s="1"/>
  <c r="AM105" i="1" s="1"/>
  <c r="AO105" i="1" s="1"/>
  <c r="AB104" i="1"/>
  <c r="AD104" i="1" s="1"/>
  <c r="AF104" i="1" s="1"/>
  <c r="AH104" i="1" s="1"/>
  <c r="AJ104" i="1" s="1"/>
  <c r="AL104" i="1" s="1"/>
  <c r="AN104" i="1" s="1"/>
  <c r="AQ104" i="1" s="1"/>
  <c r="AQ107" i="1" s="1"/>
  <c r="X104" i="1"/>
  <c r="T104" i="1"/>
  <c r="V104" i="1" s="1"/>
  <c r="V107" i="1" s="1"/>
  <c r="R104" i="1"/>
  <c r="R107" i="1" s="1"/>
  <c r="P104" i="1"/>
  <c r="N104" i="1"/>
  <c r="N107" i="1" s="1"/>
  <c r="L104" i="1"/>
  <c r="J104" i="1"/>
  <c r="H104" i="1"/>
  <c r="G104" i="1"/>
  <c r="G107" i="1" s="1"/>
  <c r="AV100" i="1"/>
  <c r="Z100" i="1"/>
  <c r="X100" i="1"/>
  <c r="V100" i="1"/>
  <c r="U100" i="1"/>
  <c r="T100" i="1"/>
  <c r="S100" i="1"/>
  <c r="R100" i="1"/>
  <c r="Q100" i="1"/>
  <c r="P100" i="1"/>
  <c r="O100" i="1"/>
  <c r="N100" i="1"/>
  <c r="L100" i="1"/>
  <c r="J100" i="1"/>
  <c r="I100" i="1"/>
  <c r="H100" i="1"/>
  <c r="G100" i="1"/>
  <c r="D100" i="1"/>
  <c r="AV98" i="1"/>
  <c r="AQ98" i="1"/>
  <c r="AN98" i="1"/>
  <c r="AN100" i="1" s="1"/>
  <c r="AQ97" i="1"/>
  <c r="AL97" i="1"/>
  <c r="AJ97" i="1"/>
  <c r="AH97" i="1"/>
  <c r="AF97" i="1"/>
  <c r="AD97" i="1"/>
  <c r="AE97" i="1" s="1"/>
  <c r="AG97" i="1" s="1"/>
  <c r="AI97" i="1" s="1"/>
  <c r="AK97" i="1" s="1"/>
  <c r="AM97" i="1" s="1"/>
  <c r="AO97" i="1" s="1"/>
  <c r="AQ96" i="1"/>
  <c r="AL96" i="1"/>
  <c r="AJ96" i="1"/>
  <c r="AH96" i="1"/>
  <c r="AH100" i="1" s="1"/>
  <c r="AF96" i="1"/>
  <c r="AF100" i="1" s="1"/>
  <c r="AD96" i="1"/>
  <c r="AB96" i="1"/>
  <c r="Y96" i="1"/>
  <c r="AA96" i="1" s="1"/>
  <c r="AC96" i="1" s="1"/>
  <c r="AE96" i="1" s="1"/>
  <c r="AG96" i="1" s="1"/>
  <c r="AI96" i="1" s="1"/>
  <c r="AK96" i="1" s="1"/>
  <c r="AM96" i="1" s="1"/>
  <c r="AO96" i="1" s="1"/>
  <c r="AQ95" i="1"/>
  <c r="AD95" i="1"/>
  <c r="AD100" i="1" s="1"/>
  <c r="AB95" i="1"/>
  <c r="AB100" i="1" s="1"/>
  <c r="W95" i="1"/>
  <c r="W100" i="1" s="1"/>
  <c r="V95" i="1"/>
  <c r="AV91" i="1"/>
  <c r="X91" i="1"/>
  <c r="D91" i="1"/>
  <c r="AQ89" i="1"/>
  <c r="Z89" i="1"/>
  <c r="Z91" i="1" s="1"/>
  <c r="T89" i="1"/>
  <c r="R89" i="1"/>
  <c r="P89" i="1"/>
  <c r="N89" i="1"/>
  <c r="L89" i="1"/>
  <c r="J89" i="1"/>
  <c r="H89" i="1"/>
  <c r="I89" i="1" s="1"/>
  <c r="K89" i="1" s="1"/>
  <c r="M89" i="1" s="1"/>
  <c r="O89" i="1" s="1"/>
  <c r="Q89" i="1" s="1"/>
  <c r="S89" i="1" s="1"/>
  <c r="U89" i="1" s="1"/>
  <c r="W89" i="1" s="1"/>
  <c r="Y89" i="1" s="1"/>
  <c r="AA89" i="1" s="1"/>
  <c r="AC89" i="1" s="1"/>
  <c r="AE89" i="1" s="1"/>
  <c r="AG89" i="1" s="1"/>
  <c r="AI89" i="1" s="1"/>
  <c r="AK89" i="1" s="1"/>
  <c r="AM89" i="1" s="1"/>
  <c r="AO89" i="1" s="1"/>
  <c r="AP89" i="1" s="1"/>
  <c r="AD88" i="1"/>
  <c r="AF88" i="1" s="1"/>
  <c r="AH88" i="1" s="1"/>
  <c r="AJ88" i="1" s="1"/>
  <c r="AL88" i="1" s="1"/>
  <c r="AN88" i="1" s="1"/>
  <c r="AQ88" i="1" s="1"/>
  <c r="AQ91" i="1" s="1"/>
  <c r="AB88" i="1"/>
  <c r="V88" i="1"/>
  <c r="V91" i="1" s="1"/>
  <c r="T88" i="1"/>
  <c r="R88" i="1"/>
  <c r="R91" i="1" s="1"/>
  <c r="P88" i="1"/>
  <c r="P91" i="1" s="1"/>
  <c r="N88" i="1"/>
  <c r="N91" i="1" s="1"/>
  <c r="L88" i="1"/>
  <c r="J88" i="1"/>
  <c r="H88" i="1"/>
  <c r="G88" i="1"/>
  <c r="AQ81" i="1"/>
  <c r="R81" i="1"/>
  <c r="T81" i="1" s="1"/>
  <c r="V81" i="1" s="1"/>
  <c r="X81" i="1" s="1"/>
  <c r="Z81" i="1" s="1"/>
  <c r="AB81" i="1" s="1"/>
  <c r="AD81" i="1" s="1"/>
  <c r="AF81" i="1" s="1"/>
  <c r="AH81" i="1" s="1"/>
  <c r="AJ81" i="1" s="1"/>
  <c r="AL81" i="1" s="1"/>
  <c r="P81" i="1"/>
  <c r="N81" i="1"/>
  <c r="L81" i="1"/>
  <c r="J81" i="1"/>
  <c r="H81" i="1"/>
  <c r="I81" i="1" s="1"/>
  <c r="K81" i="1" s="1"/>
  <c r="M81" i="1" s="1"/>
  <c r="AV77" i="1"/>
  <c r="G77" i="1"/>
  <c r="D77" i="1"/>
  <c r="AF75" i="1"/>
  <c r="AH75" i="1" s="1"/>
  <c r="AJ75" i="1" s="1"/>
  <c r="AL75" i="1" s="1"/>
  <c r="AN75" i="1" s="1"/>
  <c r="AQ75" i="1" s="1"/>
  <c r="AB75" i="1"/>
  <c r="AD75" i="1" s="1"/>
  <c r="W75" i="1"/>
  <c r="Y75" i="1" s="1"/>
  <c r="AA75" i="1" s="1"/>
  <c r="AC75" i="1" s="1"/>
  <c r="AE75" i="1" s="1"/>
  <c r="AG75" i="1" s="1"/>
  <c r="AI75" i="1" s="1"/>
  <c r="AK75" i="1" s="1"/>
  <c r="AM75" i="1" s="1"/>
  <c r="AO75" i="1" s="1"/>
  <c r="V74" i="1"/>
  <c r="X74" i="1" s="1"/>
  <c r="Z74" i="1" s="1"/>
  <c r="AB74" i="1" s="1"/>
  <c r="AD74" i="1" s="1"/>
  <c r="AF74" i="1" s="1"/>
  <c r="AH74" i="1" s="1"/>
  <c r="AJ74" i="1" s="1"/>
  <c r="AL74" i="1" s="1"/>
  <c r="AN74" i="1" s="1"/>
  <c r="AQ74" i="1" s="1"/>
  <c r="U74" i="1"/>
  <c r="T74" i="1"/>
  <c r="R74" i="1"/>
  <c r="S74" i="1" s="1"/>
  <c r="V73" i="1"/>
  <c r="X73" i="1" s="1"/>
  <c r="Z73" i="1" s="1"/>
  <c r="AB73" i="1" s="1"/>
  <c r="AD73" i="1" s="1"/>
  <c r="AF73" i="1" s="1"/>
  <c r="AH73" i="1" s="1"/>
  <c r="AJ73" i="1" s="1"/>
  <c r="AL73" i="1" s="1"/>
  <c r="AN73" i="1" s="1"/>
  <c r="AQ73" i="1" s="1"/>
  <c r="U73" i="1"/>
  <c r="T73" i="1"/>
  <c r="R73" i="1"/>
  <c r="S73" i="1" s="1"/>
  <c r="AQ72" i="1"/>
  <c r="AL72" i="1"/>
  <c r="AB72" i="1"/>
  <c r="AD72" i="1" s="1"/>
  <c r="AF72" i="1" s="1"/>
  <c r="AH72" i="1" s="1"/>
  <c r="AJ72" i="1" s="1"/>
  <c r="T72" i="1"/>
  <c r="V72" i="1" s="1"/>
  <c r="X72" i="1" s="1"/>
  <c r="Z72" i="1" s="1"/>
  <c r="R72" i="1"/>
  <c r="S72" i="1" s="1"/>
  <c r="R71" i="1"/>
  <c r="T71" i="1" s="1"/>
  <c r="V71" i="1" s="1"/>
  <c r="X71" i="1" s="1"/>
  <c r="Z71" i="1" s="1"/>
  <c r="AB71" i="1" s="1"/>
  <c r="AD71" i="1" s="1"/>
  <c r="AF71" i="1" s="1"/>
  <c r="AH71" i="1" s="1"/>
  <c r="AJ71" i="1" s="1"/>
  <c r="AL71" i="1" s="1"/>
  <c r="AN71" i="1" s="1"/>
  <c r="AQ71" i="1" s="1"/>
  <c r="P71" i="1"/>
  <c r="N71" i="1"/>
  <c r="M71" i="1"/>
  <c r="O71" i="1" s="1"/>
  <c r="L71" i="1"/>
  <c r="Z70" i="1"/>
  <c r="AB70" i="1" s="1"/>
  <c r="AD70" i="1" s="1"/>
  <c r="AF70" i="1" s="1"/>
  <c r="AH70" i="1" s="1"/>
  <c r="AJ70" i="1" s="1"/>
  <c r="AL70" i="1" s="1"/>
  <c r="AN70" i="1" s="1"/>
  <c r="AQ70" i="1" s="1"/>
  <c r="R70" i="1"/>
  <c r="T70" i="1" s="1"/>
  <c r="V70" i="1" s="1"/>
  <c r="X70" i="1" s="1"/>
  <c r="P70" i="1"/>
  <c r="N70" i="1"/>
  <c r="L70" i="1"/>
  <c r="J70" i="1"/>
  <c r="K70" i="1" s="1"/>
  <c r="M70" i="1" s="1"/>
  <c r="O70" i="1" s="1"/>
  <c r="Q70" i="1" s="1"/>
  <c r="S70" i="1" s="1"/>
  <c r="U70" i="1" s="1"/>
  <c r="W70" i="1" s="1"/>
  <c r="Y70" i="1" s="1"/>
  <c r="AA70" i="1" s="1"/>
  <c r="AC70" i="1" s="1"/>
  <c r="AE70" i="1" s="1"/>
  <c r="AG70" i="1" s="1"/>
  <c r="H70" i="1"/>
  <c r="I70" i="1" s="1"/>
  <c r="R69" i="1"/>
  <c r="T69" i="1" s="1"/>
  <c r="V69" i="1" s="1"/>
  <c r="X69" i="1" s="1"/>
  <c r="Z69" i="1" s="1"/>
  <c r="P69" i="1"/>
  <c r="N69" i="1"/>
  <c r="L69" i="1"/>
  <c r="L77" i="1" s="1"/>
  <c r="J69" i="1"/>
  <c r="H69" i="1"/>
  <c r="AB68" i="1"/>
  <c r="AD68" i="1" s="1"/>
  <c r="AF68" i="1" s="1"/>
  <c r="AH68" i="1" s="1"/>
  <c r="AJ68" i="1" s="1"/>
  <c r="AL68" i="1" s="1"/>
  <c r="R68" i="1"/>
  <c r="P68" i="1"/>
  <c r="N68" i="1"/>
  <c r="L68" i="1"/>
  <c r="J68" i="1"/>
  <c r="I68" i="1"/>
  <c r="H68" i="1"/>
  <c r="AQ67" i="1"/>
  <c r="AN67" i="1"/>
  <c r="AO67" i="1" s="1"/>
  <c r="AP67" i="1" s="1"/>
  <c r="AB64" i="1"/>
  <c r="AB63" i="1"/>
  <c r="AP62" i="1"/>
  <c r="R62" i="1"/>
  <c r="T62" i="1" s="1"/>
  <c r="V62" i="1" s="1"/>
  <c r="X62" i="1" s="1"/>
  <c r="Z62" i="1" s="1"/>
  <c r="P62" i="1"/>
  <c r="N62" i="1"/>
  <c r="L62" i="1"/>
  <c r="K62" i="1"/>
  <c r="M62" i="1" s="1"/>
  <c r="O62" i="1" s="1"/>
  <c r="Q62" i="1" s="1"/>
  <c r="S62" i="1" s="1"/>
  <c r="U62" i="1" s="1"/>
  <c r="W62" i="1" s="1"/>
  <c r="Y62" i="1" s="1"/>
  <c r="AA62" i="1" s="1"/>
  <c r="AC62" i="1" s="1"/>
  <c r="AE62" i="1" s="1"/>
  <c r="AG62" i="1" s="1"/>
  <c r="AI62" i="1" s="1"/>
  <c r="AK62" i="1" s="1"/>
  <c r="AM62" i="1" s="1"/>
  <c r="J62" i="1"/>
  <c r="H62" i="1"/>
  <c r="I62" i="1" s="1"/>
  <c r="AD61" i="1"/>
  <c r="AE61" i="1" s="1"/>
  <c r="AB61" i="1"/>
  <c r="AC61" i="1" s="1"/>
  <c r="AB60" i="1"/>
  <c r="AC60" i="1" s="1"/>
  <c r="D59" i="1"/>
  <c r="AV57" i="1"/>
  <c r="AO57" i="1"/>
  <c r="AV56" i="1"/>
  <c r="AN56" i="1"/>
  <c r="AO56" i="1" s="1"/>
  <c r="AV55" i="1"/>
  <c r="AN55" i="1"/>
  <c r="AQ55" i="1" s="1"/>
  <c r="AL55" i="1"/>
  <c r="AM55" i="1" s="1"/>
  <c r="AO55" i="1" s="1"/>
  <c r="AP55" i="1" s="1"/>
  <c r="AV54" i="1"/>
  <c r="AL54" i="1"/>
  <c r="AN54" i="1" s="1"/>
  <c r="AQ54" i="1" s="1"/>
  <c r="AK54" i="1"/>
  <c r="AJ54" i="1"/>
  <c r="AV53" i="1"/>
  <c r="AL53" i="1"/>
  <c r="AN53" i="1" s="1"/>
  <c r="AQ53" i="1" s="1"/>
  <c r="AK53" i="1"/>
  <c r="AM53" i="1" s="1"/>
  <c r="AJ53" i="1"/>
  <c r="AH53" i="1"/>
  <c r="AI53" i="1" s="1"/>
  <c r="AV52" i="1"/>
  <c r="AL52" i="1"/>
  <c r="AN52" i="1" s="1"/>
  <c r="AQ52" i="1" s="1"/>
  <c r="AJ52" i="1"/>
  <c r="AK52" i="1" s="1"/>
  <c r="AH52" i="1"/>
  <c r="AI52" i="1" s="1"/>
  <c r="AF52" i="1"/>
  <c r="AV51" i="1"/>
  <c r="AL51" i="1"/>
  <c r="AN51" i="1" s="1"/>
  <c r="AQ51" i="1" s="1"/>
  <c r="AJ51" i="1"/>
  <c r="AH51" i="1"/>
  <c r="AF51" i="1"/>
  <c r="AD51" i="1"/>
  <c r="AB51" i="1"/>
  <c r="AC51" i="1" s="1"/>
  <c r="AV50" i="1"/>
  <c r="AL50" i="1"/>
  <c r="AN50" i="1" s="1"/>
  <c r="AQ50" i="1" s="1"/>
  <c r="AJ50" i="1"/>
  <c r="AH50" i="1"/>
  <c r="AF50" i="1"/>
  <c r="AD50" i="1"/>
  <c r="AB50" i="1"/>
  <c r="AC50" i="1" s="1"/>
  <c r="AV49" i="1"/>
  <c r="AL49" i="1"/>
  <c r="AN49" i="1" s="1"/>
  <c r="AQ49" i="1" s="1"/>
  <c r="AJ49" i="1"/>
  <c r="AH49" i="1"/>
  <c r="AF49" i="1"/>
  <c r="AD49" i="1"/>
  <c r="AC49" i="1"/>
  <c r="AB49" i="1"/>
  <c r="AV48" i="1"/>
  <c r="Z48" i="1"/>
  <c r="AB48" i="1" s="1"/>
  <c r="AD48" i="1" s="1"/>
  <c r="AF48" i="1" s="1"/>
  <c r="AH48" i="1" s="1"/>
  <c r="AJ48" i="1" s="1"/>
  <c r="AL48" i="1" s="1"/>
  <c r="AN48" i="1" s="1"/>
  <c r="AQ48" i="1" s="1"/>
  <c r="Y48" i="1"/>
  <c r="AV47" i="1"/>
  <c r="AB47" i="1"/>
  <c r="AD47" i="1" s="1"/>
  <c r="AF47" i="1" s="1"/>
  <c r="AH47" i="1" s="1"/>
  <c r="AJ47" i="1" s="1"/>
  <c r="AL47" i="1" s="1"/>
  <c r="AN47" i="1" s="1"/>
  <c r="Y47" i="1"/>
  <c r="AA47" i="1" s="1"/>
  <c r="W47" i="1"/>
  <c r="AV46" i="1"/>
  <c r="AB46" i="1"/>
  <c r="AD46" i="1" s="1"/>
  <c r="AF46" i="1" s="1"/>
  <c r="AH46" i="1" s="1"/>
  <c r="AJ46" i="1" s="1"/>
  <c r="AL46" i="1" s="1"/>
  <c r="AN46" i="1" s="1"/>
  <c r="W46" i="1"/>
  <c r="Y46" i="1" s="1"/>
  <c r="AA46" i="1" s="1"/>
  <c r="AC46" i="1" s="1"/>
  <c r="AE46" i="1" s="1"/>
  <c r="AG46" i="1" s="1"/>
  <c r="AI46" i="1" s="1"/>
  <c r="AK46" i="1" s="1"/>
  <c r="AM46" i="1" s="1"/>
  <c r="AO46" i="1" s="1"/>
  <c r="AV45" i="1"/>
  <c r="AF45" i="1"/>
  <c r="AH45" i="1" s="1"/>
  <c r="AJ45" i="1" s="1"/>
  <c r="AL45" i="1" s="1"/>
  <c r="AN45" i="1" s="1"/>
  <c r="AB45" i="1"/>
  <c r="AD45" i="1" s="1"/>
  <c r="W45" i="1"/>
  <c r="Y45" i="1" s="1"/>
  <c r="AA45" i="1" s="1"/>
  <c r="AV44" i="1"/>
  <c r="AB44" i="1"/>
  <c r="AD44" i="1" s="1"/>
  <c r="AF44" i="1" s="1"/>
  <c r="AH44" i="1" s="1"/>
  <c r="AJ44" i="1" s="1"/>
  <c r="AL44" i="1" s="1"/>
  <c r="W44" i="1"/>
  <c r="Y44" i="1" s="1"/>
  <c r="AA44" i="1" s="1"/>
  <c r="AC44" i="1" s="1"/>
  <c r="AE44" i="1" s="1"/>
  <c r="AG44" i="1" s="1"/>
  <c r="AI44" i="1" s="1"/>
  <c r="AK44" i="1" s="1"/>
  <c r="AM44" i="1" s="1"/>
  <c r="AO44" i="1" s="1"/>
  <c r="V44" i="1"/>
  <c r="AV43" i="1"/>
  <c r="AQ43" i="1"/>
  <c r="AL43" i="1"/>
  <c r="V43" i="1"/>
  <c r="X43" i="1" s="1"/>
  <c r="Z43" i="1" s="1"/>
  <c r="AB43" i="1" s="1"/>
  <c r="AD43" i="1" s="1"/>
  <c r="AF43" i="1" s="1"/>
  <c r="AH43" i="1" s="1"/>
  <c r="AJ43" i="1" s="1"/>
  <c r="T43" i="1"/>
  <c r="R43" i="1"/>
  <c r="S43" i="1" s="1"/>
  <c r="U43" i="1" s="1"/>
  <c r="W43" i="1" s="1"/>
  <c r="Y43" i="1" s="1"/>
  <c r="AV42" i="1"/>
  <c r="AN42" i="1"/>
  <c r="AQ42" i="1" s="1"/>
  <c r="AJ42" i="1"/>
  <c r="R42" i="1"/>
  <c r="T42" i="1" s="1"/>
  <c r="V42" i="1" s="1"/>
  <c r="X42" i="1" s="1"/>
  <c r="Z42" i="1" s="1"/>
  <c r="AB42" i="1" s="1"/>
  <c r="AD42" i="1" s="1"/>
  <c r="AF42" i="1" s="1"/>
  <c r="AH42" i="1" s="1"/>
  <c r="AV41" i="1"/>
  <c r="AQ41" i="1"/>
  <c r="AN41" i="1"/>
  <c r="AH41" i="1"/>
  <c r="R41" i="1"/>
  <c r="P41" i="1"/>
  <c r="N41" i="1"/>
  <c r="O41" i="1" s="1"/>
  <c r="AV40" i="1"/>
  <c r="AN40" i="1"/>
  <c r="AQ40" i="1" s="1"/>
  <c r="AF40" i="1"/>
  <c r="R40" i="1"/>
  <c r="T40" i="1" s="1"/>
  <c r="V40" i="1" s="1"/>
  <c r="X40" i="1" s="1"/>
  <c r="Z40" i="1" s="1"/>
  <c r="AB40" i="1" s="1"/>
  <c r="AD40" i="1" s="1"/>
  <c r="P40" i="1"/>
  <c r="O40" i="1"/>
  <c r="N40" i="1"/>
  <c r="M40" i="1"/>
  <c r="AV39" i="1"/>
  <c r="AN39" i="1"/>
  <c r="AQ39" i="1" s="1"/>
  <c r="AF39" i="1"/>
  <c r="V39" i="1"/>
  <c r="X39" i="1" s="1"/>
  <c r="Z39" i="1" s="1"/>
  <c r="AB39" i="1" s="1"/>
  <c r="AD39" i="1" s="1"/>
  <c r="R39" i="1"/>
  <c r="T39" i="1" s="1"/>
  <c r="P39" i="1"/>
  <c r="N39" i="1"/>
  <c r="L39" i="1"/>
  <c r="M39" i="1" s="1"/>
  <c r="AV38" i="1"/>
  <c r="AN38" i="1"/>
  <c r="AQ38" i="1" s="1"/>
  <c r="AD38" i="1"/>
  <c r="R38" i="1"/>
  <c r="T38" i="1" s="1"/>
  <c r="V38" i="1" s="1"/>
  <c r="X38" i="1" s="1"/>
  <c r="Z38" i="1" s="1"/>
  <c r="AB38" i="1" s="1"/>
  <c r="P38" i="1"/>
  <c r="N38" i="1"/>
  <c r="L38" i="1"/>
  <c r="M38" i="1" s="1"/>
  <c r="AV37" i="1"/>
  <c r="AN37" i="1"/>
  <c r="AQ37" i="1" s="1"/>
  <c r="AB37" i="1"/>
  <c r="AA37" i="1"/>
  <c r="AC37" i="1" s="1"/>
  <c r="AE37" i="1" s="1"/>
  <c r="AG37" i="1" s="1"/>
  <c r="AI37" i="1" s="1"/>
  <c r="AK37" i="1" s="1"/>
  <c r="AM37" i="1" s="1"/>
  <c r="AO37" i="1" s="1"/>
  <c r="S37" i="1"/>
  <c r="U37" i="1" s="1"/>
  <c r="W37" i="1" s="1"/>
  <c r="Y37" i="1" s="1"/>
  <c r="R37" i="1"/>
  <c r="T37" i="1" s="1"/>
  <c r="V37" i="1" s="1"/>
  <c r="X37" i="1" s="1"/>
  <c r="Z37" i="1" s="1"/>
  <c r="P37" i="1"/>
  <c r="N37" i="1"/>
  <c r="L37" i="1"/>
  <c r="J37" i="1"/>
  <c r="I37" i="1"/>
  <c r="H37" i="1"/>
  <c r="AV36" i="1"/>
  <c r="AN36" i="1"/>
  <c r="AQ36" i="1" s="1"/>
  <c r="Z36" i="1"/>
  <c r="X36" i="1"/>
  <c r="V36" i="1"/>
  <c r="R36" i="1"/>
  <c r="T36" i="1" s="1"/>
  <c r="P36" i="1"/>
  <c r="N36" i="1"/>
  <c r="L36" i="1"/>
  <c r="J36" i="1"/>
  <c r="H36" i="1"/>
  <c r="I36" i="1" s="1"/>
  <c r="AV35" i="1"/>
  <c r="AH35" i="1"/>
  <c r="AJ35" i="1" s="1"/>
  <c r="AL35" i="1" s="1"/>
  <c r="AN35" i="1" s="1"/>
  <c r="AQ35" i="1" s="1"/>
  <c r="AD35" i="1"/>
  <c r="AF35" i="1" s="1"/>
  <c r="AB35" i="1"/>
  <c r="X35" i="1"/>
  <c r="R35" i="1"/>
  <c r="T35" i="1" s="1"/>
  <c r="V35" i="1" s="1"/>
  <c r="P35" i="1"/>
  <c r="N35" i="1"/>
  <c r="L35" i="1"/>
  <c r="J35" i="1"/>
  <c r="H35" i="1"/>
  <c r="G35" i="1"/>
  <c r="I35" i="1" s="1"/>
  <c r="K35" i="1" s="1"/>
  <c r="M35" i="1" s="1"/>
  <c r="O35" i="1" s="1"/>
  <c r="Q35" i="1" s="1"/>
  <c r="S35" i="1" s="1"/>
  <c r="U35" i="1" s="1"/>
  <c r="W35" i="1" s="1"/>
  <c r="Y35" i="1" s="1"/>
  <c r="AA35" i="1" s="1"/>
  <c r="AC35" i="1" s="1"/>
  <c r="AE35" i="1" s="1"/>
  <c r="AG35" i="1" s="1"/>
  <c r="AI35" i="1" s="1"/>
  <c r="AK35" i="1" s="1"/>
  <c r="AM35" i="1" s="1"/>
  <c r="AO35" i="1" s="1"/>
  <c r="AV34" i="1"/>
  <c r="AB34" i="1"/>
  <c r="AD34" i="1" s="1"/>
  <c r="AF34" i="1" s="1"/>
  <c r="AH34" i="1" s="1"/>
  <c r="AJ34" i="1" s="1"/>
  <c r="AL34" i="1" s="1"/>
  <c r="AN34" i="1" s="1"/>
  <c r="AQ34" i="1" s="1"/>
  <c r="V34" i="1"/>
  <c r="S34" i="1"/>
  <c r="U34" i="1" s="1"/>
  <c r="W34" i="1" s="1"/>
  <c r="Y34" i="1" s="1"/>
  <c r="AA34" i="1" s="1"/>
  <c r="AC34" i="1" s="1"/>
  <c r="AE34" i="1" s="1"/>
  <c r="R34" i="1"/>
  <c r="T34" i="1" s="1"/>
  <c r="P34" i="1"/>
  <c r="N34" i="1"/>
  <c r="L34" i="1"/>
  <c r="J34" i="1"/>
  <c r="I34" i="1"/>
  <c r="K34" i="1" s="1"/>
  <c r="M34" i="1" s="1"/>
  <c r="H34" i="1"/>
  <c r="G34" i="1"/>
  <c r="AV33" i="1"/>
  <c r="AB33" i="1"/>
  <c r="AD33" i="1" s="1"/>
  <c r="AF33" i="1" s="1"/>
  <c r="AH33" i="1" s="1"/>
  <c r="AJ33" i="1" s="1"/>
  <c r="AL33" i="1" s="1"/>
  <c r="AN33" i="1" s="1"/>
  <c r="AQ33" i="1" s="1"/>
  <c r="R33" i="1"/>
  <c r="P33" i="1"/>
  <c r="N33" i="1"/>
  <c r="L33" i="1"/>
  <c r="J33" i="1"/>
  <c r="H33" i="1"/>
  <c r="I33" i="1" s="1"/>
  <c r="K33" i="1" s="1"/>
  <c r="G33" i="1"/>
  <c r="AV32" i="1"/>
  <c r="V32" i="1"/>
  <c r="X32" i="1" s="1"/>
  <c r="Z32" i="1" s="1"/>
  <c r="AB32" i="1" s="1"/>
  <c r="AD32" i="1" s="1"/>
  <c r="AF32" i="1" s="1"/>
  <c r="AH32" i="1" s="1"/>
  <c r="AJ32" i="1" s="1"/>
  <c r="AL32" i="1" s="1"/>
  <c r="AN32" i="1" s="1"/>
  <c r="AQ32" i="1" s="1"/>
  <c r="U32" i="1"/>
  <c r="N32" i="1"/>
  <c r="L32" i="1"/>
  <c r="J32" i="1"/>
  <c r="H32" i="1"/>
  <c r="I32" i="1" s="1"/>
  <c r="K32" i="1" s="1"/>
  <c r="M32" i="1" s="1"/>
  <c r="O32" i="1" s="1"/>
  <c r="Q32" i="1" s="1"/>
  <c r="AV31" i="1"/>
  <c r="AB31" i="1"/>
  <c r="X31" i="1"/>
  <c r="Z31" i="1" s="1"/>
  <c r="V31" i="1"/>
  <c r="U31" i="1"/>
  <c r="W31" i="1" s="1"/>
  <c r="N31" i="1"/>
  <c r="L31" i="1"/>
  <c r="J31" i="1"/>
  <c r="H31" i="1"/>
  <c r="G31" i="1"/>
  <c r="AB30" i="1"/>
  <c r="AD30" i="1" s="1"/>
  <c r="G29" i="1"/>
  <c r="D29" i="1"/>
  <c r="AV28" i="1"/>
  <c r="AL28" i="1"/>
  <c r="AN28" i="1" s="1"/>
  <c r="AQ28" i="1" s="1"/>
  <c r="AJ28" i="1"/>
  <c r="AH28" i="1"/>
  <c r="AF28" i="1"/>
  <c r="AC28" i="1"/>
  <c r="AE28" i="1" s="1"/>
  <c r="AB28" i="1"/>
  <c r="AD28" i="1" s="1"/>
  <c r="AV27" i="1"/>
  <c r="AF27" i="1"/>
  <c r="AH27" i="1" s="1"/>
  <c r="AJ27" i="1" s="1"/>
  <c r="AL27" i="1" s="1"/>
  <c r="AN27" i="1" s="1"/>
  <c r="AQ27" i="1" s="1"/>
  <c r="AB27" i="1"/>
  <c r="AD27" i="1" s="1"/>
  <c r="W27" i="1"/>
  <c r="Y27" i="1" s="1"/>
  <c r="AA27" i="1" s="1"/>
  <c r="AC27" i="1" s="1"/>
  <c r="AE27" i="1" s="1"/>
  <c r="AG27" i="1" s="1"/>
  <c r="AI27" i="1" s="1"/>
  <c r="AK27" i="1" s="1"/>
  <c r="AM27" i="1" s="1"/>
  <c r="AO27" i="1" s="1"/>
  <c r="AV26" i="1"/>
  <c r="AB26" i="1"/>
  <c r="AD26" i="1" s="1"/>
  <c r="AF26" i="1" s="1"/>
  <c r="AH26" i="1" s="1"/>
  <c r="AJ26" i="1" s="1"/>
  <c r="AL26" i="1" s="1"/>
  <c r="AN26" i="1" s="1"/>
  <c r="AQ26" i="1" s="1"/>
  <c r="W26" i="1"/>
  <c r="Y26" i="1" s="1"/>
  <c r="AA26" i="1" s="1"/>
  <c r="AC26" i="1" s="1"/>
  <c r="AE26" i="1" s="1"/>
  <c r="AG26" i="1" s="1"/>
  <c r="AI26" i="1" s="1"/>
  <c r="AK26" i="1" s="1"/>
  <c r="AM26" i="1" s="1"/>
  <c r="AO26" i="1" s="1"/>
  <c r="AV25" i="1"/>
  <c r="T25" i="1"/>
  <c r="V25" i="1" s="1"/>
  <c r="X25" i="1" s="1"/>
  <c r="Z25" i="1" s="1"/>
  <c r="AB25" i="1" s="1"/>
  <c r="AD25" i="1" s="1"/>
  <c r="AF25" i="1" s="1"/>
  <c r="AH25" i="1" s="1"/>
  <c r="AJ25" i="1" s="1"/>
  <c r="AL25" i="1" s="1"/>
  <c r="AN25" i="1" s="1"/>
  <c r="AQ25" i="1" s="1"/>
  <c r="R25" i="1"/>
  <c r="S25" i="1" s="1"/>
  <c r="AV24" i="1"/>
  <c r="X24" i="1"/>
  <c r="Z24" i="1" s="1"/>
  <c r="AB24" i="1" s="1"/>
  <c r="AD24" i="1" s="1"/>
  <c r="AF24" i="1" s="1"/>
  <c r="AH24" i="1" s="1"/>
  <c r="AJ24" i="1" s="1"/>
  <c r="AL24" i="1" s="1"/>
  <c r="AN24" i="1" s="1"/>
  <c r="AQ24" i="1" s="1"/>
  <c r="T24" i="1"/>
  <c r="V24" i="1" s="1"/>
  <c r="R24" i="1"/>
  <c r="S24" i="1" s="1"/>
  <c r="U24" i="1" s="1"/>
  <c r="W24" i="1" s="1"/>
  <c r="AV23" i="1"/>
  <c r="R23" i="1"/>
  <c r="AV22" i="1"/>
  <c r="R22" i="1"/>
  <c r="AV21" i="1"/>
  <c r="T21" i="1"/>
  <c r="V21" i="1" s="1"/>
  <c r="X21" i="1" s="1"/>
  <c r="Z21" i="1" s="1"/>
  <c r="AB21" i="1" s="1"/>
  <c r="AD21" i="1" s="1"/>
  <c r="AF21" i="1" s="1"/>
  <c r="AH21" i="1" s="1"/>
  <c r="AJ21" i="1" s="1"/>
  <c r="AL21" i="1" s="1"/>
  <c r="AN21" i="1" s="1"/>
  <c r="AQ21" i="1" s="1"/>
  <c r="R21" i="1"/>
  <c r="P21" i="1"/>
  <c r="O21" i="1"/>
  <c r="Q21" i="1" s="1"/>
  <c r="S21" i="1" s="1"/>
  <c r="N21" i="1"/>
  <c r="AV20" i="1"/>
  <c r="R20" i="1"/>
  <c r="T20" i="1" s="1"/>
  <c r="V20" i="1" s="1"/>
  <c r="X20" i="1" s="1"/>
  <c r="Z20" i="1" s="1"/>
  <c r="AB20" i="1" s="1"/>
  <c r="AD20" i="1" s="1"/>
  <c r="AF20" i="1" s="1"/>
  <c r="AH20" i="1" s="1"/>
  <c r="AJ20" i="1" s="1"/>
  <c r="AL20" i="1" s="1"/>
  <c r="AN20" i="1" s="1"/>
  <c r="AQ20" i="1" s="1"/>
  <c r="P20" i="1"/>
  <c r="N20" i="1"/>
  <c r="M20" i="1"/>
  <c r="O20" i="1" s="1"/>
  <c r="L20" i="1"/>
  <c r="AV19" i="1"/>
  <c r="R19" i="1"/>
  <c r="T19" i="1" s="1"/>
  <c r="V19" i="1" s="1"/>
  <c r="X19" i="1" s="1"/>
  <c r="Z19" i="1" s="1"/>
  <c r="AB19" i="1" s="1"/>
  <c r="AD19" i="1" s="1"/>
  <c r="AF19" i="1" s="1"/>
  <c r="AH19" i="1" s="1"/>
  <c r="AJ19" i="1" s="1"/>
  <c r="AL19" i="1" s="1"/>
  <c r="AN19" i="1" s="1"/>
  <c r="AQ19" i="1" s="1"/>
  <c r="P19" i="1"/>
  <c r="N19" i="1"/>
  <c r="L19" i="1"/>
  <c r="M19" i="1" s="1"/>
  <c r="O19" i="1" s="1"/>
  <c r="AV18" i="1"/>
  <c r="V18" i="1"/>
  <c r="X18" i="1" s="1"/>
  <c r="Z18" i="1" s="1"/>
  <c r="AB18" i="1" s="1"/>
  <c r="AD18" i="1" s="1"/>
  <c r="AF18" i="1" s="1"/>
  <c r="AH18" i="1" s="1"/>
  <c r="AJ18" i="1" s="1"/>
  <c r="AL18" i="1" s="1"/>
  <c r="AN18" i="1" s="1"/>
  <c r="AQ18" i="1" s="1"/>
  <c r="R18" i="1"/>
  <c r="T18" i="1" s="1"/>
  <c r="P18" i="1"/>
  <c r="N18" i="1"/>
  <c r="L18" i="1"/>
  <c r="M18" i="1" s="1"/>
  <c r="O18" i="1" s="1"/>
  <c r="Q18" i="1" s="1"/>
  <c r="S18" i="1" s="1"/>
  <c r="U18" i="1" s="1"/>
  <c r="W18" i="1" s="1"/>
  <c r="Y18" i="1" s="1"/>
  <c r="AV17" i="1"/>
  <c r="R17" i="1"/>
  <c r="T17" i="1" s="1"/>
  <c r="V17" i="1" s="1"/>
  <c r="X17" i="1" s="1"/>
  <c r="Z17" i="1" s="1"/>
  <c r="AB17" i="1" s="1"/>
  <c r="AD17" i="1" s="1"/>
  <c r="AF17" i="1" s="1"/>
  <c r="AH17" i="1" s="1"/>
  <c r="AJ17" i="1" s="1"/>
  <c r="AL17" i="1" s="1"/>
  <c r="AN17" i="1" s="1"/>
  <c r="AQ17" i="1" s="1"/>
  <c r="P17" i="1"/>
  <c r="N17" i="1"/>
  <c r="D17" i="1"/>
  <c r="L17" i="1" s="1"/>
  <c r="M17" i="1" s="1"/>
  <c r="O17" i="1" s="1"/>
  <c r="AV16" i="1"/>
  <c r="T16" i="1"/>
  <c r="V16" i="1" s="1"/>
  <c r="X16" i="1" s="1"/>
  <c r="Z16" i="1" s="1"/>
  <c r="AB16" i="1" s="1"/>
  <c r="AD16" i="1" s="1"/>
  <c r="AF16" i="1" s="1"/>
  <c r="AH16" i="1" s="1"/>
  <c r="AJ16" i="1" s="1"/>
  <c r="AL16" i="1" s="1"/>
  <c r="AN16" i="1" s="1"/>
  <c r="AQ16" i="1" s="1"/>
  <c r="R16" i="1"/>
  <c r="P16" i="1"/>
  <c r="N16" i="1"/>
  <c r="L16" i="1"/>
  <c r="M16" i="1" s="1"/>
  <c r="AV15" i="1"/>
  <c r="R15" i="1"/>
  <c r="T15" i="1" s="1"/>
  <c r="V15" i="1" s="1"/>
  <c r="X15" i="1" s="1"/>
  <c r="Z15" i="1" s="1"/>
  <c r="AB15" i="1" s="1"/>
  <c r="AD15" i="1" s="1"/>
  <c r="AF15" i="1" s="1"/>
  <c r="AH15" i="1" s="1"/>
  <c r="AJ15" i="1" s="1"/>
  <c r="AL15" i="1" s="1"/>
  <c r="AN15" i="1" s="1"/>
  <c r="AQ15" i="1" s="1"/>
  <c r="P15" i="1"/>
  <c r="N15" i="1"/>
  <c r="L15" i="1"/>
  <c r="K15" i="1"/>
  <c r="J15" i="1"/>
  <c r="H15" i="1"/>
  <c r="I15" i="1" s="1"/>
  <c r="AV14" i="1"/>
  <c r="T14" i="1"/>
  <c r="V14" i="1" s="1"/>
  <c r="X14" i="1" s="1"/>
  <c r="R14" i="1"/>
  <c r="P14" i="1"/>
  <c r="N14" i="1"/>
  <c r="L14" i="1"/>
  <c r="J14" i="1"/>
  <c r="J29" i="1" s="1"/>
  <c r="H14" i="1"/>
  <c r="G11" i="1"/>
  <c r="D11" i="1"/>
  <c r="AV10" i="1"/>
  <c r="R10" i="1"/>
  <c r="T10" i="1" s="1"/>
  <c r="V10" i="1" s="1"/>
  <c r="X10" i="1" s="1"/>
  <c r="Z10" i="1" s="1"/>
  <c r="AB10" i="1" s="1"/>
  <c r="AD10" i="1" s="1"/>
  <c r="AF10" i="1" s="1"/>
  <c r="AH10" i="1" s="1"/>
  <c r="AJ10" i="1" s="1"/>
  <c r="AL10" i="1" s="1"/>
  <c r="AN10" i="1" s="1"/>
  <c r="AQ10" i="1" s="1"/>
  <c r="P10" i="1"/>
  <c r="N10" i="1"/>
  <c r="O10" i="1" s="1"/>
  <c r="L10" i="1"/>
  <c r="M10" i="1" s="1"/>
  <c r="AV9" i="1"/>
  <c r="R9" i="1"/>
  <c r="T9" i="1" s="1"/>
  <c r="V9" i="1" s="1"/>
  <c r="X9" i="1" s="1"/>
  <c r="Z9" i="1" s="1"/>
  <c r="AB9" i="1" s="1"/>
  <c r="AD9" i="1" s="1"/>
  <c r="AF9" i="1" s="1"/>
  <c r="AH9" i="1" s="1"/>
  <c r="AJ9" i="1" s="1"/>
  <c r="AL9" i="1" s="1"/>
  <c r="AN9" i="1" s="1"/>
  <c r="AQ9" i="1" s="1"/>
  <c r="P9" i="1"/>
  <c r="N9" i="1"/>
  <c r="L9" i="1"/>
  <c r="J9" i="1"/>
  <c r="H9" i="1"/>
  <c r="I9" i="1" s="1"/>
  <c r="K9" i="1" s="1"/>
  <c r="M9" i="1" s="1"/>
  <c r="O9" i="1" s="1"/>
  <c r="Q9" i="1" s="1"/>
  <c r="S9" i="1" s="1"/>
  <c r="U9" i="1" s="1"/>
  <c r="W9" i="1" s="1"/>
  <c r="Y9" i="1" s="1"/>
  <c r="AA9" i="1" s="1"/>
  <c r="AC9" i="1" s="1"/>
  <c r="AE9" i="1" s="1"/>
  <c r="AG9" i="1" s="1"/>
  <c r="AV8" i="1"/>
  <c r="V8" i="1"/>
  <c r="X8" i="1" s="1"/>
  <c r="Z8" i="1" s="1"/>
  <c r="AB8" i="1" s="1"/>
  <c r="AD8" i="1" s="1"/>
  <c r="AF8" i="1" s="1"/>
  <c r="AH8" i="1" s="1"/>
  <c r="AJ8" i="1" s="1"/>
  <c r="AL8" i="1" s="1"/>
  <c r="AN8" i="1" s="1"/>
  <c r="AQ8" i="1" s="1"/>
  <c r="R8" i="1"/>
  <c r="T8" i="1" s="1"/>
  <c r="P8" i="1"/>
  <c r="N8" i="1"/>
  <c r="L8" i="1"/>
  <c r="J8" i="1"/>
  <c r="H8" i="1"/>
  <c r="I8" i="1" s="1"/>
  <c r="G8" i="1"/>
  <c r="AV7" i="1"/>
  <c r="R7" i="1"/>
  <c r="P7" i="1"/>
  <c r="N7" i="1"/>
  <c r="N11" i="1" s="1"/>
  <c r="L7" i="1"/>
  <c r="L11" i="1" s="1"/>
  <c r="J7" i="1"/>
  <c r="H7" i="1"/>
  <c r="I7" i="1" s="1"/>
  <c r="G7" i="1"/>
  <c r="AA18" i="1" l="1"/>
  <c r="AC18" i="1" s="1"/>
  <c r="AE18" i="1" s="1"/>
  <c r="AG18" i="1" s="1"/>
  <c r="AI18" i="1" s="1"/>
  <c r="AK18" i="1" s="1"/>
  <c r="AM18" i="1" s="1"/>
  <c r="AO18" i="1" s="1"/>
  <c r="AL110" i="1"/>
  <c r="AN110" i="1" s="1"/>
  <c r="AK110" i="1"/>
  <c r="AM110" i="1" s="1"/>
  <c r="Y122" i="1"/>
  <c r="AA122" i="1" s="1"/>
  <c r="AC122" i="1" s="1"/>
  <c r="AE122" i="1" s="1"/>
  <c r="AG122" i="1" s="1"/>
  <c r="AI122" i="1" s="1"/>
  <c r="AK122" i="1" s="1"/>
  <c r="AM122" i="1" s="1"/>
  <c r="AO122" i="1" s="1"/>
  <c r="AA43" i="1"/>
  <c r="AC43" i="1" s="1"/>
  <c r="AE43" i="1" s="1"/>
  <c r="AG43" i="1" s="1"/>
  <c r="AI43" i="1" s="1"/>
  <c r="AK43" i="1" s="1"/>
  <c r="AM43" i="1" s="1"/>
  <c r="AO43" i="1" s="1"/>
  <c r="AP43" i="1" s="1"/>
  <c r="Z77" i="1"/>
  <c r="AB77" i="1" s="1"/>
  <c r="AD77" i="1" s="1"/>
  <c r="AF77" i="1" s="1"/>
  <c r="AH77" i="1" s="1"/>
  <c r="L29" i="1"/>
  <c r="AO53" i="1"/>
  <c r="AC47" i="1"/>
  <c r="AE47" i="1" s="1"/>
  <c r="AG47" i="1" s="1"/>
  <c r="AD60" i="1"/>
  <c r="AD113" i="1"/>
  <c r="AF113" i="1" s="1"/>
  <c r="AH113" i="1" s="1"/>
  <c r="AJ113" i="1" s="1"/>
  <c r="AL113" i="1" s="1"/>
  <c r="I121" i="1"/>
  <c r="K121" i="1" s="1"/>
  <c r="M121" i="1" s="1"/>
  <c r="O121" i="1" s="1"/>
  <c r="Q121" i="1" s="1"/>
  <c r="Q126" i="1" s="1"/>
  <c r="R11" i="1"/>
  <c r="AV29" i="1"/>
  <c r="O16" i="1"/>
  <c r="AE51" i="1"/>
  <c r="AG51" i="1" s="1"/>
  <c r="AI51" i="1" s="1"/>
  <c r="AK51" i="1" s="1"/>
  <c r="AM51" i="1" s="1"/>
  <c r="AO51" i="1" s="1"/>
  <c r="P77" i="1"/>
  <c r="H91" i="1"/>
  <c r="AQ100" i="1"/>
  <c r="P107" i="1"/>
  <c r="U114" i="1"/>
  <c r="J126" i="1"/>
  <c r="AG34" i="1"/>
  <c r="AI34" i="1" s="1"/>
  <c r="AK34" i="1" s="1"/>
  <c r="AM34" i="1" s="1"/>
  <c r="AO34" i="1" s="1"/>
  <c r="P11" i="1"/>
  <c r="J77" i="1"/>
  <c r="AV11" i="1"/>
  <c r="J11" i="1"/>
  <c r="N29" i="1"/>
  <c r="Q19" i="1"/>
  <c r="Q20" i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AM20" i="1" s="1"/>
  <c r="AO20" i="1" s="1"/>
  <c r="AP20" i="1" s="1"/>
  <c r="S42" i="1"/>
  <c r="U42" i="1" s="1"/>
  <c r="N77" i="1"/>
  <c r="H77" i="1"/>
  <c r="Q71" i="1"/>
  <c r="S71" i="1" s="1"/>
  <c r="U71" i="1" s="1"/>
  <c r="W71" i="1" s="1"/>
  <c r="Y71" i="1" s="1"/>
  <c r="AA71" i="1" s="1"/>
  <c r="AC71" i="1" s="1"/>
  <c r="AE71" i="1" s="1"/>
  <c r="AG71" i="1" s="1"/>
  <c r="AI71" i="1" s="1"/>
  <c r="J91" i="1"/>
  <c r="AR89" i="1"/>
  <c r="AS89" i="1" s="1"/>
  <c r="I104" i="1"/>
  <c r="I107" i="1" s="1"/>
  <c r="H107" i="1"/>
  <c r="H114" i="1"/>
  <c r="AD118" i="1"/>
  <c r="AF118" i="1" s="1"/>
  <c r="AH118" i="1" s="1"/>
  <c r="AJ118" i="1" s="1"/>
  <c r="AK118" i="1" s="1"/>
  <c r="AE60" i="1"/>
  <c r="P29" i="1"/>
  <c r="H59" i="1"/>
  <c r="K36" i="1"/>
  <c r="M36" i="1" s="1"/>
  <c r="O36" i="1" s="1"/>
  <c r="Q36" i="1" s="1"/>
  <c r="S36" i="1" s="1"/>
  <c r="U36" i="1" s="1"/>
  <c r="K37" i="1"/>
  <c r="M37" i="1" s="1"/>
  <c r="O37" i="1" s="1"/>
  <c r="O38" i="1"/>
  <c r="Q38" i="1" s="1"/>
  <c r="S38" i="1" s="1"/>
  <c r="U38" i="1" s="1"/>
  <c r="W38" i="1" s="1"/>
  <c r="Y38" i="1" s="1"/>
  <c r="AA38" i="1" s="1"/>
  <c r="AC38" i="1" s="1"/>
  <c r="AE38" i="1" s="1"/>
  <c r="AG38" i="1" s="1"/>
  <c r="AI38" i="1" s="1"/>
  <c r="AK38" i="1" s="1"/>
  <c r="AM38" i="1" s="1"/>
  <c r="AO38" i="1" s="1"/>
  <c r="AC45" i="1"/>
  <c r="AE45" i="1" s="1"/>
  <c r="AG45" i="1" s="1"/>
  <c r="AI45" i="1" s="1"/>
  <c r="AK45" i="1" s="1"/>
  <c r="AM45" i="1" s="1"/>
  <c r="AO45" i="1" s="1"/>
  <c r="AP45" i="1" s="1"/>
  <c r="AR67" i="1"/>
  <c r="AS67" i="1" s="1"/>
  <c r="I69" i="1"/>
  <c r="L91" i="1"/>
  <c r="Y95" i="1"/>
  <c r="AL100" i="1"/>
  <c r="J107" i="1"/>
  <c r="K8" i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Q10" i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AM10" i="1" s="1"/>
  <c r="AO10" i="1" s="1"/>
  <c r="AG28" i="1"/>
  <c r="AI28" i="1" s="1"/>
  <c r="AK28" i="1" s="1"/>
  <c r="AM28" i="1" s="1"/>
  <c r="AO28" i="1" s="1"/>
  <c r="Q40" i="1"/>
  <c r="S40" i="1" s="1"/>
  <c r="U40" i="1" s="1"/>
  <c r="W40" i="1" s="1"/>
  <c r="Y40" i="1" s="1"/>
  <c r="AA40" i="1" s="1"/>
  <c r="AC40" i="1" s="1"/>
  <c r="AE40" i="1" s="1"/>
  <c r="AG40" i="1" s="1"/>
  <c r="AI40" i="1" s="1"/>
  <c r="AK40" i="1" s="1"/>
  <c r="AM40" i="1" s="1"/>
  <c r="AO40" i="1" s="1"/>
  <c r="AR40" i="1" s="1"/>
  <c r="AS40" i="1" s="1"/>
  <c r="AA48" i="1"/>
  <c r="AC48" i="1" s="1"/>
  <c r="AE48" i="1" s="1"/>
  <c r="AG48" i="1" s="1"/>
  <c r="AI48" i="1" s="1"/>
  <c r="W73" i="1"/>
  <c r="Y73" i="1" s="1"/>
  <c r="AA73" i="1" s="1"/>
  <c r="AC73" i="1" s="1"/>
  <c r="AE73" i="1" s="1"/>
  <c r="AG73" i="1" s="1"/>
  <c r="AI73" i="1" s="1"/>
  <c r="AK73" i="1" s="1"/>
  <c r="AM73" i="1" s="1"/>
  <c r="AO73" i="1" s="1"/>
  <c r="T107" i="1"/>
  <c r="N114" i="1"/>
  <c r="AE123" i="1"/>
  <c r="AG123" i="1" s="1"/>
  <c r="AI123" i="1" s="1"/>
  <c r="AK123" i="1" s="1"/>
  <c r="AC124" i="1"/>
  <c r="AE124" i="1" s="1"/>
  <c r="AG124" i="1" s="1"/>
  <c r="AI124" i="1" s="1"/>
  <c r="AK124" i="1" s="1"/>
  <c r="AM124" i="1" s="1"/>
  <c r="AP37" i="1"/>
  <c r="AR37" i="1"/>
  <c r="AS37" i="1" s="1"/>
  <c r="AR10" i="1"/>
  <c r="AS10" i="1" s="1"/>
  <c r="AP10" i="1"/>
  <c r="AP40" i="1"/>
  <c r="AP44" i="1"/>
  <c r="AR44" i="1"/>
  <c r="AS44" i="1" s="1"/>
  <c r="AR18" i="1"/>
  <c r="AS18" i="1" s="1"/>
  <c r="AP18" i="1"/>
  <c r="AP28" i="1"/>
  <c r="AR28" i="1"/>
  <c r="AS28" i="1" s="1"/>
  <c r="AP105" i="1"/>
  <c r="AR105" i="1"/>
  <c r="AS105" i="1" s="1"/>
  <c r="AP38" i="1"/>
  <c r="AR38" i="1"/>
  <c r="AS38" i="1" s="1"/>
  <c r="AR35" i="1"/>
  <c r="AS35" i="1" s="1"/>
  <c r="AP35" i="1"/>
  <c r="AP51" i="1"/>
  <c r="AR51" i="1"/>
  <c r="AS51" i="1" s="1"/>
  <c r="AI9" i="1"/>
  <c r="AK9" i="1" s="1"/>
  <c r="AM9" i="1" s="1"/>
  <c r="AO9" i="1" s="1"/>
  <c r="AP27" i="1"/>
  <c r="AR27" i="1"/>
  <c r="AS27" i="1" s="1"/>
  <c r="I14" i="1"/>
  <c r="H29" i="1"/>
  <c r="T41" i="1"/>
  <c r="V41" i="1" s="1"/>
  <c r="X41" i="1" s="1"/>
  <c r="Z41" i="1" s="1"/>
  <c r="AB41" i="1" s="1"/>
  <c r="AD41" i="1" s="1"/>
  <c r="AF41" i="1" s="1"/>
  <c r="S41" i="1"/>
  <c r="U41" i="1" s="1"/>
  <c r="W41" i="1" s="1"/>
  <c r="Y41" i="1" s="1"/>
  <c r="AA41" i="1" s="1"/>
  <c r="AC41" i="1" s="1"/>
  <c r="AE41" i="1" s="1"/>
  <c r="AG41" i="1" s="1"/>
  <c r="AI41" i="1" s="1"/>
  <c r="AK41" i="1" s="1"/>
  <c r="AM41" i="1" s="1"/>
  <c r="AO41" i="1" s="1"/>
  <c r="AP46" i="1"/>
  <c r="AR46" i="1"/>
  <c r="AS46" i="1" s="1"/>
  <c r="AP53" i="1"/>
  <c r="AR53" i="1"/>
  <c r="AS53" i="1" s="1"/>
  <c r="AR73" i="1"/>
  <c r="AS73" i="1" s="1"/>
  <c r="AP73" i="1"/>
  <c r="AP97" i="1"/>
  <c r="AR97" i="1"/>
  <c r="AS97" i="1" s="1"/>
  <c r="T22" i="1"/>
  <c r="V22" i="1" s="1"/>
  <c r="X22" i="1" s="1"/>
  <c r="Z22" i="1" s="1"/>
  <c r="AB22" i="1" s="1"/>
  <c r="AD22" i="1" s="1"/>
  <c r="AF22" i="1" s="1"/>
  <c r="AH22" i="1" s="1"/>
  <c r="AJ22" i="1" s="1"/>
  <c r="AL22" i="1" s="1"/>
  <c r="AN22" i="1" s="1"/>
  <c r="AQ22" i="1" s="1"/>
  <c r="S22" i="1"/>
  <c r="AO110" i="1"/>
  <c r="S121" i="1"/>
  <c r="M15" i="1"/>
  <c r="O15" i="1" s="1"/>
  <c r="Q15" i="1" s="1"/>
  <c r="S15" i="1" s="1"/>
  <c r="U15" i="1" s="1"/>
  <c r="W15" i="1" s="1"/>
  <c r="Y15" i="1" s="1"/>
  <c r="AA15" i="1" s="1"/>
  <c r="AC15" i="1" s="1"/>
  <c r="AE15" i="1" s="1"/>
  <c r="AG15" i="1" s="1"/>
  <c r="AI15" i="1" s="1"/>
  <c r="AK15" i="1" s="1"/>
  <c r="AM15" i="1" s="1"/>
  <c r="AO15" i="1" s="1"/>
  <c r="Y24" i="1"/>
  <c r="AA24" i="1" s="1"/>
  <c r="AC24" i="1" s="1"/>
  <c r="AE24" i="1" s="1"/>
  <c r="AG24" i="1" s="1"/>
  <c r="AI24" i="1" s="1"/>
  <c r="AK24" i="1" s="1"/>
  <c r="AM24" i="1" s="1"/>
  <c r="AO24" i="1" s="1"/>
  <c r="M33" i="1"/>
  <c r="O33" i="1" s="1"/>
  <c r="P59" i="1"/>
  <c r="W42" i="1"/>
  <c r="Y42" i="1" s="1"/>
  <c r="AA42" i="1" s="1"/>
  <c r="AC42" i="1" s="1"/>
  <c r="AE42" i="1" s="1"/>
  <c r="AG42" i="1" s="1"/>
  <c r="AI42" i="1" s="1"/>
  <c r="AK42" i="1" s="1"/>
  <c r="AM42" i="1" s="1"/>
  <c r="AO42" i="1" s="1"/>
  <c r="AO81" i="1"/>
  <c r="O34" i="1"/>
  <c r="AK48" i="1"/>
  <c r="AM48" i="1" s="1"/>
  <c r="AO48" i="1" s="1"/>
  <c r="H128" i="1"/>
  <c r="AR26" i="1"/>
  <c r="AS26" i="1" s="1"/>
  <c r="AP26" i="1"/>
  <c r="R59" i="1"/>
  <c r="R128" i="1" s="1"/>
  <c r="S33" i="1"/>
  <c r="AP34" i="1"/>
  <c r="AR34" i="1"/>
  <c r="AS34" i="1" s="1"/>
  <c r="AP75" i="1"/>
  <c r="AR75" i="1"/>
  <c r="AS75" i="1" s="1"/>
  <c r="AP96" i="1"/>
  <c r="AR96" i="1"/>
  <c r="AS96" i="1" s="1"/>
  <c r="AD111" i="1"/>
  <c r="AF111" i="1" s="1"/>
  <c r="AH111" i="1" s="1"/>
  <c r="AJ111" i="1" s="1"/>
  <c r="AL111" i="1" s="1"/>
  <c r="AN111" i="1" s="1"/>
  <c r="AQ111" i="1" s="1"/>
  <c r="AC111" i="1"/>
  <c r="K7" i="1"/>
  <c r="I11" i="1"/>
  <c r="AD31" i="1"/>
  <c r="AB59" i="1"/>
  <c r="AR122" i="1"/>
  <c r="AS122" i="1" s="1"/>
  <c r="AP122" i="1"/>
  <c r="Z14" i="1"/>
  <c r="Q16" i="1"/>
  <c r="S16" i="1" s="1"/>
  <c r="U16" i="1" s="1"/>
  <c r="W16" i="1" s="1"/>
  <c r="Y16" i="1" s="1"/>
  <c r="AA16" i="1" s="1"/>
  <c r="AC16" i="1" s="1"/>
  <c r="AE16" i="1" s="1"/>
  <c r="AG16" i="1" s="1"/>
  <c r="AI16" i="1" s="1"/>
  <c r="AK16" i="1" s="1"/>
  <c r="AM16" i="1" s="1"/>
  <c r="AO16" i="1" s="1"/>
  <c r="Q17" i="1"/>
  <c r="S17" i="1" s="1"/>
  <c r="U17" i="1" s="1"/>
  <c r="W17" i="1" s="1"/>
  <c r="Y17" i="1" s="1"/>
  <c r="AA17" i="1" s="1"/>
  <c r="AC17" i="1" s="1"/>
  <c r="AE17" i="1" s="1"/>
  <c r="AG17" i="1" s="1"/>
  <c r="AI17" i="1" s="1"/>
  <c r="AK17" i="1" s="1"/>
  <c r="AM17" i="1" s="1"/>
  <c r="AO17" i="1" s="1"/>
  <c r="S19" i="1"/>
  <c r="U19" i="1" s="1"/>
  <c r="W19" i="1" s="1"/>
  <c r="Y19" i="1" s="1"/>
  <c r="AA19" i="1" s="1"/>
  <c r="AC19" i="1" s="1"/>
  <c r="AE19" i="1" s="1"/>
  <c r="AG19" i="1" s="1"/>
  <c r="AI19" i="1" s="1"/>
  <c r="AK19" i="1" s="1"/>
  <c r="AM19" i="1" s="1"/>
  <c r="AO19" i="1" s="1"/>
  <c r="U21" i="1"/>
  <c r="W21" i="1" s="1"/>
  <c r="Y21" i="1" s="1"/>
  <c r="AA21" i="1" s="1"/>
  <c r="AC21" i="1" s="1"/>
  <c r="AE21" i="1" s="1"/>
  <c r="AG21" i="1" s="1"/>
  <c r="AI21" i="1" s="1"/>
  <c r="AK21" i="1" s="1"/>
  <c r="AM21" i="1" s="1"/>
  <c r="AO21" i="1" s="1"/>
  <c r="W36" i="1"/>
  <c r="Y36" i="1" s="1"/>
  <c r="AA36" i="1" s="1"/>
  <c r="AC36" i="1" s="1"/>
  <c r="AE36" i="1" s="1"/>
  <c r="AG36" i="1" s="1"/>
  <c r="AI36" i="1" s="1"/>
  <c r="AK36" i="1" s="1"/>
  <c r="AM36" i="1" s="1"/>
  <c r="AO36" i="1" s="1"/>
  <c r="AI70" i="1"/>
  <c r="AK70" i="1" s="1"/>
  <c r="AM70" i="1" s="1"/>
  <c r="AO70" i="1" s="1"/>
  <c r="AK71" i="1"/>
  <c r="AM71" i="1" s="1"/>
  <c r="AO71" i="1" s="1"/>
  <c r="G114" i="1"/>
  <c r="I110" i="1"/>
  <c r="AC64" i="1"/>
  <c r="AE64" i="1" s="1"/>
  <c r="AD64" i="1"/>
  <c r="I88" i="1"/>
  <c r="G91" i="1"/>
  <c r="X112" i="1"/>
  <c r="V114" i="1"/>
  <c r="V126" i="1"/>
  <c r="X121" i="1"/>
  <c r="X126" i="1" s="1"/>
  <c r="AQ123" i="1"/>
  <c r="AO123" i="1"/>
  <c r="L59" i="1"/>
  <c r="L128" i="1" s="1"/>
  <c r="AM54" i="1"/>
  <c r="AO54" i="1" s="1"/>
  <c r="T7" i="1"/>
  <c r="R29" i="1"/>
  <c r="U25" i="1"/>
  <c r="W25" i="1" s="1"/>
  <c r="Y25" i="1" s="1"/>
  <c r="AA25" i="1" s="1"/>
  <c r="AC25" i="1" s="1"/>
  <c r="AE25" i="1" s="1"/>
  <c r="AG25" i="1" s="1"/>
  <c r="AI25" i="1" s="1"/>
  <c r="AK25" i="1" s="1"/>
  <c r="AM25" i="1" s="1"/>
  <c r="AO25" i="1" s="1"/>
  <c r="AC30" i="1"/>
  <c r="AE30" i="1" s="1"/>
  <c r="T59" i="1"/>
  <c r="O39" i="1"/>
  <c r="Q39" i="1" s="1"/>
  <c r="S39" i="1" s="1"/>
  <c r="U39" i="1" s="1"/>
  <c r="W39" i="1" s="1"/>
  <c r="Y39" i="1" s="1"/>
  <c r="AA39" i="1" s="1"/>
  <c r="AC39" i="1" s="1"/>
  <c r="AE39" i="1" s="1"/>
  <c r="AG39" i="1" s="1"/>
  <c r="AI39" i="1" s="1"/>
  <c r="AK39" i="1" s="1"/>
  <c r="AM39" i="1" s="1"/>
  <c r="AO39" i="1" s="1"/>
  <c r="AI47" i="1"/>
  <c r="AK47" i="1" s="1"/>
  <c r="AM47" i="1" s="1"/>
  <c r="AO47" i="1" s="1"/>
  <c r="AE49" i="1"/>
  <c r="AG49" i="1" s="1"/>
  <c r="AI49" i="1" s="1"/>
  <c r="AK49" i="1" s="1"/>
  <c r="AM49" i="1" s="1"/>
  <c r="AO49" i="1" s="1"/>
  <c r="AM52" i="1"/>
  <c r="AO52" i="1" s="1"/>
  <c r="AR55" i="1"/>
  <c r="AS55" i="1" s="1"/>
  <c r="U72" i="1"/>
  <c r="W72" i="1" s="1"/>
  <c r="Y72" i="1" s="1"/>
  <c r="AA72" i="1" s="1"/>
  <c r="AC72" i="1" s="1"/>
  <c r="AE72" i="1" s="1"/>
  <c r="AG72" i="1" s="1"/>
  <c r="AI72" i="1" s="1"/>
  <c r="AK72" i="1" s="1"/>
  <c r="AM72" i="1" s="1"/>
  <c r="AO72" i="1" s="1"/>
  <c r="W74" i="1"/>
  <c r="Y74" i="1" s="1"/>
  <c r="AA74" i="1" s="1"/>
  <c r="AC74" i="1" s="1"/>
  <c r="AE74" i="1" s="1"/>
  <c r="AG74" i="1" s="1"/>
  <c r="AI74" i="1" s="1"/>
  <c r="AK74" i="1" s="1"/>
  <c r="AM74" i="1" s="1"/>
  <c r="AO74" i="1" s="1"/>
  <c r="T91" i="1"/>
  <c r="AE118" i="1"/>
  <c r="AG118" i="1" s="1"/>
  <c r="D128" i="1"/>
  <c r="AJ126" i="1"/>
  <c r="G59" i="1"/>
  <c r="I31" i="1"/>
  <c r="AP57" i="1"/>
  <c r="AR57" i="1"/>
  <c r="AS57" i="1" s="1"/>
  <c r="R77" i="1"/>
  <c r="T68" i="1"/>
  <c r="AQ110" i="1"/>
  <c r="AQ114" i="1" s="1"/>
  <c r="AN114" i="1"/>
  <c r="T23" i="1"/>
  <c r="V23" i="1" s="1"/>
  <c r="X23" i="1" s="1"/>
  <c r="Z23" i="1" s="1"/>
  <c r="AB23" i="1" s="1"/>
  <c r="AD23" i="1" s="1"/>
  <c r="AF23" i="1" s="1"/>
  <c r="AH23" i="1" s="1"/>
  <c r="AJ23" i="1" s="1"/>
  <c r="AL23" i="1" s="1"/>
  <c r="AN23" i="1" s="1"/>
  <c r="AQ23" i="1" s="1"/>
  <c r="S23" i="1"/>
  <c r="U23" i="1" s="1"/>
  <c r="W23" i="1" s="1"/>
  <c r="Y23" i="1" s="1"/>
  <c r="AA23" i="1" s="1"/>
  <c r="AC23" i="1" s="1"/>
  <c r="AE23" i="1" s="1"/>
  <c r="AG23" i="1" s="1"/>
  <c r="AI23" i="1" s="1"/>
  <c r="AK23" i="1" s="1"/>
  <c r="AM23" i="1" s="1"/>
  <c r="AO23" i="1" s="1"/>
  <c r="Y31" i="1"/>
  <c r="W32" i="1"/>
  <c r="Y32" i="1" s="1"/>
  <c r="AA32" i="1" s="1"/>
  <c r="AC32" i="1" s="1"/>
  <c r="AE32" i="1" s="1"/>
  <c r="AG32" i="1" s="1"/>
  <c r="AI32" i="1" s="1"/>
  <c r="AK32" i="1" s="1"/>
  <c r="AM32" i="1" s="1"/>
  <c r="AO32" i="1" s="1"/>
  <c r="AR56" i="1"/>
  <c r="AS56" i="1" s="1"/>
  <c r="AP56" i="1"/>
  <c r="AN68" i="1"/>
  <c r="AQ68" i="1" s="1"/>
  <c r="K69" i="1"/>
  <c r="M69" i="1" s="1"/>
  <c r="O69" i="1" s="1"/>
  <c r="Q69" i="1" s="1"/>
  <c r="S69" i="1" s="1"/>
  <c r="U69" i="1" s="1"/>
  <c r="W69" i="1" s="1"/>
  <c r="Y69" i="1" s="1"/>
  <c r="AA69" i="1" s="1"/>
  <c r="I77" i="1"/>
  <c r="AE50" i="1"/>
  <c r="AG50" i="1" s="1"/>
  <c r="AI50" i="1" s="1"/>
  <c r="AK50" i="1" s="1"/>
  <c r="AM50" i="1" s="1"/>
  <c r="AO50" i="1" s="1"/>
  <c r="X59" i="1"/>
  <c r="H11" i="1"/>
  <c r="AV59" i="1"/>
  <c r="AB69" i="1"/>
  <c r="AD69" i="1" s="1"/>
  <c r="AF69" i="1" s="1"/>
  <c r="AH69" i="1" s="1"/>
  <c r="AJ69" i="1" s="1"/>
  <c r="O81" i="1"/>
  <c r="Q81" i="1" s="1"/>
  <c r="S81" i="1" s="1"/>
  <c r="U81" i="1" s="1"/>
  <c r="W81" i="1" s="1"/>
  <c r="Y81" i="1" s="1"/>
  <c r="AA81" i="1" s="1"/>
  <c r="AC81" i="1" s="1"/>
  <c r="AE81" i="1" s="1"/>
  <c r="AG81" i="1" s="1"/>
  <c r="AI81" i="1" s="1"/>
  <c r="AK81" i="1" s="1"/>
  <c r="AM81" i="1" s="1"/>
  <c r="K107" i="1"/>
  <c r="M107" i="1" s="1"/>
  <c r="K111" i="1"/>
  <c r="M111" i="1" s="1"/>
  <c r="O111" i="1" s="1"/>
  <c r="Q111" i="1" s="1"/>
  <c r="S111" i="1" s="1"/>
  <c r="AE113" i="1"/>
  <c r="AG113" i="1" s="1"/>
  <c r="AI113" i="1" s="1"/>
  <c r="AK113" i="1" s="1"/>
  <c r="AN124" i="1"/>
  <c r="AO124" i="1" s="1"/>
  <c r="AC63" i="1"/>
  <c r="AE63" i="1" s="1"/>
  <c r="AD63" i="1"/>
  <c r="K68" i="1"/>
  <c r="R126" i="1"/>
  <c r="Z126" i="1"/>
  <c r="AB126" i="1" s="1"/>
  <c r="AD126" i="1" s="1"/>
  <c r="AF126" i="1" s="1"/>
  <c r="AH126" i="1" s="1"/>
  <c r="AV128" i="1"/>
  <c r="J59" i="1"/>
  <c r="J128" i="1" s="1"/>
  <c r="N59" i="1"/>
  <c r="N128" i="1" s="1"/>
  <c r="V59" i="1"/>
  <c r="AJ100" i="1"/>
  <c r="K100" i="1"/>
  <c r="M100" i="1" s="1"/>
  <c r="K104" i="1"/>
  <c r="M104" i="1" s="1"/>
  <c r="O104" i="1" s="1"/>
  <c r="P114" i="1"/>
  <c r="W112" i="1"/>
  <c r="AQ126" i="1"/>
  <c r="I126" i="1"/>
  <c r="AO98" i="1"/>
  <c r="T29" i="1" l="1"/>
  <c r="O126" i="1"/>
  <c r="AR20" i="1"/>
  <c r="AS20" i="1" s="1"/>
  <c r="AA95" i="1"/>
  <c r="Y100" i="1"/>
  <c r="P128" i="1"/>
  <c r="Z59" i="1"/>
  <c r="AR45" i="1"/>
  <c r="AS45" i="1" s="1"/>
  <c r="V29" i="1"/>
  <c r="AR43" i="1"/>
  <c r="AS43" i="1" s="1"/>
  <c r="AN126" i="1"/>
  <c r="G128" i="1"/>
  <c r="O107" i="1"/>
  <c r="Q104" i="1"/>
  <c r="AP32" i="1"/>
  <c r="AR32" i="1"/>
  <c r="AS32" i="1" s="1"/>
  <c r="AR23" i="1"/>
  <c r="AS23" i="1" s="1"/>
  <c r="AP23" i="1"/>
  <c r="V68" i="1"/>
  <c r="T77" i="1"/>
  <c r="K31" i="1"/>
  <c r="I59" i="1"/>
  <c r="AR72" i="1"/>
  <c r="AS72" i="1" s="1"/>
  <c r="AP72" i="1"/>
  <c r="AR47" i="1"/>
  <c r="AS47" i="1" s="1"/>
  <c r="AP47" i="1"/>
  <c r="AR54" i="1"/>
  <c r="AS54" i="1" s="1"/>
  <c r="AP54" i="1"/>
  <c r="X114" i="1"/>
  <c r="Z112" i="1"/>
  <c r="AR70" i="1"/>
  <c r="AS70" i="1" s="1"/>
  <c r="AP70" i="1"/>
  <c r="AR17" i="1"/>
  <c r="AS17" i="1" s="1"/>
  <c r="AP17" i="1"/>
  <c r="M7" i="1"/>
  <c r="O7" i="1" s="1"/>
  <c r="K11" i="1"/>
  <c r="M11" i="1" s="1"/>
  <c r="AR81" i="1"/>
  <c r="AS81" i="1" s="1"/>
  <c r="AP81" i="1"/>
  <c r="AP41" i="1"/>
  <c r="AR41" i="1"/>
  <c r="AS41" i="1" s="1"/>
  <c r="AP8" i="1"/>
  <c r="AR8" i="1"/>
  <c r="AS8" i="1" s="1"/>
  <c r="K126" i="1"/>
  <c r="AL69" i="1"/>
  <c r="AJ77" i="1"/>
  <c r="AR74" i="1"/>
  <c r="AS74" i="1" s="1"/>
  <c r="AP74" i="1"/>
  <c r="AR49" i="1"/>
  <c r="AS49" i="1" s="1"/>
  <c r="AP49" i="1"/>
  <c r="T11" i="1"/>
  <c r="T128" i="1" s="1"/>
  <c r="V7" i="1"/>
  <c r="AP71" i="1"/>
  <c r="AR71" i="1"/>
  <c r="AS71" i="1" s="1"/>
  <c r="AP19" i="1"/>
  <c r="AR19" i="1"/>
  <c r="AS19" i="1" s="1"/>
  <c r="S59" i="1"/>
  <c r="U33" i="1"/>
  <c r="S126" i="1"/>
  <c r="U121" i="1"/>
  <c r="I29" i="1"/>
  <c r="K14" i="1"/>
  <c r="AR9" i="1"/>
  <c r="AS9" i="1" s="1"/>
  <c r="AP9" i="1"/>
  <c r="AR98" i="1"/>
  <c r="AS98" i="1" s="1"/>
  <c r="AP98" i="1"/>
  <c r="W114" i="1"/>
  <c r="Y112" i="1"/>
  <c r="AA31" i="1"/>
  <c r="AR52" i="1"/>
  <c r="AS52" i="1" s="1"/>
  <c r="AP52" i="1"/>
  <c r="AP123" i="1"/>
  <c r="AR123" i="1"/>
  <c r="AS123" i="1" s="1"/>
  <c r="K88" i="1"/>
  <c r="M88" i="1" s="1"/>
  <c r="O88" i="1" s="1"/>
  <c r="I91" i="1"/>
  <c r="K91" i="1" s="1"/>
  <c r="M91" i="1" s="1"/>
  <c r="AR21" i="1"/>
  <c r="AS21" i="1" s="1"/>
  <c r="AP21" i="1"/>
  <c r="Z29" i="1"/>
  <c r="AB29" i="1" s="1"/>
  <c r="AD29" i="1" s="1"/>
  <c r="AB14" i="1"/>
  <c r="AD14" i="1" s="1"/>
  <c r="AF14" i="1" s="1"/>
  <c r="AD59" i="1"/>
  <c r="AF31" i="1"/>
  <c r="AP48" i="1"/>
  <c r="AR48" i="1"/>
  <c r="AS48" i="1" s="1"/>
  <c r="AP15" i="1"/>
  <c r="AR15" i="1"/>
  <c r="AS15" i="1" s="1"/>
  <c r="AP124" i="1"/>
  <c r="AR124" i="1"/>
  <c r="AS124" i="1" s="1"/>
  <c r="K77" i="1"/>
  <c r="M68" i="1"/>
  <c r="AR50" i="1"/>
  <c r="AS50" i="1" s="1"/>
  <c r="AP50" i="1"/>
  <c r="AP39" i="1"/>
  <c r="AR39" i="1"/>
  <c r="AS39" i="1" s="1"/>
  <c r="AP25" i="1"/>
  <c r="AR25" i="1"/>
  <c r="AS25" i="1" s="1"/>
  <c r="I114" i="1"/>
  <c r="K114" i="1" s="1"/>
  <c r="M114" i="1" s="1"/>
  <c r="K110" i="1"/>
  <c r="M110" i="1" s="1"/>
  <c r="O110" i="1" s="1"/>
  <c r="AP36" i="1"/>
  <c r="AR36" i="1"/>
  <c r="AS36" i="1" s="1"/>
  <c r="AR16" i="1"/>
  <c r="AS16" i="1" s="1"/>
  <c r="AP16" i="1"/>
  <c r="AP42" i="1"/>
  <c r="AR42" i="1"/>
  <c r="AS42" i="1" s="1"/>
  <c r="AP24" i="1"/>
  <c r="AR24" i="1"/>
  <c r="AS24" i="1" s="1"/>
  <c r="AP110" i="1"/>
  <c r="AR110" i="1"/>
  <c r="AC69" i="1"/>
  <c r="AE69" i="1" s="1"/>
  <c r="AG69" i="1" s="1"/>
  <c r="AI69" i="1" s="1"/>
  <c r="AK69" i="1" s="1"/>
  <c r="U22" i="1"/>
  <c r="W22" i="1" s="1"/>
  <c r="Y22" i="1" s="1"/>
  <c r="AA22" i="1" s="1"/>
  <c r="AC22" i="1" s="1"/>
  <c r="AE22" i="1" s="1"/>
  <c r="AG22" i="1" s="1"/>
  <c r="AI22" i="1" s="1"/>
  <c r="AK22" i="1" s="1"/>
  <c r="AM22" i="1" s="1"/>
  <c r="AO22" i="1" s="1"/>
  <c r="AE111" i="1"/>
  <c r="AG111" i="1" s="1"/>
  <c r="AI111" i="1" s="1"/>
  <c r="AK111" i="1" s="1"/>
  <c r="AM111" i="1" s="1"/>
  <c r="X29" i="1"/>
  <c r="AC95" i="1" l="1"/>
  <c r="AE95" i="1" s="1"/>
  <c r="AA100" i="1"/>
  <c r="AC100" i="1" s="1"/>
  <c r="AM69" i="1"/>
  <c r="AO111" i="1"/>
  <c r="AA112" i="1"/>
  <c r="Y114" i="1"/>
  <c r="W121" i="1"/>
  <c r="U126" i="1"/>
  <c r="AB112" i="1"/>
  <c r="AD112" i="1" s="1"/>
  <c r="AF112" i="1" s="1"/>
  <c r="Z114" i="1"/>
  <c r="AB114" i="1" s="1"/>
  <c r="AD114" i="1" s="1"/>
  <c r="AF114" i="1" s="1"/>
  <c r="AH114" i="1" s="1"/>
  <c r="AS110" i="1"/>
  <c r="AC31" i="1"/>
  <c r="AE31" i="1" s="1"/>
  <c r="AR22" i="1"/>
  <c r="AS22" i="1" s="1"/>
  <c r="AP22" i="1"/>
  <c r="Q88" i="1"/>
  <c r="O91" i="1"/>
  <c r="AN69" i="1"/>
  <c r="AO69" i="1" s="1"/>
  <c r="AL77" i="1"/>
  <c r="K59" i="1"/>
  <c r="M31" i="1"/>
  <c r="I128" i="1"/>
  <c r="AF29" i="1"/>
  <c r="AH14" i="1"/>
  <c r="S104" i="1"/>
  <c r="Q107" i="1"/>
  <c r="Q7" i="1"/>
  <c r="O11" i="1"/>
  <c r="V77" i="1"/>
  <c r="X68" i="1"/>
  <c r="X77" i="1" s="1"/>
  <c r="O114" i="1"/>
  <c r="Q110" i="1"/>
  <c r="O68" i="1"/>
  <c r="M77" i="1"/>
  <c r="AH31" i="1"/>
  <c r="AF59" i="1"/>
  <c r="M14" i="1"/>
  <c r="K29" i="1"/>
  <c r="W33" i="1"/>
  <c r="U59" i="1"/>
  <c r="X7" i="1"/>
  <c r="V11" i="1"/>
  <c r="M126" i="1"/>
  <c r="AG95" i="1" l="1"/>
  <c r="AE100" i="1"/>
  <c r="K128" i="1"/>
  <c r="X11" i="1"/>
  <c r="X128" i="1" s="1"/>
  <c r="Z7" i="1"/>
  <c r="M29" i="1"/>
  <c r="M128" i="1" s="1"/>
  <c r="O14" i="1"/>
  <c r="O77" i="1"/>
  <c r="Q68" i="1"/>
  <c r="S107" i="1"/>
  <c r="U104" i="1"/>
  <c r="AG31" i="1"/>
  <c r="AP69" i="1"/>
  <c r="W126" i="1"/>
  <c r="Y121" i="1"/>
  <c r="AP111" i="1"/>
  <c r="AR111" i="1"/>
  <c r="Y33" i="1"/>
  <c r="W59" i="1"/>
  <c r="AH59" i="1"/>
  <c r="AJ31" i="1"/>
  <c r="S7" i="1"/>
  <c r="Q11" i="1"/>
  <c r="M59" i="1"/>
  <c r="O31" i="1"/>
  <c r="S110" i="1"/>
  <c r="S114" i="1" s="1"/>
  <c r="Q114" i="1"/>
  <c r="AH29" i="1"/>
  <c r="AJ14" i="1"/>
  <c r="AQ69" i="1"/>
  <c r="AQ77" i="1" s="1"/>
  <c r="AN77" i="1"/>
  <c r="Q91" i="1"/>
  <c r="S88" i="1"/>
  <c r="AA114" i="1"/>
  <c r="AC114" i="1" s="1"/>
  <c r="AE114" i="1" s="1"/>
  <c r="AG114" i="1" s="1"/>
  <c r="AI114" i="1" s="1"/>
  <c r="AK114" i="1" s="1"/>
  <c r="AC112" i="1"/>
  <c r="AE112" i="1" s="1"/>
  <c r="AG112" i="1" s="1"/>
  <c r="AI112" i="1" s="1"/>
  <c r="AK112" i="1" s="1"/>
  <c r="AM112" i="1" s="1"/>
  <c r="V128" i="1"/>
  <c r="AI95" i="1" l="1"/>
  <c r="AG100" i="1"/>
  <c r="S11" i="1"/>
  <c r="U7" i="1"/>
  <c r="AA33" i="1"/>
  <c r="Y59" i="1"/>
  <c r="AI31" i="1"/>
  <c r="S68" i="1"/>
  <c r="Q77" i="1"/>
  <c r="Z11" i="1"/>
  <c r="AB7" i="1"/>
  <c r="AD7" i="1" s="1"/>
  <c r="AF7" i="1" s="1"/>
  <c r="AH7" i="1" s="1"/>
  <c r="AJ7" i="1" s="1"/>
  <c r="U88" i="1"/>
  <c r="S91" i="1"/>
  <c r="AL14" i="1"/>
  <c r="AJ29" i="1"/>
  <c r="AO112" i="1"/>
  <c r="AM114" i="1"/>
  <c r="O59" i="1"/>
  <c r="Q31" i="1"/>
  <c r="Q59" i="1" s="1"/>
  <c r="AL31" i="1"/>
  <c r="AJ59" i="1"/>
  <c r="AA121" i="1"/>
  <c r="Y126" i="1"/>
  <c r="AS111" i="1"/>
  <c r="W104" i="1"/>
  <c r="U107" i="1"/>
  <c r="Q14" i="1"/>
  <c r="O29" i="1"/>
  <c r="O128" i="1" s="1"/>
  <c r="AR69" i="1"/>
  <c r="AS69" i="1" s="1"/>
  <c r="AK95" i="1" l="1"/>
  <c r="AI100" i="1"/>
  <c r="W107" i="1"/>
  <c r="Y104" i="1"/>
  <c r="AJ11" i="1"/>
  <c r="AL7" i="1"/>
  <c r="AL59" i="1"/>
  <c r="AN31" i="1"/>
  <c r="AP112" i="1"/>
  <c r="AP114" i="1" s="1"/>
  <c r="AR112" i="1"/>
  <c r="AO114" i="1"/>
  <c r="U91" i="1"/>
  <c r="W88" i="1"/>
  <c r="S77" i="1"/>
  <c r="U68" i="1"/>
  <c r="AC33" i="1"/>
  <c r="AE33" i="1" s="1"/>
  <c r="AA59" i="1"/>
  <c r="AC59" i="1" s="1"/>
  <c r="Q29" i="1"/>
  <c r="Q128" i="1" s="1"/>
  <c r="S14" i="1"/>
  <c r="AL29" i="1"/>
  <c r="AN14" i="1"/>
  <c r="Z128" i="1"/>
  <c r="AB11" i="1"/>
  <c r="AK31" i="1"/>
  <c r="AJ128" i="1"/>
  <c r="AA126" i="1"/>
  <c r="AC126" i="1" s="1"/>
  <c r="AE126" i="1" s="1"/>
  <c r="AG126" i="1" s="1"/>
  <c r="AI126" i="1" s="1"/>
  <c r="AC121" i="1"/>
  <c r="AE121" i="1" s="1"/>
  <c r="AG121" i="1" s="1"/>
  <c r="AI121" i="1" s="1"/>
  <c r="AK121" i="1" s="1"/>
  <c r="AM121" i="1" s="1"/>
  <c r="W7" i="1"/>
  <c r="U11" i="1"/>
  <c r="AM95" i="1" l="1"/>
  <c r="AK100" i="1"/>
  <c r="AM126" i="1"/>
  <c r="AO121" i="1"/>
  <c r="AQ14" i="1"/>
  <c r="AQ29" i="1" s="1"/>
  <c r="AN29" i="1"/>
  <c r="AG33" i="1"/>
  <c r="AE59" i="1"/>
  <c r="AN59" i="1"/>
  <c r="AQ31" i="1"/>
  <c r="AQ59" i="1" s="1"/>
  <c r="W91" i="1"/>
  <c r="Y88" i="1"/>
  <c r="AB128" i="1"/>
  <c r="AD11" i="1"/>
  <c r="AN7" i="1"/>
  <c r="AL11" i="1"/>
  <c r="AK126" i="1"/>
  <c r="U14" i="1"/>
  <c r="S29" i="1"/>
  <c r="S128" i="1" s="1"/>
  <c r="W68" i="1"/>
  <c r="U77" i="1"/>
  <c r="AL128" i="1"/>
  <c r="AM31" i="1"/>
  <c r="Y107" i="1"/>
  <c r="AA104" i="1"/>
  <c r="W11" i="1"/>
  <c r="Y7" i="1"/>
  <c r="AS112" i="1"/>
  <c r="AS114" i="1" s="1"/>
  <c r="AR114" i="1"/>
  <c r="AM100" i="1" l="1"/>
  <c r="AO95" i="1"/>
  <c r="AA7" i="1"/>
  <c r="Y11" i="1"/>
  <c r="AO31" i="1"/>
  <c r="U29" i="1"/>
  <c r="U128" i="1" s="1"/>
  <c r="W14" i="1"/>
  <c r="AN11" i="1"/>
  <c r="AN128" i="1" s="1"/>
  <c r="AQ7" i="1"/>
  <c r="AQ11" i="1" s="1"/>
  <c r="AQ128" i="1" s="1"/>
  <c r="AI33" i="1"/>
  <c r="AG59" i="1"/>
  <c r="AO126" i="1"/>
  <c r="AA88" i="1"/>
  <c r="Y91" i="1"/>
  <c r="AP121" i="1"/>
  <c r="AP126" i="1" s="1"/>
  <c r="AR121" i="1"/>
  <c r="W77" i="1"/>
  <c r="Y68" i="1"/>
  <c r="AA107" i="1"/>
  <c r="AC107" i="1" s="1"/>
  <c r="AE107" i="1" s="1"/>
  <c r="AG107" i="1" s="1"/>
  <c r="AI107" i="1" s="1"/>
  <c r="AC104" i="1"/>
  <c r="AE104" i="1" s="1"/>
  <c r="AG104" i="1" s="1"/>
  <c r="AI104" i="1" s="1"/>
  <c r="AK104" i="1" s="1"/>
  <c r="AM104" i="1" s="1"/>
  <c r="AO104" i="1" s="1"/>
  <c r="AD128" i="1"/>
  <c r="AF11" i="1"/>
  <c r="AR95" i="1" l="1"/>
  <c r="AO100" i="1"/>
  <c r="AP95" i="1"/>
  <c r="AP100" i="1" s="1"/>
  <c r="Y77" i="1"/>
  <c r="AA68" i="1"/>
  <c r="Y14" i="1"/>
  <c r="W29" i="1"/>
  <c r="W128" i="1" s="1"/>
  <c r="AK107" i="1"/>
  <c r="AR104" i="1"/>
  <c r="AP104" i="1"/>
  <c r="AS121" i="1"/>
  <c r="AS126" i="1" s="1"/>
  <c r="AR126" i="1"/>
  <c r="AP31" i="1"/>
  <c r="AR31" i="1"/>
  <c r="AA91" i="1"/>
  <c r="AC91" i="1" s="1"/>
  <c r="AE91" i="1" s="1"/>
  <c r="AG91" i="1" s="1"/>
  <c r="AI91" i="1" s="1"/>
  <c r="AK91" i="1" s="1"/>
  <c r="AM91" i="1" s="1"/>
  <c r="AO91" i="1" s="1"/>
  <c r="AC88" i="1"/>
  <c r="AE88" i="1" s="1"/>
  <c r="AG88" i="1" s="1"/>
  <c r="AI88" i="1" s="1"/>
  <c r="AK88" i="1" s="1"/>
  <c r="AM88" i="1" s="1"/>
  <c r="AO88" i="1" s="1"/>
  <c r="AK33" i="1"/>
  <c r="AI59" i="1"/>
  <c r="AC7" i="1"/>
  <c r="AE7" i="1" s="1"/>
  <c r="AG7" i="1" s="1"/>
  <c r="AI7" i="1" s="1"/>
  <c r="AK7" i="1" s="1"/>
  <c r="AM7" i="1" s="1"/>
  <c r="AA11" i="1"/>
  <c r="AF128" i="1"/>
  <c r="AH11" i="1"/>
  <c r="AH128" i="1" s="1"/>
  <c r="AS95" i="1" l="1"/>
  <c r="AS100" i="1" s="1"/>
  <c r="AR100" i="1"/>
  <c r="AR88" i="1"/>
  <c r="AP88" i="1"/>
  <c r="AA77" i="1"/>
  <c r="AC77" i="1" s="1"/>
  <c r="AE77" i="1" s="1"/>
  <c r="AG77" i="1" s="1"/>
  <c r="AC68" i="1"/>
  <c r="AE68" i="1" s="1"/>
  <c r="AG68" i="1" s="1"/>
  <c r="AI68" i="1" s="1"/>
  <c r="AS104" i="1"/>
  <c r="AS107" i="1" s="1"/>
  <c r="AR107" i="1"/>
  <c r="Y29" i="1"/>
  <c r="Y128" i="1" s="1"/>
  <c r="AA14" i="1"/>
  <c r="AM11" i="1"/>
  <c r="AO7" i="1"/>
  <c r="AM107" i="1"/>
  <c r="AC11" i="1"/>
  <c r="AE11" i="1" s="1"/>
  <c r="AG11" i="1" s="1"/>
  <c r="AI11" i="1" s="1"/>
  <c r="AK11" i="1" s="1"/>
  <c r="AM33" i="1"/>
  <c r="AK59" i="1"/>
  <c r="AS31" i="1"/>
  <c r="AO33" i="1" l="1"/>
  <c r="AM59" i="1"/>
  <c r="AO11" i="1"/>
  <c r="AR7" i="1"/>
  <c r="AP7" i="1"/>
  <c r="AP11" i="1" s="1"/>
  <c r="AO107" i="1"/>
  <c r="AC14" i="1"/>
  <c r="AE14" i="1" s="1"/>
  <c r="AG14" i="1" s="1"/>
  <c r="AA29" i="1"/>
  <c r="AI77" i="1"/>
  <c r="AK68" i="1"/>
  <c r="AS88" i="1"/>
  <c r="AS91" i="1" s="1"/>
  <c r="AR91" i="1"/>
  <c r="AC29" i="1" l="1"/>
  <c r="AE29" i="1" s="1"/>
  <c r="AA128" i="1"/>
  <c r="AC128" i="1" s="1"/>
  <c r="AE128" i="1" s="1"/>
  <c r="AG128" i="1" s="1"/>
  <c r="AR33" i="1"/>
  <c r="AP33" i="1"/>
  <c r="AP59" i="1" s="1"/>
  <c r="AP107" i="1"/>
  <c r="AM68" i="1"/>
  <c r="AK77" i="1"/>
  <c r="AG29" i="1"/>
  <c r="AI14" i="1"/>
  <c r="AR11" i="1"/>
  <c r="AS7" i="1"/>
  <c r="AS11" i="1" s="1"/>
  <c r="AK14" i="1" l="1"/>
  <c r="AI29" i="1"/>
  <c r="AI128" i="1" s="1"/>
  <c r="AM77" i="1"/>
  <c r="AO68" i="1"/>
  <c r="AS33" i="1"/>
  <c r="AS59" i="1" s="1"/>
  <c r="AR59" i="1"/>
  <c r="AK29" i="1" l="1"/>
  <c r="AK128" i="1" s="1"/>
  <c r="AM14" i="1"/>
  <c r="AR68" i="1"/>
  <c r="AO77" i="1"/>
  <c r="AP68" i="1"/>
  <c r="AP77" i="1" s="1"/>
  <c r="AO14" i="1" l="1"/>
  <c r="AM29" i="1"/>
  <c r="AM128" i="1" s="1"/>
  <c r="AS68" i="1"/>
  <c r="AS77" i="1" s="1"/>
  <c r="AR77" i="1"/>
  <c r="AO29" i="1" l="1"/>
  <c r="AO128" i="1" s="1"/>
  <c r="AR14" i="1"/>
  <c r="AP14" i="1"/>
  <c r="AP29" i="1" s="1"/>
  <c r="AP128" i="1" s="1"/>
  <c r="AS14" i="1" l="1"/>
  <c r="AS29" i="1" s="1"/>
  <c r="AS128" i="1" s="1"/>
  <c r="AR29" i="1"/>
  <c r="AR128" i="1" s="1"/>
</calcChain>
</file>

<file path=xl/sharedStrings.xml><?xml version="1.0" encoding="utf-8"?>
<sst xmlns="http://schemas.openxmlformats.org/spreadsheetml/2006/main" count="248" uniqueCount="92">
  <si>
    <t>MCCREARY CO SEWER</t>
  </si>
  <si>
    <t>WP 311SW</t>
  </si>
  <si>
    <t>DEPRECIATIONS SCHEDULE (Including recalculation of 2021 depreciation using Mid-Point Service Life)</t>
  </si>
  <si>
    <t>Mid-Point</t>
  </si>
  <si>
    <t>Accumulated</t>
  </si>
  <si>
    <t>Depreciation</t>
  </si>
  <si>
    <t xml:space="preserve">Accumulated </t>
  </si>
  <si>
    <t>ACCT</t>
  </si>
  <si>
    <t>Cost</t>
  </si>
  <si>
    <t>Expense</t>
  </si>
  <si>
    <t xml:space="preserve">Depr </t>
  </si>
  <si>
    <t>Net</t>
  </si>
  <si>
    <t>Service Life</t>
  </si>
  <si>
    <t>BUILDINGS</t>
  </si>
  <si>
    <t>Utility Plant</t>
  </si>
  <si>
    <t>S/L</t>
  </si>
  <si>
    <t>Utility Plant Additions</t>
  </si>
  <si>
    <t>Wastewater Treatment Plant 2(cont 23)</t>
  </si>
  <si>
    <t>2006 Utility Plant Additions</t>
  </si>
  <si>
    <t>COLLECTION SEWERS-FORCE</t>
  </si>
  <si>
    <t>Sewer Transmission Force Main(cont 24)</t>
  </si>
  <si>
    <t>Sewage Lift Station(cont 24)</t>
  </si>
  <si>
    <t>2005 District Additions</t>
  </si>
  <si>
    <t>2006 Marshes Siding Project - Phase I</t>
  </si>
  <si>
    <t>2006 Stearns Sewer, EPA</t>
  </si>
  <si>
    <t>2006 Pine Knot Sewer Project</t>
  </si>
  <si>
    <t>2006 Marshes Siding Project - Phase !!</t>
  </si>
  <si>
    <t>2007 Marshes Siding Project - Phase !!</t>
  </si>
  <si>
    <t>2008 Sterns Sewer Phase II and III</t>
  </si>
  <si>
    <t>2008 Williamsburg Project</t>
  </si>
  <si>
    <t>2009 Sterns Wewer Project EPA Funds</t>
  </si>
  <si>
    <t>2009 Holloway Cemetary Rd.</t>
  </si>
  <si>
    <t>Williamsburg Street</t>
  </si>
  <si>
    <t>Holloway Cemetary Rd</t>
  </si>
  <si>
    <t>10.30.11</t>
  </si>
  <si>
    <t>Revelo to Stearns Extension</t>
  </si>
  <si>
    <t>SERVICES/METERS</t>
  </si>
  <si>
    <t>Services to Customers</t>
  </si>
  <si>
    <t>2006 District Additions</t>
  </si>
  <si>
    <t>Services to Customers - Big Creek</t>
  </si>
  <si>
    <t>2007 District Additions</t>
  </si>
  <si>
    <t>2008 District Additions</t>
  </si>
  <si>
    <t>2009 District Additions</t>
  </si>
  <si>
    <t>2010 District Additions</t>
  </si>
  <si>
    <t>2011 District Additions</t>
  </si>
  <si>
    <t>2012 District Additions</t>
  </si>
  <si>
    <t>2013 District Additions</t>
  </si>
  <si>
    <t>2014 District Additions</t>
  </si>
  <si>
    <t>2015 District Additions</t>
  </si>
  <si>
    <t>2016 District Additions</t>
  </si>
  <si>
    <t>2017 District Additions</t>
  </si>
  <si>
    <t>2018 District Additions</t>
  </si>
  <si>
    <t>2019 District Additions</t>
  </si>
  <si>
    <t>2020 District AdditionsDaughtery&amp;Pig Skin</t>
  </si>
  <si>
    <t>2020 District Additions</t>
  </si>
  <si>
    <t>FLOW MEASURNING DEVICES</t>
  </si>
  <si>
    <t>Sewage Flow Meter(cont 24)</t>
  </si>
  <si>
    <t>PUMPING EQUIPMENT</t>
  </si>
  <si>
    <t>Transformer from Sewer</t>
  </si>
  <si>
    <t>03/01/2000</t>
  </si>
  <si>
    <t>Equipment</t>
  </si>
  <si>
    <t>24 H.P. Pump</t>
  </si>
  <si>
    <t>Atlas Machine Submersable</t>
  </si>
  <si>
    <t>2006 Pumping Equip - Electric</t>
  </si>
  <si>
    <t>2009 Bypass Mobile Pump EPA Funds</t>
  </si>
  <si>
    <t>2009 Sterns Sewer LIft EPA Funds</t>
  </si>
  <si>
    <t>2009 Holloway Cem RD XS 21147011</t>
  </si>
  <si>
    <t>2009 Holloway Cem Rd</t>
  </si>
  <si>
    <t>PUMPING EQUIPMENT-DIESEL</t>
  </si>
  <si>
    <t>Emergency Generator(cont 27)</t>
  </si>
  <si>
    <t>TREATMENT &amp; DISPOSAL</t>
  </si>
  <si>
    <t>OFFICE FURNITURE AND EQUIP</t>
  </si>
  <si>
    <t>Office Furniture and Equipment</t>
  </si>
  <si>
    <t>Office Furniture</t>
  </si>
  <si>
    <t>TRANSPORTATION EQUIPMENT</t>
  </si>
  <si>
    <t>11 Ford   F150 4x4</t>
  </si>
  <si>
    <t>07 Chevrolet 4x4</t>
  </si>
  <si>
    <t>07/15/2014</t>
  </si>
  <si>
    <t>Ford F-350</t>
  </si>
  <si>
    <t>20 Dodge Ram 3500 Tradesman</t>
  </si>
  <si>
    <t>TOOLS, SHOP &amp; GARAGE EQUIP</t>
  </si>
  <si>
    <t>Wrench</t>
  </si>
  <si>
    <t>Tapping Machine</t>
  </si>
  <si>
    <t>LABORATORY EQUIPMENT</t>
  </si>
  <si>
    <t>Testing Equipment</t>
  </si>
  <si>
    <t>Spectro Lab Equipment</t>
  </si>
  <si>
    <t>COMMUNICATION EQUIP</t>
  </si>
  <si>
    <t>OTHER TANGIBLE PROPERTY</t>
  </si>
  <si>
    <t>Other General Equipment</t>
  </si>
  <si>
    <t>Security System/Digital/Cameras</t>
  </si>
  <si>
    <t>Wireless Alarm</t>
  </si>
  <si>
    <t>12.17.10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</si>
</sst>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;@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2" fillId="0" borderId="0" xfId="0" applyNumberFormat="1" applyFont="1" applyAlignment="1"/>
    <xf numFmtId="1" fontId="1" fillId="0" borderId="0" xfId="0" applyNumberFormat="1" applyFont="1" applyAlignment="1"/>
    <xf numFmtId="3" fontId="3" fillId="0" borderId="0" xfId="0" applyNumberFormat="1" applyFont="1" applyAlignment="1"/>
    <xf numFmtId="3" fontId="4" fillId="0" borderId="0" xfId="0" applyNumberFormat="1" applyFont="1" applyAlignment="1"/>
    <xf numFmtId="0" fontId="1" fillId="0" borderId="1" xfId="0" applyNumberFormat="1" applyFont="1" applyBorder="1"/>
    <xf numFmtId="3" fontId="1" fillId="0" borderId="1" xfId="0" applyNumberFormat="1" applyFont="1" applyBorder="1"/>
    <xf numFmtId="0" fontId="1" fillId="0" borderId="0" xfId="0" applyNumberFormat="1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0"/>
  <sheetViews>
    <sheetView tabSelected="1" topLeftCell="A66" workbookViewId="0">
      <selection activeCell="F66" sqref="F66"/>
    </sheetView>
  </sheetViews>
  <sheetFormatPr defaultColWidth="12.28515625" defaultRowHeight="15.75" x14ac:dyDescent="0.25"/>
  <cols>
    <col min="1" max="1" width="8.28515625" style="1" customWidth="1"/>
    <col min="2" max="2" width="42.28515625" style="1" customWidth="1"/>
    <col min="3" max="3" width="17.85546875" style="1" customWidth="1"/>
    <col min="4" max="4" width="13.85546875" style="1" customWidth="1"/>
    <col min="5" max="5" width="7.7109375" style="1" customWidth="1"/>
    <col min="6" max="6" width="13.85546875" style="1" customWidth="1"/>
    <col min="7" max="39" width="12.28515625" style="1" hidden="1" customWidth="1"/>
    <col min="40" max="41" width="0" style="1" hidden="1" customWidth="1"/>
    <col min="42" max="42" width="14" style="1" hidden="1" customWidth="1"/>
    <col min="43" max="43" width="13.5703125" style="1" customWidth="1"/>
    <col min="44" max="45" width="13.7109375" style="1" customWidth="1"/>
    <col min="46" max="46" width="3.7109375" style="1" customWidth="1"/>
    <col min="47" max="47" width="13.5703125" customWidth="1"/>
    <col min="48" max="48" width="15.42578125" style="1" customWidth="1"/>
    <col min="49" max="256" width="12.28515625" style="1"/>
    <col min="257" max="257" width="8.28515625" style="1" customWidth="1"/>
    <col min="258" max="258" width="42.28515625" style="1" customWidth="1"/>
    <col min="259" max="259" width="12.5703125" style="1" customWidth="1"/>
    <col min="260" max="260" width="12.28515625" style="1"/>
    <col min="261" max="261" width="7.7109375" style="1" customWidth="1"/>
    <col min="262" max="262" width="4.28515625" style="1" customWidth="1"/>
    <col min="263" max="294" width="0" style="1" hidden="1" customWidth="1"/>
    <col min="295" max="301" width="12.28515625" style="1"/>
    <col min="302" max="302" width="3.7109375" style="1" customWidth="1"/>
    <col min="303" max="303" width="12.28515625" style="1"/>
    <col min="304" max="304" width="13.28515625" style="1" customWidth="1"/>
    <col min="305" max="512" width="12.28515625" style="1"/>
    <col min="513" max="513" width="8.28515625" style="1" customWidth="1"/>
    <col min="514" max="514" width="42.28515625" style="1" customWidth="1"/>
    <col min="515" max="515" width="12.5703125" style="1" customWidth="1"/>
    <col min="516" max="516" width="12.28515625" style="1"/>
    <col min="517" max="517" width="7.7109375" style="1" customWidth="1"/>
    <col min="518" max="518" width="4.28515625" style="1" customWidth="1"/>
    <col min="519" max="550" width="0" style="1" hidden="1" customWidth="1"/>
    <col min="551" max="557" width="12.28515625" style="1"/>
    <col min="558" max="558" width="3.7109375" style="1" customWidth="1"/>
    <col min="559" max="559" width="12.28515625" style="1"/>
    <col min="560" max="560" width="13.28515625" style="1" customWidth="1"/>
    <col min="561" max="768" width="12.28515625" style="1"/>
    <col min="769" max="769" width="8.28515625" style="1" customWidth="1"/>
    <col min="770" max="770" width="42.28515625" style="1" customWidth="1"/>
    <col min="771" max="771" width="12.5703125" style="1" customWidth="1"/>
    <col min="772" max="772" width="12.28515625" style="1"/>
    <col min="773" max="773" width="7.7109375" style="1" customWidth="1"/>
    <col min="774" max="774" width="4.28515625" style="1" customWidth="1"/>
    <col min="775" max="806" width="0" style="1" hidden="1" customWidth="1"/>
    <col min="807" max="813" width="12.28515625" style="1"/>
    <col min="814" max="814" width="3.7109375" style="1" customWidth="1"/>
    <col min="815" max="815" width="12.28515625" style="1"/>
    <col min="816" max="816" width="13.28515625" style="1" customWidth="1"/>
    <col min="817" max="1024" width="12.28515625" style="1"/>
    <col min="1025" max="1025" width="8.28515625" style="1" customWidth="1"/>
    <col min="1026" max="1026" width="42.28515625" style="1" customWidth="1"/>
    <col min="1027" max="1027" width="12.5703125" style="1" customWidth="1"/>
    <col min="1028" max="1028" width="12.28515625" style="1"/>
    <col min="1029" max="1029" width="7.7109375" style="1" customWidth="1"/>
    <col min="1030" max="1030" width="4.28515625" style="1" customWidth="1"/>
    <col min="1031" max="1062" width="0" style="1" hidden="1" customWidth="1"/>
    <col min="1063" max="1069" width="12.28515625" style="1"/>
    <col min="1070" max="1070" width="3.7109375" style="1" customWidth="1"/>
    <col min="1071" max="1071" width="12.28515625" style="1"/>
    <col min="1072" max="1072" width="13.28515625" style="1" customWidth="1"/>
    <col min="1073" max="1280" width="12.28515625" style="1"/>
    <col min="1281" max="1281" width="8.28515625" style="1" customWidth="1"/>
    <col min="1282" max="1282" width="42.28515625" style="1" customWidth="1"/>
    <col min="1283" max="1283" width="12.5703125" style="1" customWidth="1"/>
    <col min="1284" max="1284" width="12.28515625" style="1"/>
    <col min="1285" max="1285" width="7.7109375" style="1" customWidth="1"/>
    <col min="1286" max="1286" width="4.28515625" style="1" customWidth="1"/>
    <col min="1287" max="1318" width="0" style="1" hidden="1" customWidth="1"/>
    <col min="1319" max="1325" width="12.28515625" style="1"/>
    <col min="1326" max="1326" width="3.7109375" style="1" customWidth="1"/>
    <col min="1327" max="1327" width="12.28515625" style="1"/>
    <col min="1328" max="1328" width="13.28515625" style="1" customWidth="1"/>
    <col min="1329" max="1536" width="12.28515625" style="1"/>
    <col min="1537" max="1537" width="8.28515625" style="1" customWidth="1"/>
    <col min="1538" max="1538" width="42.28515625" style="1" customWidth="1"/>
    <col min="1539" max="1539" width="12.5703125" style="1" customWidth="1"/>
    <col min="1540" max="1540" width="12.28515625" style="1"/>
    <col min="1541" max="1541" width="7.7109375" style="1" customWidth="1"/>
    <col min="1542" max="1542" width="4.28515625" style="1" customWidth="1"/>
    <col min="1543" max="1574" width="0" style="1" hidden="1" customWidth="1"/>
    <col min="1575" max="1581" width="12.28515625" style="1"/>
    <col min="1582" max="1582" width="3.7109375" style="1" customWidth="1"/>
    <col min="1583" max="1583" width="12.28515625" style="1"/>
    <col min="1584" max="1584" width="13.28515625" style="1" customWidth="1"/>
    <col min="1585" max="1792" width="12.28515625" style="1"/>
    <col min="1793" max="1793" width="8.28515625" style="1" customWidth="1"/>
    <col min="1794" max="1794" width="42.28515625" style="1" customWidth="1"/>
    <col min="1795" max="1795" width="12.5703125" style="1" customWidth="1"/>
    <col min="1796" max="1796" width="12.28515625" style="1"/>
    <col min="1797" max="1797" width="7.7109375" style="1" customWidth="1"/>
    <col min="1798" max="1798" width="4.28515625" style="1" customWidth="1"/>
    <col min="1799" max="1830" width="0" style="1" hidden="1" customWidth="1"/>
    <col min="1831" max="1837" width="12.28515625" style="1"/>
    <col min="1838" max="1838" width="3.7109375" style="1" customWidth="1"/>
    <col min="1839" max="1839" width="12.28515625" style="1"/>
    <col min="1840" max="1840" width="13.28515625" style="1" customWidth="1"/>
    <col min="1841" max="2048" width="12.28515625" style="1"/>
    <col min="2049" max="2049" width="8.28515625" style="1" customWidth="1"/>
    <col min="2050" max="2050" width="42.28515625" style="1" customWidth="1"/>
    <col min="2051" max="2051" width="12.5703125" style="1" customWidth="1"/>
    <col min="2052" max="2052" width="12.28515625" style="1"/>
    <col min="2053" max="2053" width="7.7109375" style="1" customWidth="1"/>
    <col min="2054" max="2054" width="4.28515625" style="1" customWidth="1"/>
    <col min="2055" max="2086" width="0" style="1" hidden="1" customWidth="1"/>
    <col min="2087" max="2093" width="12.28515625" style="1"/>
    <col min="2094" max="2094" width="3.7109375" style="1" customWidth="1"/>
    <col min="2095" max="2095" width="12.28515625" style="1"/>
    <col min="2096" max="2096" width="13.28515625" style="1" customWidth="1"/>
    <col min="2097" max="2304" width="12.28515625" style="1"/>
    <col min="2305" max="2305" width="8.28515625" style="1" customWidth="1"/>
    <col min="2306" max="2306" width="42.28515625" style="1" customWidth="1"/>
    <col min="2307" max="2307" width="12.5703125" style="1" customWidth="1"/>
    <col min="2308" max="2308" width="12.28515625" style="1"/>
    <col min="2309" max="2309" width="7.7109375" style="1" customWidth="1"/>
    <col min="2310" max="2310" width="4.28515625" style="1" customWidth="1"/>
    <col min="2311" max="2342" width="0" style="1" hidden="1" customWidth="1"/>
    <col min="2343" max="2349" width="12.28515625" style="1"/>
    <col min="2350" max="2350" width="3.7109375" style="1" customWidth="1"/>
    <col min="2351" max="2351" width="12.28515625" style="1"/>
    <col min="2352" max="2352" width="13.28515625" style="1" customWidth="1"/>
    <col min="2353" max="2560" width="12.28515625" style="1"/>
    <col min="2561" max="2561" width="8.28515625" style="1" customWidth="1"/>
    <col min="2562" max="2562" width="42.28515625" style="1" customWidth="1"/>
    <col min="2563" max="2563" width="12.5703125" style="1" customWidth="1"/>
    <col min="2564" max="2564" width="12.28515625" style="1"/>
    <col min="2565" max="2565" width="7.7109375" style="1" customWidth="1"/>
    <col min="2566" max="2566" width="4.28515625" style="1" customWidth="1"/>
    <col min="2567" max="2598" width="0" style="1" hidden="1" customWidth="1"/>
    <col min="2599" max="2605" width="12.28515625" style="1"/>
    <col min="2606" max="2606" width="3.7109375" style="1" customWidth="1"/>
    <col min="2607" max="2607" width="12.28515625" style="1"/>
    <col min="2608" max="2608" width="13.28515625" style="1" customWidth="1"/>
    <col min="2609" max="2816" width="12.28515625" style="1"/>
    <col min="2817" max="2817" width="8.28515625" style="1" customWidth="1"/>
    <col min="2818" max="2818" width="42.28515625" style="1" customWidth="1"/>
    <col min="2819" max="2819" width="12.5703125" style="1" customWidth="1"/>
    <col min="2820" max="2820" width="12.28515625" style="1"/>
    <col min="2821" max="2821" width="7.7109375" style="1" customWidth="1"/>
    <col min="2822" max="2822" width="4.28515625" style="1" customWidth="1"/>
    <col min="2823" max="2854" width="0" style="1" hidden="1" customWidth="1"/>
    <col min="2855" max="2861" width="12.28515625" style="1"/>
    <col min="2862" max="2862" width="3.7109375" style="1" customWidth="1"/>
    <col min="2863" max="2863" width="12.28515625" style="1"/>
    <col min="2864" max="2864" width="13.28515625" style="1" customWidth="1"/>
    <col min="2865" max="3072" width="12.28515625" style="1"/>
    <col min="3073" max="3073" width="8.28515625" style="1" customWidth="1"/>
    <col min="3074" max="3074" width="42.28515625" style="1" customWidth="1"/>
    <col min="3075" max="3075" width="12.5703125" style="1" customWidth="1"/>
    <col min="3076" max="3076" width="12.28515625" style="1"/>
    <col min="3077" max="3077" width="7.7109375" style="1" customWidth="1"/>
    <col min="3078" max="3078" width="4.28515625" style="1" customWidth="1"/>
    <col min="3079" max="3110" width="0" style="1" hidden="1" customWidth="1"/>
    <col min="3111" max="3117" width="12.28515625" style="1"/>
    <col min="3118" max="3118" width="3.7109375" style="1" customWidth="1"/>
    <col min="3119" max="3119" width="12.28515625" style="1"/>
    <col min="3120" max="3120" width="13.28515625" style="1" customWidth="1"/>
    <col min="3121" max="3328" width="12.28515625" style="1"/>
    <col min="3329" max="3329" width="8.28515625" style="1" customWidth="1"/>
    <col min="3330" max="3330" width="42.28515625" style="1" customWidth="1"/>
    <col min="3331" max="3331" width="12.5703125" style="1" customWidth="1"/>
    <col min="3332" max="3332" width="12.28515625" style="1"/>
    <col min="3333" max="3333" width="7.7109375" style="1" customWidth="1"/>
    <col min="3334" max="3334" width="4.28515625" style="1" customWidth="1"/>
    <col min="3335" max="3366" width="0" style="1" hidden="1" customWidth="1"/>
    <col min="3367" max="3373" width="12.28515625" style="1"/>
    <col min="3374" max="3374" width="3.7109375" style="1" customWidth="1"/>
    <col min="3375" max="3375" width="12.28515625" style="1"/>
    <col min="3376" max="3376" width="13.28515625" style="1" customWidth="1"/>
    <col min="3377" max="3584" width="12.28515625" style="1"/>
    <col min="3585" max="3585" width="8.28515625" style="1" customWidth="1"/>
    <col min="3586" max="3586" width="42.28515625" style="1" customWidth="1"/>
    <col min="3587" max="3587" width="12.5703125" style="1" customWidth="1"/>
    <col min="3588" max="3588" width="12.28515625" style="1"/>
    <col min="3589" max="3589" width="7.7109375" style="1" customWidth="1"/>
    <col min="3590" max="3590" width="4.28515625" style="1" customWidth="1"/>
    <col min="3591" max="3622" width="0" style="1" hidden="1" customWidth="1"/>
    <col min="3623" max="3629" width="12.28515625" style="1"/>
    <col min="3630" max="3630" width="3.7109375" style="1" customWidth="1"/>
    <col min="3631" max="3631" width="12.28515625" style="1"/>
    <col min="3632" max="3632" width="13.28515625" style="1" customWidth="1"/>
    <col min="3633" max="3840" width="12.28515625" style="1"/>
    <col min="3841" max="3841" width="8.28515625" style="1" customWidth="1"/>
    <col min="3842" max="3842" width="42.28515625" style="1" customWidth="1"/>
    <col min="3843" max="3843" width="12.5703125" style="1" customWidth="1"/>
    <col min="3844" max="3844" width="12.28515625" style="1"/>
    <col min="3845" max="3845" width="7.7109375" style="1" customWidth="1"/>
    <col min="3846" max="3846" width="4.28515625" style="1" customWidth="1"/>
    <col min="3847" max="3878" width="0" style="1" hidden="1" customWidth="1"/>
    <col min="3879" max="3885" width="12.28515625" style="1"/>
    <col min="3886" max="3886" width="3.7109375" style="1" customWidth="1"/>
    <col min="3887" max="3887" width="12.28515625" style="1"/>
    <col min="3888" max="3888" width="13.28515625" style="1" customWidth="1"/>
    <col min="3889" max="4096" width="12.28515625" style="1"/>
    <col min="4097" max="4097" width="8.28515625" style="1" customWidth="1"/>
    <col min="4098" max="4098" width="42.28515625" style="1" customWidth="1"/>
    <col min="4099" max="4099" width="12.5703125" style="1" customWidth="1"/>
    <col min="4100" max="4100" width="12.28515625" style="1"/>
    <col min="4101" max="4101" width="7.7109375" style="1" customWidth="1"/>
    <col min="4102" max="4102" width="4.28515625" style="1" customWidth="1"/>
    <col min="4103" max="4134" width="0" style="1" hidden="1" customWidth="1"/>
    <col min="4135" max="4141" width="12.28515625" style="1"/>
    <col min="4142" max="4142" width="3.7109375" style="1" customWidth="1"/>
    <col min="4143" max="4143" width="12.28515625" style="1"/>
    <col min="4144" max="4144" width="13.28515625" style="1" customWidth="1"/>
    <col min="4145" max="4352" width="12.28515625" style="1"/>
    <col min="4353" max="4353" width="8.28515625" style="1" customWidth="1"/>
    <col min="4354" max="4354" width="42.28515625" style="1" customWidth="1"/>
    <col min="4355" max="4355" width="12.5703125" style="1" customWidth="1"/>
    <col min="4356" max="4356" width="12.28515625" style="1"/>
    <col min="4357" max="4357" width="7.7109375" style="1" customWidth="1"/>
    <col min="4358" max="4358" width="4.28515625" style="1" customWidth="1"/>
    <col min="4359" max="4390" width="0" style="1" hidden="1" customWidth="1"/>
    <col min="4391" max="4397" width="12.28515625" style="1"/>
    <col min="4398" max="4398" width="3.7109375" style="1" customWidth="1"/>
    <col min="4399" max="4399" width="12.28515625" style="1"/>
    <col min="4400" max="4400" width="13.28515625" style="1" customWidth="1"/>
    <col min="4401" max="4608" width="12.28515625" style="1"/>
    <col min="4609" max="4609" width="8.28515625" style="1" customWidth="1"/>
    <col min="4610" max="4610" width="42.28515625" style="1" customWidth="1"/>
    <col min="4611" max="4611" width="12.5703125" style="1" customWidth="1"/>
    <col min="4612" max="4612" width="12.28515625" style="1"/>
    <col min="4613" max="4613" width="7.7109375" style="1" customWidth="1"/>
    <col min="4614" max="4614" width="4.28515625" style="1" customWidth="1"/>
    <col min="4615" max="4646" width="0" style="1" hidden="1" customWidth="1"/>
    <col min="4647" max="4653" width="12.28515625" style="1"/>
    <col min="4654" max="4654" width="3.7109375" style="1" customWidth="1"/>
    <col min="4655" max="4655" width="12.28515625" style="1"/>
    <col min="4656" max="4656" width="13.28515625" style="1" customWidth="1"/>
    <col min="4657" max="4864" width="12.28515625" style="1"/>
    <col min="4865" max="4865" width="8.28515625" style="1" customWidth="1"/>
    <col min="4866" max="4866" width="42.28515625" style="1" customWidth="1"/>
    <col min="4867" max="4867" width="12.5703125" style="1" customWidth="1"/>
    <col min="4868" max="4868" width="12.28515625" style="1"/>
    <col min="4869" max="4869" width="7.7109375" style="1" customWidth="1"/>
    <col min="4870" max="4870" width="4.28515625" style="1" customWidth="1"/>
    <col min="4871" max="4902" width="0" style="1" hidden="1" customWidth="1"/>
    <col min="4903" max="4909" width="12.28515625" style="1"/>
    <col min="4910" max="4910" width="3.7109375" style="1" customWidth="1"/>
    <col min="4911" max="4911" width="12.28515625" style="1"/>
    <col min="4912" max="4912" width="13.28515625" style="1" customWidth="1"/>
    <col min="4913" max="5120" width="12.28515625" style="1"/>
    <col min="5121" max="5121" width="8.28515625" style="1" customWidth="1"/>
    <col min="5122" max="5122" width="42.28515625" style="1" customWidth="1"/>
    <col min="5123" max="5123" width="12.5703125" style="1" customWidth="1"/>
    <col min="5124" max="5124" width="12.28515625" style="1"/>
    <col min="5125" max="5125" width="7.7109375" style="1" customWidth="1"/>
    <col min="5126" max="5126" width="4.28515625" style="1" customWidth="1"/>
    <col min="5127" max="5158" width="0" style="1" hidden="1" customWidth="1"/>
    <col min="5159" max="5165" width="12.28515625" style="1"/>
    <col min="5166" max="5166" width="3.7109375" style="1" customWidth="1"/>
    <col min="5167" max="5167" width="12.28515625" style="1"/>
    <col min="5168" max="5168" width="13.28515625" style="1" customWidth="1"/>
    <col min="5169" max="5376" width="12.28515625" style="1"/>
    <col min="5377" max="5377" width="8.28515625" style="1" customWidth="1"/>
    <col min="5378" max="5378" width="42.28515625" style="1" customWidth="1"/>
    <col min="5379" max="5379" width="12.5703125" style="1" customWidth="1"/>
    <col min="5380" max="5380" width="12.28515625" style="1"/>
    <col min="5381" max="5381" width="7.7109375" style="1" customWidth="1"/>
    <col min="5382" max="5382" width="4.28515625" style="1" customWidth="1"/>
    <col min="5383" max="5414" width="0" style="1" hidden="1" customWidth="1"/>
    <col min="5415" max="5421" width="12.28515625" style="1"/>
    <col min="5422" max="5422" width="3.7109375" style="1" customWidth="1"/>
    <col min="5423" max="5423" width="12.28515625" style="1"/>
    <col min="5424" max="5424" width="13.28515625" style="1" customWidth="1"/>
    <col min="5425" max="5632" width="12.28515625" style="1"/>
    <col min="5633" max="5633" width="8.28515625" style="1" customWidth="1"/>
    <col min="5634" max="5634" width="42.28515625" style="1" customWidth="1"/>
    <col min="5635" max="5635" width="12.5703125" style="1" customWidth="1"/>
    <col min="5636" max="5636" width="12.28515625" style="1"/>
    <col min="5637" max="5637" width="7.7109375" style="1" customWidth="1"/>
    <col min="5638" max="5638" width="4.28515625" style="1" customWidth="1"/>
    <col min="5639" max="5670" width="0" style="1" hidden="1" customWidth="1"/>
    <col min="5671" max="5677" width="12.28515625" style="1"/>
    <col min="5678" max="5678" width="3.7109375" style="1" customWidth="1"/>
    <col min="5679" max="5679" width="12.28515625" style="1"/>
    <col min="5680" max="5680" width="13.28515625" style="1" customWidth="1"/>
    <col min="5681" max="5888" width="12.28515625" style="1"/>
    <col min="5889" max="5889" width="8.28515625" style="1" customWidth="1"/>
    <col min="5890" max="5890" width="42.28515625" style="1" customWidth="1"/>
    <col min="5891" max="5891" width="12.5703125" style="1" customWidth="1"/>
    <col min="5892" max="5892" width="12.28515625" style="1"/>
    <col min="5893" max="5893" width="7.7109375" style="1" customWidth="1"/>
    <col min="5894" max="5894" width="4.28515625" style="1" customWidth="1"/>
    <col min="5895" max="5926" width="0" style="1" hidden="1" customWidth="1"/>
    <col min="5927" max="5933" width="12.28515625" style="1"/>
    <col min="5934" max="5934" width="3.7109375" style="1" customWidth="1"/>
    <col min="5935" max="5935" width="12.28515625" style="1"/>
    <col min="5936" max="5936" width="13.28515625" style="1" customWidth="1"/>
    <col min="5937" max="6144" width="12.28515625" style="1"/>
    <col min="6145" max="6145" width="8.28515625" style="1" customWidth="1"/>
    <col min="6146" max="6146" width="42.28515625" style="1" customWidth="1"/>
    <col min="6147" max="6147" width="12.5703125" style="1" customWidth="1"/>
    <col min="6148" max="6148" width="12.28515625" style="1"/>
    <col min="6149" max="6149" width="7.7109375" style="1" customWidth="1"/>
    <col min="6150" max="6150" width="4.28515625" style="1" customWidth="1"/>
    <col min="6151" max="6182" width="0" style="1" hidden="1" customWidth="1"/>
    <col min="6183" max="6189" width="12.28515625" style="1"/>
    <col min="6190" max="6190" width="3.7109375" style="1" customWidth="1"/>
    <col min="6191" max="6191" width="12.28515625" style="1"/>
    <col min="6192" max="6192" width="13.28515625" style="1" customWidth="1"/>
    <col min="6193" max="6400" width="12.28515625" style="1"/>
    <col min="6401" max="6401" width="8.28515625" style="1" customWidth="1"/>
    <col min="6402" max="6402" width="42.28515625" style="1" customWidth="1"/>
    <col min="6403" max="6403" width="12.5703125" style="1" customWidth="1"/>
    <col min="6404" max="6404" width="12.28515625" style="1"/>
    <col min="6405" max="6405" width="7.7109375" style="1" customWidth="1"/>
    <col min="6406" max="6406" width="4.28515625" style="1" customWidth="1"/>
    <col min="6407" max="6438" width="0" style="1" hidden="1" customWidth="1"/>
    <col min="6439" max="6445" width="12.28515625" style="1"/>
    <col min="6446" max="6446" width="3.7109375" style="1" customWidth="1"/>
    <col min="6447" max="6447" width="12.28515625" style="1"/>
    <col min="6448" max="6448" width="13.28515625" style="1" customWidth="1"/>
    <col min="6449" max="6656" width="12.28515625" style="1"/>
    <col min="6657" max="6657" width="8.28515625" style="1" customWidth="1"/>
    <col min="6658" max="6658" width="42.28515625" style="1" customWidth="1"/>
    <col min="6659" max="6659" width="12.5703125" style="1" customWidth="1"/>
    <col min="6660" max="6660" width="12.28515625" style="1"/>
    <col min="6661" max="6661" width="7.7109375" style="1" customWidth="1"/>
    <col min="6662" max="6662" width="4.28515625" style="1" customWidth="1"/>
    <col min="6663" max="6694" width="0" style="1" hidden="1" customWidth="1"/>
    <col min="6695" max="6701" width="12.28515625" style="1"/>
    <col min="6702" max="6702" width="3.7109375" style="1" customWidth="1"/>
    <col min="6703" max="6703" width="12.28515625" style="1"/>
    <col min="6704" max="6704" width="13.28515625" style="1" customWidth="1"/>
    <col min="6705" max="6912" width="12.28515625" style="1"/>
    <col min="6913" max="6913" width="8.28515625" style="1" customWidth="1"/>
    <col min="6914" max="6914" width="42.28515625" style="1" customWidth="1"/>
    <col min="6915" max="6915" width="12.5703125" style="1" customWidth="1"/>
    <col min="6916" max="6916" width="12.28515625" style="1"/>
    <col min="6917" max="6917" width="7.7109375" style="1" customWidth="1"/>
    <col min="6918" max="6918" width="4.28515625" style="1" customWidth="1"/>
    <col min="6919" max="6950" width="0" style="1" hidden="1" customWidth="1"/>
    <col min="6951" max="6957" width="12.28515625" style="1"/>
    <col min="6958" max="6958" width="3.7109375" style="1" customWidth="1"/>
    <col min="6959" max="6959" width="12.28515625" style="1"/>
    <col min="6960" max="6960" width="13.28515625" style="1" customWidth="1"/>
    <col min="6961" max="7168" width="12.28515625" style="1"/>
    <col min="7169" max="7169" width="8.28515625" style="1" customWidth="1"/>
    <col min="7170" max="7170" width="42.28515625" style="1" customWidth="1"/>
    <col min="7171" max="7171" width="12.5703125" style="1" customWidth="1"/>
    <col min="7172" max="7172" width="12.28515625" style="1"/>
    <col min="7173" max="7173" width="7.7109375" style="1" customWidth="1"/>
    <col min="7174" max="7174" width="4.28515625" style="1" customWidth="1"/>
    <col min="7175" max="7206" width="0" style="1" hidden="1" customWidth="1"/>
    <col min="7207" max="7213" width="12.28515625" style="1"/>
    <col min="7214" max="7214" width="3.7109375" style="1" customWidth="1"/>
    <col min="7215" max="7215" width="12.28515625" style="1"/>
    <col min="7216" max="7216" width="13.28515625" style="1" customWidth="1"/>
    <col min="7217" max="7424" width="12.28515625" style="1"/>
    <col min="7425" max="7425" width="8.28515625" style="1" customWidth="1"/>
    <col min="7426" max="7426" width="42.28515625" style="1" customWidth="1"/>
    <col min="7427" max="7427" width="12.5703125" style="1" customWidth="1"/>
    <col min="7428" max="7428" width="12.28515625" style="1"/>
    <col min="7429" max="7429" width="7.7109375" style="1" customWidth="1"/>
    <col min="7430" max="7430" width="4.28515625" style="1" customWidth="1"/>
    <col min="7431" max="7462" width="0" style="1" hidden="1" customWidth="1"/>
    <col min="7463" max="7469" width="12.28515625" style="1"/>
    <col min="7470" max="7470" width="3.7109375" style="1" customWidth="1"/>
    <col min="7471" max="7471" width="12.28515625" style="1"/>
    <col min="7472" max="7472" width="13.28515625" style="1" customWidth="1"/>
    <col min="7473" max="7680" width="12.28515625" style="1"/>
    <col min="7681" max="7681" width="8.28515625" style="1" customWidth="1"/>
    <col min="7682" max="7682" width="42.28515625" style="1" customWidth="1"/>
    <col min="7683" max="7683" width="12.5703125" style="1" customWidth="1"/>
    <col min="7684" max="7684" width="12.28515625" style="1"/>
    <col min="7685" max="7685" width="7.7109375" style="1" customWidth="1"/>
    <col min="7686" max="7686" width="4.28515625" style="1" customWidth="1"/>
    <col min="7687" max="7718" width="0" style="1" hidden="1" customWidth="1"/>
    <col min="7719" max="7725" width="12.28515625" style="1"/>
    <col min="7726" max="7726" width="3.7109375" style="1" customWidth="1"/>
    <col min="7727" max="7727" width="12.28515625" style="1"/>
    <col min="7728" max="7728" width="13.28515625" style="1" customWidth="1"/>
    <col min="7729" max="7936" width="12.28515625" style="1"/>
    <col min="7937" max="7937" width="8.28515625" style="1" customWidth="1"/>
    <col min="7938" max="7938" width="42.28515625" style="1" customWidth="1"/>
    <col min="7939" max="7939" width="12.5703125" style="1" customWidth="1"/>
    <col min="7940" max="7940" width="12.28515625" style="1"/>
    <col min="7941" max="7941" width="7.7109375" style="1" customWidth="1"/>
    <col min="7942" max="7942" width="4.28515625" style="1" customWidth="1"/>
    <col min="7943" max="7974" width="0" style="1" hidden="1" customWidth="1"/>
    <col min="7975" max="7981" width="12.28515625" style="1"/>
    <col min="7982" max="7982" width="3.7109375" style="1" customWidth="1"/>
    <col min="7983" max="7983" width="12.28515625" style="1"/>
    <col min="7984" max="7984" width="13.28515625" style="1" customWidth="1"/>
    <col min="7985" max="8192" width="12.28515625" style="1"/>
    <col min="8193" max="8193" width="8.28515625" style="1" customWidth="1"/>
    <col min="8194" max="8194" width="42.28515625" style="1" customWidth="1"/>
    <col min="8195" max="8195" width="12.5703125" style="1" customWidth="1"/>
    <col min="8196" max="8196" width="12.28515625" style="1"/>
    <col min="8197" max="8197" width="7.7109375" style="1" customWidth="1"/>
    <col min="8198" max="8198" width="4.28515625" style="1" customWidth="1"/>
    <col min="8199" max="8230" width="0" style="1" hidden="1" customWidth="1"/>
    <col min="8231" max="8237" width="12.28515625" style="1"/>
    <col min="8238" max="8238" width="3.7109375" style="1" customWidth="1"/>
    <col min="8239" max="8239" width="12.28515625" style="1"/>
    <col min="8240" max="8240" width="13.28515625" style="1" customWidth="1"/>
    <col min="8241" max="8448" width="12.28515625" style="1"/>
    <col min="8449" max="8449" width="8.28515625" style="1" customWidth="1"/>
    <col min="8450" max="8450" width="42.28515625" style="1" customWidth="1"/>
    <col min="8451" max="8451" width="12.5703125" style="1" customWidth="1"/>
    <col min="8452" max="8452" width="12.28515625" style="1"/>
    <col min="8453" max="8453" width="7.7109375" style="1" customWidth="1"/>
    <col min="8454" max="8454" width="4.28515625" style="1" customWidth="1"/>
    <col min="8455" max="8486" width="0" style="1" hidden="1" customWidth="1"/>
    <col min="8487" max="8493" width="12.28515625" style="1"/>
    <col min="8494" max="8494" width="3.7109375" style="1" customWidth="1"/>
    <col min="8495" max="8495" width="12.28515625" style="1"/>
    <col min="8496" max="8496" width="13.28515625" style="1" customWidth="1"/>
    <col min="8497" max="8704" width="12.28515625" style="1"/>
    <col min="8705" max="8705" width="8.28515625" style="1" customWidth="1"/>
    <col min="8706" max="8706" width="42.28515625" style="1" customWidth="1"/>
    <col min="8707" max="8707" width="12.5703125" style="1" customWidth="1"/>
    <col min="8708" max="8708" width="12.28515625" style="1"/>
    <col min="8709" max="8709" width="7.7109375" style="1" customWidth="1"/>
    <col min="8710" max="8710" width="4.28515625" style="1" customWidth="1"/>
    <col min="8711" max="8742" width="0" style="1" hidden="1" customWidth="1"/>
    <col min="8743" max="8749" width="12.28515625" style="1"/>
    <col min="8750" max="8750" width="3.7109375" style="1" customWidth="1"/>
    <col min="8751" max="8751" width="12.28515625" style="1"/>
    <col min="8752" max="8752" width="13.28515625" style="1" customWidth="1"/>
    <col min="8753" max="8960" width="12.28515625" style="1"/>
    <col min="8961" max="8961" width="8.28515625" style="1" customWidth="1"/>
    <col min="8962" max="8962" width="42.28515625" style="1" customWidth="1"/>
    <col min="8963" max="8963" width="12.5703125" style="1" customWidth="1"/>
    <col min="8964" max="8964" width="12.28515625" style="1"/>
    <col min="8965" max="8965" width="7.7109375" style="1" customWidth="1"/>
    <col min="8966" max="8966" width="4.28515625" style="1" customWidth="1"/>
    <col min="8967" max="8998" width="0" style="1" hidden="1" customWidth="1"/>
    <col min="8999" max="9005" width="12.28515625" style="1"/>
    <col min="9006" max="9006" width="3.7109375" style="1" customWidth="1"/>
    <col min="9007" max="9007" width="12.28515625" style="1"/>
    <col min="9008" max="9008" width="13.28515625" style="1" customWidth="1"/>
    <col min="9009" max="9216" width="12.28515625" style="1"/>
    <col min="9217" max="9217" width="8.28515625" style="1" customWidth="1"/>
    <col min="9218" max="9218" width="42.28515625" style="1" customWidth="1"/>
    <col min="9219" max="9219" width="12.5703125" style="1" customWidth="1"/>
    <col min="9220" max="9220" width="12.28515625" style="1"/>
    <col min="9221" max="9221" width="7.7109375" style="1" customWidth="1"/>
    <col min="9222" max="9222" width="4.28515625" style="1" customWidth="1"/>
    <col min="9223" max="9254" width="0" style="1" hidden="1" customWidth="1"/>
    <col min="9255" max="9261" width="12.28515625" style="1"/>
    <col min="9262" max="9262" width="3.7109375" style="1" customWidth="1"/>
    <col min="9263" max="9263" width="12.28515625" style="1"/>
    <col min="9264" max="9264" width="13.28515625" style="1" customWidth="1"/>
    <col min="9265" max="9472" width="12.28515625" style="1"/>
    <col min="9473" max="9473" width="8.28515625" style="1" customWidth="1"/>
    <col min="9474" max="9474" width="42.28515625" style="1" customWidth="1"/>
    <col min="9475" max="9475" width="12.5703125" style="1" customWidth="1"/>
    <col min="9476" max="9476" width="12.28515625" style="1"/>
    <col min="9477" max="9477" width="7.7109375" style="1" customWidth="1"/>
    <col min="9478" max="9478" width="4.28515625" style="1" customWidth="1"/>
    <col min="9479" max="9510" width="0" style="1" hidden="1" customWidth="1"/>
    <col min="9511" max="9517" width="12.28515625" style="1"/>
    <col min="9518" max="9518" width="3.7109375" style="1" customWidth="1"/>
    <col min="9519" max="9519" width="12.28515625" style="1"/>
    <col min="9520" max="9520" width="13.28515625" style="1" customWidth="1"/>
    <col min="9521" max="9728" width="12.28515625" style="1"/>
    <col min="9729" max="9729" width="8.28515625" style="1" customWidth="1"/>
    <col min="9730" max="9730" width="42.28515625" style="1" customWidth="1"/>
    <col min="9731" max="9731" width="12.5703125" style="1" customWidth="1"/>
    <col min="9732" max="9732" width="12.28515625" style="1"/>
    <col min="9733" max="9733" width="7.7109375" style="1" customWidth="1"/>
    <col min="9734" max="9734" width="4.28515625" style="1" customWidth="1"/>
    <col min="9735" max="9766" width="0" style="1" hidden="1" customWidth="1"/>
    <col min="9767" max="9773" width="12.28515625" style="1"/>
    <col min="9774" max="9774" width="3.7109375" style="1" customWidth="1"/>
    <col min="9775" max="9775" width="12.28515625" style="1"/>
    <col min="9776" max="9776" width="13.28515625" style="1" customWidth="1"/>
    <col min="9777" max="9984" width="12.28515625" style="1"/>
    <col min="9985" max="9985" width="8.28515625" style="1" customWidth="1"/>
    <col min="9986" max="9986" width="42.28515625" style="1" customWidth="1"/>
    <col min="9987" max="9987" width="12.5703125" style="1" customWidth="1"/>
    <col min="9988" max="9988" width="12.28515625" style="1"/>
    <col min="9989" max="9989" width="7.7109375" style="1" customWidth="1"/>
    <col min="9990" max="9990" width="4.28515625" style="1" customWidth="1"/>
    <col min="9991" max="10022" width="0" style="1" hidden="1" customWidth="1"/>
    <col min="10023" max="10029" width="12.28515625" style="1"/>
    <col min="10030" max="10030" width="3.7109375" style="1" customWidth="1"/>
    <col min="10031" max="10031" width="12.28515625" style="1"/>
    <col min="10032" max="10032" width="13.28515625" style="1" customWidth="1"/>
    <col min="10033" max="10240" width="12.28515625" style="1"/>
    <col min="10241" max="10241" width="8.28515625" style="1" customWidth="1"/>
    <col min="10242" max="10242" width="42.28515625" style="1" customWidth="1"/>
    <col min="10243" max="10243" width="12.5703125" style="1" customWidth="1"/>
    <col min="10244" max="10244" width="12.28515625" style="1"/>
    <col min="10245" max="10245" width="7.7109375" style="1" customWidth="1"/>
    <col min="10246" max="10246" width="4.28515625" style="1" customWidth="1"/>
    <col min="10247" max="10278" width="0" style="1" hidden="1" customWidth="1"/>
    <col min="10279" max="10285" width="12.28515625" style="1"/>
    <col min="10286" max="10286" width="3.7109375" style="1" customWidth="1"/>
    <col min="10287" max="10287" width="12.28515625" style="1"/>
    <col min="10288" max="10288" width="13.28515625" style="1" customWidth="1"/>
    <col min="10289" max="10496" width="12.28515625" style="1"/>
    <col min="10497" max="10497" width="8.28515625" style="1" customWidth="1"/>
    <col min="10498" max="10498" width="42.28515625" style="1" customWidth="1"/>
    <col min="10499" max="10499" width="12.5703125" style="1" customWidth="1"/>
    <col min="10500" max="10500" width="12.28515625" style="1"/>
    <col min="10501" max="10501" width="7.7109375" style="1" customWidth="1"/>
    <col min="10502" max="10502" width="4.28515625" style="1" customWidth="1"/>
    <col min="10503" max="10534" width="0" style="1" hidden="1" customWidth="1"/>
    <col min="10535" max="10541" width="12.28515625" style="1"/>
    <col min="10542" max="10542" width="3.7109375" style="1" customWidth="1"/>
    <col min="10543" max="10543" width="12.28515625" style="1"/>
    <col min="10544" max="10544" width="13.28515625" style="1" customWidth="1"/>
    <col min="10545" max="10752" width="12.28515625" style="1"/>
    <col min="10753" max="10753" width="8.28515625" style="1" customWidth="1"/>
    <col min="10754" max="10754" width="42.28515625" style="1" customWidth="1"/>
    <col min="10755" max="10755" width="12.5703125" style="1" customWidth="1"/>
    <col min="10756" max="10756" width="12.28515625" style="1"/>
    <col min="10757" max="10757" width="7.7109375" style="1" customWidth="1"/>
    <col min="10758" max="10758" width="4.28515625" style="1" customWidth="1"/>
    <col min="10759" max="10790" width="0" style="1" hidden="1" customWidth="1"/>
    <col min="10791" max="10797" width="12.28515625" style="1"/>
    <col min="10798" max="10798" width="3.7109375" style="1" customWidth="1"/>
    <col min="10799" max="10799" width="12.28515625" style="1"/>
    <col min="10800" max="10800" width="13.28515625" style="1" customWidth="1"/>
    <col min="10801" max="11008" width="12.28515625" style="1"/>
    <col min="11009" max="11009" width="8.28515625" style="1" customWidth="1"/>
    <col min="11010" max="11010" width="42.28515625" style="1" customWidth="1"/>
    <col min="11011" max="11011" width="12.5703125" style="1" customWidth="1"/>
    <col min="11012" max="11012" width="12.28515625" style="1"/>
    <col min="11013" max="11013" width="7.7109375" style="1" customWidth="1"/>
    <col min="11014" max="11014" width="4.28515625" style="1" customWidth="1"/>
    <col min="11015" max="11046" width="0" style="1" hidden="1" customWidth="1"/>
    <col min="11047" max="11053" width="12.28515625" style="1"/>
    <col min="11054" max="11054" width="3.7109375" style="1" customWidth="1"/>
    <col min="11055" max="11055" width="12.28515625" style="1"/>
    <col min="11056" max="11056" width="13.28515625" style="1" customWidth="1"/>
    <col min="11057" max="11264" width="12.28515625" style="1"/>
    <col min="11265" max="11265" width="8.28515625" style="1" customWidth="1"/>
    <col min="11266" max="11266" width="42.28515625" style="1" customWidth="1"/>
    <col min="11267" max="11267" width="12.5703125" style="1" customWidth="1"/>
    <col min="11268" max="11268" width="12.28515625" style="1"/>
    <col min="11269" max="11269" width="7.7109375" style="1" customWidth="1"/>
    <col min="11270" max="11270" width="4.28515625" style="1" customWidth="1"/>
    <col min="11271" max="11302" width="0" style="1" hidden="1" customWidth="1"/>
    <col min="11303" max="11309" width="12.28515625" style="1"/>
    <col min="11310" max="11310" width="3.7109375" style="1" customWidth="1"/>
    <col min="11311" max="11311" width="12.28515625" style="1"/>
    <col min="11312" max="11312" width="13.28515625" style="1" customWidth="1"/>
    <col min="11313" max="11520" width="12.28515625" style="1"/>
    <col min="11521" max="11521" width="8.28515625" style="1" customWidth="1"/>
    <col min="11522" max="11522" width="42.28515625" style="1" customWidth="1"/>
    <col min="11523" max="11523" width="12.5703125" style="1" customWidth="1"/>
    <col min="11524" max="11524" width="12.28515625" style="1"/>
    <col min="11525" max="11525" width="7.7109375" style="1" customWidth="1"/>
    <col min="11526" max="11526" width="4.28515625" style="1" customWidth="1"/>
    <col min="11527" max="11558" width="0" style="1" hidden="1" customWidth="1"/>
    <col min="11559" max="11565" width="12.28515625" style="1"/>
    <col min="11566" max="11566" width="3.7109375" style="1" customWidth="1"/>
    <col min="11567" max="11567" width="12.28515625" style="1"/>
    <col min="11568" max="11568" width="13.28515625" style="1" customWidth="1"/>
    <col min="11569" max="11776" width="12.28515625" style="1"/>
    <col min="11777" max="11777" width="8.28515625" style="1" customWidth="1"/>
    <col min="11778" max="11778" width="42.28515625" style="1" customWidth="1"/>
    <col min="11779" max="11779" width="12.5703125" style="1" customWidth="1"/>
    <col min="11780" max="11780" width="12.28515625" style="1"/>
    <col min="11781" max="11781" width="7.7109375" style="1" customWidth="1"/>
    <col min="11782" max="11782" width="4.28515625" style="1" customWidth="1"/>
    <col min="11783" max="11814" width="0" style="1" hidden="1" customWidth="1"/>
    <col min="11815" max="11821" width="12.28515625" style="1"/>
    <col min="11822" max="11822" width="3.7109375" style="1" customWidth="1"/>
    <col min="11823" max="11823" width="12.28515625" style="1"/>
    <col min="11824" max="11824" width="13.28515625" style="1" customWidth="1"/>
    <col min="11825" max="12032" width="12.28515625" style="1"/>
    <col min="12033" max="12033" width="8.28515625" style="1" customWidth="1"/>
    <col min="12034" max="12034" width="42.28515625" style="1" customWidth="1"/>
    <col min="12035" max="12035" width="12.5703125" style="1" customWidth="1"/>
    <col min="12036" max="12036" width="12.28515625" style="1"/>
    <col min="12037" max="12037" width="7.7109375" style="1" customWidth="1"/>
    <col min="12038" max="12038" width="4.28515625" style="1" customWidth="1"/>
    <col min="12039" max="12070" width="0" style="1" hidden="1" customWidth="1"/>
    <col min="12071" max="12077" width="12.28515625" style="1"/>
    <col min="12078" max="12078" width="3.7109375" style="1" customWidth="1"/>
    <col min="12079" max="12079" width="12.28515625" style="1"/>
    <col min="12080" max="12080" width="13.28515625" style="1" customWidth="1"/>
    <col min="12081" max="12288" width="12.28515625" style="1"/>
    <col min="12289" max="12289" width="8.28515625" style="1" customWidth="1"/>
    <col min="12290" max="12290" width="42.28515625" style="1" customWidth="1"/>
    <col min="12291" max="12291" width="12.5703125" style="1" customWidth="1"/>
    <col min="12292" max="12292" width="12.28515625" style="1"/>
    <col min="12293" max="12293" width="7.7109375" style="1" customWidth="1"/>
    <col min="12294" max="12294" width="4.28515625" style="1" customWidth="1"/>
    <col min="12295" max="12326" width="0" style="1" hidden="1" customWidth="1"/>
    <col min="12327" max="12333" width="12.28515625" style="1"/>
    <col min="12334" max="12334" width="3.7109375" style="1" customWidth="1"/>
    <col min="12335" max="12335" width="12.28515625" style="1"/>
    <col min="12336" max="12336" width="13.28515625" style="1" customWidth="1"/>
    <col min="12337" max="12544" width="12.28515625" style="1"/>
    <col min="12545" max="12545" width="8.28515625" style="1" customWidth="1"/>
    <col min="12546" max="12546" width="42.28515625" style="1" customWidth="1"/>
    <col min="12547" max="12547" width="12.5703125" style="1" customWidth="1"/>
    <col min="12548" max="12548" width="12.28515625" style="1"/>
    <col min="12549" max="12549" width="7.7109375" style="1" customWidth="1"/>
    <col min="12550" max="12550" width="4.28515625" style="1" customWidth="1"/>
    <col min="12551" max="12582" width="0" style="1" hidden="1" customWidth="1"/>
    <col min="12583" max="12589" width="12.28515625" style="1"/>
    <col min="12590" max="12590" width="3.7109375" style="1" customWidth="1"/>
    <col min="12591" max="12591" width="12.28515625" style="1"/>
    <col min="12592" max="12592" width="13.28515625" style="1" customWidth="1"/>
    <col min="12593" max="12800" width="12.28515625" style="1"/>
    <col min="12801" max="12801" width="8.28515625" style="1" customWidth="1"/>
    <col min="12802" max="12802" width="42.28515625" style="1" customWidth="1"/>
    <col min="12803" max="12803" width="12.5703125" style="1" customWidth="1"/>
    <col min="12804" max="12804" width="12.28515625" style="1"/>
    <col min="12805" max="12805" width="7.7109375" style="1" customWidth="1"/>
    <col min="12806" max="12806" width="4.28515625" style="1" customWidth="1"/>
    <col min="12807" max="12838" width="0" style="1" hidden="1" customWidth="1"/>
    <col min="12839" max="12845" width="12.28515625" style="1"/>
    <col min="12846" max="12846" width="3.7109375" style="1" customWidth="1"/>
    <col min="12847" max="12847" width="12.28515625" style="1"/>
    <col min="12848" max="12848" width="13.28515625" style="1" customWidth="1"/>
    <col min="12849" max="13056" width="12.28515625" style="1"/>
    <col min="13057" max="13057" width="8.28515625" style="1" customWidth="1"/>
    <col min="13058" max="13058" width="42.28515625" style="1" customWidth="1"/>
    <col min="13059" max="13059" width="12.5703125" style="1" customWidth="1"/>
    <col min="13060" max="13060" width="12.28515625" style="1"/>
    <col min="13061" max="13061" width="7.7109375" style="1" customWidth="1"/>
    <col min="13062" max="13062" width="4.28515625" style="1" customWidth="1"/>
    <col min="13063" max="13094" width="0" style="1" hidden="1" customWidth="1"/>
    <col min="13095" max="13101" width="12.28515625" style="1"/>
    <col min="13102" max="13102" width="3.7109375" style="1" customWidth="1"/>
    <col min="13103" max="13103" width="12.28515625" style="1"/>
    <col min="13104" max="13104" width="13.28515625" style="1" customWidth="1"/>
    <col min="13105" max="13312" width="12.28515625" style="1"/>
    <col min="13313" max="13313" width="8.28515625" style="1" customWidth="1"/>
    <col min="13314" max="13314" width="42.28515625" style="1" customWidth="1"/>
    <col min="13315" max="13315" width="12.5703125" style="1" customWidth="1"/>
    <col min="13316" max="13316" width="12.28515625" style="1"/>
    <col min="13317" max="13317" width="7.7109375" style="1" customWidth="1"/>
    <col min="13318" max="13318" width="4.28515625" style="1" customWidth="1"/>
    <col min="13319" max="13350" width="0" style="1" hidden="1" customWidth="1"/>
    <col min="13351" max="13357" width="12.28515625" style="1"/>
    <col min="13358" max="13358" width="3.7109375" style="1" customWidth="1"/>
    <col min="13359" max="13359" width="12.28515625" style="1"/>
    <col min="13360" max="13360" width="13.28515625" style="1" customWidth="1"/>
    <col min="13361" max="13568" width="12.28515625" style="1"/>
    <col min="13569" max="13569" width="8.28515625" style="1" customWidth="1"/>
    <col min="13570" max="13570" width="42.28515625" style="1" customWidth="1"/>
    <col min="13571" max="13571" width="12.5703125" style="1" customWidth="1"/>
    <col min="13572" max="13572" width="12.28515625" style="1"/>
    <col min="13573" max="13573" width="7.7109375" style="1" customWidth="1"/>
    <col min="13574" max="13574" width="4.28515625" style="1" customWidth="1"/>
    <col min="13575" max="13606" width="0" style="1" hidden="1" customWidth="1"/>
    <col min="13607" max="13613" width="12.28515625" style="1"/>
    <col min="13614" max="13614" width="3.7109375" style="1" customWidth="1"/>
    <col min="13615" max="13615" width="12.28515625" style="1"/>
    <col min="13616" max="13616" width="13.28515625" style="1" customWidth="1"/>
    <col min="13617" max="13824" width="12.28515625" style="1"/>
    <col min="13825" max="13825" width="8.28515625" style="1" customWidth="1"/>
    <col min="13826" max="13826" width="42.28515625" style="1" customWidth="1"/>
    <col min="13827" max="13827" width="12.5703125" style="1" customWidth="1"/>
    <col min="13828" max="13828" width="12.28515625" style="1"/>
    <col min="13829" max="13829" width="7.7109375" style="1" customWidth="1"/>
    <col min="13830" max="13830" width="4.28515625" style="1" customWidth="1"/>
    <col min="13831" max="13862" width="0" style="1" hidden="1" customWidth="1"/>
    <col min="13863" max="13869" width="12.28515625" style="1"/>
    <col min="13870" max="13870" width="3.7109375" style="1" customWidth="1"/>
    <col min="13871" max="13871" width="12.28515625" style="1"/>
    <col min="13872" max="13872" width="13.28515625" style="1" customWidth="1"/>
    <col min="13873" max="14080" width="12.28515625" style="1"/>
    <col min="14081" max="14081" width="8.28515625" style="1" customWidth="1"/>
    <col min="14082" max="14082" width="42.28515625" style="1" customWidth="1"/>
    <col min="14083" max="14083" width="12.5703125" style="1" customWidth="1"/>
    <col min="14084" max="14084" width="12.28515625" style="1"/>
    <col min="14085" max="14085" width="7.7109375" style="1" customWidth="1"/>
    <col min="14086" max="14086" width="4.28515625" style="1" customWidth="1"/>
    <col min="14087" max="14118" width="0" style="1" hidden="1" customWidth="1"/>
    <col min="14119" max="14125" width="12.28515625" style="1"/>
    <col min="14126" max="14126" width="3.7109375" style="1" customWidth="1"/>
    <col min="14127" max="14127" width="12.28515625" style="1"/>
    <col min="14128" max="14128" width="13.28515625" style="1" customWidth="1"/>
    <col min="14129" max="14336" width="12.28515625" style="1"/>
    <col min="14337" max="14337" width="8.28515625" style="1" customWidth="1"/>
    <col min="14338" max="14338" width="42.28515625" style="1" customWidth="1"/>
    <col min="14339" max="14339" width="12.5703125" style="1" customWidth="1"/>
    <col min="14340" max="14340" width="12.28515625" style="1"/>
    <col min="14341" max="14341" width="7.7109375" style="1" customWidth="1"/>
    <col min="14342" max="14342" width="4.28515625" style="1" customWidth="1"/>
    <col min="14343" max="14374" width="0" style="1" hidden="1" customWidth="1"/>
    <col min="14375" max="14381" width="12.28515625" style="1"/>
    <col min="14382" max="14382" width="3.7109375" style="1" customWidth="1"/>
    <col min="14383" max="14383" width="12.28515625" style="1"/>
    <col min="14384" max="14384" width="13.28515625" style="1" customWidth="1"/>
    <col min="14385" max="14592" width="12.28515625" style="1"/>
    <col min="14593" max="14593" width="8.28515625" style="1" customWidth="1"/>
    <col min="14594" max="14594" width="42.28515625" style="1" customWidth="1"/>
    <col min="14595" max="14595" width="12.5703125" style="1" customWidth="1"/>
    <col min="14596" max="14596" width="12.28515625" style="1"/>
    <col min="14597" max="14597" width="7.7109375" style="1" customWidth="1"/>
    <col min="14598" max="14598" width="4.28515625" style="1" customWidth="1"/>
    <col min="14599" max="14630" width="0" style="1" hidden="1" customWidth="1"/>
    <col min="14631" max="14637" width="12.28515625" style="1"/>
    <col min="14638" max="14638" width="3.7109375" style="1" customWidth="1"/>
    <col min="14639" max="14639" width="12.28515625" style="1"/>
    <col min="14640" max="14640" width="13.28515625" style="1" customWidth="1"/>
    <col min="14641" max="14848" width="12.28515625" style="1"/>
    <col min="14849" max="14849" width="8.28515625" style="1" customWidth="1"/>
    <col min="14850" max="14850" width="42.28515625" style="1" customWidth="1"/>
    <col min="14851" max="14851" width="12.5703125" style="1" customWidth="1"/>
    <col min="14852" max="14852" width="12.28515625" style="1"/>
    <col min="14853" max="14853" width="7.7109375" style="1" customWidth="1"/>
    <col min="14854" max="14854" width="4.28515625" style="1" customWidth="1"/>
    <col min="14855" max="14886" width="0" style="1" hidden="1" customWidth="1"/>
    <col min="14887" max="14893" width="12.28515625" style="1"/>
    <col min="14894" max="14894" width="3.7109375" style="1" customWidth="1"/>
    <col min="14895" max="14895" width="12.28515625" style="1"/>
    <col min="14896" max="14896" width="13.28515625" style="1" customWidth="1"/>
    <col min="14897" max="15104" width="12.28515625" style="1"/>
    <col min="15105" max="15105" width="8.28515625" style="1" customWidth="1"/>
    <col min="15106" max="15106" width="42.28515625" style="1" customWidth="1"/>
    <col min="15107" max="15107" width="12.5703125" style="1" customWidth="1"/>
    <col min="15108" max="15108" width="12.28515625" style="1"/>
    <col min="15109" max="15109" width="7.7109375" style="1" customWidth="1"/>
    <col min="15110" max="15110" width="4.28515625" style="1" customWidth="1"/>
    <col min="15111" max="15142" width="0" style="1" hidden="1" customWidth="1"/>
    <col min="15143" max="15149" width="12.28515625" style="1"/>
    <col min="15150" max="15150" width="3.7109375" style="1" customWidth="1"/>
    <col min="15151" max="15151" width="12.28515625" style="1"/>
    <col min="15152" max="15152" width="13.28515625" style="1" customWidth="1"/>
    <col min="15153" max="15360" width="12.28515625" style="1"/>
    <col min="15361" max="15361" width="8.28515625" style="1" customWidth="1"/>
    <col min="15362" max="15362" width="42.28515625" style="1" customWidth="1"/>
    <col min="15363" max="15363" width="12.5703125" style="1" customWidth="1"/>
    <col min="15364" max="15364" width="12.28515625" style="1"/>
    <col min="15365" max="15365" width="7.7109375" style="1" customWidth="1"/>
    <col min="15366" max="15366" width="4.28515625" style="1" customWidth="1"/>
    <col min="15367" max="15398" width="0" style="1" hidden="1" customWidth="1"/>
    <col min="15399" max="15405" width="12.28515625" style="1"/>
    <col min="15406" max="15406" width="3.7109375" style="1" customWidth="1"/>
    <col min="15407" max="15407" width="12.28515625" style="1"/>
    <col min="15408" max="15408" width="13.28515625" style="1" customWidth="1"/>
    <col min="15409" max="15616" width="12.28515625" style="1"/>
    <col min="15617" max="15617" width="8.28515625" style="1" customWidth="1"/>
    <col min="15618" max="15618" width="42.28515625" style="1" customWidth="1"/>
    <col min="15619" max="15619" width="12.5703125" style="1" customWidth="1"/>
    <col min="15620" max="15620" width="12.28515625" style="1"/>
    <col min="15621" max="15621" width="7.7109375" style="1" customWidth="1"/>
    <col min="15622" max="15622" width="4.28515625" style="1" customWidth="1"/>
    <col min="15623" max="15654" width="0" style="1" hidden="1" customWidth="1"/>
    <col min="15655" max="15661" width="12.28515625" style="1"/>
    <col min="15662" max="15662" width="3.7109375" style="1" customWidth="1"/>
    <col min="15663" max="15663" width="12.28515625" style="1"/>
    <col min="15664" max="15664" width="13.28515625" style="1" customWidth="1"/>
    <col min="15665" max="15872" width="12.28515625" style="1"/>
    <col min="15873" max="15873" width="8.28515625" style="1" customWidth="1"/>
    <col min="15874" max="15874" width="42.28515625" style="1" customWidth="1"/>
    <col min="15875" max="15875" width="12.5703125" style="1" customWidth="1"/>
    <col min="15876" max="15876" width="12.28515625" style="1"/>
    <col min="15877" max="15877" width="7.7109375" style="1" customWidth="1"/>
    <col min="15878" max="15878" width="4.28515625" style="1" customWidth="1"/>
    <col min="15879" max="15910" width="0" style="1" hidden="1" customWidth="1"/>
    <col min="15911" max="15917" width="12.28515625" style="1"/>
    <col min="15918" max="15918" width="3.7109375" style="1" customWidth="1"/>
    <col min="15919" max="15919" width="12.28515625" style="1"/>
    <col min="15920" max="15920" width="13.28515625" style="1" customWidth="1"/>
    <col min="15921" max="16128" width="12.28515625" style="1"/>
    <col min="16129" max="16129" width="8.28515625" style="1" customWidth="1"/>
    <col min="16130" max="16130" width="42.28515625" style="1" customWidth="1"/>
    <col min="16131" max="16131" width="12.5703125" style="1" customWidth="1"/>
    <col min="16132" max="16132" width="12.28515625" style="1"/>
    <col min="16133" max="16133" width="7.7109375" style="1" customWidth="1"/>
    <col min="16134" max="16134" width="4.28515625" style="1" customWidth="1"/>
    <col min="16135" max="16166" width="0" style="1" hidden="1" customWidth="1"/>
    <col min="16167" max="16173" width="12.28515625" style="1"/>
    <col min="16174" max="16174" width="3.7109375" style="1" customWidth="1"/>
    <col min="16175" max="16175" width="12.28515625" style="1"/>
    <col min="16176" max="16176" width="13.28515625" style="1" customWidth="1"/>
    <col min="16177" max="16384" width="12.28515625" style="1"/>
  </cols>
  <sheetData>
    <row r="1" spans="1:48" ht="15" x14ac:dyDescent="0.2">
      <c r="B1" s="1" t="s">
        <v>0</v>
      </c>
      <c r="E1" s="2"/>
      <c r="F1" s="2"/>
      <c r="AS1" s="1" t="s">
        <v>1</v>
      </c>
      <c r="AU1" s="1"/>
    </row>
    <row r="2" spans="1:48" x14ac:dyDescent="0.25">
      <c r="B2" s="1" t="s">
        <v>2</v>
      </c>
      <c r="E2" s="2"/>
      <c r="F2" s="2"/>
      <c r="AU2" s="3"/>
      <c r="AV2" s="3">
        <v>2021</v>
      </c>
    </row>
    <row r="3" spans="1:48" x14ac:dyDescent="0.25">
      <c r="D3" s="2"/>
      <c r="E3" s="2"/>
      <c r="F3" s="2"/>
      <c r="G3" s="2"/>
      <c r="H3" s="2">
        <v>2004</v>
      </c>
      <c r="I3" s="2"/>
      <c r="J3" s="2">
        <v>2005</v>
      </c>
      <c r="K3" s="2"/>
      <c r="L3" s="2">
        <v>2006</v>
      </c>
      <c r="M3" s="2"/>
      <c r="N3" s="2">
        <v>2007</v>
      </c>
      <c r="P3" s="2">
        <v>2008</v>
      </c>
      <c r="R3" s="2">
        <v>2009</v>
      </c>
      <c r="T3" s="1">
        <v>2010</v>
      </c>
      <c r="V3" s="1">
        <v>2011</v>
      </c>
      <c r="X3" s="1">
        <v>2012</v>
      </c>
      <c r="Z3" s="1">
        <v>2013</v>
      </c>
      <c r="AB3" s="1">
        <v>2014</v>
      </c>
      <c r="AD3" s="1">
        <v>2015</v>
      </c>
      <c r="AF3" s="2">
        <v>2016</v>
      </c>
      <c r="AH3" s="2">
        <v>2017</v>
      </c>
      <c r="AJ3" s="2">
        <v>2018</v>
      </c>
      <c r="AL3" s="2">
        <v>2019</v>
      </c>
      <c r="AN3" s="1">
        <v>2020</v>
      </c>
      <c r="AQ3" s="1">
        <v>2021</v>
      </c>
      <c r="AU3" s="3"/>
      <c r="AV3" s="3" t="s">
        <v>3</v>
      </c>
    </row>
    <row r="4" spans="1:48" x14ac:dyDescent="0.25">
      <c r="D4" s="2"/>
      <c r="E4" s="2"/>
      <c r="F4" s="2"/>
      <c r="G4" s="2" t="s">
        <v>4</v>
      </c>
      <c r="H4" s="2" t="s">
        <v>5</v>
      </c>
      <c r="I4" s="2" t="s">
        <v>4</v>
      </c>
      <c r="J4" s="2" t="s">
        <v>5</v>
      </c>
      <c r="K4" s="2" t="s">
        <v>4</v>
      </c>
      <c r="L4" s="2" t="s">
        <v>5</v>
      </c>
      <c r="M4" s="2" t="s">
        <v>4</v>
      </c>
      <c r="N4" s="2" t="s">
        <v>5</v>
      </c>
      <c r="O4" s="2" t="s">
        <v>4</v>
      </c>
      <c r="P4" s="2" t="s">
        <v>5</v>
      </c>
      <c r="Q4" s="2" t="s">
        <v>4</v>
      </c>
      <c r="R4" s="2" t="s">
        <v>5</v>
      </c>
      <c r="S4" s="2" t="s">
        <v>4</v>
      </c>
      <c r="T4" s="1" t="s">
        <v>5</v>
      </c>
      <c r="U4" s="1" t="s">
        <v>6</v>
      </c>
      <c r="V4" s="1" t="s">
        <v>5</v>
      </c>
      <c r="W4" s="1" t="s">
        <v>6</v>
      </c>
      <c r="X4" s="1" t="s">
        <v>5</v>
      </c>
      <c r="Y4" s="1" t="s">
        <v>6</v>
      </c>
      <c r="Z4" s="1" t="s">
        <v>5</v>
      </c>
      <c r="AA4" s="1" t="s">
        <v>6</v>
      </c>
      <c r="AB4" s="1" t="s">
        <v>5</v>
      </c>
      <c r="AC4" s="1" t="s">
        <v>6</v>
      </c>
      <c r="AD4" s="1" t="s">
        <v>5</v>
      </c>
      <c r="AE4" s="1" t="s">
        <v>6</v>
      </c>
      <c r="AF4" s="1" t="s">
        <v>5</v>
      </c>
      <c r="AG4" s="1" t="s">
        <v>6</v>
      </c>
      <c r="AH4" s="1" t="s">
        <v>5</v>
      </c>
      <c r="AI4" s="1" t="s">
        <v>6</v>
      </c>
      <c r="AJ4" s="1" t="s">
        <v>5</v>
      </c>
      <c r="AK4" s="1" t="s">
        <v>6</v>
      </c>
      <c r="AL4" s="1" t="s">
        <v>5</v>
      </c>
      <c r="AM4" s="1" t="s">
        <v>6</v>
      </c>
      <c r="AN4" s="1" t="s">
        <v>5</v>
      </c>
      <c r="AO4" s="1" t="s">
        <v>6</v>
      </c>
      <c r="AQ4" s="1" t="s">
        <v>5</v>
      </c>
      <c r="AR4" s="1" t="s">
        <v>6</v>
      </c>
      <c r="AU4" s="3" t="s">
        <v>3</v>
      </c>
      <c r="AV4" s="3" t="s">
        <v>5</v>
      </c>
    </row>
    <row r="5" spans="1:48" x14ac:dyDescent="0.25">
      <c r="A5" s="1" t="s">
        <v>7</v>
      </c>
      <c r="D5" s="2" t="s">
        <v>8</v>
      </c>
      <c r="E5" s="2"/>
      <c r="F5" s="2" t="s">
        <v>12</v>
      </c>
      <c r="G5" s="2" t="s">
        <v>5</v>
      </c>
      <c r="H5" s="2" t="s">
        <v>9</v>
      </c>
      <c r="I5" s="2" t="s">
        <v>5</v>
      </c>
      <c r="J5" s="2" t="s">
        <v>9</v>
      </c>
      <c r="K5" s="2" t="s">
        <v>5</v>
      </c>
      <c r="L5" s="2" t="s">
        <v>9</v>
      </c>
      <c r="M5" s="2" t="s">
        <v>5</v>
      </c>
      <c r="N5" s="2" t="s">
        <v>9</v>
      </c>
      <c r="O5" s="2" t="s">
        <v>5</v>
      </c>
      <c r="P5" s="2" t="s">
        <v>9</v>
      </c>
      <c r="Q5" s="2" t="s">
        <v>5</v>
      </c>
      <c r="R5" s="2" t="s">
        <v>9</v>
      </c>
      <c r="S5" s="2" t="s">
        <v>5</v>
      </c>
      <c r="T5" s="1" t="s">
        <v>9</v>
      </c>
      <c r="U5" s="1" t="s">
        <v>10</v>
      </c>
      <c r="V5" s="1" t="s">
        <v>9</v>
      </c>
      <c r="W5" s="1" t="s">
        <v>10</v>
      </c>
      <c r="X5" s="1" t="s">
        <v>9</v>
      </c>
      <c r="Y5" s="1" t="s">
        <v>10</v>
      </c>
      <c r="Z5" s="1" t="s">
        <v>9</v>
      </c>
      <c r="AA5" s="1" t="s">
        <v>10</v>
      </c>
      <c r="AB5" s="1" t="s">
        <v>9</v>
      </c>
      <c r="AC5" s="1" t="s">
        <v>10</v>
      </c>
      <c r="AD5" s="1" t="s">
        <v>9</v>
      </c>
      <c r="AE5" s="1" t="s">
        <v>10</v>
      </c>
      <c r="AF5" s="1" t="s">
        <v>9</v>
      </c>
      <c r="AG5" s="1" t="s">
        <v>10</v>
      </c>
      <c r="AH5" s="1" t="s">
        <v>9</v>
      </c>
      <c r="AI5" s="1" t="s">
        <v>10</v>
      </c>
      <c r="AJ5" s="1" t="s">
        <v>9</v>
      </c>
      <c r="AK5" s="1" t="s">
        <v>10</v>
      </c>
      <c r="AL5" s="1" t="s">
        <v>9</v>
      </c>
      <c r="AM5" s="1" t="s">
        <v>10</v>
      </c>
      <c r="AN5" s="1" t="s">
        <v>9</v>
      </c>
      <c r="AO5" s="1" t="s">
        <v>10</v>
      </c>
      <c r="AP5" s="4" t="s">
        <v>11</v>
      </c>
      <c r="AQ5" s="1" t="s">
        <v>9</v>
      </c>
      <c r="AR5" s="1" t="s">
        <v>10</v>
      </c>
      <c r="AS5" s="23" t="s">
        <v>11</v>
      </c>
      <c r="AU5" s="3" t="s">
        <v>12</v>
      </c>
      <c r="AV5" s="3" t="s">
        <v>9</v>
      </c>
    </row>
    <row r="6" spans="1:48" ht="15" x14ac:dyDescent="0.2">
      <c r="A6" s="1">
        <v>311</v>
      </c>
      <c r="B6" s="1" t="s">
        <v>13</v>
      </c>
      <c r="D6" s="5"/>
      <c r="E6" s="6"/>
      <c r="F6" s="6"/>
      <c r="G6" s="5"/>
      <c r="H6" s="5"/>
      <c r="I6" s="5"/>
      <c r="AF6" s="5"/>
      <c r="AH6" s="5"/>
      <c r="AJ6" s="5"/>
      <c r="AL6" s="5"/>
      <c r="AU6" s="1"/>
    </row>
    <row r="7" spans="1:48" ht="15" x14ac:dyDescent="0.2">
      <c r="B7" s="1" t="s">
        <v>14</v>
      </c>
      <c r="C7" s="7">
        <v>34578</v>
      </c>
      <c r="D7" s="5">
        <v>1155191</v>
      </c>
      <c r="E7" s="6" t="s">
        <v>15</v>
      </c>
      <c r="F7" s="6">
        <v>40</v>
      </c>
      <c r="G7" s="5">
        <f>240666+28880</f>
        <v>269546</v>
      </c>
      <c r="H7" s="5">
        <f>SUM(D7/F7)</f>
        <v>28879.775000000001</v>
      </c>
      <c r="I7" s="5">
        <f>SUM(G7:H7)</f>
        <v>298425.77500000002</v>
      </c>
      <c r="J7" s="5">
        <f>SUM(D7/F7)</f>
        <v>28879.775000000001</v>
      </c>
      <c r="K7" s="5">
        <f>SUM(I7:J7)</f>
        <v>327305.55000000005</v>
      </c>
      <c r="L7" s="5">
        <f>SUM(D7/F7)</f>
        <v>28879.775000000001</v>
      </c>
      <c r="M7" s="5">
        <f>SUM(K7:L7)</f>
        <v>356185.32500000007</v>
      </c>
      <c r="N7" s="5">
        <f>SUM(D7/F7)</f>
        <v>28879.775000000001</v>
      </c>
      <c r="O7" s="5">
        <f>SUM(M7+N7)</f>
        <v>385065.10000000009</v>
      </c>
      <c r="P7" s="5">
        <f>SUM(D7/F7)</f>
        <v>28879.775000000001</v>
      </c>
      <c r="Q7" s="5">
        <f>SUM(O7+P7)</f>
        <v>413944.87500000012</v>
      </c>
      <c r="R7" s="5">
        <f>SUM(D7/F7)</f>
        <v>28879.775000000001</v>
      </c>
      <c r="S7" s="5">
        <f>SUM(Q7+R7)</f>
        <v>442824.65000000014</v>
      </c>
      <c r="T7" s="5">
        <f>R7</f>
        <v>28879.775000000001</v>
      </c>
      <c r="U7" s="5">
        <f>S7+T7</f>
        <v>471704.42500000016</v>
      </c>
      <c r="V7" s="5">
        <f>T7</f>
        <v>28879.775000000001</v>
      </c>
      <c r="W7" s="5">
        <f>U7+V7</f>
        <v>500584.20000000019</v>
      </c>
      <c r="X7" s="5">
        <f>V7</f>
        <v>28879.775000000001</v>
      </c>
      <c r="Y7" s="5">
        <f>W7+X7</f>
        <v>529463.97500000021</v>
      </c>
      <c r="Z7" s="5">
        <f>X7</f>
        <v>28879.775000000001</v>
      </c>
      <c r="AA7" s="5">
        <f>Y7+Z7</f>
        <v>558343.75000000023</v>
      </c>
      <c r="AB7" s="5">
        <f>Z7</f>
        <v>28879.775000000001</v>
      </c>
      <c r="AC7" s="5">
        <f>AA7+AB7</f>
        <v>587223.52500000026</v>
      </c>
      <c r="AD7" s="5">
        <f>AB7</f>
        <v>28879.775000000001</v>
      </c>
      <c r="AE7" s="5">
        <f>AC7+AD7</f>
        <v>616103.30000000028</v>
      </c>
      <c r="AF7" s="5">
        <f>AD7</f>
        <v>28879.775000000001</v>
      </c>
      <c r="AG7" s="5">
        <f>AE7+AF7</f>
        <v>644983.0750000003</v>
      </c>
      <c r="AH7" s="5">
        <f>AF7</f>
        <v>28879.775000000001</v>
      </c>
      <c r="AI7" s="5">
        <f>AG7+AH7</f>
        <v>673862.85000000033</v>
      </c>
      <c r="AJ7" s="5">
        <f>AH7</f>
        <v>28879.775000000001</v>
      </c>
      <c r="AK7" s="5">
        <f>AI7+AJ7</f>
        <v>702742.62500000035</v>
      </c>
      <c r="AL7" s="5">
        <f>AJ7</f>
        <v>28879.775000000001</v>
      </c>
      <c r="AM7" s="5">
        <f>AK7+AL7</f>
        <v>731622.40000000037</v>
      </c>
      <c r="AN7" s="5">
        <f>AL7</f>
        <v>28879.775000000001</v>
      </c>
      <c r="AO7" s="5">
        <f>AM7+AN7</f>
        <v>760502.1750000004</v>
      </c>
      <c r="AP7" s="5">
        <f>D7-AO7</f>
        <v>394688.8249999996</v>
      </c>
      <c r="AQ7" s="5">
        <f>SUM(AN7)</f>
        <v>28879.775000000001</v>
      </c>
      <c r="AR7" s="5">
        <f>AO7+AQ7</f>
        <v>789381.95000000042</v>
      </c>
      <c r="AS7" s="5">
        <f>D7-AR7</f>
        <v>365809.04999999958</v>
      </c>
      <c r="AU7" s="20">
        <v>35</v>
      </c>
      <c r="AV7" s="5">
        <f>SUM(D7/AU7)</f>
        <v>33005.457142857143</v>
      </c>
    </row>
    <row r="8" spans="1:48" ht="15" x14ac:dyDescent="0.2">
      <c r="B8" s="1" t="s">
        <v>16</v>
      </c>
      <c r="C8" s="7">
        <v>36526</v>
      </c>
      <c r="D8" s="5">
        <v>2415002</v>
      </c>
      <c r="E8" s="6" t="s">
        <v>15</v>
      </c>
      <c r="F8" s="6">
        <v>40</v>
      </c>
      <c r="G8" s="5">
        <f>181125+60375</f>
        <v>241500</v>
      </c>
      <c r="H8" s="5">
        <f>SUM(D8/F8)</f>
        <v>60375.05</v>
      </c>
      <c r="I8" s="5">
        <f>SUM(G8:H8)</f>
        <v>301875.05</v>
      </c>
      <c r="J8" s="5">
        <f>SUM(D8/F8)</f>
        <v>60375.05</v>
      </c>
      <c r="K8" s="5">
        <f>SUM(I8:J8)</f>
        <v>362250.1</v>
      </c>
      <c r="L8" s="5">
        <f>SUM(D8/F8)</f>
        <v>60375.05</v>
      </c>
      <c r="M8" s="5">
        <f>SUM(K8:L8)</f>
        <v>422625.14999999997</v>
      </c>
      <c r="N8" s="5">
        <f>SUM(D8/F8)</f>
        <v>60375.05</v>
      </c>
      <c r="O8" s="5">
        <f>SUM(M8+N8)</f>
        <v>483000.19999999995</v>
      </c>
      <c r="P8" s="5">
        <f>SUM(D8/F8)</f>
        <v>60375.05</v>
      </c>
      <c r="Q8" s="5">
        <f>SUM(O8+P8)</f>
        <v>543375.25</v>
      </c>
      <c r="R8" s="5">
        <f>SUM(D8/F8)</f>
        <v>60375.05</v>
      </c>
      <c r="S8" s="5">
        <f>SUM(Q8+R8)</f>
        <v>603750.30000000005</v>
      </c>
      <c r="T8" s="5">
        <f>R8</f>
        <v>60375.05</v>
      </c>
      <c r="U8" s="5">
        <f>S8+T8</f>
        <v>664125.35000000009</v>
      </c>
      <c r="V8" s="5">
        <f>T8</f>
        <v>60375.05</v>
      </c>
      <c r="W8" s="5">
        <f>U8+V8</f>
        <v>724500.40000000014</v>
      </c>
      <c r="X8" s="5">
        <f>V8</f>
        <v>60375.05</v>
      </c>
      <c r="Y8" s="5">
        <f>W8+X8</f>
        <v>784875.45000000019</v>
      </c>
      <c r="Z8" s="5">
        <f>X8</f>
        <v>60375.05</v>
      </c>
      <c r="AA8" s="5">
        <f>Y8+Z8</f>
        <v>845250.50000000023</v>
      </c>
      <c r="AB8" s="5">
        <f>Z8</f>
        <v>60375.05</v>
      </c>
      <c r="AC8" s="5">
        <f>AA8+AB8</f>
        <v>905625.55000000028</v>
      </c>
      <c r="AD8" s="5">
        <f>AB8</f>
        <v>60375.05</v>
      </c>
      <c r="AE8" s="5">
        <f>AC8+AD8</f>
        <v>966000.60000000033</v>
      </c>
      <c r="AF8" s="5">
        <f>AD8</f>
        <v>60375.05</v>
      </c>
      <c r="AG8" s="5">
        <f>AE8+AF8</f>
        <v>1026375.6500000004</v>
      </c>
      <c r="AH8" s="5">
        <f>AF8</f>
        <v>60375.05</v>
      </c>
      <c r="AI8" s="5">
        <f>AG8+AH8</f>
        <v>1086750.7000000004</v>
      </c>
      <c r="AJ8" s="5">
        <f>AH8</f>
        <v>60375.05</v>
      </c>
      <c r="AK8" s="5">
        <f>AI8+AJ8</f>
        <v>1147125.7500000005</v>
      </c>
      <c r="AL8" s="5">
        <f>AJ8</f>
        <v>60375.05</v>
      </c>
      <c r="AM8" s="5">
        <f>AK8+AL8</f>
        <v>1207500.8000000005</v>
      </c>
      <c r="AN8" s="5">
        <f>AL8</f>
        <v>60375.05</v>
      </c>
      <c r="AO8" s="5">
        <f>AM8+AN8</f>
        <v>1267875.8500000006</v>
      </c>
      <c r="AP8" s="5">
        <f>D8-AO8</f>
        <v>1147126.1499999994</v>
      </c>
      <c r="AQ8" s="5">
        <f>SUM(AN8)</f>
        <v>60375.05</v>
      </c>
      <c r="AR8" s="5">
        <f>AO8+AQ8</f>
        <v>1328250.9000000006</v>
      </c>
      <c r="AS8" s="5">
        <f>D8-AR8</f>
        <v>1086751.0999999994</v>
      </c>
      <c r="AU8" s="20">
        <v>35</v>
      </c>
      <c r="AV8" s="5">
        <f t="shared" ref="AV8:AV10" si="0">SUM(D8/AU8)</f>
        <v>69000.057142857142</v>
      </c>
    </row>
    <row r="9" spans="1:48" ht="15" x14ac:dyDescent="0.2">
      <c r="B9" s="1" t="s">
        <v>17</v>
      </c>
      <c r="C9" s="7">
        <v>38168</v>
      </c>
      <c r="D9" s="5">
        <v>6526643</v>
      </c>
      <c r="E9" s="6" t="s">
        <v>15</v>
      </c>
      <c r="F9" s="6">
        <v>40</v>
      </c>
      <c r="G9" s="5"/>
      <c r="H9" s="5">
        <f>SUM(D9/F9/2)</f>
        <v>81583.037500000006</v>
      </c>
      <c r="I9" s="5">
        <f>SUM(G9:H9)</f>
        <v>81583.037500000006</v>
      </c>
      <c r="J9" s="5">
        <f>SUM(D9/F9)</f>
        <v>163166.07500000001</v>
      </c>
      <c r="K9" s="5">
        <f>SUM(I9:J9)</f>
        <v>244749.11250000002</v>
      </c>
      <c r="L9" s="5">
        <f>SUM(D9/F9)</f>
        <v>163166.07500000001</v>
      </c>
      <c r="M9" s="5">
        <f>SUM(K9:L9)</f>
        <v>407915.1875</v>
      </c>
      <c r="N9" s="5">
        <f>SUM(D9/F9)</f>
        <v>163166.07500000001</v>
      </c>
      <c r="O9" s="5">
        <f>SUM(M9+N9)</f>
        <v>571081.26249999995</v>
      </c>
      <c r="P9" s="5">
        <f>SUM(D9/F9)</f>
        <v>163166.07500000001</v>
      </c>
      <c r="Q9" s="5">
        <f>SUM(O9+P9)</f>
        <v>734247.33749999991</v>
      </c>
      <c r="R9" s="5">
        <f>SUM(D9/F9)</f>
        <v>163166.07500000001</v>
      </c>
      <c r="S9" s="5">
        <f>SUM(Q9+R9)</f>
        <v>897413.41249999986</v>
      </c>
      <c r="T9" s="5">
        <f>R9</f>
        <v>163166.07500000001</v>
      </c>
      <c r="U9" s="5">
        <f>S9+T9</f>
        <v>1060579.4874999998</v>
      </c>
      <c r="V9" s="5">
        <f>T9</f>
        <v>163166.07500000001</v>
      </c>
      <c r="W9" s="5">
        <f>U9+V9</f>
        <v>1223745.5624999998</v>
      </c>
      <c r="X9" s="5">
        <f>V9</f>
        <v>163166.07500000001</v>
      </c>
      <c r="Y9" s="5">
        <f>W9+X9</f>
        <v>1386911.6374999997</v>
      </c>
      <c r="Z9" s="5">
        <f>X9</f>
        <v>163166.07500000001</v>
      </c>
      <c r="AA9" s="5">
        <f>Y9+Z9</f>
        <v>1550077.7124999997</v>
      </c>
      <c r="AB9" s="5">
        <f>Z9</f>
        <v>163166.07500000001</v>
      </c>
      <c r="AC9" s="5">
        <f>AA9+AB9</f>
        <v>1713243.7874999996</v>
      </c>
      <c r="AD9" s="5">
        <f>AB9</f>
        <v>163166.07500000001</v>
      </c>
      <c r="AE9" s="5">
        <f>AC9+AD9</f>
        <v>1876409.8624999996</v>
      </c>
      <c r="AF9" s="5">
        <f>AD9</f>
        <v>163166.07500000001</v>
      </c>
      <c r="AG9" s="5">
        <f>AE9+AF9</f>
        <v>2039575.9374999995</v>
      </c>
      <c r="AH9" s="5">
        <f>AF9</f>
        <v>163166.07500000001</v>
      </c>
      <c r="AI9" s="5">
        <f>AG9+AH9</f>
        <v>2202742.0124999997</v>
      </c>
      <c r="AJ9" s="5">
        <f>AH9</f>
        <v>163166.07500000001</v>
      </c>
      <c r="AK9" s="5">
        <f>AI9+AJ9</f>
        <v>2365908.0874999999</v>
      </c>
      <c r="AL9" s="5">
        <f>AJ9</f>
        <v>163166.07500000001</v>
      </c>
      <c r="AM9" s="5">
        <f>AK9+AL9</f>
        <v>2529074.1625000001</v>
      </c>
      <c r="AN9" s="5">
        <f>AL9</f>
        <v>163166.07500000001</v>
      </c>
      <c r="AO9" s="5">
        <f>AM9+AN9</f>
        <v>2692240.2375000003</v>
      </c>
      <c r="AP9" s="5">
        <f>D9-AO9</f>
        <v>3834402.7624999997</v>
      </c>
      <c r="AQ9" s="5">
        <f>SUM(AN9)</f>
        <v>163166.07500000001</v>
      </c>
      <c r="AR9" s="5">
        <f>AO9+AQ9</f>
        <v>2855406.3125000005</v>
      </c>
      <c r="AS9" s="5">
        <f>D9-AR9</f>
        <v>3671236.6874999995</v>
      </c>
      <c r="AU9" s="20">
        <v>35</v>
      </c>
      <c r="AV9" s="5">
        <f t="shared" si="0"/>
        <v>186475.51428571428</v>
      </c>
    </row>
    <row r="10" spans="1:48" ht="15" x14ac:dyDescent="0.2">
      <c r="B10" s="1" t="s">
        <v>18</v>
      </c>
      <c r="C10" s="7">
        <v>38898</v>
      </c>
      <c r="D10" s="5">
        <v>11894</v>
      </c>
      <c r="E10" s="6" t="s">
        <v>15</v>
      </c>
      <c r="F10" s="6">
        <v>40</v>
      </c>
      <c r="G10" s="5"/>
      <c r="H10" s="5"/>
      <c r="I10" s="5"/>
      <c r="J10" s="5"/>
      <c r="K10" s="5">
        <v>3827</v>
      </c>
      <c r="L10" s="5">
        <f>SUM(D10/F10)</f>
        <v>297.35000000000002</v>
      </c>
      <c r="M10" s="5">
        <f>SUM(K10:L10)</f>
        <v>4124.3500000000004</v>
      </c>
      <c r="N10" s="5">
        <f>SUM(D10/F10)</f>
        <v>297.35000000000002</v>
      </c>
      <c r="O10" s="5">
        <f>SUM(M10+N10)</f>
        <v>4421.7000000000007</v>
      </c>
      <c r="P10" s="5">
        <f>SUM(D10/F10)</f>
        <v>297.35000000000002</v>
      </c>
      <c r="Q10" s="5">
        <f>SUM(O10+P10)</f>
        <v>4719.0500000000011</v>
      </c>
      <c r="R10" s="5">
        <f>SUM(D10/F10)</f>
        <v>297.35000000000002</v>
      </c>
      <c r="S10" s="5">
        <f>SUM(Q10+R10)</f>
        <v>5016.4000000000015</v>
      </c>
      <c r="T10" s="5">
        <f>R10</f>
        <v>297.35000000000002</v>
      </c>
      <c r="U10" s="5">
        <f>S10+T10</f>
        <v>5313.7500000000018</v>
      </c>
      <c r="V10" s="5">
        <f>T10</f>
        <v>297.35000000000002</v>
      </c>
      <c r="W10" s="5">
        <f>U10+V10</f>
        <v>5611.1000000000022</v>
      </c>
      <c r="X10" s="5">
        <f>V10</f>
        <v>297.35000000000002</v>
      </c>
      <c r="Y10" s="5">
        <f>W10+X10</f>
        <v>5908.4500000000025</v>
      </c>
      <c r="Z10" s="5">
        <f>X10</f>
        <v>297.35000000000002</v>
      </c>
      <c r="AA10" s="5">
        <f>Y10+Z10</f>
        <v>6205.8000000000029</v>
      </c>
      <c r="AB10" s="5">
        <f>Z10</f>
        <v>297.35000000000002</v>
      </c>
      <c r="AC10" s="5">
        <f>AA10+AB10</f>
        <v>6503.1500000000033</v>
      </c>
      <c r="AD10" s="5">
        <f>AB10</f>
        <v>297.35000000000002</v>
      </c>
      <c r="AE10" s="5">
        <f>AC10+AD10</f>
        <v>6800.5000000000036</v>
      </c>
      <c r="AF10" s="5">
        <f>AD10</f>
        <v>297.35000000000002</v>
      </c>
      <c r="AG10" s="5">
        <f>AE10+AF10</f>
        <v>7097.850000000004</v>
      </c>
      <c r="AH10" s="5">
        <f>AF10</f>
        <v>297.35000000000002</v>
      </c>
      <c r="AI10" s="5">
        <f>AG10+AH10</f>
        <v>7395.2000000000044</v>
      </c>
      <c r="AJ10" s="5">
        <f>AH10</f>
        <v>297.35000000000002</v>
      </c>
      <c r="AK10" s="5">
        <f>AI10+AJ10</f>
        <v>7692.5500000000047</v>
      </c>
      <c r="AL10" s="5">
        <f>AJ10</f>
        <v>297.35000000000002</v>
      </c>
      <c r="AM10" s="5">
        <f>AK10+AL10</f>
        <v>7989.9000000000051</v>
      </c>
      <c r="AN10" s="5">
        <f>AL10</f>
        <v>297.35000000000002</v>
      </c>
      <c r="AO10" s="5">
        <f>AM10+AN10</f>
        <v>8287.2500000000055</v>
      </c>
      <c r="AP10" s="5">
        <f>D10-AO10</f>
        <v>3606.7499999999945</v>
      </c>
      <c r="AQ10" s="5">
        <f>SUM(AN10)</f>
        <v>297.35000000000002</v>
      </c>
      <c r="AR10" s="5">
        <f>AO10+AQ10</f>
        <v>8584.6000000000058</v>
      </c>
      <c r="AS10" s="5">
        <f>D10-AR10</f>
        <v>3309.3999999999942</v>
      </c>
      <c r="AU10" s="21">
        <v>35</v>
      </c>
      <c r="AV10" s="5">
        <f t="shared" si="0"/>
        <v>339.82857142857142</v>
      </c>
    </row>
    <row r="11" spans="1:48" x14ac:dyDescent="0.25">
      <c r="D11" s="8">
        <f>SUM(D7:D10)</f>
        <v>10108730</v>
      </c>
      <c r="E11" s="9"/>
      <c r="F11" s="9"/>
      <c r="G11" s="8">
        <f t="shared" ref="G11:L11" si="1">SUM(G7:G10)</f>
        <v>511046</v>
      </c>
      <c r="H11" s="8">
        <f t="shared" si="1"/>
        <v>170837.86250000002</v>
      </c>
      <c r="I11" s="8">
        <f t="shared" si="1"/>
        <v>681883.86249999993</v>
      </c>
      <c r="J11" s="8">
        <f t="shared" si="1"/>
        <v>252420.90000000002</v>
      </c>
      <c r="K11" s="8">
        <f t="shared" si="1"/>
        <v>938131.76250000007</v>
      </c>
      <c r="L11" s="8">
        <f t="shared" si="1"/>
        <v>252718.25000000003</v>
      </c>
      <c r="M11" s="8">
        <f>SUM(K11:L11)</f>
        <v>1190850.0125000002</v>
      </c>
      <c r="N11" s="8">
        <f t="shared" ref="N11:AA11" si="2">SUM(N7:N10)</f>
        <v>252718.25000000003</v>
      </c>
      <c r="O11" s="8">
        <f t="shared" si="2"/>
        <v>1443568.2625</v>
      </c>
      <c r="P11" s="8">
        <f t="shared" si="2"/>
        <v>252718.25000000003</v>
      </c>
      <c r="Q11" s="8">
        <f t="shared" si="2"/>
        <v>1696286.5125</v>
      </c>
      <c r="R11" s="8">
        <f t="shared" si="2"/>
        <v>252718.25000000003</v>
      </c>
      <c r="S11" s="8">
        <f t="shared" si="2"/>
        <v>1949004.7625</v>
      </c>
      <c r="T11" s="8">
        <f t="shared" si="2"/>
        <v>252718.25000000003</v>
      </c>
      <c r="U11" s="8">
        <f t="shared" si="2"/>
        <v>2201723.0125000002</v>
      </c>
      <c r="V11" s="5">
        <f t="shared" si="2"/>
        <v>252718.25000000003</v>
      </c>
      <c r="W11" s="5">
        <f t="shared" si="2"/>
        <v>2454441.2625000002</v>
      </c>
      <c r="X11" s="5">
        <f t="shared" si="2"/>
        <v>252718.25000000003</v>
      </c>
      <c r="Y11" s="5">
        <f t="shared" si="2"/>
        <v>2707159.5125000002</v>
      </c>
      <c r="Z11" s="5">
        <f t="shared" si="2"/>
        <v>252718.25000000003</v>
      </c>
      <c r="AA11" s="5">
        <f t="shared" si="2"/>
        <v>2959877.7625000002</v>
      </c>
      <c r="AB11" s="5">
        <f>Z11</f>
        <v>252718.25000000003</v>
      </c>
      <c r="AC11" s="5">
        <f>AA11+AB11</f>
        <v>3212596.0125000002</v>
      </c>
      <c r="AD11" s="5">
        <f>AB11</f>
        <v>252718.25000000003</v>
      </c>
      <c r="AE11" s="5">
        <f>AC11+AD11</f>
        <v>3465314.2625000002</v>
      </c>
      <c r="AF11" s="5">
        <f>AD11</f>
        <v>252718.25000000003</v>
      </c>
      <c r="AG11" s="5">
        <f>AE11+AF11</f>
        <v>3718032.5125000002</v>
      </c>
      <c r="AH11" s="5">
        <f>AF11</f>
        <v>252718.25000000003</v>
      </c>
      <c r="AI11" s="5">
        <f>AG11+AH11</f>
        <v>3970750.7625000002</v>
      </c>
      <c r="AJ11" s="5">
        <f>SUM(AJ7:AJ10)</f>
        <v>252718.25000000003</v>
      </c>
      <c r="AK11" s="5">
        <f>AI11+AJ11</f>
        <v>4223469.0125000002</v>
      </c>
      <c r="AL11" s="8">
        <f t="shared" ref="AL11:AS11" si="3">SUM(AL7:AL10)</f>
        <v>252718.25000000003</v>
      </c>
      <c r="AM11" s="8">
        <f t="shared" si="3"/>
        <v>4476187.2625000011</v>
      </c>
      <c r="AN11" s="8">
        <f t="shared" si="3"/>
        <v>252718.25000000003</v>
      </c>
      <c r="AO11" s="8">
        <f t="shared" si="3"/>
        <v>4728905.5125000011</v>
      </c>
      <c r="AP11" s="8">
        <f t="shared" si="3"/>
        <v>5379824.4874999989</v>
      </c>
      <c r="AQ11" s="8">
        <f t="shared" si="3"/>
        <v>252718.25000000003</v>
      </c>
      <c r="AR11" s="8">
        <f t="shared" si="3"/>
        <v>4981623.7625000011</v>
      </c>
      <c r="AS11" s="8">
        <f t="shared" si="3"/>
        <v>5127106.2374999989</v>
      </c>
      <c r="AU11" s="20"/>
      <c r="AV11" s="8">
        <f>SUM(AV7:AV10)</f>
        <v>288820.8571428571</v>
      </c>
    </row>
    <row r="12" spans="1:48" ht="15" x14ac:dyDescent="0.2">
      <c r="D12" s="5"/>
      <c r="E12" s="6"/>
      <c r="F12" s="6"/>
      <c r="G12" s="5"/>
      <c r="H12" s="5"/>
      <c r="I12" s="5"/>
      <c r="J12" s="5"/>
      <c r="K12" s="5"/>
      <c r="L12" s="5"/>
      <c r="M12" s="5"/>
      <c r="R12" s="5"/>
      <c r="AB12" s="5"/>
      <c r="AC12" s="5"/>
      <c r="AD12" s="5"/>
      <c r="AE12" s="5"/>
      <c r="AF12" s="5"/>
      <c r="AH12" s="5"/>
      <c r="AJ12" s="5"/>
      <c r="AL12" s="5"/>
      <c r="AU12" s="20"/>
    </row>
    <row r="13" spans="1:48" ht="15" x14ac:dyDescent="0.2">
      <c r="A13" s="1">
        <v>352.1</v>
      </c>
      <c r="B13" s="1" t="s">
        <v>19</v>
      </c>
      <c r="D13" s="5"/>
      <c r="E13" s="6"/>
      <c r="F13" s="6"/>
      <c r="G13" s="5"/>
      <c r="H13" s="5"/>
      <c r="I13" s="5"/>
      <c r="J13" s="5"/>
      <c r="K13" s="5"/>
      <c r="L13" s="5"/>
      <c r="M13" s="5"/>
      <c r="R13" s="5"/>
      <c r="AB13" s="5"/>
      <c r="AC13" s="5"/>
      <c r="AD13" s="5"/>
      <c r="AE13" s="5"/>
      <c r="AF13" s="5"/>
      <c r="AH13" s="5"/>
      <c r="AJ13" s="5"/>
      <c r="AL13" s="5"/>
      <c r="AU13" s="20"/>
    </row>
    <row r="14" spans="1:48" ht="15" x14ac:dyDescent="0.2">
      <c r="B14" s="1" t="s">
        <v>20</v>
      </c>
      <c r="C14" s="7">
        <v>38168</v>
      </c>
      <c r="D14" s="5">
        <v>771830</v>
      </c>
      <c r="E14" s="6" t="s">
        <v>15</v>
      </c>
      <c r="F14" s="6">
        <v>40</v>
      </c>
      <c r="G14" s="5"/>
      <c r="H14" s="5">
        <f>SUM(D14/F14/2)</f>
        <v>9647.875</v>
      </c>
      <c r="I14" s="5">
        <f>SUM(G14:H14)</f>
        <v>9647.875</v>
      </c>
      <c r="J14" s="5">
        <f>SUM(D14/F14)</f>
        <v>19295.75</v>
      </c>
      <c r="K14" s="5">
        <f>SUM(I14:J14)</f>
        <v>28943.625</v>
      </c>
      <c r="L14" s="5">
        <f>SUM(D14/F14)</f>
        <v>19295.75</v>
      </c>
      <c r="M14" s="5">
        <f t="shared" ref="M14:M20" si="4">SUM(K14:L14)</f>
        <v>48239.375</v>
      </c>
      <c r="N14" s="5">
        <f t="shared" ref="N14:N20" si="5">SUM(D14/F14)</f>
        <v>19295.75</v>
      </c>
      <c r="O14" s="5">
        <f t="shared" ref="O14:O21" si="6">SUM(M14+N14)</f>
        <v>67535.125</v>
      </c>
      <c r="P14" s="5">
        <f t="shared" ref="P14:P21" si="7">SUM(D14/F14)</f>
        <v>19295.75</v>
      </c>
      <c r="Q14" s="5">
        <f t="shared" ref="Q14:Q21" si="8">SUM(O14+P14)</f>
        <v>86830.875</v>
      </c>
      <c r="R14" s="5">
        <f t="shared" ref="R14:R21" si="9">SUM(D14/F14)</f>
        <v>19295.75</v>
      </c>
      <c r="S14" s="5">
        <f t="shared" ref="S14:S25" si="10">SUM(Q14+R14)</f>
        <v>106126.625</v>
      </c>
      <c r="T14" s="5">
        <f t="shared" ref="T14:T23" si="11">R14</f>
        <v>19295.75</v>
      </c>
      <c r="U14" s="5">
        <f t="shared" ref="U14:U25" si="12">S14+T14</f>
        <v>125422.375</v>
      </c>
      <c r="V14" s="5">
        <f t="shared" ref="V14:V25" si="13">T14</f>
        <v>19295.75</v>
      </c>
      <c r="W14" s="5">
        <f t="shared" ref="W14:W27" si="14">U14+V14</f>
        <v>144718.125</v>
      </c>
      <c r="X14" s="5">
        <f t="shared" ref="X14:X25" si="15">V14</f>
        <v>19295.75</v>
      </c>
      <c r="Y14" s="5">
        <f t="shared" ref="Y14:Y27" si="16">W14+X14</f>
        <v>164013.875</v>
      </c>
      <c r="Z14" s="5">
        <f t="shared" ref="Z14:Z25" si="17">X14</f>
        <v>19295.75</v>
      </c>
      <c r="AA14" s="5">
        <f t="shared" ref="AA14:AA27" si="18">Y14+Z14</f>
        <v>183309.625</v>
      </c>
      <c r="AB14" s="5">
        <f t="shared" ref="AB14:AB35" si="19">Z14</f>
        <v>19295.75</v>
      </c>
      <c r="AC14" s="5">
        <f t="shared" ref="AC14:AC51" si="20">AA14+AB14</f>
        <v>202605.375</v>
      </c>
      <c r="AD14" s="5">
        <f t="shared" ref="AD14:AD35" si="21">AB14</f>
        <v>19295.75</v>
      </c>
      <c r="AE14" s="5">
        <f t="shared" ref="AE14:AE51" si="22">AC14+AD14</f>
        <v>221901.125</v>
      </c>
      <c r="AF14" s="5">
        <f t="shared" ref="AF14:AF27" si="23">AD14</f>
        <v>19295.75</v>
      </c>
      <c r="AG14" s="5">
        <f t="shared" ref="AG14:AG28" si="24">AE14+AF14</f>
        <v>241196.875</v>
      </c>
      <c r="AH14" s="5">
        <f t="shared" ref="AH14:AH27" si="25">AF14</f>
        <v>19295.75</v>
      </c>
      <c r="AI14" s="5">
        <f t="shared" ref="AI14:AI28" si="26">AG14+AH14</f>
        <v>260492.625</v>
      </c>
      <c r="AJ14" s="5">
        <f t="shared" ref="AJ14:AJ27" si="27">AH14</f>
        <v>19295.75</v>
      </c>
      <c r="AK14" s="5">
        <f t="shared" ref="AK14:AK28" si="28">AI14+AJ14</f>
        <v>279788.375</v>
      </c>
      <c r="AL14" s="5">
        <f t="shared" ref="AL14:AL27" si="29">AJ14</f>
        <v>19295.75</v>
      </c>
      <c r="AM14" s="5">
        <f t="shared" ref="AM14:AM28" si="30">AK14+AL14</f>
        <v>299084.125</v>
      </c>
      <c r="AN14" s="5">
        <f t="shared" ref="AN14:AN28" si="31">AL14</f>
        <v>19295.75</v>
      </c>
      <c r="AO14" s="5">
        <f t="shared" ref="AO14:AO28" si="32">SUM(AM14:AN14)</f>
        <v>318379.875</v>
      </c>
      <c r="AP14" s="5">
        <f t="shared" ref="AP14:AP28" si="33">D14-AO14</f>
        <v>453450.125</v>
      </c>
      <c r="AQ14" s="5">
        <f t="shared" ref="AQ14:AQ28" si="34">SUM(AN14)</f>
        <v>19295.75</v>
      </c>
      <c r="AR14" s="5">
        <f t="shared" ref="AR14:AR28" si="35">AO14+AQ14</f>
        <v>337675.625</v>
      </c>
      <c r="AS14" s="5">
        <f t="shared" ref="AS14:AS28" si="36">D14-AR14</f>
        <v>434154.375</v>
      </c>
      <c r="AU14" s="20">
        <v>35</v>
      </c>
      <c r="AV14" s="5">
        <f t="shared" ref="AV14:AV28" si="37">SUM(D14/AU14)</f>
        <v>22052.285714285714</v>
      </c>
    </row>
    <row r="15" spans="1:48" ht="15" x14ac:dyDescent="0.2">
      <c r="B15" s="1" t="s">
        <v>21</v>
      </c>
      <c r="C15" s="7">
        <v>38168</v>
      </c>
      <c r="D15" s="5">
        <v>162000</v>
      </c>
      <c r="E15" s="6" t="s">
        <v>15</v>
      </c>
      <c r="F15" s="6">
        <v>40</v>
      </c>
      <c r="G15" s="5"/>
      <c r="H15" s="5">
        <f>SUM(D15/F15/2)</f>
        <v>2025</v>
      </c>
      <c r="I15" s="5">
        <f>SUM(G15:H15)</f>
        <v>2025</v>
      </c>
      <c r="J15" s="5">
        <f>SUM(D15/F15)</f>
        <v>4050</v>
      </c>
      <c r="K15" s="5">
        <f>SUM(I15:J15)</f>
        <v>6075</v>
      </c>
      <c r="L15" s="5">
        <f>SUM(D15/F15)</f>
        <v>4050</v>
      </c>
      <c r="M15" s="5">
        <f t="shared" si="4"/>
        <v>10125</v>
      </c>
      <c r="N15" s="5">
        <f t="shared" si="5"/>
        <v>4050</v>
      </c>
      <c r="O15" s="5">
        <f t="shared" si="6"/>
        <v>14175</v>
      </c>
      <c r="P15" s="5">
        <f t="shared" si="7"/>
        <v>4050</v>
      </c>
      <c r="Q15" s="5">
        <f t="shared" si="8"/>
        <v>18225</v>
      </c>
      <c r="R15" s="5">
        <f t="shared" si="9"/>
        <v>4050</v>
      </c>
      <c r="S15" s="5">
        <f t="shared" si="10"/>
        <v>22275</v>
      </c>
      <c r="T15" s="5">
        <f t="shared" si="11"/>
        <v>4050</v>
      </c>
      <c r="U15" s="5">
        <f t="shared" si="12"/>
        <v>26325</v>
      </c>
      <c r="V15" s="5">
        <f t="shared" si="13"/>
        <v>4050</v>
      </c>
      <c r="W15" s="5">
        <f t="shared" si="14"/>
        <v>30375</v>
      </c>
      <c r="X15" s="5">
        <f t="shared" si="15"/>
        <v>4050</v>
      </c>
      <c r="Y15" s="5">
        <f t="shared" si="16"/>
        <v>34425</v>
      </c>
      <c r="Z15" s="5">
        <f t="shared" si="17"/>
        <v>4050</v>
      </c>
      <c r="AA15" s="5">
        <f t="shared" si="18"/>
        <v>38475</v>
      </c>
      <c r="AB15" s="5">
        <f t="shared" si="19"/>
        <v>4050</v>
      </c>
      <c r="AC15" s="5">
        <f t="shared" si="20"/>
        <v>42525</v>
      </c>
      <c r="AD15" s="5">
        <f t="shared" si="21"/>
        <v>4050</v>
      </c>
      <c r="AE15" s="5">
        <f t="shared" si="22"/>
        <v>46575</v>
      </c>
      <c r="AF15" s="5">
        <f t="shared" si="23"/>
        <v>4050</v>
      </c>
      <c r="AG15" s="5">
        <f t="shared" si="24"/>
        <v>50625</v>
      </c>
      <c r="AH15" s="5">
        <f t="shared" si="25"/>
        <v>4050</v>
      </c>
      <c r="AI15" s="5">
        <f t="shared" si="26"/>
        <v>54675</v>
      </c>
      <c r="AJ15" s="5">
        <f t="shared" si="27"/>
        <v>4050</v>
      </c>
      <c r="AK15" s="5">
        <f t="shared" si="28"/>
        <v>58725</v>
      </c>
      <c r="AL15" s="5">
        <f t="shared" si="29"/>
        <v>4050</v>
      </c>
      <c r="AM15" s="5">
        <f t="shared" si="30"/>
        <v>62775</v>
      </c>
      <c r="AN15" s="5">
        <f t="shared" si="31"/>
        <v>4050</v>
      </c>
      <c r="AO15" s="5">
        <f t="shared" si="32"/>
        <v>66825</v>
      </c>
      <c r="AP15" s="5">
        <f t="shared" si="33"/>
        <v>95175</v>
      </c>
      <c r="AQ15" s="5">
        <f t="shared" si="34"/>
        <v>4050</v>
      </c>
      <c r="AR15" s="5">
        <f t="shared" si="35"/>
        <v>70875</v>
      </c>
      <c r="AS15" s="5">
        <f t="shared" si="36"/>
        <v>91125</v>
      </c>
      <c r="AU15" s="20">
        <v>35</v>
      </c>
      <c r="AV15" s="5">
        <f t="shared" si="37"/>
        <v>4628.5714285714284</v>
      </c>
    </row>
    <row r="16" spans="1:48" ht="15" x14ac:dyDescent="0.2">
      <c r="B16" s="1" t="s">
        <v>22</v>
      </c>
      <c r="C16" s="7">
        <v>38533</v>
      </c>
      <c r="D16" s="5">
        <v>61003</v>
      </c>
      <c r="E16" s="6" t="s">
        <v>15</v>
      </c>
      <c r="F16" s="6">
        <v>40</v>
      </c>
      <c r="G16" s="5"/>
      <c r="H16" s="5"/>
      <c r="I16" s="5"/>
      <c r="J16" s="5">
        <v>763</v>
      </c>
      <c r="K16" s="5">
        <v>763</v>
      </c>
      <c r="L16" s="5">
        <f>SUM(D16/F16)</f>
        <v>1525.075</v>
      </c>
      <c r="M16" s="5">
        <f t="shared" si="4"/>
        <v>2288.0749999999998</v>
      </c>
      <c r="N16" s="5">
        <f t="shared" si="5"/>
        <v>1525.075</v>
      </c>
      <c r="O16" s="5">
        <f t="shared" si="6"/>
        <v>3813.1499999999996</v>
      </c>
      <c r="P16" s="5">
        <f t="shared" si="7"/>
        <v>1525.075</v>
      </c>
      <c r="Q16" s="5">
        <f t="shared" si="8"/>
        <v>5338.2249999999995</v>
      </c>
      <c r="R16" s="5">
        <f t="shared" si="9"/>
        <v>1525.075</v>
      </c>
      <c r="S16" s="5">
        <f t="shared" si="10"/>
        <v>6863.2999999999993</v>
      </c>
      <c r="T16" s="5">
        <f t="shared" si="11"/>
        <v>1525.075</v>
      </c>
      <c r="U16" s="5">
        <f t="shared" si="12"/>
        <v>8388.375</v>
      </c>
      <c r="V16" s="5">
        <f t="shared" si="13"/>
        <v>1525.075</v>
      </c>
      <c r="W16" s="5">
        <f t="shared" si="14"/>
        <v>9913.4500000000007</v>
      </c>
      <c r="X16" s="5">
        <f t="shared" si="15"/>
        <v>1525.075</v>
      </c>
      <c r="Y16" s="5">
        <f t="shared" si="16"/>
        <v>11438.525000000001</v>
      </c>
      <c r="Z16" s="5">
        <f t="shared" si="17"/>
        <v>1525.075</v>
      </c>
      <c r="AA16" s="5">
        <f t="shared" si="18"/>
        <v>12963.600000000002</v>
      </c>
      <c r="AB16" s="5">
        <f t="shared" si="19"/>
        <v>1525.075</v>
      </c>
      <c r="AC16" s="5">
        <f t="shared" si="20"/>
        <v>14488.675000000003</v>
      </c>
      <c r="AD16" s="5">
        <f t="shared" si="21"/>
        <v>1525.075</v>
      </c>
      <c r="AE16" s="5">
        <f t="shared" si="22"/>
        <v>16013.750000000004</v>
      </c>
      <c r="AF16" s="5">
        <f t="shared" si="23"/>
        <v>1525.075</v>
      </c>
      <c r="AG16" s="5">
        <f t="shared" si="24"/>
        <v>17538.825000000004</v>
      </c>
      <c r="AH16" s="5">
        <f t="shared" si="25"/>
        <v>1525.075</v>
      </c>
      <c r="AI16" s="5">
        <f t="shared" si="26"/>
        <v>19063.900000000005</v>
      </c>
      <c r="AJ16" s="5">
        <f t="shared" si="27"/>
        <v>1525.075</v>
      </c>
      <c r="AK16" s="5">
        <f t="shared" si="28"/>
        <v>20588.975000000006</v>
      </c>
      <c r="AL16" s="5">
        <f t="shared" si="29"/>
        <v>1525.075</v>
      </c>
      <c r="AM16" s="5">
        <f t="shared" si="30"/>
        <v>22114.050000000007</v>
      </c>
      <c r="AN16" s="5">
        <f t="shared" si="31"/>
        <v>1525.075</v>
      </c>
      <c r="AO16" s="5">
        <f t="shared" si="32"/>
        <v>23639.125000000007</v>
      </c>
      <c r="AP16" s="5">
        <f t="shared" si="33"/>
        <v>37363.874999999993</v>
      </c>
      <c r="AQ16" s="5">
        <f t="shared" si="34"/>
        <v>1525.075</v>
      </c>
      <c r="AR16" s="5">
        <f t="shared" si="35"/>
        <v>25164.200000000008</v>
      </c>
      <c r="AS16" s="5">
        <f t="shared" si="36"/>
        <v>35838.799999999988</v>
      </c>
      <c r="AU16" s="20">
        <v>35</v>
      </c>
      <c r="AV16" s="5">
        <f t="shared" si="37"/>
        <v>1742.9428571428571</v>
      </c>
    </row>
    <row r="17" spans="1:48" ht="15" x14ac:dyDescent="0.2">
      <c r="B17" s="1" t="s">
        <v>23</v>
      </c>
      <c r="C17" s="7">
        <v>38898</v>
      </c>
      <c r="D17" s="5">
        <f>483349+10838.87</f>
        <v>494187.87</v>
      </c>
      <c r="E17" s="6" t="s">
        <v>15</v>
      </c>
      <c r="F17" s="6">
        <v>40</v>
      </c>
      <c r="G17" s="5"/>
      <c r="H17" s="5"/>
      <c r="I17" s="5"/>
      <c r="J17" s="5"/>
      <c r="K17" s="5"/>
      <c r="L17" s="5">
        <f>SUM(D17/F17)/2</f>
        <v>6177.3483749999996</v>
      </c>
      <c r="M17" s="5">
        <f t="shared" si="4"/>
        <v>6177.3483749999996</v>
      </c>
      <c r="N17" s="5">
        <f t="shared" si="5"/>
        <v>12354.696749999999</v>
      </c>
      <c r="O17" s="5">
        <f t="shared" si="6"/>
        <v>18532.045124999997</v>
      </c>
      <c r="P17" s="5">
        <f t="shared" si="7"/>
        <v>12354.696749999999</v>
      </c>
      <c r="Q17" s="5">
        <f t="shared" si="8"/>
        <v>30886.741874999996</v>
      </c>
      <c r="R17" s="5">
        <f t="shared" si="9"/>
        <v>12354.696749999999</v>
      </c>
      <c r="S17" s="5">
        <f t="shared" si="10"/>
        <v>43241.438624999995</v>
      </c>
      <c r="T17" s="5">
        <f t="shared" si="11"/>
        <v>12354.696749999999</v>
      </c>
      <c r="U17" s="5">
        <f t="shared" si="12"/>
        <v>55596.135374999998</v>
      </c>
      <c r="V17" s="5">
        <f t="shared" si="13"/>
        <v>12354.696749999999</v>
      </c>
      <c r="W17" s="5">
        <f t="shared" si="14"/>
        <v>67950.832125000001</v>
      </c>
      <c r="X17" s="5">
        <f t="shared" si="15"/>
        <v>12354.696749999999</v>
      </c>
      <c r="Y17" s="5">
        <f t="shared" si="16"/>
        <v>80305.528875000004</v>
      </c>
      <c r="Z17" s="5">
        <f t="shared" si="17"/>
        <v>12354.696749999999</v>
      </c>
      <c r="AA17" s="5">
        <f t="shared" si="18"/>
        <v>92660.225625000006</v>
      </c>
      <c r="AB17" s="5">
        <f t="shared" si="19"/>
        <v>12354.696749999999</v>
      </c>
      <c r="AC17" s="5">
        <f t="shared" si="20"/>
        <v>105014.92237500001</v>
      </c>
      <c r="AD17" s="5">
        <f t="shared" si="21"/>
        <v>12354.696749999999</v>
      </c>
      <c r="AE17" s="5">
        <f t="shared" si="22"/>
        <v>117369.61912500001</v>
      </c>
      <c r="AF17" s="5">
        <f t="shared" si="23"/>
        <v>12354.696749999999</v>
      </c>
      <c r="AG17" s="5">
        <f t="shared" si="24"/>
        <v>129724.31587500001</v>
      </c>
      <c r="AH17" s="5">
        <f t="shared" si="25"/>
        <v>12354.696749999999</v>
      </c>
      <c r="AI17" s="5">
        <f t="shared" si="26"/>
        <v>142079.012625</v>
      </c>
      <c r="AJ17" s="5">
        <f t="shared" si="27"/>
        <v>12354.696749999999</v>
      </c>
      <c r="AK17" s="5">
        <f t="shared" si="28"/>
        <v>154433.70937500001</v>
      </c>
      <c r="AL17" s="5">
        <f t="shared" si="29"/>
        <v>12354.696749999999</v>
      </c>
      <c r="AM17" s="5">
        <f t="shared" si="30"/>
        <v>166788.40612500001</v>
      </c>
      <c r="AN17" s="5">
        <f t="shared" si="31"/>
        <v>12354.696749999999</v>
      </c>
      <c r="AO17" s="5">
        <f t="shared" si="32"/>
        <v>179143.10287500001</v>
      </c>
      <c r="AP17" s="5">
        <f t="shared" si="33"/>
        <v>315044.76712500001</v>
      </c>
      <c r="AQ17" s="5">
        <f t="shared" si="34"/>
        <v>12354.696749999999</v>
      </c>
      <c r="AR17" s="5">
        <f t="shared" si="35"/>
        <v>191497.79962500001</v>
      </c>
      <c r="AS17" s="5">
        <f t="shared" si="36"/>
        <v>302690.07037500001</v>
      </c>
      <c r="AU17" s="20">
        <v>35</v>
      </c>
      <c r="AV17" s="5">
        <f t="shared" si="37"/>
        <v>14119.653428571428</v>
      </c>
    </row>
    <row r="18" spans="1:48" ht="15" x14ac:dyDescent="0.2">
      <c r="B18" s="1" t="s">
        <v>24</v>
      </c>
      <c r="C18" s="7">
        <v>38898</v>
      </c>
      <c r="D18" s="5">
        <v>544370</v>
      </c>
      <c r="E18" s="6" t="s">
        <v>15</v>
      </c>
      <c r="F18" s="6">
        <v>40</v>
      </c>
      <c r="G18" s="5"/>
      <c r="H18" s="5"/>
      <c r="I18" s="5"/>
      <c r="J18" s="5"/>
      <c r="K18" s="5"/>
      <c r="L18" s="5">
        <f>SUM(D18/F18)/2</f>
        <v>6804.625</v>
      </c>
      <c r="M18" s="5">
        <f t="shared" si="4"/>
        <v>6804.625</v>
      </c>
      <c r="N18" s="5">
        <f t="shared" si="5"/>
        <v>13609.25</v>
      </c>
      <c r="O18" s="5">
        <f t="shared" si="6"/>
        <v>20413.875</v>
      </c>
      <c r="P18" s="5">
        <f t="shared" si="7"/>
        <v>13609.25</v>
      </c>
      <c r="Q18" s="5">
        <f t="shared" si="8"/>
        <v>34023.125</v>
      </c>
      <c r="R18" s="5">
        <f t="shared" si="9"/>
        <v>13609.25</v>
      </c>
      <c r="S18" s="5">
        <f t="shared" si="10"/>
        <v>47632.375</v>
      </c>
      <c r="T18" s="5">
        <f t="shared" si="11"/>
        <v>13609.25</v>
      </c>
      <c r="U18" s="5">
        <f t="shared" si="12"/>
        <v>61241.625</v>
      </c>
      <c r="V18" s="5">
        <f t="shared" si="13"/>
        <v>13609.25</v>
      </c>
      <c r="W18" s="5">
        <f t="shared" si="14"/>
        <v>74850.875</v>
      </c>
      <c r="X18" s="5">
        <f t="shared" si="15"/>
        <v>13609.25</v>
      </c>
      <c r="Y18" s="5">
        <f t="shared" si="16"/>
        <v>88460.125</v>
      </c>
      <c r="Z18" s="5">
        <f t="shared" si="17"/>
        <v>13609.25</v>
      </c>
      <c r="AA18" s="5">
        <f t="shared" si="18"/>
        <v>102069.375</v>
      </c>
      <c r="AB18" s="5">
        <f t="shared" si="19"/>
        <v>13609.25</v>
      </c>
      <c r="AC18" s="5">
        <f t="shared" si="20"/>
        <v>115678.625</v>
      </c>
      <c r="AD18" s="5">
        <f t="shared" si="21"/>
        <v>13609.25</v>
      </c>
      <c r="AE18" s="5">
        <f t="shared" si="22"/>
        <v>129287.875</v>
      </c>
      <c r="AF18" s="5">
        <f t="shared" si="23"/>
        <v>13609.25</v>
      </c>
      <c r="AG18" s="5">
        <f t="shared" si="24"/>
        <v>142897.125</v>
      </c>
      <c r="AH18" s="5">
        <f t="shared" si="25"/>
        <v>13609.25</v>
      </c>
      <c r="AI18" s="5">
        <f t="shared" si="26"/>
        <v>156506.375</v>
      </c>
      <c r="AJ18" s="5">
        <f t="shared" si="27"/>
        <v>13609.25</v>
      </c>
      <c r="AK18" s="5">
        <f t="shared" si="28"/>
        <v>170115.625</v>
      </c>
      <c r="AL18" s="5">
        <f t="shared" si="29"/>
        <v>13609.25</v>
      </c>
      <c r="AM18" s="5">
        <f t="shared" si="30"/>
        <v>183724.875</v>
      </c>
      <c r="AN18" s="5">
        <f t="shared" si="31"/>
        <v>13609.25</v>
      </c>
      <c r="AO18" s="5">
        <f t="shared" si="32"/>
        <v>197334.125</v>
      </c>
      <c r="AP18" s="5">
        <f t="shared" si="33"/>
        <v>347035.875</v>
      </c>
      <c r="AQ18" s="5">
        <f t="shared" si="34"/>
        <v>13609.25</v>
      </c>
      <c r="AR18" s="5">
        <f t="shared" si="35"/>
        <v>210943.375</v>
      </c>
      <c r="AS18" s="5">
        <f t="shared" si="36"/>
        <v>333426.625</v>
      </c>
      <c r="AU18" s="20">
        <v>35</v>
      </c>
      <c r="AV18" s="5">
        <f t="shared" si="37"/>
        <v>15553.428571428571</v>
      </c>
    </row>
    <row r="19" spans="1:48" ht="15" x14ac:dyDescent="0.2">
      <c r="B19" s="1" t="s">
        <v>25</v>
      </c>
      <c r="C19" s="7">
        <v>38898</v>
      </c>
      <c r="D19" s="5">
        <v>893400</v>
      </c>
      <c r="E19" s="6" t="s">
        <v>15</v>
      </c>
      <c r="F19" s="6">
        <v>40</v>
      </c>
      <c r="G19" s="5"/>
      <c r="H19" s="5"/>
      <c r="I19" s="5"/>
      <c r="J19" s="5"/>
      <c r="K19" s="5"/>
      <c r="L19" s="5">
        <f>SUM(D19/F19)/2</f>
        <v>11167.5</v>
      </c>
      <c r="M19" s="5">
        <f t="shared" si="4"/>
        <v>11167.5</v>
      </c>
      <c r="N19" s="5">
        <f t="shared" si="5"/>
        <v>22335</v>
      </c>
      <c r="O19" s="5">
        <f t="shared" si="6"/>
        <v>33502.5</v>
      </c>
      <c r="P19" s="5">
        <f t="shared" si="7"/>
        <v>22335</v>
      </c>
      <c r="Q19" s="5">
        <f t="shared" si="8"/>
        <v>55837.5</v>
      </c>
      <c r="R19" s="5">
        <f t="shared" si="9"/>
        <v>22335</v>
      </c>
      <c r="S19" s="5">
        <f t="shared" si="10"/>
        <v>78172.5</v>
      </c>
      <c r="T19" s="5">
        <f t="shared" si="11"/>
        <v>22335</v>
      </c>
      <c r="U19" s="5">
        <f t="shared" si="12"/>
        <v>100507.5</v>
      </c>
      <c r="V19" s="5">
        <f t="shared" si="13"/>
        <v>22335</v>
      </c>
      <c r="W19" s="5">
        <f t="shared" si="14"/>
        <v>122842.5</v>
      </c>
      <c r="X19" s="5">
        <f t="shared" si="15"/>
        <v>22335</v>
      </c>
      <c r="Y19" s="5">
        <f t="shared" si="16"/>
        <v>145177.5</v>
      </c>
      <c r="Z19" s="5">
        <f t="shared" si="17"/>
        <v>22335</v>
      </c>
      <c r="AA19" s="5">
        <f t="shared" si="18"/>
        <v>167512.5</v>
      </c>
      <c r="AB19" s="5">
        <f t="shared" si="19"/>
        <v>22335</v>
      </c>
      <c r="AC19" s="5">
        <f t="shared" si="20"/>
        <v>189847.5</v>
      </c>
      <c r="AD19" s="5">
        <f t="shared" si="21"/>
        <v>22335</v>
      </c>
      <c r="AE19" s="5">
        <f t="shared" si="22"/>
        <v>212182.5</v>
      </c>
      <c r="AF19" s="5">
        <f t="shared" si="23"/>
        <v>22335</v>
      </c>
      <c r="AG19" s="5">
        <f t="shared" si="24"/>
        <v>234517.5</v>
      </c>
      <c r="AH19" s="5">
        <f t="shared" si="25"/>
        <v>22335</v>
      </c>
      <c r="AI19" s="5">
        <f t="shared" si="26"/>
        <v>256852.5</v>
      </c>
      <c r="AJ19" s="5">
        <f t="shared" si="27"/>
        <v>22335</v>
      </c>
      <c r="AK19" s="5">
        <f t="shared" si="28"/>
        <v>279187.5</v>
      </c>
      <c r="AL19" s="5">
        <f t="shared" si="29"/>
        <v>22335</v>
      </c>
      <c r="AM19" s="5">
        <f t="shared" si="30"/>
        <v>301522.5</v>
      </c>
      <c r="AN19" s="5">
        <f t="shared" si="31"/>
        <v>22335</v>
      </c>
      <c r="AO19" s="5">
        <f t="shared" si="32"/>
        <v>323857.5</v>
      </c>
      <c r="AP19" s="5">
        <f t="shared" si="33"/>
        <v>569542.5</v>
      </c>
      <c r="AQ19" s="5">
        <f t="shared" si="34"/>
        <v>22335</v>
      </c>
      <c r="AR19" s="5">
        <f t="shared" si="35"/>
        <v>346192.5</v>
      </c>
      <c r="AS19" s="5">
        <f t="shared" si="36"/>
        <v>547207.5</v>
      </c>
      <c r="AU19" s="20">
        <v>35</v>
      </c>
      <c r="AV19" s="5">
        <f t="shared" si="37"/>
        <v>25525.714285714286</v>
      </c>
    </row>
    <row r="20" spans="1:48" ht="15" x14ac:dyDescent="0.2">
      <c r="B20" s="1" t="s">
        <v>26</v>
      </c>
      <c r="C20" s="7">
        <v>38898</v>
      </c>
      <c r="D20" s="5">
        <v>675562</v>
      </c>
      <c r="E20" s="6" t="s">
        <v>15</v>
      </c>
      <c r="F20" s="6">
        <v>40</v>
      </c>
      <c r="G20" s="5"/>
      <c r="H20" s="5"/>
      <c r="I20" s="5"/>
      <c r="J20" s="5"/>
      <c r="K20" s="5"/>
      <c r="L20" s="5">
        <f>SUM(D20/F20)/2</f>
        <v>8444.5249999999996</v>
      </c>
      <c r="M20" s="5">
        <f t="shared" si="4"/>
        <v>8444.5249999999996</v>
      </c>
      <c r="N20" s="5">
        <f t="shared" si="5"/>
        <v>16889.05</v>
      </c>
      <c r="O20" s="5">
        <f t="shared" si="6"/>
        <v>25333.574999999997</v>
      </c>
      <c r="P20" s="5">
        <f t="shared" si="7"/>
        <v>16889.05</v>
      </c>
      <c r="Q20" s="5">
        <f t="shared" si="8"/>
        <v>42222.625</v>
      </c>
      <c r="R20" s="5">
        <f t="shared" si="9"/>
        <v>16889.05</v>
      </c>
      <c r="S20" s="5">
        <f t="shared" si="10"/>
        <v>59111.675000000003</v>
      </c>
      <c r="T20" s="5">
        <f t="shared" si="11"/>
        <v>16889.05</v>
      </c>
      <c r="U20" s="5">
        <f t="shared" si="12"/>
        <v>76000.725000000006</v>
      </c>
      <c r="V20" s="5">
        <f t="shared" si="13"/>
        <v>16889.05</v>
      </c>
      <c r="W20" s="5">
        <f t="shared" si="14"/>
        <v>92889.775000000009</v>
      </c>
      <c r="X20" s="5">
        <f t="shared" si="15"/>
        <v>16889.05</v>
      </c>
      <c r="Y20" s="5">
        <f t="shared" si="16"/>
        <v>109778.82500000001</v>
      </c>
      <c r="Z20" s="5">
        <f t="shared" si="17"/>
        <v>16889.05</v>
      </c>
      <c r="AA20" s="5">
        <f t="shared" si="18"/>
        <v>126667.87500000001</v>
      </c>
      <c r="AB20" s="5">
        <f t="shared" si="19"/>
        <v>16889.05</v>
      </c>
      <c r="AC20" s="5">
        <f t="shared" si="20"/>
        <v>143556.92500000002</v>
      </c>
      <c r="AD20" s="5">
        <f t="shared" si="21"/>
        <v>16889.05</v>
      </c>
      <c r="AE20" s="5">
        <f t="shared" si="22"/>
        <v>160445.97500000001</v>
      </c>
      <c r="AF20" s="5">
        <f t="shared" si="23"/>
        <v>16889.05</v>
      </c>
      <c r="AG20" s="5">
        <f t="shared" si="24"/>
        <v>177335.02499999999</v>
      </c>
      <c r="AH20" s="5">
        <f t="shared" si="25"/>
        <v>16889.05</v>
      </c>
      <c r="AI20" s="5">
        <f t="shared" si="26"/>
        <v>194224.07499999998</v>
      </c>
      <c r="AJ20" s="5">
        <f t="shared" si="27"/>
        <v>16889.05</v>
      </c>
      <c r="AK20" s="5">
        <f t="shared" si="28"/>
        <v>211113.12499999997</v>
      </c>
      <c r="AL20" s="5">
        <f t="shared" si="29"/>
        <v>16889.05</v>
      </c>
      <c r="AM20" s="5">
        <f t="shared" si="30"/>
        <v>228002.17499999996</v>
      </c>
      <c r="AN20" s="5">
        <f t="shared" si="31"/>
        <v>16889.05</v>
      </c>
      <c r="AO20" s="5">
        <f t="shared" si="32"/>
        <v>244891.22499999995</v>
      </c>
      <c r="AP20" s="5">
        <f t="shared" si="33"/>
        <v>430670.77500000002</v>
      </c>
      <c r="AQ20" s="5">
        <f t="shared" si="34"/>
        <v>16889.05</v>
      </c>
      <c r="AR20" s="5">
        <f t="shared" si="35"/>
        <v>261780.27499999994</v>
      </c>
      <c r="AS20" s="5">
        <f t="shared" si="36"/>
        <v>413781.72500000009</v>
      </c>
      <c r="AU20" s="20">
        <v>35</v>
      </c>
      <c r="AV20" s="5">
        <f t="shared" si="37"/>
        <v>19301.771428571428</v>
      </c>
    </row>
    <row r="21" spans="1:48" ht="15" x14ac:dyDescent="0.2">
      <c r="B21" s="1" t="s">
        <v>27</v>
      </c>
      <c r="C21" s="7">
        <v>39263</v>
      </c>
      <c r="D21" s="5">
        <v>5821</v>
      </c>
      <c r="E21" s="6" t="s">
        <v>15</v>
      </c>
      <c r="F21" s="6">
        <v>40</v>
      </c>
      <c r="G21" s="5"/>
      <c r="H21" s="5"/>
      <c r="I21" s="5"/>
      <c r="J21" s="5"/>
      <c r="K21" s="5"/>
      <c r="L21" s="5"/>
      <c r="M21" s="5"/>
      <c r="N21" s="5">
        <f>SUM(D21/F21)/2</f>
        <v>72.762500000000003</v>
      </c>
      <c r="O21" s="5">
        <f t="shared" si="6"/>
        <v>72.762500000000003</v>
      </c>
      <c r="P21" s="5">
        <f t="shared" si="7"/>
        <v>145.52500000000001</v>
      </c>
      <c r="Q21" s="5">
        <f t="shared" si="8"/>
        <v>218.28750000000002</v>
      </c>
      <c r="R21" s="5">
        <f t="shared" si="9"/>
        <v>145.52500000000001</v>
      </c>
      <c r="S21" s="5">
        <f t="shared" si="10"/>
        <v>363.8125</v>
      </c>
      <c r="T21" s="5">
        <f t="shared" si="11"/>
        <v>145.52500000000001</v>
      </c>
      <c r="U21" s="5">
        <f t="shared" si="12"/>
        <v>509.33749999999998</v>
      </c>
      <c r="V21" s="5">
        <f t="shared" si="13"/>
        <v>145.52500000000001</v>
      </c>
      <c r="W21" s="5">
        <f t="shared" si="14"/>
        <v>654.86249999999995</v>
      </c>
      <c r="X21" s="5">
        <f t="shared" si="15"/>
        <v>145.52500000000001</v>
      </c>
      <c r="Y21" s="5">
        <f t="shared" si="16"/>
        <v>800.38749999999993</v>
      </c>
      <c r="Z21" s="5">
        <f t="shared" si="17"/>
        <v>145.52500000000001</v>
      </c>
      <c r="AA21" s="5">
        <f t="shared" si="18"/>
        <v>945.91249999999991</v>
      </c>
      <c r="AB21" s="5">
        <f t="shared" si="19"/>
        <v>145.52500000000001</v>
      </c>
      <c r="AC21" s="5">
        <f t="shared" si="20"/>
        <v>1091.4375</v>
      </c>
      <c r="AD21" s="5">
        <f t="shared" si="21"/>
        <v>145.52500000000001</v>
      </c>
      <c r="AE21" s="5">
        <f t="shared" si="22"/>
        <v>1236.9625000000001</v>
      </c>
      <c r="AF21" s="5">
        <f t="shared" si="23"/>
        <v>145.52500000000001</v>
      </c>
      <c r="AG21" s="5">
        <f t="shared" si="24"/>
        <v>1382.4875000000002</v>
      </c>
      <c r="AH21" s="5">
        <f t="shared" si="25"/>
        <v>145.52500000000001</v>
      </c>
      <c r="AI21" s="5">
        <f t="shared" si="26"/>
        <v>1528.0125000000003</v>
      </c>
      <c r="AJ21" s="5">
        <f t="shared" si="27"/>
        <v>145.52500000000001</v>
      </c>
      <c r="AK21" s="5">
        <f t="shared" si="28"/>
        <v>1673.5375000000004</v>
      </c>
      <c r="AL21" s="5">
        <f t="shared" si="29"/>
        <v>145.52500000000001</v>
      </c>
      <c r="AM21" s="5">
        <f t="shared" si="30"/>
        <v>1819.0625000000005</v>
      </c>
      <c r="AN21" s="5">
        <f t="shared" si="31"/>
        <v>145.52500000000001</v>
      </c>
      <c r="AO21" s="5">
        <f t="shared" si="32"/>
        <v>1964.5875000000005</v>
      </c>
      <c r="AP21" s="5">
        <f t="shared" si="33"/>
        <v>3856.4124999999995</v>
      </c>
      <c r="AQ21" s="5">
        <f t="shared" si="34"/>
        <v>145.52500000000001</v>
      </c>
      <c r="AR21" s="5">
        <f t="shared" si="35"/>
        <v>2110.1125000000006</v>
      </c>
      <c r="AS21" s="5">
        <f t="shared" si="36"/>
        <v>3710.8874999999994</v>
      </c>
      <c r="AU21" s="20">
        <v>35</v>
      </c>
      <c r="AV21" s="5">
        <f t="shared" si="37"/>
        <v>166.31428571428572</v>
      </c>
    </row>
    <row r="22" spans="1:48" ht="15" x14ac:dyDescent="0.2">
      <c r="B22" s="1" t="s">
        <v>28</v>
      </c>
      <c r="C22" s="7">
        <v>39629</v>
      </c>
      <c r="D22" s="5">
        <v>816866</v>
      </c>
      <c r="E22" s="6" t="s">
        <v>15</v>
      </c>
      <c r="F22" s="6">
        <v>40</v>
      </c>
      <c r="G22" s="5"/>
      <c r="H22" s="5"/>
      <c r="I22" s="5"/>
      <c r="J22" s="5"/>
      <c r="K22" s="5"/>
      <c r="L22" s="5"/>
      <c r="M22" s="5"/>
      <c r="N22" s="5"/>
      <c r="O22" s="5"/>
      <c r="P22" s="5">
        <v>10211</v>
      </c>
      <c r="Q22" s="5">
        <v>10211</v>
      </c>
      <c r="R22" s="5">
        <f>SUM(D22/40)</f>
        <v>20421.650000000001</v>
      </c>
      <c r="S22" s="5">
        <f t="shared" si="10"/>
        <v>30632.65</v>
      </c>
      <c r="T22" s="5">
        <f t="shared" si="11"/>
        <v>20421.650000000001</v>
      </c>
      <c r="U22" s="5">
        <f t="shared" si="12"/>
        <v>51054.3</v>
      </c>
      <c r="V22" s="5">
        <f t="shared" si="13"/>
        <v>20421.650000000001</v>
      </c>
      <c r="W22" s="5">
        <f t="shared" si="14"/>
        <v>71475.950000000012</v>
      </c>
      <c r="X22" s="5">
        <f t="shared" si="15"/>
        <v>20421.650000000001</v>
      </c>
      <c r="Y22" s="5">
        <f t="shared" si="16"/>
        <v>91897.600000000006</v>
      </c>
      <c r="Z22" s="5">
        <f t="shared" si="17"/>
        <v>20421.650000000001</v>
      </c>
      <c r="AA22" s="5">
        <f t="shared" si="18"/>
        <v>112319.25</v>
      </c>
      <c r="AB22" s="5">
        <f t="shared" si="19"/>
        <v>20421.650000000001</v>
      </c>
      <c r="AC22" s="5">
        <f t="shared" si="20"/>
        <v>132740.9</v>
      </c>
      <c r="AD22" s="5">
        <f t="shared" si="21"/>
        <v>20421.650000000001</v>
      </c>
      <c r="AE22" s="5">
        <f t="shared" si="22"/>
        <v>153162.54999999999</v>
      </c>
      <c r="AF22" s="5">
        <f t="shared" si="23"/>
        <v>20421.650000000001</v>
      </c>
      <c r="AG22" s="5">
        <f t="shared" si="24"/>
        <v>173584.19999999998</v>
      </c>
      <c r="AH22" s="5">
        <f t="shared" si="25"/>
        <v>20421.650000000001</v>
      </c>
      <c r="AI22" s="5">
        <f t="shared" si="26"/>
        <v>194005.84999999998</v>
      </c>
      <c r="AJ22" s="5">
        <f t="shared" si="27"/>
        <v>20421.650000000001</v>
      </c>
      <c r="AK22" s="5">
        <f t="shared" si="28"/>
        <v>214427.49999999997</v>
      </c>
      <c r="AL22" s="5">
        <f t="shared" si="29"/>
        <v>20421.650000000001</v>
      </c>
      <c r="AM22" s="5">
        <f t="shared" si="30"/>
        <v>234849.14999999997</v>
      </c>
      <c r="AN22" s="5">
        <f t="shared" si="31"/>
        <v>20421.650000000001</v>
      </c>
      <c r="AO22" s="5">
        <f t="shared" si="32"/>
        <v>255270.79999999996</v>
      </c>
      <c r="AP22" s="5">
        <f t="shared" si="33"/>
        <v>561595.20000000007</v>
      </c>
      <c r="AQ22" s="5">
        <f t="shared" si="34"/>
        <v>20421.650000000001</v>
      </c>
      <c r="AR22" s="5">
        <f t="shared" si="35"/>
        <v>275692.44999999995</v>
      </c>
      <c r="AS22" s="5">
        <f t="shared" si="36"/>
        <v>541173.55000000005</v>
      </c>
      <c r="AU22" s="20">
        <v>35</v>
      </c>
      <c r="AV22" s="5">
        <f t="shared" si="37"/>
        <v>23339.028571428571</v>
      </c>
    </row>
    <row r="23" spans="1:48" ht="15" x14ac:dyDescent="0.2">
      <c r="B23" s="1" t="s">
        <v>29</v>
      </c>
      <c r="C23" s="7">
        <v>39629</v>
      </c>
      <c r="D23" s="5">
        <v>1054000</v>
      </c>
      <c r="E23" s="6" t="s">
        <v>15</v>
      </c>
      <c r="F23" s="6">
        <v>40</v>
      </c>
      <c r="G23" s="5"/>
      <c r="H23" s="5"/>
      <c r="I23" s="5"/>
      <c r="J23" s="5"/>
      <c r="K23" s="5"/>
      <c r="L23" s="5"/>
      <c r="M23" s="5"/>
      <c r="N23" s="5"/>
      <c r="O23" s="5"/>
      <c r="P23" s="5">
        <v>13175</v>
      </c>
      <c r="Q23" s="5">
        <v>13175</v>
      </c>
      <c r="R23" s="5">
        <f>SUM(D23/40)</f>
        <v>26350</v>
      </c>
      <c r="S23" s="5">
        <f t="shared" si="10"/>
        <v>39525</v>
      </c>
      <c r="T23" s="5">
        <f t="shared" si="11"/>
        <v>26350</v>
      </c>
      <c r="U23" s="5">
        <f t="shared" si="12"/>
        <v>65875</v>
      </c>
      <c r="V23" s="5">
        <f t="shared" si="13"/>
        <v>26350</v>
      </c>
      <c r="W23" s="5">
        <f t="shared" si="14"/>
        <v>92225</v>
      </c>
      <c r="X23" s="5">
        <f t="shared" si="15"/>
        <v>26350</v>
      </c>
      <c r="Y23" s="5">
        <f t="shared" si="16"/>
        <v>118575</v>
      </c>
      <c r="Z23" s="5">
        <f t="shared" si="17"/>
        <v>26350</v>
      </c>
      <c r="AA23" s="5">
        <f t="shared" si="18"/>
        <v>144925</v>
      </c>
      <c r="AB23" s="5">
        <f t="shared" si="19"/>
        <v>26350</v>
      </c>
      <c r="AC23" s="5">
        <f t="shared" si="20"/>
        <v>171275</v>
      </c>
      <c r="AD23" s="5">
        <f t="shared" si="21"/>
        <v>26350</v>
      </c>
      <c r="AE23" s="5">
        <f t="shared" si="22"/>
        <v>197625</v>
      </c>
      <c r="AF23" s="5">
        <f t="shared" si="23"/>
        <v>26350</v>
      </c>
      <c r="AG23" s="5">
        <f t="shared" si="24"/>
        <v>223975</v>
      </c>
      <c r="AH23" s="5">
        <f t="shared" si="25"/>
        <v>26350</v>
      </c>
      <c r="AI23" s="5">
        <f t="shared" si="26"/>
        <v>250325</v>
      </c>
      <c r="AJ23" s="5">
        <f t="shared" si="27"/>
        <v>26350</v>
      </c>
      <c r="AK23" s="5">
        <f t="shared" si="28"/>
        <v>276675</v>
      </c>
      <c r="AL23" s="5">
        <f t="shared" si="29"/>
        <v>26350</v>
      </c>
      <c r="AM23" s="5">
        <f t="shared" si="30"/>
        <v>303025</v>
      </c>
      <c r="AN23" s="5">
        <f t="shared" si="31"/>
        <v>26350</v>
      </c>
      <c r="AO23" s="5">
        <f t="shared" si="32"/>
        <v>329375</v>
      </c>
      <c r="AP23" s="5">
        <f t="shared" si="33"/>
        <v>724625</v>
      </c>
      <c r="AQ23" s="5">
        <f t="shared" si="34"/>
        <v>26350</v>
      </c>
      <c r="AR23" s="5">
        <f t="shared" si="35"/>
        <v>355725</v>
      </c>
      <c r="AS23" s="5">
        <f t="shared" si="36"/>
        <v>698275</v>
      </c>
      <c r="AU23" s="20">
        <v>35</v>
      </c>
      <c r="AV23" s="5">
        <f t="shared" si="37"/>
        <v>30114.285714285714</v>
      </c>
    </row>
    <row r="24" spans="1:48" ht="15" x14ac:dyDescent="0.2">
      <c r="B24" s="1" t="s">
        <v>30</v>
      </c>
      <c r="C24" s="7">
        <v>39845</v>
      </c>
      <c r="D24" s="5">
        <v>263397</v>
      </c>
      <c r="E24" s="6" t="s">
        <v>15</v>
      </c>
      <c r="F24" s="6">
        <v>40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>SUM(D24/40/12*11)</f>
        <v>6036.1812499999996</v>
      </c>
      <c r="S24" s="5">
        <f t="shared" si="10"/>
        <v>6036.1812499999996</v>
      </c>
      <c r="T24" s="5">
        <f>SUM(D24/40)</f>
        <v>6584.9250000000002</v>
      </c>
      <c r="U24" s="5">
        <f t="shared" si="12"/>
        <v>12621.106250000001</v>
      </c>
      <c r="V24" s="5">
        <f t="shared" si="13"/>
        <v>6584.9250000000002</v>
      </c>
      <c r="W24" s="5">
        <f t="shared" si="14"/>
        <v>19206.03125</v>
      </c>
      <c r="X24" s="5">
        <f t="shared" si="15"/>
        <v>6584.9250000000002</v>
      </c>
      <c r="Y24" s="5">
        <f t="shared" si="16"/>
        <v>25790.956249999999</v>
      </c>
      <c r="Z24" s="5">
        <f t="shared" si="17"/>
        <v>6584.9250000000002</v>
      </c>
      <c r="AA24" s="5">
        <f t="shared" si="18"/>
        <v>32375.881249999999</v>
      </c>
      <c r="AB24" s="5">
        <f t="shared" si="19"/>
        <v>6584.9250000000002</v>
      </c>
      <c r="AC24" s="5">
        <f t="shared" si="20"/>
        <v>38960.806250000001</v>
      </c>
      <c r="AD24" s="5">
        <f t="shared" si="21"/>
        <v>6584.9250000000002</v>
      </c>
      <c r="AE24" s="5">
        <f t="shared" si="22"/>
        <v>45545.731250000004</v>
      </c>
      <c r="AF24" s="5">
        <f t="shared" si="23"/>
        <v>6584.9250000000002</v>
      </c>
      <c r="AG24" s="5">
        <f t="shared" si="24"/>
        <v>52130.656250000007</v>
      </c>
      <c r="AH24" s="5">
        <f t="shared" si="25"/>
        <v>6584.9250000000002</v>
      </c>
      <c r="AI24" s="5">
        <f t="shared" si="26"/>
        <v>58715.58125000001</v>
      </c>
      <c r="AJ24" s="5">
        <f t="shared" si="27"/>
        <v>6584.9250000000002</v>
      </c>
      <c r="AK24" s="5">
        <f t="shared" si="28"/>
        <v>65300.506250000013</v>
      </c>
      <c r="AL24" s="5">
        <f t="shared" si="29"/>
        <v>6584.9250000000002</v>
      </c>
      <c r="AM24" s="5">
        <f t="shared" si="30"/>
        <v>71885.431250000009</v>
      </c>
      <c r="AN24" s="5">
        <f t="shared" si="31"/>
        <v>6584.9250000000002</v>
      </c>
      <c r="AO24" s="5">
        <f t="shared" si="32"/>
        <v>78470.356250000012</v>
      </c>
      <c r="AP24" s="5">
        <f t="shared" si="33"/>
        <v>184926.64374999999</v>
      </c>
      <c r="AQ24" s="5">
        <f t="shared" si="34"/>
        <v>6584.9250000000002</v>
      </c>
      <c r="AR24" s="5">
        <f t="shared" si="35"/>
        <v>85055.281250000015</v>
      </c>
      <c r="AS24" s="5">
        <f t="shared" si="36"/>
        <v>178341.71875</v>
      </c>
      <c r="AU24" s="20">
        <v>35</v>
      </c>
      <c r="AV24" s="5">
        <f t="shared" si="37"/>
        <v>7525.6285714285714</v>
      </c>
    </row>
    <row r="25" spans="1:48" ht="15" x14ac:dyDescent="0.2">
      <c r="B25" s="1" t="s">
        <v>31</v>
      </c>
      <c r="C25" s="7">
        <v>39845</v>
      </c>
      <c r="D25" s="5">
        <v>380190</v>
      </c>
      <c r="E25" s="6" t="s">
        <v>15</v>
      </c>
      <c r="F25" s="6">
        <v>40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>SUM(D25/40/12*11)</f>
        <v>8712.6875</v>
      </c>
      <c r="S25" s="5">
        <f t="shared" si="10"/>
        <v>8712.6875</v>
      </c>
      <c r="T25" s="5">
        <f>SUM(D25/40)</f>
        <v>9504.75</v>
      </c>
      <c r="U25" s="5">
        <f t="shared" si="12"/>
        <v>18217.4375</v>
      </c>
      <c r="V25" s="5">
        <f t="shared" si="13"/>
        <v>9504.75</v>
      </c>
      <c r="W25" s="5">
        <f t="shared" si="14"/>
        <v>27722.1875</v>
      </c>
      <c r="X25" s="5">
        <f t="shared" si="15"/>
        <v>9504.75</v>
      </c>
      <c r="Y25" s="5">
        <f t="shared" si="16"/>
        <v>37226.9375</v>
      </c>
      <c r="Z25" s="5">
        <f t="shared" si="17"/>
        <v>9504.75</v>
      </c>
      <c r="AA25" s="5">
        <f t="shared" si="18"/>
        <v>46731.6875</v>
      </c>
      <c r="AB25" s="5">
        <f t="shared" si="19"/>
        <v>9504.75</v>
      </c>
      <c r="AC25" s="5">
        <f t="shared" si="20"/>
        <v>56236.4375</v>
      </c>
      <c r="AD25" s="5">
        <f t="shared" si="21"/>
        <v>9504.75</v>
      </c>
      <c r="AE25" s="5">
        <f t="shared" si="22"/>
        <v>65741.1875</v>
      </c>
      <c r="AF25" s="5">
        <f t="shared" si="23"/>
        <v>9504.75</v>
      </c>
      <c r="AG25" s="5">
        <f t="shared" si="24"/>
        <v>75245.9375</v>
      </c>
      <c r="AH25" s="5">
        <f t="shared" si="25"/>
        <v>9504.75</v>
      </c>
      <c r="AI25" s="5">
        <f t="shared" si="26"/>
        <v>84750.6875</v>
      </c>
      <c r="AJ25" s="5">
        <f t="shared" si="27"/>
        <v>9504.75</v>
      </c>
      <c r="AK25" s="5">
        <f t="shared" si="28"/>
        <v>94255.4375</v>
      </c>
      <c r="AL25" s="5">
        <f t="shared" si="29"/>
        <v>9504.75</v>
      </c>
      <c r="AM25" s="5">
        <f t="shared" si="30"/>
        <v>103760.1875</v>
      </c>
      <c r="AN25" s="5">
        <f t="shared" si="31"/>
        <v>9504.75</v>
      </c>
      <c r="AO25" s="5">
        <f t="shared" si="32"/>
        <v>113264.9375</v>
      </c>
      <c r="AP25" s="5">
        <f t="shared" si="33"/>
        <v>266925.0625</v>
      </c>
      <c r="AQ25" s="5">
        <f t="shared" si="34"/>
        <v>9504.75</v>
      </c>
      <c r="AR25" s="5">
        <f t="shared" si="35"/>
        <v>122769.6875</v>
      </c>
      <c r="AS25" s="5">
        <f t="shared" si="36"/>
        <v>257420.3125</v>
      </c>
      <c r="AU25" s="20">
        <v>35</v>
      </c>
      <c r="AV25" s="5">
        <f t="shared" si="37"/>
        <v>10862.571428571429</v>
      </c>
    </row>
    <row r="26" spans="1:48" ht="15" x14ac:dyDescent="0.2">
      <c r="B26" s="1" t="s">
        <v>32</v>
      </c>
      <c r="C26" s="10">
        <v>40877</v>
      </c>
      <c r="D26" s="5">
        <v>379947</v>
      </c>
      <c r="E26" s="6" t="s">
        <v>15</v>
      </c>
      <c r="F26" s="6">
        <v>40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792</v>
      </c>
      <c r="W26" s="5">
        <f t="shared" si="14"/>
        <v>792</v>
      </c>
      <c r="X26" s="5">
        <v>9499</v>
      </c>
      <c r="Y26" s="5">
        <f t="shared" si="16"/>
        <v>10291</v>
      </c>
      <c r="Z26" s="5">
        <v>9499</v>
      </c>
      <c r="AA26" s="5">
        <f t="shared" si="18"/>
        <v>19790</v>
      </c>
      <c r="AB26" s="5">
        <f t="shared" si="19"/>
        <v>9499</v>
      </c>
      <c r="AC26" s="5">
        <f t="shared" si="20"/>
        <v>29289</v>
      </c>
      <c r="AD26" s="5">
        <f t="shared" si="21"/>
        <v>9499</v>
      </c>
      <c r="AE26" s="5">
        <f t="shared" si="22"/>
        <v>38788</v>
      </c>
      <c r="AF26" s="5">
        <f t="shared" si="23"/>
        <v>9499</v>
      </c>
      <c r="AG26" s="5">
        <f t="shared" si="24"/>
        <v>48287</v>
      </c>
      <c r="AH26" s="5">
        <f t="shared" si="25"/>
        <v>9499</v>
      </c>
      <c r="AI26" s="5">
        <f t="shared" si="26"/>
        <v>57786</v>
      </c>
      <c r="AJ26" s="5">
        <f t="shared" si="27"/>
        <v>9499</v>
      </c>
      <c r="AK26" s="5">
        <f t="shared" si="28"/>
        <v>67285</v>
      </c>
      <c r="AL26" s="5">
        <f t="shared" si="29"/>
        <v>9499</v>
      </c>
      <c r="AM26" s="5">
        <f t="shared" si="30"/>
        <v>76784</v>
      </c>
      <c r="AN26" s="5">
        <f t="shared" si="31"/>
        <v>9499</v>
      </c>
      <c r="AO26" s="5">
        <f t="shared" si="32"/>
        <v>86283</v>
      </c>
      <c r="AP26" s="5">
        <f t="shared" si="33"/>
        <v>293664</v>
      </c>
      <c r="AQ26" s="5">
        <f t="shared" si="34"/>
        <v>9499</v>
      </c>
      <c r="AR26" s="5">
        <f t="shared" si="35"/>
        <v>95782</v>
      </c>
      <c r="AS26" s="5">
        <f t="shared" si="36"/>
        <v>284165</v>
      </c>
      <c r="AU26" s="20">
        <v>35</v>
      </c>
      <c r="AV26" s="5">
        <f t="shared" si="37"/>
        <v>10855.628571428571</v>
      </c>
    </row>
    <row r="27" spans="1:48" ht="15" x14ac:dyDescent="0.2">
      <c r="B27" s="1" t="s">
        <v>33</v>
      </c>
      <c r="C27" s="10">
        <v>40846</v>
      </c>
      <c r="D27" s="5">
        <v>16328</v>
      </c>
      <c r="E27" s="6" t="s">
        <v>15</v>
      </c>
      <c r="F27" s="6">
        <v>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68</v>
      </c>
      <c r="W27" s="5">
        <f t="shared" si="14"/>
        <v>68</v>
      </c>
      <c r="X27" s="5">
        <v>408</v>
      </c>
      <c r="Y27" s="5">
        <f t="shared" si="16"/>
        <v>476</v>
      </c>
      <c r="Z27" s="5">
        <v>408</v>
      </c>
      <c r="AA27" s="5">
        <f t="shared" si="18"/>
        <v>884</v>
      </c>
      <c r="AB27" s="5">
        <f t="shared" si="19"/>
        <v>408</v>
      </c>
      <c r="AC27" s="5">
        <f t="shared" si="20"/>
        <v>1292</v>
      </c>
      <c r="AD27" s="5">
        <f t="shared" si="21"/>
        <v>408</v>
      </c>
      <c r="AE27" s="5">
        <f t="shared" si="22"/>
        <v>1700</v>
      </c>
      <c r="AF27" s="5">
        <f t="shared" si="23"/>
        <v>408</v>
      </c>
      <c r="AG27" s="5">
        <f t="shared" si="24"/>
        <v>2108</v>
      </c>
      <c r="AH27" s="5">
        <f t="shared" si="25"/>
        <v>408</v>
      </c>
      <c r="AI27" s="5">
        <f t="shared" si="26"/>
        <v>2516</v>
      </c>
      <c r="AJ27" s="5">
        <f t="shared" si="27"/>
        <v>408</v>
      </c>
      <c r="AK27" s="5">
        <f t="shared" si="28"/>
        <v>2924</v>
      </c>
      <c r="AL27" s="5">
        <f t="shared" si="29"/>
        <v>408</v>
      </c>
      <c r="AM27" s="5">
        <f t="shared" si="30"/>
        <v>3332</v>
      </c>
      <c r="AN27" s="5">
        <f t="shared" si="31"/>
        <v>408</v>
      </c>
      <c r="AO27" s="5">
        <f t="shared" si="32"/>
        <v>3740</v>
      </c>
      <c r="AP27" s="5">
        <f t="shared" si="33"/>
        <v>12588</v>
      </c>
      <c r="AQ27" s="5">
        <f t="shared" si="34"/>
        <v>408</v>
      </c>
      <c r="AR27" s="5">
        <f t="shared" si="35"/>
        <v>4148</v>
      </c>
      <c r="AS27" s="5">
        <f t="shared" si="36"/>
        <v>12180</v>
      </c>
      <c r="AU27" s="20">
        <v>35</v>
      </c>
      <c r="AV27" s="5">
        <f t="shared" si="37"/>
        <v>466.51428571428573</v>
      </c>
    </row>
    <row r="28" spans="1:48" ht="15" x14ac:dyDescent="0.2">
      <c r="B28" s="1" t="s">
        <v>35</v>
      </c>
      <c r="C28" s="10">
        <v>42705</v>
      </c>
      <c r="D28" s="5">
        <v>666667</v>
      </c>
      <c r="E28" s="6" t="s">
        <v>15</v>
      </c>
      <c r="F28" s="6">
        <v>40</v>
      </c>
      <c r="G28" s="5"/>
      <c r="H28" s="5"/>
      <c r="I28" s="5"/>
      <c r="J28" s="5"/>
      <c r="K28" s="5"/>
      <c r="L28" s="5"/>
      <c r="M28" s="5"/>
      <c r="R28" s="5"/>
      <c r="AB28" s="5">
        <f t="shared" si="19"/>
        <v>0</v>
      </c>
      <c r="AC28" s="5">
        <f t="shared" si="20"/>
        <v>0</v>
      </c>
      <c r="AD28" s="5">
        <f t="shared" si="21"/>
        <v>0</v>
      </c>
      <c r="AE28" s="5">
        <f t="shared" si="22"/>
        <v>0</v>
      </c>
      <c r="AF28" s="5">
        <f>666667/40/12</f>
        <v>1388.8895833333333</v>
      </c>
      <c r="AG28" s="5">
        <f t="shared" si="24"/>
        <v>1388.8895833333333</v>
      </c>
      <c r="AH28" s="5">
        <f>666667/40/12</f>
        <v>1388.8895833333333</v>
      </c>
      <c r="AI28" s="5">
        <f t="shared" si="26"/>
        <v>2777.7791666666667</v>
      </c>
      <c r="AJ28" s="5">
        <f>666667/40/12</f>
        <v>1388.8895833333333</v>
      </c>
      <c r="AK28" s="5">
        <f t="shared" si="28"/>
        <v>4166.6687499999998</v>
      </c>
      <c r="AL28" s="5">
        <f>666667/40/12</f>
        <v>1388.8895833333333</v>
      </c>
      <c r="AM28" s="5">
        <f t="shared" si="30"/>
        <v>5555.5583333333334</v>
      </c>
      <c r="AN28" s="5">
        <f t="shared" si="31"/>
        <v>1388.8895833333333</v>
      </c>
      <c r="AO28" s="5">
        <f t="shared" si="32"/>
        <v>6944.447916666667</v>
      </c>
      <c r="AP28" s="5">
        <f t="shared" si="33"/>
        <v>659722.55208333337</v>
      </c>
      <c r="AQ28" s="5">
        <f t="shared" si="34"/>
        <v>1388.8895833333333</v>
      </c>
      <c r="AR28" s="5">
        <f t="shared" si="35"/>
        <v>8333.3374999999996</v>
      </c>
      <c r="AS28" s="5">
        <f t="shared" si="36"/>
        <v>658333.66249999998</v>
      </c>
      <c r="AU28" s="20">
        <v>35</v>
      </c>
      <c r="AV28" s="5">
        <f t="shared" si="37"/>
        <v>19047.628571428573</v>
      </c>
    </row>
    <row r="29" spans="1:48" x14ac:dyDescent="0.25">
      <c r="A29" s="11"/>
      <c r="B29" s="11"/>
      <c r="C29" s="11"/>
      <c r="D29" s="8">
        <f>SUM(D14:D28)</f>
        <v>7185568.8700000001</v>
      </c>
      <c r="E29" s="9"/>
      <c r="F29" s="9"/>
      <c r="G29" s="8">
        <f t="shared" ref="G29:AA29" si="38">SUM(G14:G28)</f>
        <v>0</v>
      </c>
      <c r="H29" s="8">
        <f t="shared" si="38"/>
        <v>11672.875</v>
      </c>
      <c r="I29" s="8">
        <f t="shared" si="38"/>
        <v>11672.875</v>
      </c>
      <c r="J29" s="8">
        <f t="shared" si="38"/>
        <v>24108.75</v>
      </c>
      <c r="K29" s="8">
        <f t="shared" si="38"/>
        <v>35781.625</v>
      </c>
      <c r="L29" s="8">
        <f t="shared" si="38"/>
        <v>57464.823375</v>
      </c>
      <c r="M29" s="8">
        <f t="shared" si="38"/>
        <v>93246.448374999993</v>
      </c>
      <c r="N29" s="8">
        <f t="shared" si="38"/>
        <v>90131.58425</v>
      </c>
      <c r="O29" s="8">
        <f t="shared" si="38"/>
        <v>183378.03262499999</v>
      </c>
      <c r="P29" s="8">
        <f t="shared" si="38"/>
        <v>113590.34675</v>
      </c>
      <c r="Q29" s="8">
        <f t="shared" si="38"/>
        <v>296968.37937500002</v>
      </c>
      <c r="R29" s="8">
        <f t="shared" si="38"/>
        <v>151724.86549999999</v>
      </c>
      <c r="S29" s="8">
        <f t="shared" si="38"/>
        <v>448693.24487500003</v>
      </c>
      <c r="T29" s="11">
        <f t="shared" si="38"/>
        <v>153065.67174999998</v>
      </c>
      <c r="U29" s="11">
        <f t="shared" si="38"/>
        <v>601758.91662500007</v>
      </c>
      <c r="V29" s="5">
        <f t="shared" si="38"/>
        <v>153925.67174999998</v>
      </c>
      <c r="W29" s="5">
        <f t="shared" si="38"/>
        <v>755684.58837500005</v>
      </c>
      <c r="X29" s="5">
        <f t="shared" si="38"/>
        <v>162972.67174999998</v>
      </c>
      <c r="Y29" s="5">
        <f t="shared" si="38"/>
        <v>918657.26012499991</v>
      </c>
      <c r="Z29" s="5">
        <f t="shared" si="38"/>
        <v>162972.67174999998</v>
      </c>
      <c r="AA29" s="5">
        <f t="shared" si="38"/>
        <v>1081629.931875</v>
      </c>
      <c r="AB29" s="5">
        <f t="shared" si="19"/>
        <v>162972.67174999998</v>
      </c>
      <c r="AC29" s="5">
        <f t="shared" si="20"/>
        <v>1244602.603625</v>
      </c>
      <c r="AD29" s="5">
        <f t="shared" si="21"/>
        <v>162972.67174999998</v>
      </c>
      <c r="AE29" s="5">
        <f t="shared" si="22"/>
        <v>1407575.275375</v>
      </c>
      <c r="AF29" s="5">
        <f t="shared" ref="AF29:AS29" si="39">SUM(AF14:AF28)</f>
        <v>164361.56133333332</v>
      </c>
      <c r="AG29" s="5">
        <f t="shared" si="39"/>
        <v>1571936.8367083336</v>
      </c>
      <c r="AH29" s="5">
        <f t="shared" si="39"/>
        <v>164361.56133333332</v>
      </c>
      <c r="AI29" s="5">
        <f t="shared" si="39"/>
        <v>1736298.3980416665</v>
      </c>
      <c r="AJ29" s="5">
        <f t="shared" si="39"/>
        <v>164361.56133333332</v>
      </c>
      <c r="AK29" s="5">
        <f t="shared" si="39"/>
        <v>1900659.9593750001</v>
      </c>
      <c r="AL29" s="5">
        <f t="shared" si="39"/>
        <v>164361.56133333332</v>
      </c>
      <c r="AM29" s="8">
        <f t="shared" si="39"/>
        <v>2065021.5207083332</v>
      </c>
      <c r="AN29" s="8">
        <f t="shared" si="39"/>
        <v>164361.56133333332</v>
      </c>
      <c r="AO29" s="8">
        <f t="shared" si="39"/>
        <v>2229383.0820416664</v>
      </c>
      <c r="AP29" s="8">
        <f t="shared" si="39"/>
        <v>4956185.7879583333</v>
      </c>
      <c r="AQ29" s="8">
        <f t="shared" si="39"/>
        <v>164361.56133333332</v>
      </c>
      <c r="AR29" s="8">
        <f t="shared" si="39"/>
        <v>2393744.643375</v>
      </c>
      <c r="AS29" s="8">
        <f t="shared" si="39"/>
        <v>4791824.2266250001</v>
      </c>
      <c r="AU29" s="20"/>
      <c r="AV29" s="8">
        <f t="shared" ref="AV29" si="40">SUM(AV14:AV28)</f>
        <v>205301.96771428568</v>
      </c>
    </row>
    <row r="30" spans="1:48" ht="15" x14ac:dyDescent="0.2">
      <c r="A30" s="1">
        <v>354</v>
      </c>
      <c r="B30" s="1" t="s">
        <v>36</v>
      </c>
      <c r="D30" s="5"/>
      <c r="E30" s="6"/>
      <c r="F30" s="6"/>
      <c r="G30" s="5"/>
      <c r="H30" s="5"/>
      <c r="I30" s="5"/>
      <c r="J30" s="5"/>
      <c r="K30" s="5"/>
      <c r="L30" s="5"/>
      <c r="M30" s="5"/>
      <c r="R30" s="5"/>
      <c r="AB30" s="5">
        <f t="shared" si="19"/>
        <v>0</v>
      </c>
      <c r="AC30" s="5">
        <f t="shared" si="20"/>
        <v>0</v>
      </c>
      <c r="AD30" s="5">
        <f t="shared" si="21"/>
        <v>0</v>
      </c>
      <c r="AE30" s="5">
        <f t="shared" si="22"/>
        <v>0</v>
      </c>
      <c r="AF30" s="5"/>
      <c r="AH30" s="5"/>
      <c r="AJ30" s="5"/>
      <c r="AL30" s="5"/>
      <c r="AU30" s="20"/>
    </row>
    <row r="31" spans="1:48" ht="15" x14ac:dyDescent="0.2">
      <c r="B31" s="1" t="s">
        <v>37</v>
      </c>
      <c r="C31" s="7">
        <v>34700</v>
      </c>
      <c r="D31" s="5">
        <v>3201</v>
      </c>
      <c r="E31" s="6" t="s">
        <v>15</v>
      </c>
      <c r="F31" s="6">
        <v>10</v>
      </c>
      <c r="G31" s="5">
        <f>2560+320</f>
        <v>2880</v>
      </c>
      <c r="H31" s="5">
        <f t="shared" ref="H31:H36" si="41">SUM(D31/F31)</f>
        <v>320.10000000000002</v>
      </c>
      <c r="I31" s="5">
        <f t="shared" ref="I31:I37" si="42">SUM(G31:H31)</f>
        <v>3200.1</v>
      </c>
      <c r="J31" s="5">
        <f t="shared" ref="J31:J37" si="43">SUM(D31/F31)</f>
        <v>320.10000000000002</v>
      </c>
      <c r="K31" s="5">
        <f t="shared" ref="K31:K37" si="44">SUM(I31:J31)</f>
        <v>3520.2</v>
      </c>
      <c r="L31" s="5">
        <f t="shared" ref="L31:L38" si="45">SUM(D31/F31)</f>
        <v>320.10000000000002</v>
      </c>
      <c r="M31" s="5">
        <f t="shared" ref="M31:M40" si="46">SUM(K31:L31)</f>
        <v>3840.2999999999997</v>
      </c>
      <c r="N31" s="5">
        <f t="shared" ref="N31:N40" si="47">SUM(D31/F31)</f>
        <v>320.10000000000002</v>
      </c>
      <c r="O31" s="5">
        <f t="shared" ref="O31:O41" si="48">SUM(M31+N31)</f>
        <v>4160.3999999999996</v>
      </c>
      <c r="P31" s="1">
        <v>0</v>
      </c>
      <c r="Q31" s="5">
        <f>SUM(O31+P31-959)</f>
        <v>3201.3999999999996</v>
      </c>
      <c r="R31" s="5">
        <v>0</v>
      </c>
      <c r="S31" s="5">
        <v>3201</v>
      </c>
      <c r="T31" s="1">
        <v>0</v>
      </c>
      <c r="U31" s="5">
        <f t="shared" ref="U31:U43" si="49">S31+T31</f>
        <v>3201</v>
      </c>
      <c r="V31" s="5">
        <f>T31</f>
        <v>0</v>
      </c>
      <c r="W31" s="5">
        <f t="shared" ref="W31:W47" si="50">U31+V31</f>
        <v>3201</v>
      </c>
      <c r="X31" s="5">
        <f>V31</f>
        <v>0</v>
      </c>
      <c r="Y31" s="5">
        <f t="shared" ref="Y31:Y48" si="51">W31+X31</f>
        <v>3201</v>
      </c>
      <c r="Z31" s="5">
        <f>X31</f>
        <v>0</v>
      </c>
      <c r="AA31" s="5">
        <f t="shared" ref="AA31:AA48" si="52">Y31+Z31</f>
        <v>3201</v>
      </c>
      <c r="AB31" s="5">
        <f t="shared" si="19"/>
        <v>0</v>
      </c>
      <c r="AC31" s="5">
        <f t="shared" si="20"/>
        <v>3201</v>
      </c>
      <c r="AD31" s="5">
        <f t="shared" si="21"/>
        <v>0</v>
      </c>
      <c r="AE31" s="5">
        <f t="shared" si="22"/>
        <v>3201</v>
      </c>
      <c r="AF31" s="5">
        <f>AD31</f>
        <v>0</v>
      </c>
      <c r="AG31" s="5">
        <f t="shared" ref="AG31:AG51" si="53">AE31+AF31</f>
        <v>3201</v>
      </c>
      <c r="AH31" s="5">
        <f>AF31</f>
        <v>0</v>
      </c>
      <c r="AI31" s="5">
        <f t="shared" ref="AI31:AI53" si="54">AG31+AH31</f>
        <v>3201</v>
      </c>
      <c r="AJ31" s="5">
        <f>AH31</f>
        <v>0</v>
      </c>
      <c r="AK31" s="5">
        <f t="shared" ref="AK31:AK54" si="55">AI31+AJ31</f>
        <v>3201</v>
      </c>
      <c r="AL31" s="5">
        <f>AJ31</f>
        <v>0</v>
      </c>
      <c r="AM31" s="5">
        <f t="shared" ref="AM31:AM55" si="56">AK31+AL31</f>
        <v>3201</v>
      </c>
      <c r="AN31" s="5">
        <f t="shared" ref="AN31:AN42" si="57">AL31</f>
        <v>0</v>
      </c>
      <c r="AO31" s="5">
        <f t="shared" ref="AO31:AO57" si="58">SUM(AM31:AN31)</f>
        <v>3201</v>
      </c>
      <c r="AP31" s="5">
        <f t="shared" ref="AP31:AP57" si="59">D31-AO31</f>
        <v>0</v>
      </c>
      <c r="AQ31" s="5">
        <f t="shared" ref="AQ31:AQ55" si="60">SUM(AN31)</f>
        <v>0</v>
      </c>
      <c r="AR31" s="5">
        <f t="shared" ref="AR31:AR57" si="61">AO31+AQ31</f>
        <v>3201</v>
      </c>
      <c r="AS31" s="5">
        <f t="shared" ref="AS31:AS57" si="62">D31-AR31</f>
        <v>0</v>
      </c>
      <c r="AU31" s="20">
        <v>52</v>
      </c>
      <c r="AV31" s="5">
        <f t="shared" ref="AV31:AV57" si="63">SUM(D31/AU31)</f>
        <v>61.557692307692307</v>
      </c>
    </row>
    <row r="32" spans="1:48" ht="15" x14ac:dyDescent="0.2">
      <c r="B32" s="1" t="s">
        <v>37</v>
      </c>
      <c r="C32" s="7">
        <v>35765</v>
      </c>
      <c r="D32" s="5">
        <v>1773</v>
      </c>
      <c r="E32" s="6" t="s">
        <v>15</v>
      </c>
      <c r="F32" s="6">
        <v>10</v>
      </c>
      <c r="G32" s="5">
        <v>1077</v>
      </c>
      <c r="H32" s="5">
        <f t="shared" si="41"/>
        <v>177.3</v>
      </c>
      <c r="I32" s="5">
        <f t="shared" si="42"/>
        <v>1254.3</v>
      </c>
      <c r="J32" s="5">
        <f t="shared" si="43"/>
        <v>177.3</v>
      </c>
      <c r="K32" s="5">
        <f t="shared" si="44"/>
        <v>1431.6</v>
      </c>
      <c r="L32" s="5">
        <f t="shared" si="45"/>
        <v>177.3</v>
      </c>
      <c r="M32" s="5">
        <f t="shared" si="46"/>
        <v>1608.8999999999999</v>
      </c>
      <c r="N32" s="5">
        <f t="shared" si="47"/>
        <v>177.3</v>
      </c>
      <c r="O32" s="5">
        <f t="shared" si="48"/>
        <v>1786.1999999999998</v>
      </c>
      <c r="P32" s="1">
        <v>0</v>
      </c>
      <c r="Q32" s="5">
        <f>SUM(O32+P32-13)</f>
        <v>1773.1999999999998</v>
      </c>
      <c r="R32" s="5">
        <v>0</v>
      </c>
      <c r="S32" s="5">
        <v>1773</v>
      </c>
      <c r="T32" s="1">
        <v>0</v>
      </c>
      <c r="U32" s="5">
        <f t="shared" si="49"/>
        <v>1773</v>
      </c>
      <c r="V32" s="5">
        <f>T32</f>
        <v>0</v>
      </c>
      <c r="W32" s="5">
        <f t="shared" si="50"/>
        <v>1773</v>
      </c>
      <c r="X32" s="5">
        <f>V32</f>
        <v>0</v>
      </c>
      <c r="Y32" s="5">
        <f t="shared" si="51"/>
        <v>1773</v>
      </c>
      <c r="Z32" s="5">
        <f>X32</f>
        <v>0</v>
      </c>
      <c r="AA32" s="5">
        <f t="shared" si="52"/>
        <v>1773</v>
      </c>
      <c r="AB32" s="5">
        <f t="shared" si="19"/>
        <v>0</v>
      </c>
      <c r="AC32" s="5">
        <f t="shared" si="20"/>
        <v>1773</v>
      </c>
      <c r="AD32" s="5">
        <f t="shared" si="21"/>
        <v>0</v>
      </c>
      <c r="AE32" s="5">
        <f t="shared" si="22"/>
        <v>1773</v>
      </c>
      <c r="AF32" s="5">
        <f>AD32</f>
        <v>0</v>
      </c>
      <c r="AG32" s="5">
        <f t="shared" si="53"/>
        <v>1773</v>
      </c>
      <c r="AH32" s="5">
        <f>AF32</f>
        <v>0</v>
      </c>
      <c r="AI32" s="5">
        <f t="shared" si="54"/>
        <v>1773</v>
      </c>
      <c r="AJ32" s="5">
        <f>AH32</f>
        <v>0</v>
      </c>
      <c r="AK32" s="5">
        <f t="shared" si="55"/>
        <v>1773</v>
      </c>
      <c r="AL32" s="5">
        <f>AJ32</f>
        <v>0</v>
      </c>
      <c r="AM32" s="5">
        <f t="shared" si="56"/>
        <v>1773</v>
      </c>
      <c r="AN32" s="5">
        <f t="shared" si="57"/>
        <v>0</v>
      </c>
      <c r="AO32" s="5">
        <f t="shared" si="58"/>
        <v>1773</v>
      </c>
      <c r="AP32" s="5">
        <f t="shared" si="59"/>
        <v>0</v>
      </c>
      <c r="AQ32" s="5">
        <f t="shared" si="60"/>
        <v>0</v>
      </c>
      <c r="AR32" s="5">
        <f t="shared" si="61"/>
        <v>1773</v>
      </c>
      <c r="AS32" s="5">
        <f t="shared" si="62"/>
        <v>0</v>
      </c>
      <c r="AU32" s="20">
        <v>52</v>
      </c>
      <c r="AV32" s="5">
        <f t="shared" si="63"/>
        <v>34.096153846153847</v>
      </c>
    </row>
    <row r="33" spans="2:48" ht="15" x14ac:dyDescent="0.2">
      <c r="B33" s="1" t="s">
        <v>37</v>
      </c>
      <c r="C33" s="7">
        <v>36861</v>
      </c>
      <c r="D33" s="5">
        <v>36416</v>
      </c>
      <c r="E33" s="6" t="s">
        <v>15</v>
      </c>
      <c r="F33" s="6">
        <v>10</v>
      </c>
      <c r="G33" s="5">
        <f>7587+3642</f>
        <v>11229</v>
      </c>
      <c r="H33" s="5">
        <f t="shared" si="41"/>
        <v>3641.6</v>
      </c>
      <c r="I33" s="5">
        <f t="shared" si="42"/>
        <v>14870.6</v>
      </c>
      <c r="J33" s="5">
        <f t="shared" si="43"/>
        <v>3641.6</v>
      </c>
      <c r="K33" s="5">
        <f t="shared" si="44"/>
        <v>18512.2</v>
      </c>
      <c r="L33" s="5">
        <f t="shared" si="45"/>
        <v>3641.6</v>
      </c>
      <c r="M33" s="5">
        <f t="shared" si="46"/>
        <v>22153.8</v>
      </c>
      <c r="N33" s="5">
        <f t="shared" si="47"/>
        <v>3641.6</v>
      </c>
      <c r="O33" s="5">
        <f t="shared" si="48"/>
        <v>25795.399999999998</v>
      </c>
      <c r="P33" s="5">
        <f t="shared" ref="P33:P41" si="64">SUM(D33/F33)</f>
        <v>3641.6</v>
      </c>
      <c r="Q33" s="5">
        <v>30409</v>
      </c>
      <c r="R33" s="5">
        <f t="shared" ref="R33:R41" si="65">SUM(D33/F33)</f>
        <v>3641.6</v>
      </c>
      <c r="S33" s="5">
        <f t="shared" ref="S33:S43" si="66">SUM(Q33+R33)</f>
        <v>34050.6</v>
      </c>
      <c r="T33" s="1">
        <v>2365</v>
      </c>
      <c r="U33" s="5">
        <f t="shared" si="49"/>
        <v>36415.599999999999</v>
      </c>
      <c r="V33" s="5">
        <v>0</v>
      </c>
      <c r="W33" s="5">
        <f t="shared" si="50"/>
        <v>36415.599999999999</v>
      </c>
      <c r="X33" s="5">
        <v>0</v>
      </c>
      <c r="Y33" s="5">
        <f t="shared" si="51"/>
        <v>36415.599999999999</v>
      </c>
      <c r="Z33" s="5">
        <v>0</v>
      </c>
      <c r="AA33" s="5">
        <f t="shared" si="52"/>
        <v>36415.599999999999</v>
      </c>
      <c r="AB33" s="5">
        <f t="shared" si="19"/>
        <v>0</v>
      </c>
      <c r="AC33" s="5">
        <f t="shared" si="20"/>
        <v>36415.599999999999</v>
      </c>
      <c r="AD33" s="5">
        <f t="shared" si="21"/>
        <v>0</v>
      </c>
      <c r="AE33" s="5">
        <f t="shared" si="22"/>
        <v>36415.599999999999</v>
      </c>
      <c r="AF33" s="5">
        <f>AD33</f>
        <v>0</v>
      </c>
      <c r="AG33" s="5">
        <f t="shared" si="53"/>
        <v>36415.599999999999</v>
      </c>
      <c r="AH33" s="5">
        <f>AF33</f>
        <v>0</v>
      </c>
      <c r="AI33" s="5">
        <f t="shared" si="54"/>
        <v>36415.599999999999</v>
      </c>
      <c r="AJ33" s="5">
        <f>AH33</f>
        <v>0</v>
      </c>
      <c r="AK33" s="5">
        <f t="shared" si="55"/>
        <v>36415.599999999999</v>
      </c>
      <c r="AL33" s="5">
        <f>AJ33</f>
        <v>0</v>
      </c>
      <c r="AM33" s="5">
        <f t="shared" si="56"/>
        <v>36415.599999999999</v>
      </c>
      <c r="AN33" s="5">
        <f t="shared" si="57"/>
        <v>0</v>
      </c>
      <c r="AO33" s="5">
        <f t="shared" si="58"/>
        <v>36415.599999999999</v>
      </c>
      <c r="AP33" s="5">
        <f t="shared" si="59"/>
        <v>0.40000000000145519</v>
      </c>
      <c r="AQ33" s="5">
        <f t="shared" si="60"/>
        <v>0</v>
      </c>
      <c r="AR33" s="5">
        <f t="shared" si="61"/>
        <v>36415.599999999999</v>
      </c>
      <c r="AS33" s="5">
        <f t="shared" si="62"/>
        <v>0.40000000000145519</v>
      </c>
      <c r="AU33" s="20">
        <v>52</v>
      </c>
      <c r="AV33" s="5">
        <f t="shared" si="63"/>
        <v>700.30769230769226</v>
      </c>
    </row>
    <row r="34" spans="2:48" ht="15" x14ac:dyDescent="0.2">
      <c r="B34" s="1" t="s">
        <v>37</v>
      </c>
      <c r="C34" s="7">
        <v>37253</v>
      </c>
      <c r="D34" s="5">
        <v>23507</v>
      </c>
      <c r="E34" s="6" t="s">
        <v>15</v>
      </c>
      <c r="F34" s="6">
        <v>10</v>
      </c>
      <c r="G34" s="5">
        <f>2371+2351</f>
        <v>4722</v>
      </c>
      <c r="H34" s="5">
        <f t="shared" si="41"/>
        <v>2350.6999999999998</v>
      </c>
      <c r="I34" s="5">
        <f t="shared" si="42"/>
        <v>7072.7</v>
      </c>
      <c r="J34" s="5">
        <f t="shared" si="43"/>
        <v>2350.6999999999998</v>
      </c>
      <c r="K34" s="5">
        <f t="shared" si="44"/>
        <v>9423.4</v>
      </c>
      <c r="L34" s="5">
        <f t="shared" si="45"/>
        <v>2350.6999999999998</v>
      </c>
      <c r="M34" s="5">
        <f t="shared" si="46"/>
        <v>11774.099999999999</v>
      </c>
      <c r="N34" s="5">
        <f t="shared" si="47"/>
        <v>2350.6999999999998</v>
      </c>
      <c r="O34" s="5">
        <f t="shared" si="48"/>
        <v>14124.8</v>
      </c>
      <c r="P34" s="5">
        <f t="shared" si="64"/>
        <v>2350.6999999999998</v>
      </c>
      <c r="Q34" s="5">
        <v>16476</v>
      </c>
      <c r="R34" s="5">
        <f t="shared" si="65"/>
        <v>2350.6999999999998</v>
      </c>
      <c r="S34" s="5">
        <f t="shared" si="66"/>
        <v>18826.7</v>
      </c>
      <c r="T34" s="5">
        <f t="shared" ref="T34:T42" si="67">R34</f>
        <v>2350.6999999999998</v>
      </c>
      <c r="U34" s="5">
        <f t="shared" si="49"/>
        <v>21177.4</v>
      </c>
      <c r="V34" s="5">
        <f>23507-21177</f>
        <v>2330</v>
      </c>
      <c r="W34" s="5">
        <f t="shared" si="50"/>
        <v>23507.4</v>
      </c>
      <c r="X34" s="5">
        <v>0</v>
      </c>
      <c r="Y34" s="5">
        <f t="shared" si="51"/>
        <v>23507.4</v>
      </c>
      <c r="Z34" s="5">
        <v>0</v>
      </c>
      <c r="AA34" s="5">
        <f t="shared" si="52"/>
        <v>23507.4</v>
      </c>
      <c r="AB34" s="5">
        <f t="shared" si="19"/>
        <v>0</v>
      </c>
      <c r="AC34" s="5">
        <f t="shared" si="20"/>
        <v>23507.4</v>
      </c>
      <c r="AD34" s="5">
        <f t="shared" si="21"/>
        <v>0</v>
      </c>
      <c r="AE34" s="5">
        <f t="shared" si="22"/>
        <v>23507.4</v>
      </c>
      <c r="AF34" s="5">
        <f>AD34</f>
        <v>0</v>
      </c>
      <c r="AG34" s="5">
        <f t="shared" si="53"/>
        <v>23507.4</v>
      </c>
      <c r="AH34" s="5">
        <f>AF34</f>
        <v>0</v>
      </c>
      <c r="AI34" s="5">
        <f t="shared" si="54"/>
        <v>23507.4</v>
      </c>
      <c r="AJ34" s="5">
        <f>AH34</f>
        <v>0</v>
      </c>
      <c r="AK34" s="5">
        <f t="shared" si="55"/>
        <v>23507.4</v>
      </c>
      <c r="AL34" s="5">
        <f>AJ34</f>
        <v>0</v>
      </c>
      <c r="AM34" s="5">
        <f t="shared" si="56"/>
        <v>23507.4</v>
      </c>
      <c r="AN34" s="5">
        <f t="shared" si="57"/>
        <v>0</v>
      </c>
      <c r="AO34" s="5">
        <f t="shared" si="58"/>
        <v>23507.4</v>
      </c>
      <c r="AP34" s="5">
        <f t="shared" si="59"/>
        <v>-0.40000000000145519</v>
      </c>
      <c r="AQ34" s="5">
        <f t="shared" si="60"/>
        <v>0</v>
      </c>
      <c r="AR34" s="5">
        <f t="shared" si="61"/>
        <v>23507.4</v>
      </c>
      <c r="AS34" s="5">
        <f t="shared" si="62"/>
        <v>-0.40000000000145519</v>
      </c>
      <c r="AU34" s="20">
        <v>52</v>
      </c>
      <c r="AV34" s="5">
        <f t="shared" si="63"/>
        <v>452.05769230769232</v>
      </c>
    </row>
    <row r="35" spans="2:48" ht="15" x14ac:dyDescent="0.2">
      <c r="B35" s="1" t="s">
        <v>37</v>
      </c>
      <c r="C35" s="7">
        <v>37591</v>
      </c>
      <c r="D35" s="5">
        <v>24902</v>
      </c>
      <c r="E35" s="6" t="s">
        <v>15</v>
      </c>
      <c r="F35" s="6">
        <v>10</v>
      </c>
      <c r="G35" s="5">
        <f>208+2490</f>
        <v>2698</v>
      </c>
      <c r="H35" s="5">
        <f t="shared" si="41"/>
        <v>2490.1999999999998</v>
      </c>
      <c r="I35" s="5">
        <f t="shared" si="42"/>
        <v>5188.2</v>
      </c>
      <c r="J35" s="5">
        <f t="shared" si="43"/>
        <v>2490.1999999999998</v>
      </c>
      <c r="K35" s="5">
        <f t="shared" si="44"/>
        <v>7678.4</v>
      </c>
      <c r="L35" s="5">
        <f t="shared" si="45"/>
        <v>2490.1999999999998</v>
      </c>
      <c r="M35" s="5">
        <f t="shared" si="46"/>
        <v>10168.599999999999</v>
      </c>
      <c r="N35" s="5">
        <f t="shared" si="47"/>
        <v>2490.1999999999998</v>
      </c>
      <c r="O35" s="5">
        <f t="shared" si="48"/>
        <v>12658.8</v>
      </c>
      <c r="P35" s="5">
        <f t="shared" si="64"/>
        <v>2490.1999999999998</v>
      </c>
      <c r="Q35" s="5">
        <f>SUM(O35+P35)</f>
        <v>15149</v>
      </c>
      <c r="R35" s="5">
        <f t="shared" si="65"/>
        <v>2490.1999999999998</v>
      </c>
      <c r="S35" s="5">
        <f t="shared" si="66"/>
        <v>17639.2</v>
      </c>
      <c r="T35" s="5">
        <f t="shared" si="67"/>
        <v>2490.1999999999998</v>
      </c>
      <c r="U35" s="5">
        <f t="shared" si="49"/>
        <v>20129.400000000001</v>
      </c>
      <c r="V35" s="5">
        <f t="shared" ref="V35:V43" si="68">T35</f>
        <v>2490.1999999999998</v>
      </c>
      <c r="W35" s="5">
        <f t="shared" si="50"/>
        <v>22619.600000000002</v>
      </c>
      <c r="X35" s="5">
        <f>24902-22620</f>
        <v>2282</v>
      </c>
      <c r="Y35" s="5">
        <f t="shared" si="51"/>
        <v>24901.600000000002</v>
      </c>
      <c r="Z35" s="5">
        <v>0</v>
      </c>
      <c r="AA35" s="5">
        <f t="shared" si="52"/>
        <v>24901.600000000002</v>
      </c>
      <c r="AB35" s="5">
        <f t="shared" si="19"/>
        <v>0</v>
      </c>
      <c r="AC35" s="5">
        <f t="shared" si="20"/>
        <v>24901.600000000002</v>
      </c>
      <c r="AD35" s="5">
        <f t="shared" si="21"/>
        <v>0</v>
      </c>
      <c r="AE35" s="5">
        <f t="shared" si="22"/>
        <v>24901.600000000002</v>
      </c>
      <c r="AF35" s="5">
        <f>AD35</f>
        <v>0</v>
      </c>
      <c r="AG35" s="5">
        <f t="shared" si="53"/>
        <v>24901.600000000002</v>
      </c>
      <c r="AH35" s="5">
        <f>AF35</f>
        <v>0</v>
      </c>
      <c r="AI35" s="5">
        <f t="shared" si="54"/>
        <v>24901.600000000002</v>
      </c>
      <c r="AJ35" s="5">
        <f>AH35</f>
        <v>0</v>
      </c>
      <c r="AK35" s="5">
        <f t="shared" si="55"/>
        <v>24901.600000000002</v>
      </c>
      <c r="AL35" s="5">
        <f>AJ35</f>
        <v>0</v>
      </c>
      <c r="AM35" s="5">
        <f t="shared" si="56"/>
        <v>24901.600000000002</v>
      </c>
      <c r="AN35" s="5">
        <f t="shared" si="57"/>
        <v>0</v>
      </c>
      <c r="AO35" s="5">
        <f t="shared" si="58"/>
        <v>24901.600000000002</v>
      </c>
      <c r="AP35" s="5">
        <f t="shared" si="59"/>
        <v>0.39999999999781721</v>
      </c>
      <c r="AQ35" s="5">
        <f t="shared" si="60"/>
        <v>0</v>
      </c>
      <c r="AR35" s="5">
        <f t="shared" si="61"/>
        <v>24901.600000000002</v>
      </c>
      <c r="AS35" s="5">
        <f t="shared" si="62"/>
        <v>0.39999999999781721</v>
      </c>
      <c r="AU35" s="20">
        <v>52</v>
      </c>
      <c r="AV35" s="5">
        <f t="shared" si="63"/>
        <v>478.88461538461536</v>
      </c>
    </row>
    <row r="36" spans="2:48" ht="15" x14ac:dyDescent="0.2">
      <c r="B36" s="1" t="s">
        <v>37</v>
      </c>
      <c r="C36" s="7">
        <v>37956</v>
      </c>
      <c r="D36" s="5">
        <v>112443</v>
      </c>
      <c r="E36" s="6" t="s">
        <v>15</v>
      </c>
      <c r="F36" s="6">
        <v>10</v>
      </c>
      <c r="G36" s="5">
        <v>937</v>
      </c>
      <c r="H36" s="5">
        <f t="shared" si="41"/>
        <v>11244.3</v>
      </c>
      <c r="I36" s="5">
        <f t="shared" si="42"/>
        <v>12181.3</v>
      </c>
      <c r="J36" s="5">
        <f t="shared" si="43"/>
        <v>11244.3</v>
      </c>
      <c r="K36" s="5">
        <f t="shared" si="44"/>
        <v>23425.599999999999</v>
      </c>
      <c r="L36" s="5">
        <f t="shared" si="45"/>
        <v>11244.3</v>
      </c>
      <c r="M36" s="5">
        <f t="shared" si="46"/>
        <v>34669.899999999994</v>
      </c>
      <c r="N36" s="5">
        <f t="shared" si="47"/>
        <v>11244.3</v>
      </c>
      <c r="O36" s="5">
        <f t="shared" si="48"/>
        <v>45914.2</v>
      </c>
      <c r="P36" s="5">
        <f t="shared" si="64"/>
        <v>11244.3</v>
      </c>
      <c r="Q36" s="5">
        <f>SUM(O36+P36)+3386</f>
        <v>60544.5</v>
      </c>
      <c r="R36" s="5">
        <f t="shared" si="65"/>
        <v>11244.3</v>
      </c>
      <c r="S36" s="5">
        <f t="shared" si="66"/>
        <v>71788.800000000003</v>
      </c>
      <c r="T36" s="5">
        <f t="shared" si="67"/>
        <v>11244.3</v>
      </c>
      <c r="U36" s="5">
        <f t="shared" si="49"/>
        <v>83033.100000000006</v>
      </c>
      <c r="V36" s="5">
        <f t="shared" si="68"/>
        <v>11244.3</v>
      </c>
      <c r="W36" s="5">
        <f t="shared" si="50"/>
        <v>94277.400000000009</v>
      </c>
      <c r="X36" s="5">
        <f>11244+3924</f>
        <v>15168</v>
      </c>
      <c r="Y36" s="5">
        <f t="shared" si="51"/>
        <v>109445.40000000001</v>
      </c>
      <c r="Z36" s="5">
        <f>112443-109445</f>
        <v>2998</v>
      </c>
      <c r="AA36" s="5">
        <f t="shared" si="52"/>
        <v>112443.40000000001</v>
      </c>
      <c r="AB36" s="5">
        <v>0</v>
      </c>
      <c r="AC36" s="5">
        <f t="shared" si="20"/>
        <v>112443.40000000001</v>
      </c>
      <c r="AD36" s="5">
        <v>0</v>
      </c>
      <c r="AE36" s="5">
        <f t="shared" si="22"/>
        <v>112443.40000000001</v>
      </c>
      <c r="AF36" s="5">
        <v>0</v>
      </c>
      <c r="AG36" s="5">
        <f t="shared" si="53"/>
        <v>112443.40000000001</v>
      </c>
      <c r="AH36" s="5">
        <v>0</v>
      </c>
      <c r="AI36" s="5">
        <f t="shared" si="54"/>
        <v>112443.40000000001</v>
      </c>
      <c r="AJ36" s="5">
        <v>0</v>
      </c>
      <c r="AK36" s="5">
        <f t="shared" si="55"/>
        <v>112443.40000000001</v>
      </c>
      <c r="AL36" s="5">
        <v>0</v>
      </c>
      <c r="AM36" s="5">
        <f t="shared" si="56"/>
        <v>112443.40000000001</v>
      </c>
      <c r="AN36" s="5">
        <f t="shared" si="57"/>
        <v>0</v>
      </c>
      <c r="AO36" s="5">
        <f t="shared" si="58"/>
        <v>112443.40000000001</v>
      </c>
      <c r="AP36" s="5">
        <f t="shared" si="59"/>
        <v>-0.40000000000873115</v>
      </c>
      <c r="AQ36" s="5">
        <f t="shared" si="60"/>
        <v>0</v>
      </c>
      <c r="AR36" s="5">
        <f t="shared" si="61"/>
        <v>112443.40000000001</v>
      </c>
      <c r="AS36" s="5">
        <f t="shared" si="62"/>
        <v>-0.40000000000873115</v>
      </c>
      <c r="AU36" s="20">
        <v>52</v>
      </c>
      <c r="AV36" s="5">
        <f t="shared" si="63"/>
        <v>2162.3653846153848</v>
      </c>
    </row>
    <row r="37" spans="2:48" ht="15" x14ac:dyDescent="0.2">
      <c r="B37" s="1" t="s">
        <v>37</v>
      </c>
      <c r="C37" s="7">
        <v>38322</v>
      </c>
      <c r="D37" s="5">
        <v>7719</v>
      </c>
      <c r="E37" s="6" t="s">
        <v>15</v>
      </c>
      <c r="F37" s="6">
        <v>10</v>
      </c>
      <c r="G37" s="5"/>
      <c r="H37" s="5">
        <f>SUM(D37/F37/2)</f>
        <v>385.95</v>
      </c>
      <c r="I37" s="5">
        <f t="shared" si="42"/>
        <v>385.95</v>
      </c>
      <c r="J37" s="5">
        <f t="shared" si="43"/>
        <v>771.9</v>
      </c>
      <c r="K37" s="5">
        <f t="shared" si="44"/>
        <v>1157.8499999999999</v>
      </c>
      <c r="L37" s="5">
        <f t="shared" si="45"/>
        <v>771.9</v>
      </c>
      <c r="M37" s="5">
        <f t="shared" si="46"/>
        <v>1929.75</v>
      </c>
      <c r="N37" s="5">
        <f t="shared" si="47"/>
        <v>771.9</v>
      </c>
      <c r="O37" s="5">
        <f t="shared" si="48"/>
        <v>2701.65</v>
      </c>
      <c r="P37" s="5">
        <f t="shared" si="64"/>
        <v>771.9</v>
      </c>
      <c r="Q37" s="5">
        <v>3474</v>
      </c>
      <c r="R37" s="5">
        <f t="shared" si="65"/>
        <v>771.9</v>
      </c>
      <c r="S37" s="5">
        <f t="shared" si="66"/>
        <v>4245.8999999999996</v>
      </c>
      <c r="T37" s="5">
        <f t="shared" si="67"/>
        <v>771.9</v>
      </c>
      <c r="U37" s="5">
        <f t="shared" si="49"/>
        <v>5017.7999999999993</v>
      </c>
      <c r="V37" s="5">
        <f t="shared" si="68"/>
        <v>771.9</v>
      </c>
      <c r="W37" s="5">
        <f t="shared" si="50"/>
        <v>5789.6999999999989</v>
      </c>
      <c r="X37" s="5">
        <f t="shared" ref="X37:X43" si="69">V37</f>
        <v>771.9</v>
      </c>
      <c r="Y37" s="5">
        <f t="shared" si="51"/>
        <v>6561.5999999999985</v>
      </c>
      <c r="Z37" s="5">
        <f t="shared" ref="Z37:Z43" si="70">X37</f>
        <v>771.9</v>
      </c>
      <c r="AA37" s="5">
        <f t="shared" si="52"/>
        <v>7333.4999999999982</v>
      </c>
      <c r="AB37" s="5">
        <f>7719-7334</f>
        <v>385</v>
      </c>
      <c r="AC37" s="5">
        <f t="shared" si="20"/>
        <v>7718.4999999999982</v>
      </c>
      <c r="AD37" s="5">
        <v>0</v>
      </c>
      <c r="AE37" s="5">
        <f t="shared" si="22"/>
        <v>7718.4999999999982</v>
      </c>
      <c r="AF37" s="5">
        <v>0</v>
      </c>
      <c r="AG37" s="5">
        <f t="shared" si="53"/>
        <v>7718.4999999999982</v>
      </c>
      <c r="AH37" s="5">
        <v>0</v>
      </c>
      <c r="AI37" s="5">
        <f t="shared" si="54"/>
        <v>7718.4999999999982</v>
      </c>
      <c r="AJ37" s="5">
        <v>0</v>
      </c>
      <c r="AK37" s="5">
        <f t="shared" si="55"/>
        <v>7718.4999999999982</v>
      </c>
      <c r="AL37" s="5">
        <v>0</v>
      </c>
      <c r="AM37" s="5">
        <f t="shared" si="56"/>
        <v>7718.4999999999982</v>
      </c>
      <c r="AN37" s="5">
        <f t="shared" si="57"/>
        <v>0</v>
      </c>
      <c r="AO37" s="5">
        <f t="shared" si="58"/>
        <v>7718.4999999999982</v>
      </c>
      <c r="AP37" s="5">
        <f t="shared" si="59"/>
        <v>0.50000000000181899</v>
      </c>
      <c r="AQ37" s="5">
        <f t="shared" si="60"/>
        <v>0</v>
      </c>
      <c r="AR37" s="5">
        <f t="shared" si="61"/>
        <v>7718.4999999999982</v>
      </c>
      <c r="AS37" s="5">
        <f t="shared" si="62"/>
        <v>0.50000000000181899</v>
      </c>
      <c r="AU37" s="20">
        <v>52</v>
      </c>
      <c r="AV37" s="5">
        <f t="shared" si="63"/>
        <v>148.44230769230768</v>
      </c>
    </row>
    <row r="38" spans="2:48" ht="15" x14ac:dyDescent="0.2">
      <c r="B38" s="1" t="s">
        <v>22</v>
      </c>
      <c r="C38" s="7">
        <v>38533</v>
      </c>
      <c r="D38" s="5">
        <v>12900</v>
      </c>
      <c r="E38" s="6" t="s">
        <v>15</v>
      </c>
      <c r="F38" s="6">
        <v>10</v>
      </c>
      <c r="G38" s="5"/>
      <c r="H38" s="5"/>
      <c r="I38" s="5"/>
      <c r="J38" s="5">
        <v>1017</v>
      </c>
      <c r="K38" s="5">
        <v>1017</v>
      </c>
      <c r="L38" s="5">
        <f t="shared" si="45"/>
        <v>1290</v>
      </c>
      <c r="M38" s="5">
        <f t="shared" si="46"/>
        <v>2307</v>
      </c>
      <c r="N38" s="5">
        <f t="shared" si="47"/>
        <v>1290</v>
      </c>
      <c r="O38" s="5">
        <f t="shared" si="48"/>
        <v>3597</v>
      </c>
      <c r="P38" s="5">
        <f t="shared" si="64"/>
        <v>1290</v>
      </c>
      <c r="Q38" s="5">
        <f>SUM(O38+P38)</f>
        <v>4887</v>
      </c>
      <c r="R38" s="5">
        <f t="shared" si="65"/>
        <v>1290</v>
      </c>
      <c r="S38" s="5">
        <f t="shared" si="66"/>
        <v>6177</v>
      </c>
      <c r="T38" s="5">
        <f t="shared" si="67"/>
        <v>1290</v>
      </c>
      <c r="U38" s="5">
        <f t="shared" si="49"/>
        <v>7467</v>
      </c>
      <c r="V38" s="5">
        <f t="shared" si="68"/>
        <v>1290</v>
      </c>
      <c r="W38" s="5">
        <f t="shared" si="50"/>
        <v>8757</v>
      </c>
      <c r="X38" s="5">
        <f t="shared" si="69"/>
        <v>1290</v>
      </c>
      <c r="Y38" s="5">
        <f t="shared" si="51"/>
        <v>10047</v>
      </c>
      <c r="Z38" s="5">
        <f t="shared" si="70"/>
        <v>1290</v>
      </c>
      <c r="AA38" s="5">
        <f t="shared" si="52"/>
        <v>11337</v>
      </c>
      <c r="AB38" s="5">
        <f t="shared" ref="AB38:AB48" si="71">Z38</f>
        <v>1290</v>
      </c>
      <c r="AC38" s="5">
        <f t="shared" si="20"/>
        <v>12627</v>
      </c>
      <c r="AD38" s="5">
        <f>12900-12627</f>
        <v>273</v>
      </c>
      <c r="AE38" s="5">
        <f t="shared" si="22"/>
        <v>12900</v>
      </c>
      <c r="AF38" s="5"/>
      <c r="AG38" s="5">
        <f t="shared" si="53"/>
        <v>12900</v>
      </c>
      <c r="AH38" s="5">
        <v>0</v>
      </c>
      <c r="AI38" s="5">
        <f t="shared" si="54"/>
        <v>12900</v>
      </c>
      <c r="AJ38" s="5">
        <v>0</v>
      </c>
      <c r="AK38" s="5">
        <f t="shared" si="55"/>
        <v>12900</v>
      </c>
      <c r="AL38" s="5">
        <v>0</v>
      </c>
      <c r="AM38" s="5">
        <f t="shared" si="56"/>
        <v>12900</v>
      </c>
      <c r="AN38" s="5">
        <f t="shared" si="57"/>
        <v>0</v>
      </c>
      <c r="AO38" s="5">
        <f t="shared" si="58"/>
        <v>12900</v>
      </c>
      <c r="AP38" s="5">
        <f t="shared" si="59"/>
        <v>0</v>
      </c>
      <c r="AQ38" s="5">
        <f t="shared" si="60"/>
        <v>0</v>
      </c>
      <c r="AR38" s="5">
        <f t="shared" si="61"/>
        <v>12900</v>
      </c>
      <c r="AS38" s="5">
        <f t="shared" si="62"/>
        <v>0</v>
      </c>
      <c r="AU38" s="20">
        <v>52</v>
      </c>
      <c r="AV38" s="5">
        <f t="shared" si="63"/>
        <v>248.07692307692307</v>
      </c>
    </row>
    <row r="39" spans="2:48" ht="15" x14ac:dyDescent="0.2">
      <c r="B39" s="1" t="s">
        <v>38</v>
      </c>
      <c r="C39" s="7">
        <v>38898</v>
      </c>
      <c r="D39" s="5">
        <v>12191</v>
      </c>
      <c r="E39" s="6" t="s">
        <v>15</v>
      </c>
      <c r="F39" s="6">
        <v>10</v>
      </c>
      <c r="G39" s="5"/>
      <c r="H39" s="5"/>
      <c r="I39" s="5"/>
      <c r="J39" s="5"/>
      <c r="K39" s="5"/>
      <c r="L39" s="5">
        <f>SUM(D39/F39)/2</f>
        <v>609.54999999999995</v>
      </c>
      <c r="M39" s="5">
        <f t="shared" si="46"/>
        <v>609.54999999999995</v>
      </c>
      <c r="N39" s="5">
        <f t="shared" si="47"/>
        <v>1219.0999999999999</v>
      </c>
      <c r="O39" s="5">
        <f t="shared" si="48"/>
        <v>1828.6499999999999</v>
      </c>
      <c r="P39" s="5">
        <f t="shared" si="64"/>
        <v>1219.0999999999999</v>
      </c>
      <c r="Q39" s="5">
        <f>SUM(O39+P39)</f>
        <v>3047.75</v>
      </c>
      <c r="R39" s="5">
        <f t="shared" si="65"/>
        <v>1219.0999999999999</v>
      </c>
      <c r="S39" s="5">
        <f t="shared" si="66"/>
        <v>4266.8500000000004</v>
      </c>
      <c r="T39" s="5">
        <f t="shared" si="67"/>
        <v>1219.0999999999999</v>
      </c>
      <c r="U39" s="5">
        <f t="shared" si="49"/>
        <v>5485.9500000000007</v>
      </c>
      <c r="V39" s="5">
        <f t="shared" si="68"/>
        <v>1219.0999999999999</v>
      </c>
      <c r="W39" s="5">
        <f t="shared" si="50"/>
        <v>6705.0500000000011</v>
      </c>
      <c r="X39" s="5">
        <f t="shared" si="69"/>
        <v>1219.0999999999999</v>
      </c>
      <c r="Y39" s="5">
        <f t="shared" si="51"/>
        <v>7924.1500000000015</v>
      </c>
      <c r="Z39" s="5">
        <f t="shared" si="70"/>
        <v>1219.0999999999999</v>
      </c>
      <c r="AA39" s="5">
        <f t="shared" si="52"/>
        <v>9143.2500000000018</v>
      </c>
      <c r="AB39" s="5">
        <f t="shared" si="71"/>
        <v>1219.0999999999999</v>
      </c>
      <c r="AC39" s="5">
        <f t="shared" si="20"/>
        <v>10362.350000000002</v>
      </c>
      <c r="AD39" s="5">
        <f t="shared" ref="AD39:AD48" si="72">AB39</f>
        <v>1219.0999999999999</v>
      </c>
      <c r="AE39" s="5">
        <f t="shared" si="22"/>
        <v>11581.450000000003</v>
      </c>
      <c r="AF39" s="5">
        <f>12191-11581</f>
        <v>610</v>
      </c>
      <c r="AG39" s="5">
        <f t="shared" si="53"/>
        <v>12191.450000000003</v>
      </c>
      <c r="AH39" s="5">
        <v>0</v>
      </c>
      <c r="AI39" s="5">
        <f t="shared" si="54"/>
        <v>12191.450000000003</v>
      </c>
      <c r="AJ39" s="5">
        <v>0</v>
      </c>
      <c r="AK39" s="5">
        <f t="shared" si="55"/>
        <v>12191.450000000003</v>
      </c>
      <c r="AL39" s="5">
        <v>0</v>
      </c>
      <c r="AM39" s="5">
        <f t="shared" si="56"/>
        <v>12191.450000000003</v>
      </c>
      <c r="AN39" s="5">
        <f t="shared" si="57"/>
        <v>0</v>
      </c>
      <c r="AO39" s="5">
        <f t="shared" si="58"/>
        <v>12191.450000000003</v>
      </c>
      <c r="AP39" s="5">
        <f t="shared" si="59"/>
        <v>-0.45000000000254659</v>
      </c>
      <c r="AQ39" s="5">
        <f t="shared" si="60"/>
        <v>0</v>
      </c>
      <c r="AR39" s="5">
        <f t="shared" si="61"/>
        <v>12191.450000000003</v>
      </c>
      <c r="AS39" s="5">
        <f t="shared" si="62"/>
        <v>-0.45000000000254659</v>
      </c>
      <c r="AU39" s="20">
        <v>52</v>
      </c>
      <c r="AV39" s="5">
        <f t="shared" si="63"/>
        <v>234.44230769230768</v>
      </c>
    </row>
    <row r="40" spans="2:48" ht="15" x14ac:dyDescent="0.2">
      <c r="B40" s="1" t="s">
        <v>39</v>
      </c>
      <c r="C40" s="7">
        <v>38898</v>
      </c>
      <c r="D40" s="5">
        <v>250000</v>
      </c>
      <c r="E40" s="6" t="s">
        <v>15</v>
      </c>
      <c r="F40" s="6">
        <v>10</v>
      </c>
      <c r="G40" s="5"/>
      <c r="H40" s="5"/>
      <c r="I40" s="5"/>
      <c r="J40" s="5"/>
      <c r="K40" s="5"/>
      <c r="L40" s="5">
        <v>11891</v>
      </c>
      <c r="M40" s="5">
        <f t="shared" si="46"/>
        <v>11891</v>
      </c>
      <c r="N40" s="5">
        <f t="shared" si="47"/>
        <v>25000</v>
      </c>
      <c r="O40" s="5">
        <f t="shared" si="48"/>
        <v>36891</v>
      </c>
      <c r="P40" s="5">
        <f t="shared" si="64"/>
        <v>25000</v>
      </c>
      <c r="Q40" s="5">
        <f>SUM(O40+P40)</f>
        <v>61891</v>
      </c>
      <c r="R40" s="5">
        <f t="shared" si="65"/>
        <v>25000</v>
      </c>
      <c r="S40" s="5">
        <f t="shared" si="66"/>
        <v>86891</v>
      </c>
      <c r="T40" s="5">
        <f t="shared" si="67"/>
        <v>25000</v>
      </c>
      <c r="U40" s="5">
        <f t="shared" si="49"/>
        <v>111891</v>
      </c>
      <c r="V40" s="5">
        <f t="shared" si="68"/>
        <v>25000</v>
      </c>
      <c r="W40" s="5">
        <f t="shared" si="50"/>
        <v>136891</v>
      </c>
      <c r="X40" s="5">
        <f t="shared" si="69"/>
        <v>25000</v>
      </c>
      <c r="Y40" s="5">
        <f t="shared" si="51"/>
        <v>161891</v>
      </c>
      <c r="Z40" s="5">
        <f t="shared" si="70"/>
        <v>25000</v>
      </c>
      <c r="AA40" s="5">
        <f t="shared" si="52"/>
        <v>186891</v>
      </c>
      <c r="AB40" s="5">
        <f t="shared" si="71"/>
        <v>25000</v>
      </c>
      <c r="AC40" s="5">
        <f t="shared" si="20"/>
        <v>211891</v>
      </c>
      <c r="AD40" s="5">
        <f t="shared" si="72"/>
        <v>25000</v>
      </c>
      <c r="AE40" s="5">
        <f t="shared" si="22"/>
        <v>236891</v>
      </c>
      <c r="AF40" s="5">
        <f>250000-236891</f>
        <v>13109</v>
      </c>
      <c r="AG40" s="5">
        <f t="shared" si="53"/>
        <v>250000</v>
      </c>
      <c r="AH40" s="5">
        <v>0</v>
      </c>
      <c r="AI40" s="5">
        <f t="shared" si="54"/>
        <v>250000</v>
      </c>
      <c r="AJ40" s="5">
        <v>0</v>
      </c>
      <c r="AK40" s="5">
        <f t="shared" si="55"/>
        <v>250000</v>
      </c>
      <c r="AL40" s="5">
        <v>0</v>
      </c>
      <c r="AM40" s="5">
        <f t="shared" si="56"/>
        <v>250000</v>
      </c>
      <c r="AN40" s="5">
        <f t="shared" si="57"/>
        <v>0</v>
      </c>
      <c r="AO40" s="5">
        <f t="shared" si="58"/>
        <v>250000</v>
      </c>
      <c r="AP40" s="5">
        <f t="shared" si="59"/>
        <v>0</v>
      </c>
      <c r="AQ40" s="5">
        <f t="shared" si="60"/>
        <v>0</v>
      </c>
      <c r="AR40" s="5">
        <f t="shared" si="61"/>
        <v>250000</v>
      </c>
      <c r="AS40" s="5">
        <f t="shared" si="62"/>
        <v>0</v>
      </c>
      <c r="AU40" s="20">
        <v>52</v>
      </c>
      <c r="AV40" s="5">
        <f t="shared" si="63"/>
        <v>4807.6923076923076</v>
      </c>
    </row>
    <row r="41" spans="2:48" ht="15" x14ac:dyDescent="0.2">
      <c r="B41" s="1" t="s">
        <v>40</v>
      </c>
      <c r="C41" s="7">
        <v>39263</v>
      </c>
      <c r="D41" s="5">
        <v>4844</v>
      </c>
      <c r="E41" s="6" t="s">
        <v>15</v>
      </c>
      <c r="F41" s="6">
        <v>10</v>
      </c>
      <c r="G41" s="5"/>
      <c r="H41" s="5"/>
      <c r="I41" s="5"/>
      <c r="J41" s="5"/>
      <c r="K41" s="5"/>
      <c r="L41" s="5"/>
      <c r="M41" s="5"/>
      <c r="N41" s="5">
        <f>SUM(D41/F41)/2</f>
        <v>242.2</v>
      </c>
      <c r="O41" s="5">
        <f t="shared" si="48"/>
        <v>242.2</v>
      </c>
      <c r="P41" s="5">
        <f t="shared" si="64"/>
        <v>484.4</v>
      </c>
      <c r="Q41" s="5">
        <v>726</v>
      </c>
      <c r="R41" s="5">
        <f t="shared" si="65"/>
        <v>484.4</v>
      </c>
      <c r="S41" s="5">
        <f t="shared" si="66"/>
        <v>1210.4000000000001</v>
      </c>
      <c r="T41" s="5">
        <f t="shared" si="67"/>
        <v>484.4</v>
      </c>
      <c r="U41" s="5">
        <f t="shared" si="49"/>
        <v>1694.8000000000002</v>
      </c>
      <c r="V41" s="5">
        <f t="shared" si="68"/>
        <v>484.4</v>
      </c>
      <c r="W41" s="5">
        <f t="shared" si="50"/>
        <v>2179.2000000000003</v>
      </c>
      <c r="X41" s="5">
        <f t="shared" si="69"/>
        <v>484.4</v>
      </c>
      <c r="Y41" s="5">
        <f t="shared" si="51"/>
        <v>2663.6000000000004</v>
      </c>
      <c r="Z41" s="5">
        <f t="shared" si="70"/>
        <v>484.4</v>
      </c>
      <c r="AA41" s="5">
        <f t="shared" si="52"/>
        <v>3148.0000000000005</v>
      </c>
      <c r="AB41" s="5">
        <f t="shared" si="71"/>
        <v>484.4</v>
      </c>
      <c r="AC41" s="5">
        <f t="shared" si="20"/>
        <v>3632.4000000000005</v>
      </c>
      <c r="AD41" s="5">
        <f t="shared" si="72"/>
        <v>484.4</v>
      </c>
      <c r="AE41" s="5">
        <f t="shared" si="22"/>
        <v>4116.8</v>
      </c>
      <c r="AF41" s="5">
        <f t="shared" ref="AF41:AF48" si="73">AD41</f>
        <v>484.4</v>
      </c>
      <c r="AG41" s="5">
        <f t="shared" si="53"/>
        <v>4601.2</v>
      </c>
      <c r="AH41" s="5">
        <f>4844-4601</f>
        <v>243</v>
      </c>
      <c r="AI41" s="5">
        <f t="shared" si="54"/>
        <v>4844.2</v>
      </c>
      <c r="AJ41" s="5">
        <v>0</v>
      </c>
      <c r="AK41" s="5">
        <f t="shared" si="55"/>
        <v>4844.2</v>
      </c>
      <c r="AL41" s="5">
        <v>0</v>
      </c>
      <c r="AM41" s="5">
        <f t="shared" si="56"/>
        <v>4844.2</v>
      </c>
      <c r="AN41" s="5">
        <f t="shared" si="57"/>
        <v>0</v>
      </c>
      <c r="AO41" s="5">
        <f t="shared" si="58"/>
        <v>4844.2</v>
      </c>
      <c r="AP41" s="5">
        <f t="shared" si="59"/>
        <v>-0.1999999999998181</v>
      </c>
      <c r="AQ41" s="5">
        <f t="shared" si="60"/>
        <v>0</v>
      </c>
      <c r="AR41" s="5">
        <f t="shared" si="61"/>
        <v>4844.2</v>
      </c>
      <c r="AS41" s="5">
        <f t="shared" si="62"/>
        <v>-0.1999999999998181</v>
      </c>
      <c r="AU41" s="20">
        <v>52</v>
      </c>
      <c r="AV41" s="5">
        <f t="shared" si="63"/>
        <v>93.15384615384616</v>
      </c>
    </row>
    <row r="42" spans="2:48" ht="15" x14ac:dyDescent="0.2">
      <c r="B42" s="1" t="s">
        <v>41</v>
      </c>
      <c r="C42" s="7">
        <v>39629</v>
      </c>
      <c r="D42" s="5">
        <v>9514</v>
      </c>
      <c r="E42" s="6" t="s">
        <v>15</v>
      </c>
      <c r="F42" s="6">
        <v>10</v>
      </c>
      <c r="G42" s="5"/>
      <c r="H42" s="5"/>
      <c r="I42" s="5"/>
      <c r="J42" s="5"/>
      <c r="K42" s="5"/>
      <c r="L42" s="5"/>
      <c r="M42" s="5"/>
      <c r="N42" s="5"/>
      <c r="O42" s="5"/>
      <c r="P42" s="5">
        <v>476</v>
      </c>
      <c r="Q42" s="5">
        <v>476</v>
      </c>
      <c r="R42" s="5">
        <f>SUM(D42/10)</f>
        <v>951.4</v>
      </c>
      <c r="S42" s="5">
        <f t="shared" si="66"/>
        <v>1427.4</v>
      </c>
      <c r="T42" s="5">
        <f t="shared" si="67"/>
        <v>951.4</v>
      </c>
      <c r="U42" s="5">
        <f t="shared" si="49"/>
        <v>2378.8000000000002</v>
      </c>
      <c r="V42" s="5">
        <f t="shared" si="68"/>
        <v>951.4</v>
      </c>
      <c r="W42" s="5">
        <f t="shared" si="50"/>
        <v>3330.2000000000003</v>
      </c>
      <c r="X42" s="5">
        <f t="shared" si="69"/>
        <v>951.4</v>
      </c>
      <c r="Y42" s="5">
        <f t="shared" si="51"/>
        <v>4281.6000000000004</v>
      </c>
      <c r="Z42" s="5">
        <f t="shared" si="70"/>
        <v>951.4</v>
      </c>
      <c r="AA42" s="5">
        <f t="shared" si="52"/>
        <v>5233</v>
      </c>
      <c r="AB42" s="5">
        <f t="shared" si="71"/>
        <v>951.4</v>
      </c>
      <c r="AC42" s="5">
        <f t="shared" si="20"/>
        <v>6184.4</v>
      </c>
      <c r="AD42" s="5">
        <f t="shared" si="72"/>
        <v>951.4</v>
      </c>
      <c r="AE42" s="5">
        <f t="shared" si="22"/>
        <v>7135.7999999999993</v>
      </c>
      <c r="AF42" s="5">
        <f t="shared" si="73"/>
        <v>951.4</v>
      </c>
      <c r="AG42" s="5">
        <f t="shared" si="53"/>
        <v>8087.1999999999989</v>
      </c>
      <c r="AH42" s="5">
        <f t="shared" ref="AH42:AH48" si="74">AF42</f>
        <v>951.4</v>
      </c>
      <c r="AI42" s="5">
        <f t="shared" si="54"/>
        <v>9038.5999999999985</v>
      </c>
      <c r="AJ42" s="5">
        <f>9514-9039</f>
        <v>475</v>
      </c>
      <c r="AK42" s="5">
        <f t="shared" si="55"/>
        <v>9513.5999999999985</v>
      </c>
      <c r="AL42" s="5">
        <v>0</v>
      </c>
      <c r="AM42" s="5">
        <f t="shared" si="56"/>
        <v>9513.5999999999985</v>
      </c>
      <c r="AN42" s="5">
        <f t="shared" si="57"/>
        <v>0</v>
      </c>
      <c r="AO42" s="5">
        <f t="shared" si="58"/>
        <v>9513.5999999999985</v>
      </c>
      <c r="AP42" s="5">
        <f t="shared" si="59"/>
        <v>0.40000000000145519</v>
      </c>
      <c r="AQ42" s="5">
        <f t="shared" si="60"/>
        <v>0</v>
      </c>
      <c r="AR42" s="5">
        <f t="shared" si="61"/>
        <v>9513.5999999999985</v>
      </c>
      <c r="AS42" s="5">
        <f t="shared" si="62"/>
        <v>0.40000000000145519</v>
      </c>
      <c r="AU42" s="20">
        <v>52</v>
      </c>
      <c r="AV42" s="5">
        <f t="shared" si="63"/>
        <v>182.96153846153845</v>
      </c>
    </row>
    <row r="43" spans="2:48" ht="15" x14ac:dyDescent="0.2">
      <c r="B43" s="1" t="s">
        <v>42</v>
      </c>
      <c r="C43" s="7">
        <v>39994</v>
      </c>
      <c r="D43" s="5">
        <v>3438</v>
      </c>
      <c r="E43" s="6" t="s">
        <v>15</v>
      </c>
      <c r="F43" s="6">
        <v>10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f>SUM(D43/10/2)</f>
        <v>171.9</v>
      </c>
      <c r="S43" s="5">
        <f t="shared" si="66"/>
        <v>171.9</v>
      </c>
      <c r="T43" s="5">
        <f>SUM(D43/10)</f>
        <v>343.8</v>
      </c>
      <c r="U43" s="5">
        <f t="shared" si="49"/>
        <v>515.70000000000005</v>
      </c>
      <c r="V43" s="5">
        <f t="shared" si="68"/>
        <v>343.8</v>
      </c>
      <c r="W43" s="5">
        <f t="shared" si="50"/>
        <v>859.5</v>
      </c>
      <c r="X43" s="5">
        <f t="shared" si="69"/>
        <v>343.8</v>
      </c>
      <c r="Y43" s="5">
        <f t="shared" si="51"/>
        <v>1203.3</v>
      </c>
      <c r="Z43" s="5">
        <f t="shared" si="70"/>
        <v>343.8</v>
      </c>
      <c r="AA43" s="5">
        <f t="shared" si="52"/>
        <v>1547.1</v>
      </c>
      <c r="AB43" s="5">
        <f t="shared" si="71"/>
        <v>343.8</v>
      </c>
      <c r="AC43" s="5">
        <f t="shared" si="20"/>
        <v>1890.8999999999999</v>
      </c>
      <c r="AD43" s="5">
        <f t="shared" si="72"/>
        <v>343.8</v>
      </c>
      <c r="AE43" s="5">
        <f t="shared" si="22"/>
        <v>2234.6999999999998</v>
      </c>
      <c r="AF43" s="5">
        <f t="shared" si="73"/>
        <v>343.8</v>
      </c>
      <c r="AG43" s="5">
        <f t="shared" si="53"/>
        <v>2578.5</v>
      </c>
      <c r="AH43" s="5">
        <f t="shared" si="74"/>
        <v>343.8</v>
      </c>
      <c r="AI43" s="5">
        <f t="shared" si="54"/>
        <v>2922.3</v>
      </c>
      <c r="AJ43" s="5">
        <f t="shared" ref="AJ43:AJ48" si="75">AH43</f>
        <v>343.8</v>
      </c>
      <c r="AK43" s="5">
        <f t="shared" si="55"/>
        <v>3266.1000000000004</v>
      </c>
      <c r="AL43" s="5">
        <f>3438-3266</f>
        <v>172</v>
      </c>
      <c r="AM43" s="5">
        <f t="shared" si="56"/>
        <v>3438.1000000000004</v>
      </c>
      <c r="AN43" s="5">
        <v>0</v>
      </c>
      <c r="AO43" s="5">
        <f t="shared" si="58"/>
        <v>3438.1000000000004</v>
      </c>
      <c r="AP43" s="5">
        <f t="shared" si="59"/>
        <v>-0.1000000000003638</v>
      </c>
      <c r="AQ43" s="5">
        <f t="shared" si="60"/>
        <v>0</v>
      </c>
      <c r="AR43" s="5">
        <f t="shared" si="61"/>
        <v>3438.1000000000004</v>
      </c>
      <c r="AS43" s="5">
        <f t="shared" si="62"/>
        <v>-0.1000000000003638</v>
      </c>
      <c r="AU43" s="20">
        <v>52</v>
      </c>
      <c r="AV43" s="5">
        <f t="shared" si="63"/>
        <v>66.115384615384613</v>
      </c>
    </row>
    <row r="44" spans="2:48" ht="15" x14ac:dyDescent="0.2">
      <c r="B44" s="1" t="s">
        <v>43</v>
      </c>
      <c r="C44" s="7">
        <v>40359</v>
      </c>
      <c r="D44" s="5">
        <v>16372</v>
      </c>
      <c r="E44" s="6" t="s">
        <v>15</v>
      </c>
      <c r="F44" s="6">
        <v>10</v>
      </c>
      <c r="G44" s="5"/>
      <c r="H44" s="5"/>
      <c r="I44" s="5"/>
      <c r="J44" s="5"/>
      <c r="K44" s="5"/>
      <c r="L44" s="5"/>
      <c r="M44" s="5"/>
      <c r="R44" s="5"/>
      <c r="T44" s="1">
        <v>819</v>
      </c>
      <c r="U44" s="1">
        <v>819</v>
      </c>
      <c r="V44" s="1">
        <f>16372/10</f>
        <v>1637.2</v>
      </c>
      <c r="W44" s="5">
        <f t="shared" si="50"/>
        <v>2456.1999999999998</v>
      </c>
      <c r="X44" s="1">
        <v>1637.2</v>
      </c>
      <c r="Y44" s="5">
        <f t="shared" si="51"/>
        <v>4093.3999999999996</v>
      </c>
      <c r="Z44" s="1">
        <v>1637.2</v>
      </c>
      <c r="AA44" s="5">
        <f t="shared" si="52"/>
        <v>5730.5999999999995</v>
      </c>
      <c r="AB44" s="5">
        <f t="shared" si="71"/>
        <v>1637.2</v>
      </c>
      <c r="AC44" s="5">
        <f t="shared" si="20"/>
        <v>7367.7999999999993</v>
      </c>
      <c r="AD44" s="5">
        <f t="shared" si="72"/>
        <v>1637.2</v>
      </c>
      <c r="AE44" s="5">
        <f t="shared" si="22"/>
        <v>9005</v>
      </c>
      <c r="AF44" s="5">
        <f t="shared" si="73"/>
        <v>1637.2</v>
      </c>
      <c r="AG44" s="5">
        <f t="shared" si="53"/>
        <v>10642.2</v>
      </c>
      <c r="AH44" s="5">
        <f t="shared" si="74"/>
        <v>1637.2</v>
      </c>
      <c r="AI44" s="5">
        <f t="shared" si="54"/>
        <v>12279.400000000001</v>
      </c>
      <c r="AJ44" s="5">
        <f t="shared" si="75"/>
        <v>1637.2</v>
      </c>
      <c r="AK44" s="5">
        <f t="shared" si="55"/>
        <v>13916.600000000002</v>
      </c>
      <c r="AL44" s="5">
        <f>AJ44</f>
        <v>1637.2</v>
      </c>
      <c r="AM44" s="5">
        <f t="shared" si="56"/>
        <v>15553.800000000003</v>
      </c>
      <c r="AN44" s="5">
        <v>818</v>
      </c>
      <c r="AO44" s="5">
        <f>SUM(AM44:AN44)</f>
        <v>16371.800000000003</v>
      </c>
      <c r="AP44" s="5">
        <f>D44-AO44</f>
        <v>0.19999999999708962</v>
      </c>
      <c r="AQ44" s="5">
        <v>0</v>
      </c>
      <c r="AR44" s="5">
        <f t="shared" si="61"/>
        <v>16371.800000000003</v>
      </c>
      <c r="AS44" s="5">
        <f t="shared" si="62"/>
        <v>0.19999999999708962</v>
      </c>
      <c r="AU44" s="20">
        <v>52</v>
      </c>
      <c r="AV44" s="5">
        <f t="shared" si="63"/>
        <v>314.84615384615387</v>
      </c>
    </row>
    <row r="45" spans="2:48" ht="15" x14ac:dyDescent="0.2">
      <c r="B45" s="1" t="s">
        <v>32</v>
      </c>
      <c r="C45" s="10">
        <v>40877</v>
      </c>
      <c r="D45" s="5">
        <v>886544</v>
      </c>
      <c r="E45" s="6" t="s">
        <v>15</v>
      </c>
      <c r="F45" s="6">
        <v>10</v>
      </c>
      <c r="G45" s="5"/>
      <c r="H45" s="5"/>
      <c r="I45" s="5"/>
      <c r="J45" s="5"/>
      <c r="K45" s="5"/>
      <c r="L45" s="5"/>
      <c r="M45" s="5"/>
      <c r="R45" s="5"/>
      <c r="V45" s="1">
        <v>7388</v>
      </c>
      <c r="W45" s="5">
        <f t="shared" si="50"/>
        <v>7388</v>
      </c>
      <c r="X45" s="1">
        <v>88654</v>
      </c>
      <c r="Y45" s="5">
        <f t="shared" si="51"/>
        <v>96042</v>
      </c>
      <c r="Z45" s="1">
        <v>88654</v>
      </c>
      <c r="AA45" s="5">
        <f t="shared" si="52"/>
        <v>184696</v>
      </c>
      <c r="AB45" s="5">
        <f t="shared" si="71"/>
        <v>88654</v>
      </c>
      <c r="AC45" s="5">
        <f t="shared" si="20"/>
        <v>273350</v>
      </c>
      <c r="AD45" s="5">
        <f t="shared" si="72"/>
        <v>88654</v>
      </c>
      <c r="AE45" s="5">
        <f t="shared" si="22"/>
        <v>362004</v>
      </c>
      <c r="AF45" s="5">
        <f t="shared" si="73"/>
        <v>88654</v>
      </c>
      <c r="AG45" s="5">
        <f t="shared" si="53"/>
        <v>450658</v>
      </c>
      <c r="AH45" s="5">
        <f t="shared" si="74"/>
        <v>88654</v>
      </c>
      <c r="AI45" s="5">
        <f t="shared" si="54"/>
        <v>539312</v>
      </c>
      <c r="AJ45" s="5">
        <f t="shared" si="75"/>
        <v>88654</v>
      </c>
      <c r="AK45" s="5">
        <f t="shared" si="55"/>
        <v>627966</v>
      </c>
      <c r="AL45" s="5">
        <f>AJ45</f>
        <v>88654</v>
      </c>
      <c r="AM45" s="5">
        <f t="shared" si="56"/>
        <v>716620</v>
      </c>
      <c r="AN45" s="5">
        <f t="shared" ref="AN45:AN54" si="76">AL45</f>
        <v>88654</v>
      </c>
      <c r="AO45" s="5">
        <f t="shared" si="58"/>
        <v>805274</v>
      </c>
      <c r="AP45" s="5">
        <f t="shared" si="59"/>
        <v>81270</v>
      </c>
      <c r="AQ45" s="5">
        <v>81270</v>
      </c>
      <c r="AR45" s="5">
        <f t="shared" si="61"/>
        <v>886544</v>
      </c>
      <c r="AS45" s="5">
        <f t="shared" si="62"/>
        <v>0</v>
      </c>
      <c r="AU45" s="20">
        <v>52</v>
      </c>
      <c r="AV45" s="5">
        <f t="shared" si="63"/>
        <v>17048.923076923078</v>
      </c>
    </row>
    <row r="46" spans="2:48" ht="15" x14ac:dyDescent="0.2">
      <c r="B46" s="1" t="s">
        <v>33</v>
      </c>
      <c r="C46" s="10" t="s">
        <v>34</v>
      </c>
      <c r="D46" s="5">
        <v>38100</v>
      </c>
      <c r="E46" s="6" t="s">
        <v>15</v>
      </c>
      <c r="F46" s="6">
        <v>10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635</v>
      </c>
      <c r="W46" s="5">
        <f t="shared" si="50"/>
        <v>635</v>
      </c>
      <c r="X46" s="5">
        <v>3810</v>
      </c>
      <c r="Y46" s="5">
        <f t="shared" si="51"/>
        <v>4445</v>
      </c>
      <c r="Z46" s="5">
        <v>3810</v>
      </c>
      <c r="AA46" s="5">
        <f t="shared" si="52"/>
        <v>8255</v>
      </c>
      <c r="AB46" s="5">
        <f t="shared" si="71"/>
        <v>3810</v>
      </c>
      <c r="AC46" s="5">
        <f t="shared" si="20"/>
        <v>12065</v>
      </c>
      <c r="AD46" s="5">
        <f t="shared" si="72"/>
        <v>3810</v>
      </c>
      <c r="AE46" s="5">
        <f t="shared" si="22"/>
        <v>15875</v>
      </c>
      <c r="AF46" s="5">
        <f t="shared" si="73"/>
        <v>3810</v>
      </c>
      <c r="AG46" s="5">
        <f t="shared" si="53"/>
        <v>19685</v>
      </c>
      <c r="AH46" s="5">
        <f t="shared" si="74"/>
        <v>3810</v>
      </c>
      <c r="AI46" s="5">
        <f t="shared" si="54"/>
        <v>23495</v>
      </c>
      <c r="AJ46" s="5">
        <f t="shared" si="75"/>
        <v>3810</v>
      </c>
      <c r="AK46" s="5">
        <f t="shared" si="55"/>
        <v>27305</v>
      </c>
      <c r="AL46" s="5">
        <f>AJ46</f>
        <v>3810</v>
      </c>
      <c r="AM46" s="5">
        <f t="shared" si="56"/>
        <v>31115</v>
      </c>
      <c r="AN46" s="5">
        <f t="shared" si="76"/>
        <v>3810</v>
      </c>
      <c r="AO46" s="5">
        <f t="shared" si="58"/>
        <v>34925</v>
      </c>
      <c r="AP46" s="5">
        <f t="shared" si="59"/>
        <v>3175</v>
      </c>
      <c r="AQ46" s="5">
        <v>3175</v>
      </c>
      <c r="AR46" s="5">
        <f t="shared" si="61"/>
        <v>38100</v>
      </c>
      <c r="AS46" s="5">
        <f t="shared" si="62"/>
        <v>0</v>
      </c>
      <c r="AU46" s="20">
        <v>52</v>
      </c>
      <c r="AV46" s="5">
        <f t="shared" si="63"/>
        <v>732.69230769230774</v>
      </c>
    </row>
    <row r="47" spans="2:48" ht="15" x14ac:dyDescent="0.2">
      <c r="B47" s="1" t="s">
        <v>44</v>
      </c>
      <c r="C47" s="10">
        <v>40724</v>
      </c>
      <c r="D47" s="5">
        <v>2519</v>
      </c>
      <c r="E47" s="6" t="s">
        <v>15</v>
      </c>
      <c r="F47" s="6">
        <v>10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126</v>
      </c>
      <c r="W47" s="5">
        <f t="shared" si="50"/>
        <v>126</v>
      </c>
      <c r="X47" s="5">
        <v>252</v>
      </c>
      <c r="Y47" s="5">
        <f t="shared" si="51"/>
        <v>378</v>
      </c>
      <c r="Z47" s="5">
        <v>252</v>
      </c>
      <c r="AA47" s="5">
        <f t="shared" si="52"/>
        <v>630</v>
      </c>
      <c r="AB47" s="5">
        <f t="shared" si="71"/>
        <v>252</v>
      </c>
      <c r="AC47" s="5">
        <f t="shared" si="20"/>
        <v>882</v>
      </c>
      <c r="AD47" s="5">
        <f t="shared" si="72"/>
        <v>252</v>
      </c>
      <c r="AE47" s="5">
        <f t="shared" si="22"/>
        <v>1134</v>
      </c>
      <c r="AF47" s="5">
        <f t="shared" si="73"/>
        <v>252</v>
      </c>
      <c r="AG47" s="5">
        <f t="shared" si="53"/>
        <v>1386</v>
      </c>
      <c r="AH47" s="5">
        <f t="shared" si="74"/>
        <v>252</v>
      </c>
      <c r="AI47" s="5">
        <f t="shared" si="54"/>
        <v>1638</v>
      </c>
      <c r="AJ47" s="5">
        <f t="shared" si="75"/>
        <v>252</v>
      </c>
      <c r="AK47" s="5">
        <f t="shared" si="55"/>
        <v>1890</v>
      </c>
      <c r="AL47" s="5">
        <f>AJ47</f>
        <v>252</v>
      </c>
      <c r="AM47" s="5">
        <f t="shared" si="56"/>
        <v>2142</v>
      </c>
      <c r="AN47" s="5">
        <f t="shared" si="76"/>
        <v>252</v>
      </c>
      <c r="AO47" s="5">
        <f t="shared" si="58"/>
        <v>2394</v>
      </c>
      <c r="AP47" s="5">
        <f t="shared" si="59"/>
        <v>125</v>
      </c>
      <c r="AQ47" s="5">
        <v>125</v>
      </c>
      <c r="AR47" s="5">
        <f t="shared" si="61"/>
        <v>2519</v>
      </c>
      <c r="AS47" s="5">
        <f t="shared" si="62"/>
        <v>0</v>
      </c>
      <c r="AU47" s="20">
        <v>52</v>
      </c>
      <c r="AV47" s="5">
        <f t="shared" si="63"/>
        <v>48.442307692307693</v>
      </c>
    </row>
    <row r="48" spans="2:48" ht="15" x14ac:dyDescent="0.2">
      <c r="B48" s="1" t="s">
        <v>45</v>
      </c>
      <c r="C48" s="10">
        <v>41090</v>
      </c>
      <c r="D48" s="5">
        <v>3400</v>
      </c>
      <c r="E48" s="6" t="s">
        <v>15</v>
      </c>
      <c r="F48" s="6">
        <v>10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170</v>
      </c>
      <c r="Y48" s="5">
        <f t="shared" si="51"/>
        <v>170</v>
      </c>
      <c r="Z48" s="5">
        <f>3400/10</f>
        <v>340</v>
      </c>
      <c r="AA48" s="5">
        <f t="shared" si="52"/>
        <v>510</v>
      </c>
      <c r="AB48" s="5">
        <f t="shared" si="71"/>
        <v>340</v>
      </c>
      <c r="AC48" s="5">
        <f t="shared" si="20"/>
        <v>850</v>
      </c>
      <c r="AD48" s="5">
        <f t="shared" si="72"/>
        <v>340</v>
      </c>
      <c r="AE48" s="5">
        <f t="shared" si="22"/>
        <v>1190</v>
      </c>
      <c r="AF48" s="5">
        <f t="shared" si="73"/>
        <v>340</v>
      </c>
      <c r="AG48" s="5">
        <f t="shared" si="53"/>
        <v>1530</v>
      </c>
      <c r="AH48" s="5">
        <f t="shared" si="74"/>
        <v>340</v>
      </c>
      <c r="AI48" s="5">
        <f t="shared" si="54"/>
        <v>1870</v>
      </c>
      <c r="AJ48" s="5">
        <f t="shared" si="75"/>
        <v>340</v>
      </c>
      <c r="AK48" s="5">
        <f t="shared" si="55"/>
        <v>2210</v>
      </c>
      <c r="AL48" s="5">
        <f>AJ48</f>
        <v>340</v>
      </c>
      <c r="AM48" s="5">
        <f t="shared" si="56"/>
        <v>2550</v>
      </c>
      <c r="AN48" s="5">
        <f t="shared" si="76"/>
        <v>340</v>
      </c>
      <c r="AO48" s="5">
        <f t="shared" si="58"/>
        <v>2890</v>
      </c>
      <c r="AP48" s="5">
        <f t="shared" si="59"/>
        <v>510</v>
      </c>
      <c r="AQ48" s="5">
        <f t="shared" si="60"/>
        <v>340</v>
      </c>
      <c r="AR48" s="5">
        <f t="shared" si="61"/>
        <v>3230</v>
      </c>
      <c r="AS48" s="5">
        <f t="shared" si="62"/>
        <v>170</v>
      </c>
      <c r="AU48" s="20">
        <v>52</v>
      </c>
      <c r="AV48" s="5">
        <f t="shared" si="63"/>
        <v>65.384615384615387</v>
      </c>
    </row>
    <row r="49" spans="1:48" ht="15" x14ac:dyDescent="0.2">
      <c r="B49" s="1" t="s">
        <v>46</v>
      </c>
      <c r="C49" s="10">
        <v>41455</v>
      </c>
      <c r="D49" s="5">
        <v>7861</v>
      </c>
      <c r="E49" s="6" t="s">
        <v>15</v>
      </c>
      <c r="F49" s="6">
        <v>10</v>
      </c>
      <c r="G49" s="5"/>
      <c r="H49" s="5"/>
      <c r="I49" s="5"/>
      <c r="J49" s="5"/>
      <c r="K49" s="5"/>
      <c r="L49" s="5"/>
      <c r="M49" s="5"/>
      <c r="R49" s="5"/>
      <c r="W49" s="5"/>
      <c r="Y49" s="5"/>
      <c r="Z49" s="1">
        <v>393</v>
      </c>
      <c r="AA49" s="5">
        <v>393</v>
      </c>
      <c r="AB49" s="5">
        <f>7861/10</f>
        <v>786.1</v>
      </c>
      <c r="AC49" s="5">
        <f t="shared" si="20"/>
        <v>1179.0999999999999</v>
      </c>
      <c r="AD49" s="5">
        <f>7861/10</f>
        <v>786.1</v>
      </c>
      <c r="AE49" s="5">
        <f t="shared" si="22"/>
        <v>1965.1999999999998</v>
      </c>
      <c r="AF49" s="5">
        <f>7861/10</f>
        <v>786.1</v>
      </c>
      <c r="AG49" s="5">
        <f t="shared" si="53"/>
        <v>2751.2999999999997</v>
      </c>
      <c r="AH49" s="5">
        <f>7861/10</f>
        <v>786.1</v>
      </c>
      <c r="AI49" s="5">
        <f t="shared" si="54"/>
        <v>3537.3999999999996</v>
      </c>
      <c r="AJ49" s="5">
        <f>7861/10</f>
        <v>786.1</v>
      </c>
      <c r="AK49" s="5">
        <f t="shared" si="55"/>
        <v>4323.5</v>
      </c>
      <c r="AL49" s="5">
        <f>7861/10</f>
        <v>786.1</v>
      </c>
      <c r="AM49" s="5">
        <f t="shared" si="56"/>
        <v>5109.6000000000004</v>
      </c>
      <c r="AN49" s="5">
        <f t="shared" si="76"/>
        <v>786.1</v>
      </c>
      <c r="AO49" s="5">
        <f t="shared" si="58"/>
        <v>5895.7000000000007</v>
      </c>
      <c r="AP49" s="5">
        <f t="shared" si="59"/>
        <v>1965.2999999999993</v>
      </c>
      <c r="AQ49" s="5">
        <f t="shared" si="60"/>
        <v>786.1</v>
      </c>
      <c r="AR49" s="5">
        <f t="shared" si="61"/>
        <v>6681.8000000000011</v>
      </c>
      <c r="AS49" s="5">
        <f t="shared" si="62"/>
        <v>1179.1999999999989</v>
      </c>
      <c r="AU49" s="20">
        <v>52</v>
      </c>
      <c r="AV49" s="5">
        <f t="shared" si="63"/>
        <v>151.17307692307693</v>
      </c>
    </row>
    <row r="50" spans="1:48" ht="15" x14ac:dyDescent="0.2">
      <c r="B50" s="1" t="s">
        <v>47</v>
      </c>
      <c r="C50" s="10">
        <v>41820</v>
      </c>
      <c r="D50" s="5">
        <v>5928</v>
      </c>
      <c r="E50" s="6" t="s">
        <v>15</v>
      </c>
      <c r="F50" s="6">
        <v>10</v>
      </c>
      <c r="G50" s="5"/>
      <c r="H50" s="5"/>
      <c r="I50" s="5"/>
      <c r="J50" s="5"/>
      <c r="K50" s="5"/>
      <c r="L50" s="5"/>
      <c r="M50" s="5"/>
      <c r="R50" s="5"/>
      <c r="W50" s="5"/>
      <c r="Y50" s="5"/>
      <c r="AA50" s="5"/>
      <c r="AB50" s="5">
        <f>5928/10/2</f>
        <v>296.39999999999998</v>
      </c>
      <c r="AC50" s="5">
        <f t="shared" si="20"/>
        <v>296.39999999999998</v>
      </c>
      <c r="AD50" s="5">
        <f>5928/10</f>
        <v>592.79999999999995</v>
      </c>
      <c r="AE50" s="5">
        <f t="shared" si="22"/>
        <v>889.19999999999993</v>
      </c>
      <c r="AF50" s="5">
        <f>5928/10</f>
        <v>592.79999999999995</v>
      </c>
      <c r="AG50" s="5">
        <f t="shared" si="53"/>
        <v>1482</v>
      </c>
      <c r="AH50" s="5">
        <f>5928/10</f>
        <v>592.79999999999995</v>
      </c>
      <c r="AI50" s="5">
        <f t="shared" si="54"/>
        <v>2074.8000000000002</v>
      </c>
      <c r="AJ50" s="5">
        <f>5928/10</f>
        <v>592.79999999999995</v>
      </c>
      <c r="AK50" s="5">
        <f t="shared" si="55"/>
        <v>2667.6000000000004</v>
      </c>
      <c r="AL50" s="5">
        <f>5928/10</f>
        <v>592.79999999999995</v>
      </c>
      <c r="AM50" s="5">
        <f t="shared" si="56"/>
        <v>3260.4000000000005</v>
      </c>
      <c r="AN50" s="5">
        <f t="shared" si="76"/>
        <v>592.79999999999995</v>
      </c>
      <c r="AO50" s="5">
        <f t="shared" si="58"/>
        <v>3853.2000000000007</v>
      </c>
      <c r="AP50" s="5">
        <f t="shared" si="59"/>
        <v>2074.7999999999993</v>
      </c>
      <c r="AQ50" s="5">
        <f t="shared" si="60"/>
        <v>592.79999999999995</v>
      </c>
      <c r="AR50" s="5">
        <f t="shared" si="61"/>
        <v>4446.0000000000009</v>
      </c>
      <c r="AS50" s="5">
        <f t="shared" si="62"/>
        <v>1481.9999999999991</v>
      </c>
      <c r="AU50" s="20">
        <v>52</v>
      </c>
      <c r="AV50" s="5">
        <f t="shared" si="63"/>
        <v>114</v>
      </c>
    </row>
    <row r="51" spans="1:48" ht="15" x14ac:dyDescent="0.2">
      <c r="B51" s="1" t="s">
        <v>48</v>
      </c>
      <c r="C51" s="10">
        <v>42185</v>
      </c>
      <c r="D51" s="5">
        <v>288</v>
      </c>
      <c r="E51" s="6" t="s">
        <v>15</v>
      </c>
      <c r="F51" s="6">
        <v>10</v>
      </c>
      <c r="G51" s="5"/>
      <c r="H51" s="5"/>
      <c r="I51" s="5"/>
      <c r="J51" s="5"/>
      <c r="K51" s="5"/>
      <c r="L51" s="5"/>
      <c r="M51" s="5"/>
      <c r="R51" s="5"/>
      <c r="W51" s="5"/>
      <c r="Y51" s="5"/>
      <c r="AA51" s="5"/>
      <c r="AB51" s="5">
        <f>Z51</f>
        <v>0</v>
      </c>
      <c r="AC51" s="5">
        <f t="shared" si="20"/>
        <v>0</v>
      </c>
      <c r="AD51" s="5">
        <f>288/10/2</f>
        <v>14.4</v>
      </c>
      <c r="AE51" s="5">
        <f t="shared" si="22"/>
        <v>14.4</v>
      </c>
      <c r="AF51" s="5">
        <f>288/10</f>
        <v>28.8</v>
      </c>
      <c r="AG51" s="5">
        <f t="shared" si="53"/>
        <v>43.2</v>
      </c>
      <c r="AH51" s="5">
        <f>288/10</f>
        <v>28.8</v>
      </c>
      <c r="AI51" s="5">
        <f t="shared" si="54"/>
        <v>72</v>
      </c>
      <c r="AJ51" s="5">
        <f>288/10</f>
        <v>28.8</v>
      </c>
      <c r="AK51" s="5">
        <f t="shared" si="55"/>
        <v>100.8</v>
      </c>
      <c r="AL51" s="5">
        <f>288/10</f>
        <v>28.8</v>
      </c>
      <c r="AM51" s="5">
        <f t="shared" si="56"/>
        <v>129.6</v>
      </c>
      <c r="AN51" s="5">
        <f t="shared" si="76"/>
        <v>28.8</v>
      </c>
      <c r="AO51" s="5">
        <f t="shared" si="58"/>
        <v>158.4</v>
      </c>
      <c r="AP51" s="5">
        <f t="shared" si="59"/>
        <v>129.6</v>
      </c>
      <c r="AQ51" s="5">
        <f t="shared" si="60"/>
        <v>28.8</v>
      </c>
      <c r="AR51" s="5">
        <f t="shared" si="61"/>
        <v>187.20000000000002</v>
      </c>
      <c r="AS51" s="5">
        <f t="shared" si="62"/>
        <v>100.79999999999998</v>
      </c>
      <c r="AU51" s="20">
        <v>52</v>
      </c>
      <c r="AV51" s="5">
        <f t="shared" si="63"/>
        <v>5.5384615384615383</v>
      </c>
    </row>
    <row r="52" spans="1:48" ht="15" x14ac:dyDescent="0.2">
      <c r="B52" s="1" t="s">
        <v>49</v>
      </c>
      <c r="C52" s="10">
        <v>42551</v>
      </c>
      <c r="D52" s="5">
        <v>1104</v>
      </c>
      <c r="E52" s="6" t="s">
        <v>15</v>
      </c>
      <c r="F52" s="6">
        <v>10</v>
      </c>
      <c r="G52" s="5"/>
      <c r="H52" s="5"/>
      <c r="I52" s="5"/>
      <c r="J52" s="5"/>
      <c r="K52" s="5"/>
      <c r="L52" s="5"/>
      <c r="M52" s="5"/>
      <c r="R52" s="5"/>
      <c r="W52" s="5"/>
      <c r="Y52" s="5"/>
      <c r="AA52" s="5"/>
      <c r="AB52" s="5"/>
      <c r="AC52" s="5"/>
      <c r="AD52" s="5"/>
      <c r="AE52" s="5"/>
      <c r="AF52" s="5">
        <f>1104/10/2</f>
        <v>55.2</v>
      </c>
      <c r="AG52" s="5">
        <v>55</v>
      </c>
      <c r="AH52" s="5">
        <f>1104/10</f>
        <v>110.4</v>
      </c>
      <c r="AI52" s="5">
        <f t="shared" si="54"/>
        <v>165.4</v>
      </c>
      <c r="AJ52" s="5">
        <f>1104/10</f>
        <v>110.4</v>
      </c>
      <c r="AK52" s="5">
        <f t="shared" si="55"/>
        <v>275.8</v>
      </c>
      <c r="AL52" s="5">
        <f>1104/10</f>
        <v>110.4</v>
      </c>
      <c r="AM52" s="5">
        <f t="shared" si="56"/>
        <v>386.20000000000005</v>
      </c>
      <c r="AN52" s="5">
        <f t="shared" si="76"/>
        <v>110.4</v>
      </c>
      <c r="AO52" s="5">
        <f t="shared" si="58"/>
        <v>496.6</v>
      </c>
      <c r="AP52" s="5">
        <f t="shared" si="59"/>
        <v>607.4</v>
      </c>
      <c r="AQ52" s="5">
        <f t="shared" si="60"/>
        <v>110.4</v>
      </c>
      <c r="AR52" s="5">
        <f t="shared" si="61"/>
        <v>607</v>
      </c>
      <c r="AS52" s="5">
        <f t="shared" si="62"/>
        <v>497</v>
      </c>
      <c r="AU52" s="20">
        <v>52</v>
      </c>
      <c r="AV52" s="5">
        <f t="shared" si="63"/>
        <v>21.23076923076923</v>
      </c>
    </row>
    <row r="53" spans="1:48" ht="15" x14ac:dyDescent="0.2">
      <c r="B53" s="1" t="s">
        <v>50</v>
      </c>
      <c r="C53" s="10">
        <v>6391</v>
      </c>
      <c r="D53" s="5">
        <v>1752</v>
      </c>
      <c r="E53" s="6" t="s">
        <v>15</v>
      </c>
      <c r="F53" s="6">
        <v>10</v>
      </c>
      <c r="G53" s="5"/>
      <c r="H53" s="5"/>
      <c r="I53" s="5"/>
      <c r="J53" s="5"/>
      <c r="K53" s="5"/>
      <c r="L53" s="5"/>
      <c r="M53" s="5"/>
      <c r="R53" s="5"/>
      <c r="W53" s="5"/>
      <c r="Y53" s="5"/>
      <c r="AA53" s="5"/>
      <c r="AB53" s="5"/>
      <c r="AC53" s="5"/>
      <c r="AD53" s="5"/>
      <c r="AE53" s="5"/>
      <c r="AF53" s="5"/>
      <c r="AG53" s="5"/>
      <c r="AH53" s="5">
        <f>1752/10/2</f>
        <v>87.6</v>
      </c>
      <c r="AI53" s="5">
        <f t="shared" si="54"/>
        <v>87.6</v>
      </c>
      <c r="AJ53" s="5">
        <f>1752/10</f>
        <v>175.2</v>
      </c>
      <c r="AK53" s="5">
        <f t="shared" si="55"/>
        <v>262.79999999999995</v>
      </c>
      <c r="AL53" s="5">
        <f>1752/10</f>
        <v>175.2</v>
      </c>
      <c r="AM53" s="5">
        <f t="shared" si="56"/>
        <v>437.99999999999994</v>
      </c>
      <c r="AN53" s="5">
        <f t="shared" si="76"/>
        <v>175.2</v>
      </c>
      <c r="AO53" s="5">
        <f t="shared" si="58"/>
        <v>613.19999999999993</v>
      </c>
      <c r="AP53" s="5">
        <f t="shared" si="59"/>
        <v>1138.8000000000002</v>
      </c>
      <c r="AQ53" s="5">
        <f t="shared" si="60"/>
        <v>175.2</v>
      </c>
      <c r="AR53" s="5">
        <f t="shared" si="61"/>
        <v>788.39999999999986</v>
      </c>
      <c r="AS53" s="5">
        <f t="shared" si="62"/>
        <v>963.60000000000014</v>
      </c>
      <c r="AU53" s="20">
        <v>52</v>
      </c>
      <c r="AV53" s="5">
        <f t="shared" si="63"/>
        <v>33.692307692307693</v>
      </c>
    </row>
    <row r="54" spans="1:48" ht="15" x14ac:dyDescent="0.2">
      <c r="B54" s="1" t="s">
        <v>51</v>
      </c>
      <c r="C54" s="10">
        <v>43281</v>
      </c>
      <c r="D54" s="5">
        <v>480</v>
      </c>
      <c r="E54" s="6" t="s">
        <v>15</v>
      </c>
      <c r="F54" s="6">
        <v>10</v>
      </c>
      <c r="G54" s="5"/>
      <c r="H54" s="5"/>
      <c r="I54" s="5"/>
      <c r="J54" s="5"/>
      <c r="K54" s="5"/>
      <c r="L54" s="5"/>
      <c r="M54" s="5"/>
      <c r="R54" s="5"/>
      <c r="W54" s="5"/>
      <c r="Y54" s="5"/>
      <c r="AA54" s="5"/>
      <c r="AB54" s="5"/>
      <c r="AC54" s="5"/>
      <c r="AD54" s="5"/>
      <c r="AE54" s="5"/>
      <c r="AF54" s="5"/>
      <c r="AG54" s="5"/>
      <c r="AH54" s="5"/>
      <c r="AI54" s="5"/>
      <c r="AJ54" s="5">
        <f>480/10/2</f>
        <v>24</v>
      </c>
      <c r="AK54" s="5">
        <f t="shared" si="55"/>
        <v>24</v>
      </c>
      <c r="AL54" s="5">
        <f>480/10</f>
        <v>48</v>
      </c>
      <c r="AM54" s="5">
        <f t="shared" si="56"/>
        <v>72</v>
      </c>
      <c r="AN54" s="5">
        <f t="shared" si="76"/>
        <v>48</v>
      </c>
      <c r="AO54" s="5">
        <f t="shared" si="58"/>
        <v>120</v>
      </c>
      <c r="AP54" s="5">
        <f t="shared" si="59"/>
        <v>360</v>
      </c>
      <c r="AQ54" s="5">
        <f t="shared" si="60"/>
        <v>48</v>
      </c>
      <c r="AR54" s="5">
        <f t="shared" si="61"/>
        <v>168</v>
      </c>
      <c r="AS54" s="5">
        <f t="shared" si="62"/>
        <v>312</v>
      </c>
      <c r="AU54" s="20">
        <v>52</v>
      </c>
      <c r="AV54" s="5">
        <f t="shared" si="63"/>
        <v>9.2307692307692299</v>
      </c>
    </row>
    <row r="55" spans="1:48" ht="15" x14ac:dyDescent="0.2">
      <c r="B55" s="1" t="s">
        <v>52</v>
      </c>
      <c r="C55" s="10">
        <v>43646</v>
      </c>
      <c r="D55" s="5">
        <v>2205</v>
      </c>
      <c r="E55" s="6" t="s">
        <v>15</v>
      </c>
      <c r="F55" s="6">
        <v>10</v>
      </c>
      <c r="G55" s="5"/>
      <c r="H55" s="5"/>
      <c r="I55" s="5"/>
      <c r="J55" s="5"/>
      <c r="K55" s="5"/>
      <c r="L55" s="5"/>
      <c r="M55" s="5"/>
      <c r="R55" s="5"/>
      <c r="W55" s="5"/>
      <c r="Y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>
        <f>2205/10/2</f>
        <v>110.25</v>
      </c>
      <c r="AM55" s="5">
        <f t="shared" si="56"/>
        <v>110.25</v>
      </c>
      <c r="AN55" s="5">
        <f>D55/10</f>
        <v>220.5</v>
      </c>
      <c r="AO55" s="5">
        <f t="shared" si="58"/>
        <v>330.75</v>
      </c>
      <c r="AP55" s="5">
        <f t="shared" si="59"/>
        <v>1874.25</v>
      </c>
      <c r="AQ55" s="5">
        <f t="shared" si="60"/>
        <v>220.5</v>
      </c>
      <c r="AR55" s="5">
        <f t="shared" si="61"/>
        <v>551.25</v>
      </c>
      <c r="AS55" s="5">
        <f t="shared" si="62"/>
        <v>1653.75</v>
      </c>
      <c r="AU55" s="20">
        <v>52</v>
      </c>
      <c r="AV55" s="5">
        <f t="shared" si="63"/>
        <v>42.403846153846153</v>
      </c>
    </row>
    <row r="56" spans="1:48" ht="15" x14ac:dyDescent="0.2">
      <c r="B56" s="1" t="s">
        <v>53</v>
      </c>
      <c r="C56" s="10">
        <v>44165</v>
      </c>
      <c r="D56" s="5">
        <v>20780</v>
      </c>
      <c r="E56" s="6" t="s">
        <v>15</v>
      </c>
      <c r="F56" s="6">
        <v>10</v>
      </c>
      <c r="G56" s="5"/>
      <c r="H56" s="5"/>
      <c r="I56" s="5"/>
      <c r="J56" s="5"/>
      <c r="K56" s="5"/>
      <c r="L56" s="5"/>
      <c r="M56" s="5"/>
      <c r="R56" s="5"/>
      <c r="W56" s="5"/>
      <c r="Y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>
        <f>20780/10/10*1</f>
        <v>207.8</v>
      </c>
      <c r="AO56" s="5">
        <f t="shared" si="58"/>
        <v>207.8</v>
      </c>
      <c r="AP56" s="5">
        <f t="shared" si="59"/>
        <v>20572.2</v>
      </c>
      <c r="AQ56" s="5">
        <v>2078</v>
      </c>
      <c r="AR56" s="5">
        <f t="shared" si="61"/>
        <v>2285.8000000000002</v>
      </c>
      <c r="AS56" s="5">
        <f t="shared" si="62"/>
        <v>18494.2</v>
      </c>
      <c r="AU56" s="20">
        <v>52</v>
      </c>
      <c r="AV56" s="5">
        <f t="shared" si="63"/>
        <v>399.61538461538464</v>
      </c>
    </row>
    <row r="57" spans="1:48" ht="15" x14ac:dyDescent="0.2">
      <c r="B57" s="1" t="s">
        <v>54</v>
      </c>
      <c r="C57" s="10">
        <v>44012</v>
      </c>
      <c r="D57" s="5">
        <v>709</v>
      </c>
      <c r="E57" s="6" t="s">
        <v>15</v>
      </c>
      <c r="F57" s="6">
        <v>10</v>
      </c>
      <c r="G57" s="5"/>
      <c r="H57" s="5"/>
      <c r="I57" s="5"/>
      <c r="J57" s="5"/>
      <c r="K57" s="5"/>
      <c r="L57" s="5"/>
      <c r="M57" s="5"/>
      <c r="R57" s="5"/>
      <c r="W57" s="5"/>
      <c r="Y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>
        <v>0</v>
      </c>
      <c r="AO57" s="5">
        <f t="shared" si="58"/>
        <v>0</v>
      </c>
      <c r="AP57" s="5">
        <f t="shared" si="59"/>
        <v>709</v>
      </c>
      <c r="AQ57" s="5">
        <v>71</v>
      </c>
      <c r="AR57" s="5">
        <f t="shared" si="61"/>
        <v>71</v>
      </c>
      <c r="AS57" s="5">
        <f t="shared" si="62"/>
        <v>638</v>
      </c>
      <c r="AU57" s="20">
        <v>52</v>
      </c>
      <c r="AV57" s="5">
        <f t="shared" si="63"/>
        <v>13.634615384615385</v>
      </c>
    </row>
    <row r="58" spans="1:48" ht="15" x14ac:dyDescent="0.2">
      <c r="C58" s="10"/>
      <c r="D58" s="5"/>
      <c r="E58" s="6"/>
      <c r="F58" s="6"/>
      <c r="G58" s="5"/>
      <c r="H58" s="5"/>
      <c r="I58" s="5"/>
      <c r="J58" s="5"/>
      <c r="K58" s="5"/>
      <c r="L58" s="5"/>
      <c r="M58" s="5"/>
      <c r="R58" s="5"/>
      <c r="W58" s="5"/>
      <c r="Y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U58" s="20"/>
    </row>
    <row r="59" spans="1:48" x14ac:dyDescent="0.25">
      <c r="D59" s="8">
        <f>SUM(D31:D58)</f>
        <v>1490890</v>
      </c>
      <c r="E59" s="9"/>
      <c r="F59" s="9"/>
      <c r="G59" s="8">
        <f t="shared" ref="G59:O59" si="77">SUM(G31:G41)</f>
        <v>23543</v>
      </c>
      <c r="H59" s="8">
        <f t="shared" si="77"/>
        <v>20610.149999999998</v>
      </c>
      <c r="I59" s="8">
        <f t="shared" si="77"/>
        <v>44153.149999999994</v>
      </c>
      <c r="J59" s="8">
        <f t="shared" si="77"/>
        <v>22013.1</v>
      </c>
      <c r="K59" s="8">
        <f t="shared" si="77"/>
        <v>66166.25</v>
      </c>
      <c r="L59" s="8">
        <f t="shared" si="77"/>
        <v>34786.649999999994</v>
      </c>
      <c r="M59" s="8">
        <f t="shared" si="77"/>
        <v>100952.9</v>
      </c>
      <c r="N59" s="8">
        <f t="shared" si="77"/>
        <v>48747.399999999994</v>
      </c>
      <c r="O59" s="8">
        <f t="shared" si="77"/>
        <v>149700.29999999999</v>
      </c>
      <c r="P59" s="8">
        <f>SUM(P31:P43)</f>
        <v>48968.200000000004</v>
      </c>
      <c r="Q59" s="8">
        <f>SUM(Q31:Q43)</f>
        <v>202054.85</v>
      </c>
      <c r="R59" s="8">
        <f>SUM(R31:R43)</f>
        <v>49615.500000000007</v>
      </c>
      <c r="S59" s="8">
        <f>SUM(S31:S43)</f>
        <v>251669.74999999997</v>
      </c>
      <c r="T59" s="11">
        <f>SUM(T31:T43)</f>
        <v>48510.8</v>
      </c>
      <c r="U59" s="8">
        <f t="shared" ref="U59:AA59" si="78">SUM(U31:U49)</f>
        <v>300999.55</v>
      </c>
      <c r="V59" s="8">
        <f t="shared" si="78"/>
        <v>55911.3</v>
      </c>
      <c r="W59" s="8">
        <f t="shared" si="78"/>
        <v>356910.85000000003</v>
      </c>
      <c r="X59" s="8">
        <f t="shared" si="78"/>
        <v>142033.79999999999</v>
      </c>
      <c r="Y59" s="8">
        <f t="shared" si="78"/>
        <v>498944.64999999997</v>
      </c>
      <c r="Z59" s="8">
        <f t="shared" si="78"/>
        <v>128144.8</v>
      </c>
      <c r="AA59" s="8">
        <f t="shared" si="78"/>
        <v>627089.44999999995</v>
      </c>
      <c r="AB59" s="5">
        <f>SUM(AB31:AB51)</f>
        <v>125449.4</v>
      </c>
      <c r="AC59" s="5">
        <f t="shared" ref="AC59:AC64" si="79">AA59+AB59</f>
        <v>752538.85</v>
      </c>
      <c r="AD59" s="5">
        <f>SUM(AD31:AD51)</f>
        <v>124358.2</v>
      </c>
      <c r="AE59" s="5">
        <f>SUM(AE31:AE51)</f>
        <v>876897.04999999993</v>
      </c>
      <c r="AF59" s="8">
        <f>SUM(AF31:AF52)</f>
        <v>111654.70000000001</v>
      </c>
      <c r="AG59" s="8">
        <f>SUM(AG31:AG54)</f>
        <v>988551.55</v>
      </c>
      <c r="AH59" s="8">
        <f>SUM(AH31:AH54)</f>
        <v>97837.1</v>
      </c>
      <c r="AI59" s="8">
        <f>SUM(AI31:AI54)</f>
        <v>1086388.6499999999</v>
      </c>
      <c r="AJ59" s="8">
        <f>SUM(AJ31:AJ54)</f>
        <v>97229.3</v>
      </c>
      <c r="AK59" s="8">
        <f>SUM(AK31:AK54)</f>
        <v>1183617.9500000002</v>
      </c>
      <c r="AL59" s="8">
        <f>SUM(AL31:AL55)</f>
        <v>96716.75</v>
      </c>
      <c r="AM59" s="8">
        <f>SUM(AM31:AM55)</f>
        <v>1280334.7</v>
      </c>
      <c r="AN59" s="8">
        <f>SUM(AN31:AN58)</f>
        <v>96043.6</v>
      </c>
      <c r="AO59" s="8">
        <v>1376379</v>
      </c>
      <c r="AP59" s="8">
        <f>SUM(AP31:AP58)</f>
        <v>114511.7</v>
      </c>
      <c r="AQ59" s="8">
        <f>SUM(AQ31:AQ58)</f>
        <v>89020.800000000003</v>
      </c>
      <c r="AR59" s="8">
        <f>SUM(AR31:AR58)</f>
        <v>1465399.0999999999</v>
      </c>
      <c r="AS59" s="8">
        <f>SUM(AS31:AS58)</f>
        <v>25490.899999999987</v>
      </c>
      <c r="AU59" s="20"/>
      <c r="AV59" s="8">
        <f>SUM(AV31:AV58)</f>
        <v>28670.961538461546</v>
      </c>
    </row>
    <row r="60" spans="1:48" ht="15" x14ac:dyDescent="0.2">
      <c r="D60" s="5"/>
      <c r="E60" s="6"/>
      <c r="F60" s="6"/>
      <c r="G60" s="5"/>
      <c r="H60" s="5"/>
      <c r="I60" s="5"/>
      <c r="J60" s="5"/>
      <c r="K60" s="5"/>
      <c r="L60" s="5"/>
      <c r="M60" s="5"/>
      <c r="R60" s="5"/>
      <c r="AB60" s="5">
        <f>Z60</f>
        <v>0</v>
      </c>
      <c r="AC60" s="5">
        <f t="shared" si="79"/>
        <v>0</v>
      </c>
      <c r="AD60" s="5">
        <f>AB60</f>
        <v>0</v>
      </c>
      <c r="AE60" s="5">
        <f>AC60+AD60</f>
        <v>0</v>
      </c>
      <c r="AF60" s="5"/>
      <c r="AH60" s="5"/>
      <c r="AJ60" s="5"/>
      <c r="AL60" s="5"/>
      <c r="AU60" s="20"/>
    </row>
    <row r="61" spans="1:48" ht="15" x14ac:dyDescent="0.2">
      <c r="A61" s="1">
        <v>355</v>
      </c>
      <c r="B61" s="1" t="s">
        <v>55</v>
      </c>
      <c r="D61" s="5"/>
      <c r="E61" s="6"/>
      <c r="F61" s="6"/>
      <c r="G61" s="5"/>
      <c r="H61" s="5"/>
      <c r="I61" s="5"/>
      <c r="J61" s="5"/>
      <c r="K61" s="5"/>
      <c r="L61" s="5"/>
      <c r="M61" s="5"/>
      <c r="R61" s="5"/>
      <c r="AB61" s="5">
        <f>Z61</f>
        <v>0</v>
      </c>
      <c r="AC61" s="5">
        <f t="shared" si="79"/>
        <v>0</v>
      </c>
      <c r="AD61" s="5">
        <f>AB61</f>
        <v>0</v>
      </c>
      <c r="AE61" s="5">
        <f>AC61+AD61</f>
        <v>0</v>
      </c>
      <c r="AF61" s="5"/>
      <c r="AH61" s="5"/>
      <c r="AJ61" s="5"/>
      <c r="AL61" s="5"/>
      <c r="AU61" s="20"/>
    </row>
    <row r="62" spans="1:48" x14ac:dyDescent="0.25">
      <c r="B62" s="1" t="s">
        <v>56</v>
      </c>
      <c r="C62" s="7">
        <v>38168</v>
      </c>
      <c r="D62" s="5">
        <v>8000</v>
      </c>
      <c r="E62" s="6" t="s">
        <v>15</v>
      </c>
      <c r="F62" s="9">
        <v>10</v>
      </c>
      <c r="G62" s="8"/>
      <c r="H62" s="8">
        <f>SUM(D62/F62/2)</f>
        <v>400</v>
      </c>
      <c r="I62" s="8">
        <f>SUM(G62:H62)</f>
        <v>400</v>
      </c>
      <c r="J62" s="8">
        <f>SUM(D62/F62)</f>
        <v>800</v>
      </c>
      <c r="K62" s="8">
        <f>SUM(I62:J62)</f>
        <v>1200</v>
      </c>
      <c r="L62" s="8">
        <f>SUM(D62/F62)</f>
        <v>800</v>
      </c>
      <c r="M62" s="8">
        <f>SUM(K62:L62)</f>
        <v>2000</v>
      </c>
      <c r="N62" s="8">
        <f>SUM(D62/F62)</f>
        <v>800</v>
      </c>
      <c r="O62" s="8">
        <f>SUM(M62+N62)</f>
        <v>2800</v>
      </c>
      <c r="P62" s="8">
        <f>SUM(D62/F62)</f>
        <v>800</v>
      </c>
      <c r="Q62" s="8">
        <f>SUM(O62+P62)</f>
        <v>3600</v>
      </c>
      <c r="R62" s="8">
        <f>SUM(D62/F62)</f>
        <v>800</v>
      </c>
      <c r="S62" s="8">
        <f>SUM(Q62+R62)</f>
        <v>4400</v>
      </c>
      <c r="T62" s="8">
        <f>R62</f>
        <v>800</v>
      </c>
      <c r="U62" s="8">
        <f>S62+T62</f>
        <v>5200</v>
      </c>
      <c r="V62" s="8">
        <f>T62</f>
        <v>800</v>
      </c>
      <c r="W62" s="8">
        <f>U62+V62</f>
        <v>6000</v>
      </c>
      <c r="X62" s="8">
        <f>V62</f>
        <v>800</v>
      </c>
      <c r="Y62" s="8">
        <f>W62+X62</f>
        <v>6800</v>
      </c>
      <c r="Z62" s="8">
        <f>X62</f>
        <v>800</v>
      </c>
      <c r="AA62" s="8">
        <f>Y62+Z62</f>
        <v>7600</v>
      </c>
      <c r="AB62" s="5">
        <v>400</v>
      </c>
      <c r="AC62" s="5">
        <f t="shared" si="79"/>
        <v>8000</v>
      </c>
      <c r="AD62" s="5">
        <v>0</v>
      </c>
      <c r="AE62" s="5">
        <f>AC62+AD62</f>
        <v>8000</v>
      </c>
      <c r="AF62" s="5">
        <v>0</v>
      </c>
      <c r="AG62" s="5">
        <f>AE62+AF62</f>
        <v>8000</v>
      </c>
      <c r="AH62" s="5">
        <v>0</v>
      </c>
      <c r="AI62" s="5">
        <f>AG62+AH62</f>
        <v>8000</v>
      </c>
      <c r="AJ62" s="5">
        <v>0</v>
      </c>
      <c r="AK62" s="5">
        <f>AI62+AJ62</f>
        <v>8000</v>
      </c>
      <c r="AL62" s="5">
        <v>0</v>
      </c>
      <c r="AM62" s="5">
        <f>AK62+AL62</f>
        <v>8000</v>
      </c>
      <c r="AN62" s="5">
        <v>0</v>
      </c>
      <c r="AO62" s="5">
        <v>8000</v>
      </c>
      <c r="AP62" s="5">
        <f>D62-AO62</f>
        <v>0</v>
      </c>
      <c r="AQ62" s="5">
        <v>0</v>
      </c>
      <c r="AR62" s="5">
        <v>8000</v>
      </c>
      <c r="AS62" s="5">
        <v>0</v>
      </c>
      <c r="AU62" s="22">
        <v>7</v>
      </c>
      <c r="AV62" s="5">
        <v>0</v>
      </c>
    </row>
    <row r="63" spans="1:48" ht="15" x14ac:dyDescent="0.2">
      <c r="D63" s="5"/>
      <c r="E63" s="6"/>
      <c r="F63" s="6"/>
      <c r="G63" s="5"/>
      <c r="H63" s="5"/>
      <c r="I63" s="5"/>
      <c r="J63" s="5"/>
      <c r="K63" s="5"/>
      <c r="L63" s="5"/>
      <c r="M63" s="5"/>
      <c r="R63" s="5"/>
      <c r="T63" s="5"/>
      <c r="U63" s="5"/>
      <c r="AB63" s="5">
        <f>Z63</f>
        <v>0</v>
      </c>
      <c r="AC63" s="5">
        <f t="shared" si="79"/>
        <v>0</v>
      </c>
      <c r="AD63" s="5">
        <f>AB63</f>
        <v>0</v>
      </c>
      <c r="AE63" s="5">
        <f>AC63+AD63</f>
        <v>0</v>
      </c>
      <c r="AF63" s="5"/>
      <c r="AH63" s="5"/>
      <c r="AJ63" s="5"/>
      <c r="AL63" s="5"/>
      <c r="AU63" s="19"/>
    </row>
    <row r="64" spans="1:48" ht="15" x14ac:dyDescent="0.2">
      <c r="A64" s="1">
        <v>363.1</v>
      </c>
      <c r="B64" s="1" t="s">
        <v>57</v>
      </c>
      <c r="D64" s="5"/>
      <c r="E64" s="6"/>
      <c r="F64" s="6"/>
      <c r="G64" s="5"/>
      <c r="H64" s="5"/>
      <c r="I64" s="5"/>
      <c r="J64" s="5"/>
      <c r="K64" s="5"/>
      <c r="L64" s="5"/>
      <c r="M64" s="5"/>
      <c r="R64" s="5"/>
      <c r="T64" s="5"/>
      <c r="U64" s="5"/>
      <c r="AB64" s="5">
        <f>Z64</f>
        <v>0</v>
      </c>
      <c r="AC64" s="5">
        <f t="shared" si="79"/>
        <v>0</v>
      </c>
      <c r="AD64" s="5">
        <f>AB64</f>
        <v>0</v>
      </c>
      <c r="AE64" s="5">
        <f>AC64+AD64</f>
        <v>0</v>
      </c>
      <c r="AF64" s="5"/>
      <c r="AH64" s="5"/>
      <c r="AJ64" s="5"/>
      <c r="AL64" s="5"/>
      <c r="AU64" s="19"/>
    </row>
    <row r="65" spans="1:48" ht="15" x14ac:dyDescent="0.2">
      <c r="C65" s="7"/>
      <c r="D65" s="5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U65" s="19"/>
    </row>
    <row r="66" spans="1:48" ht="15" x14ac:dyDescent="0.2">
      <c r="C66" s="7"/>
      <c r="D66" s="5"/>
      <c r="E66" s="6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U66" s="19"/>
    </row>
    <row r="67" spans="1:48" ht="15" x14ac:dyDescent="0.2">
      <c r="B67" s="1" t="s">
        <v>58</v>
      </c>
      <c r="C67" s="1" t="s">
        <v>59</v>
      </c>
      <c r="D67" s="1">
        <v>161</v>
      </c>
      <c r="E67" s="6" t="s">
        <v>15</v>
      </c>
      <c r="F67" s="6">
        <v>10</v>
      </c>
      <c r="AI67" s="1">
        <v>161</v>
      </c>
      <c r="AJ67" s="1">
        <v>0</v>
      </c>
      <c r="AK67" s="1">
        <v>161</v>
      </c>
      <c r="AL67" s="1">
        <v>0</v>
      </c>
      <c r="AM67" s="1">
        <v>161</v>
      </c>
      <c r="AN67" s="1">
        <f>AL67</f>
        <v>0</v>
      </c>
      <c r="AO67" s="1">
        <f t="shared" ref="AO67:AO75" si="80">SUM(AM67:AN67)</f>
        <v>161</v>
      </c>
      <c r="AP67" s="5">
        <f t="shared" ref="AP67:AP75" si="81">D67-AO67</f>
        <v>0</v>
      </c>
      <c r="AQ67" s="5">
        <f t="shared" ref="AQ67:AQ75" si="82">SUM(AN67)</f>
        <v>0</v>
      </c>
      <c r="AR67" s="5">
        <f t="shared" ref="AR67:AR75" si="83">AO67+AQ67</f>
        <v>161</v>
      </c>
      <c r="AS67" s="5">
        <f t="shared" ref="AS67:AS75" si="84">D67-AR67</f>
        <v>0</v>
      </c>
      <c r="AU67" s="22">
        <v>7</v>
      </c>
      <c r="AV67" s="5">
        <v>0</v>
      </c>
    </row>
    <row r="68" spans="1:48" ht="15" x14ac:dyDescent="0.2">
      <c r="B68" s="1" t="s">
        <v>60</v>
      </c>
      <c r="C68" s="7">
        <v>37530</v>
      </c>
      <c r="D68" s="5">
        <v>548</v>
      </c>
      <c r="E68" s="6" t="s">
        <v>15</v>
      </c>
      <c r="F68" s="6">
        <v>10</v>
      </c>
      <c r="G68" s="5">
        <v>70</v>
      </c>
      <c r="H68" s="5">
        <f>SUM(D68/F68)</f>
        <v>54.8</v>
      </c>
      <c r="I68" s="5">
        <f>SUM(G68:H68)</f>
        <v>124.8</v>
      </c>
      <c r="J68" s="5">
        <f>SUM(D68/F68)</f>
        <v>54.8</v>
      </c>
      <c r="K68" s="5">
        <f>SUM(I68:J68)</f>
        <v>179.6</v>
      </c>
      <c r="L68" s="5">
        <f>SUM(D68/F68)</f>
        <v>54.8</v>
      </c>
      <c r="M68" s="5">
        <f>SUM(K68:L68)</f>
        <v>234.39999999999998</v>
      </c>
      <c r="N68" s="5">
        <f>SUM(D68/F68)</f>
        <v>54.8</v>
      </c>
      <c r="O68" s="5">
        <f>SUM(M68+N68)</f>
        <v>289.2</v>
      </c>
      <c r="P68" s="5">
        <f>SUM(D68/F68)</f>
        <v>54.8</v>
      </c>
      <c r="Q68" s="5">
        <f>SUM(O68+P68)</f>
        <v>344</v>
      </c>
      <c r="R68" s="5">
        <f>SUM(D68/F68)</f>
        <v>54.8</v>
      </c>
      <c r="S68" s="5">
        <f>SUM(Q68+R68)-15</f>
        <v>383.8</v>
      </c>
      <c r="T68" s="5">
        <f>R68</f>
        <v>54.8</v>
      </c>
      <c r="U68" s="5">
        <f t="shared" ref="U68:U74" si="85">S68+T68</f>
        <v>438.6</v>
      </c>
      <c r="V68" s="5">
        <f t="shared" ref="V68:V74" si="86">T68</f>
        <v>54.8</v>
      </c>
      <c r="W68" s="5">
        <f t="shared" ref="W68:W75" si="87">U68+V68</f>
        <v>493.40000000000003</v>
      </c>
      <c r="X68" s="5">
        <f t="shared" ref="X68:X74" si="88">V68</f>
        <v>54.8</v>
      </c>
      <c r="Y68" s="5">
        <f t="shared" ref="Y68:Y75" si="89">W68+X68</f>
        <v>548.20000000000005</v>
      </c>
      <c r="Z68" s="5">
        <v>0</v>
      </c>
      <c r="AA68" s="5">
        <f t="shared" ref="AA68:AA75" si="90">Y68+Z68</f>
        <v>548.20000000000005</v>
      </c>
      <c r="AB68" s="5">
        <f t="shared" ref="AB68:AB75" si="91">Z68</f>
        <v>0</v>
      </c>
      <c r="AC68" s="5">
        <f t="shared" ref="AC68:AC75" si="92">AA68+AB68</f>
        <v>548.20000000000005</v>
      </c>
      <c r="AD68" s="5">
        <f t="shared" ref="AD68:AD75" si="93">AB68</f>
        <v>0</v>
      </c>
      <c r="AE68" s="5">
        <f t="shared" ref="AE68:AE75" si="94">AC68+AD68</f>
        <v>548.20000000000005</v>
      </c>
      <c r="AF68" s="5">
        <f t="shared" ref="AF68:AF75" si="95">AD68</f>
        <v>0</v>
      </c>
      <c r="AG68" s="5">
        <f t="shared" ref="AG68:AG75" si="96">AE68+AF68</f>
        <v>548.20000000000005</v>
      </c>
      <c r="AH68" s="5">
        <f t="shared" ref="AH68:AH75" si="97">AF68</f>
        <v>0</v>
      </c>
      <c r="AI68" s="5">
        <f t="shared" ref="AI68:AI75" si="98">AG68+AH68</f>
        <v>548.20000000000005</v>
      </c>
      <c r="AJ68" s="5">
        <f t="shared" ref="AJ68:AJ75" si="99">AH68</f>
        <v>0</v>
      </c>
      <c r="AK68" s="5">
        <f t="shared" ref="AK68:AK75" si="100">AI68+AJ68</f>
        <v>548.20000000000005</v>
      </c>
      <c r="AL68" s="5">
        <f>AJ68</f>
        <v>0</v>
      </c>
      <c r="AM68" s="5">
        <f t="shared" ref="AM68:AM75" si="101">AK68+AL68</f>
        <v>548.20000000000005</v>
      </c>
      <c r="AN68" s="1">
        <f>AL68</f>
        <v>0</v>
      </c>
      <c r="AO68" s="12">
        <f t="shared" si="80"/>
        <v>548.20000000000005</v>
      </c>
      <c r="AP68" s="5">
        <f t="shared" si="81"/>
        <v>-0.20000000000004547</v>
      </c>
      <c r="AQ68" s="5">
        <f t="shared" si="82"/>
        <v>0</v>
      </c>
      <c r="AR68" s="5">
        <f t="shared" si="83"/>
        <v>548.20000000000005</v>
      </c>
      <c r="AS68" s="5">
        <f t="shared" si="84"/>
        <v>-0.20000000000004547</v>
      </c>
      <c r="AU68" s="22">
        <v>7</v>
      </c>
      <c r="AV68" s="5">
        <v>0</v>
      </c>
    </row>
    <row r="69" spans="1:48" ht="15" x14ac:dyDescent="0.2">
      <c r="B69" s="1" t="s">
        <v>61</v>
      </c>
      <c r="C69" s="7">
        <v>37926</v>
      </c>
      <c r="D69" s="5">
        <v>6934</v>
      </c>
      <c r="E69" s="6" t="s">
        <v>15</v>
      </c>
      <c r="F69" s="6">
        <v>20</v>
      </c>
      <c r="G69" s="5">
        <v>58</v>
      </c>
      <c r="H69" s="5">
        <f>SUM(D69/F69)</f>
        <v>346.7</v>
      </c>
      <c r="I69" s="5">
        <f>SUM(G69:H69)</f>
        <v>404.7</v>
      </c>
      <c r="J69" s="5">
        <f>SUM(D69/F69)</f>
        <v>346.7</v>
      </c>
      <c r="K69" s="5">
        <f>SUM(I69:J69)</f>
        <v>751.4</v>
      </c>
      <c r="L69" s="5">
        <f>SUM(D69/F69)</f>
        <v>346.7</v>
      </c>
      <c r="M69" s="5">
        <f>SUM(K69:L69)</f>
        <v>1098.0999999999999</v>
      </c>
      <c r="N69" s="5">
        <f>SUM(D69/F69)</f>
        <v>346.7</v>
      </c>
      <c r="O69" s="5">
        <f>SUM(M69+N69)</f>
        <v>1444.8</v>
      </c>
      <c r="P69" s="5">
        <f>SUM(D69/F69)</f>
        <v>346.7</v>
      </c>
      <c r="Q69" s="5">
        <f>SUM(O69+P69)</f>
        <v>1791.5</v>
      </c>
      <c r="R69" s="5">
        <f>SUM(D69/F69)</f>
        <v>346.7</v>
      </c>
      <c r="S69" s="5">
        <f t="shared" ref="S69:S74" si="102">SUM(Q69+R69)</f>
        <v>2138.1999999999998</v>
      </c>
      <c r="T69" s="5">
        <f>R69</f>
        <v>346.7</v>
      </c>
      <c r="U69" s="5">
        <f t="shared" si="85"/>
        <v>2484.8999999999996</v>
      </c>
      <c r="V69" s="5">
        <f t="shared" si="86"/>
        <v>346.7</v>
      </c>
      <c r="W69" s="5">
        <f t="shared" si="87"/>
        <v>2831.5999999999995</v>
      </c>
      <c r="X69" s="5">
        <f t="shared" si="88"/>
        <v>346.7</v>
      </c>
      <c r="Y69" s="5">
        <f t="shared" si="89"/>
        <v>3178.2999999999993</v>
      </c>
      <c r="Z69" s="5">
        <f t="shared" ref="Z69:Z74" si="103">X69</f>
        <v>346.7</v>
      </c>
      <c r="AA69" s="5">
        <f t="shared" si="90"/>
        <v>3524.9999999999991</v>
      </c>
      <c r="AB69" s="5">
        <f t="shared" si="91"/>
        <v>346.7</v>
      </c>
      <c r="AC69" s="5">
        <f t="shared" si="92"/>
        <v>3871.6999999999989</v>
      </c>
      <c r="AD69" s="5">
        <f t="shared" si="93"/>
        <v>346.7</v>
      </c>
      <c r="AE69" s="5">
        <f t="shared" si="94"/>
        <v>4218.3999999999987</v>
      </c>
      <c r="AF69" s="5">
        <f t="shared" si="95"/>
        <v>346.7</v>
      </c>
      <c r="AG69" s="5">
        <f t="shared" si="96"/>
        <v>4565.0999999999985</v>
      </c>
      <c r="AH69" s="5">
        <f t="shared" si="97"/>
        <v>346.7</v>
      </c>
      <c r="AI69" s="5">
        <f t="shared" si="98"/>
        <v>4911.7999999999984</v>
      </c>
      <c r="AJ69" s="5">
        <f t="shared" si="99"/>
        <v>346.7</v>
      </c>
      <c r="AK69" s="5">
        <f t="shared" si="100"/>
        <v>5258.4999999999982</v>
      </c>
      <c r="AL69" s="5">
        <f>AJ69</f>
        <v>346.7</v>
      </c>
      <c r="AM69" s="5">
        <f t="shared" si="101"/>
        <v>5605.199999999998</v>
      </c>
      <c r="AN69" s="12">
        <f>AL69</f>
        <v>346.7</v>
      </c>
      <c r="AO69" s="12">
        <f t="shared" si="80"/>
        <v>5951.8999999999978</v>
      </c>
      <c r="AP69" s="5">
        <f t="shared" si="81"/>
        <v>982.10000000000218</v>
      </c>
      <c r="AQ69" s="5">
        <f t="shared" si="82"/>
        <v>346.7</v>
      </c>
      <c r="AR69" s="5">
        <f t="shared" si="83"/>
        <v>6298.5999999999976</v>
      </c>
      <c r="AS69" s="5">
        <f t="shared" si="84"/>
        <v>635.40000000000236</v>
      </c>
      <c r="AU69" s="22">
        <v>7</v>
      </c>
      <c r="AV69" s="5">
        <v>0</v>
      </c>
    </row>
    <row r="70" spans="1:48" ht="15" x14ac:dyDescent="0.2">
      <c r="B70" s="1" t="s">
        <v>62</v>
      </c>
      <c r="C70" s="7">
        <v>38147</v>
      </c>
      <c r="D70" s="5">
        <v>14795</v>
      </c>
      <c r="E70" s="6" t="s">
        <v>15</v>
      </c>
      <c r="F70" s="6">
        <v>20</v>
      </c>
      <c r="G70" s="5"/>
      <c r="H70" s="5">
        <f>SUM(D70/F70/2)</f>
        <v>369.875</v>
      </c>
      <c r="I70" s="5">
        <f>SUM(G70:H70)</f>
        <v>369.875</v>
      </c>
      <c r="J70" s="5">
        <f>SUM(D70/F70)</f>
        <v>739.75</v>
      </c>
      <c r="K70" s="5">
        <f>SUM(I70:J70)</f>
        <v>1109.625</v>
      </c>
      <c r="L70" s="5">
        <f>SUM(D70/F70)</f>
        <v>739.75</v>
      </c>
      <c r="M70" s="5">
        <f>SUM(K70:L70)</f>
        <v>1849.375</v>
      </c>
      <c r="N70" s="5">
        <f>SUM(D70/F70)</f>
        <v>739.75</v>
      </c>
      <c r="O70" s="5">
        <f>SUM(M70+N70)</f>
        <v>2589.125</v>
      </c>
      <c r="P70" s="5">
        <f>SUM(D70/F70)</f>
        <v>739.75</v>
      </c>
      <c r="Q70" s="5">
        <f>SUM(O70+P70)</f>
        <v>3328.875</v>
      </c>
      <c r="R70" s="5">
        <f>SUM(D70/F70)</f>
        <v>739.75</v>
      </c>
      <c r="S70" s="5">
        <f t="shared" si="102"/>
        <v>4068.625</v>
      </c>
      <c r="T70" s="5">
        <f>R70</f>
        <v>739.75</v>
      </c>
      <c r="U70" s="5">
        <f t="shared" si="85"/>
        <v>4808.375</v>
      </c>
      <c r="V70" s="5">
        <f t="shared" si="86"/>
        <v>739.75</v>
      </c>
      <c r="W70" s="5">
        <f t="shared" si="87"/>
        <v>5548.125</v>
      </c>
      <c r="X70" s="5">
        <f t="shared" si="88"/>
        <v>739.75</v>
      </c>
      <c r="Y70" s="5">
        <f t="shared" si="89"/>
        <v>6287.875</v>
      </c>
      <c r="Z70" s="5">
        <f t="shared" si="103"/>
        <v>739.75</v>
      </c>
      <c r="AA70" s="5">
        <f t="shared" si="90"/>
        <v>7027.625</v>
      </c>
      <c r="AB70" s="5">
        <f t="shared" si="91"/>
        <v>739.75</v>
      </c>
      <c r="AC70" s="5">
        <f t="shared" si="92"/>
        <v>7767.375</v>
      </c>
      <c r="AD70" s="5">
        <f t="shared" si="93"/>
        <v>739.75</v>
      </c>
      <c r="AE70" s="5">
        <f t="shared" si="94"/>
        <v>8507.125</v>
      </c>
      <c r="AF70" s="5">
        <f t="shared" si="95"/>
        <v>739.75</v>
      </c>
      <c r="AG70" s="5">
        <f t="shared" si="96"/>
        <v>9246.875</v>
      </c>
      <c r="AH70" s="5">
        <f t="shared" si="97"/>
        <v>739.75</v>
      </c>
      <c r="AI70" s="5">
        <f t="shared" si="98"/>
        <v>9986.625</v>
      </c>
      <c r="AJ70" s="5">
        <f t="shared" si="99"/>
        <v>739.75</v>
      </c>
      <c r="AK70" s="5">
        <f t="shared" si="100"/>
        <v>10726.375</v>
      </c>
      <c r="AL70" s="5">
        <f>AJ70</f>
        <v>739.75</v>
      </c>
      <c r="AM70" s="5">
        <f t="shared" si="101"/>
        <v>11466.125</v>
      </c>
      <c r="AN70" s="12">
        <f>AL70</f>
        <v>739.75</v>
      </c>
      <c r="AO70" s="12">
        <f t="shared" si="80"/>
        <v>12205.875</v>
      </c>
      <c r="AP70" s="5">
        <f t="shared" si="81"/>
        <v>2589.125</v>
      </c>
      <c r="AQ70" s="5">
        <f t="shared" si="82"/>
        <v>739.75</v>
      </c>
      <c r="AR70" s="5">
        <f t="shared" si="83"/>
        <v>12945.625</v>
      </c>
      <c r="AS70" s="5">
        <f t="shared" si="84"/>
        <v>1849.375</v>
      </c>
      <c r="AU70" s="22">
        <v>7</v>
      </c>
      <c r="AV70" s="5">
        <v>0</v>
      </c>
    </row>
    <row r="71" spans="1:48" ht="15" x14ac:dyDescent="0.2">
      <c r="B71" s="1" t="s">
        <v>63</v>
      </c>
      <c r="C71" s="7">
        <v>38898</v>
      </c>
      <c r="D71" s="5">
        <v>39515</v>
      </c>
      <c r="E71" s="6" t="s">
        <v>15</v>
      </c>
      <c r="F71" s="6">
        <v>20</v>
      </c>
      <c r="G71" s="5"/>
      <c r="H71" s="5"/>
      <c r="I71" s="5"/>
      <c r="J71" s="5"/>
      <c r="K71" s="5"/>
      <c r="L71" s="5">
        <f>SUM(D71/F71)</f>
        <v>1975.75</v>
      </c>
      <c r="M71" s="5">
        <f>SUM(K71:L71)</f>
        <v>1975.75</v>
      </c>
      <c r="N71" s="5">
        <f>SUM(D71/F71)</f>
        <v>1975.75</v>
      </c>
      <c r="O71" s="5">
        <f>SUM(M71+N71)</f>
        <v>3951.5</v>
      </c>
      <c r="P71" s="5">
        <f>SUM(D71/F71)</f>
        <v>1975.75</v>
      </c>
      <c r="Q71" s="5">
        <f>SUM(O71+P71)</f>
        <v>5927.25</v>
      </c>
      <c r="R71" s="5">
        <f>SUM(D71/F71)</f>
        <v>1975.75</v>
      </c>
      <c r="S71" s="5">
        <f t="shared" si="102"/>
        <v>7903</v>
      </c>
      <c r="T71" s="5">
        <f>R71</f>
        <v>1975.75</v>
      </c>
      <c r="U71" s="5">
        <f t="shared" si="85"/>
        <v>9878.75</v>
      </c>
      <c r="V71" s="5">
        <f t="shared" si="86"/>
        <v>1975.75</v>
      </c>
      <c r="W71" s="5">
        <f t="shared" si="87"/>
        <v>11854.5</v>
      </c>
      <c r="X71" s="5">
        <f t="shared" si="88"/>
        <v>1975.75</v>
      </c>
      <c r="Y71" s="5">
        <f t="shared" si="89"/>
        <v>13830.25</v>
      </c>
      <c r="Z71" s="5">
        <f t="shared" si="103"/>
        <v>1975.75</v>
      </c>
      <c r="AA71" s="5">
        <f t="shared" si="90"/>
        <v>15806</v>
      </c>
      <c r="AB71" s="5">
        <f t="shared" si="91"/>
        <v>1975.75</v>
      </c>
      <c r="AC71" s="5">
        <f t="shared" si="92"/>
        <v>17781.75</v>
      </c>
      <c r="AD71" s="5">
        <f t="shared" si="93"/>
        <v>1975.75</v>
      </c>
      <c r="AE71" s="5">
        <f t="shared" si="94"/>
        <v>19757.5</v>
      </c>
      <c r="AF71" s="5">
        <f t="shared" si="95"/>
        <v>1975.75</v>
      </c>
      <c r="AG71" s="5">
        <f t="shared" si="96"/>
        <v>21733.25</v>
      </c>
      <c r="AH71" s="5">
        <f t="shared" si="97"/>
        <v>1975.75</v>
      </c>
      <c r="AI71" s="5">
        <f t="shared" si="98"/>
        <v>23709</v>
      </c>
      <c r="AJ71" s="5">
        <f t="shared" si="99"/>
        <v>1975.75</v>
      </c>
      <c r="AK71" s="5">
        <f t="shared" si="100"/>
        <v>25684.75</v>
      </c>
      <c r="AL71" s="5">
        <f>AJ71</f>
        <v>1975.75</v>
      </c>
      <c r="AM71" s="5">
        <f t="shared" si="101"/>
        <v>27660.5</v>
      </c>
      <c r="AN71" s="12">
        <f>AL71</f>
        <v>1975.75</v>
      </c>
      <c r="AO71" s="12">
        <f t="shared" si="80"/>
        <v>29636.25</v>
      </c>
      <c r="AP71" s="5">
        <f t="shared" si="81"/>
        <v>9878.75</v>
      </c>
      <c r="AQ71" s="5">
        <f t="shared" si="82"/>
        <v>1975.75</v>
      </c>
      <c r="AR71" s="5">
        <f t="shared" si="83"/>
        <v>31612</v>
      </c>
      <c r="AS71" s="5">
        <f t="shared" si="84"/>
        <v>7903</v>
      </c>
      <c r="AU71" s="22">
        <v>7</v>
      </c>
      <c r="AV71" s="5">
        <v>0</v>
      </c>
    </row>
    <row r="72" spans="1:48" ht="15" x14ac:dyDescent="0.2">
      <c r="B72" s="1" t="s">
        <v>64</v>
      </c>
      <c r="C72" s="7">
        <v>39994</v>
      </c>
      <c r="D72" s="5">
        <v>36012</v>
      </c>
      <c r="E72" s="6" t="s">
        <v>15</v>
      </c>
      <c r="F72" s="6">
        <v>10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>SUM(D72/10/2)</f>
        <v>1800.6</v>
      </c>
      <c r="S72" s="5">
        <f t="shared" si="102"/>
        <v>1800.6</v>
      </c>
      <c r="T72" s="5">
        <f>SUM(D72/10)</f>
        <v>3601.2</v>
      </c>
      <c r="U72" s="5">
        <f t="shared" si="85"/>
        <v>5401.7999999999993</v>
      </c>
      <c r="V72" s="5">
        <f t="shared" si="86"/>
        <v>3601.2</v>
      </c>
      <c r="W72" s="5">
        <f t="shared" si="87"/>
        <v>9003</v>
      </c>
      <c r="X72" s="5">
        <f t="shared" si="88"/>
        <v>3601.2</v>
      </c>
      <c r="Y72" s="5">
        <f t="shared" si="89"/>
        <v>12604.2</v>
      </c>
      <c r="Z72" s="5">
        <f t="shared" si="103"/>
        <v>3601.2</v>
      </c>
      <c r="AA72" s="5">
        <f t="shared" si="90"/>
        <v>16205.400000000001</v>
      </c>
      <c r="AB72" s="5">
        <f t="shared" si="91"/>
        <v>3601.2</v>
      </c>
      <c r="AC72" s="5">
        <f t="shared" si="92"/>
        <v>19806.600000000002</v>
      </c>
      <c r="AD72" s="5">
        <f t="shared" si="93"/>
        <v>3601.2</v>
      </c>
      <c r="AE72" s="5">
        <f t="shared" si="94"/>
        <v>23407.800000000003</v>
      </c>
      <c r="AF72" s="5">
        <f t="shared" si="95"/>
        <v>3601.2</v>
      </c>
      <c r="AG72" s="5">
        <f t="shared" si="96"/>
        <v>27009.000000000004</v>
      </c>
      <c r="AH72" s="5">
        <f t="shared" si="97"/>
        <v>3601.2</v>
      </c>
      <c r="AI72" s="5">
        <f t="shared" si="98"/>
        <v>30610.200000000004</v>
      </c>
      <c r="AJ72" s="5">
        <f t="shared" si="99"/>
        <v>3601.2</v>
      </c>
      <c r="AK72" s="5">
        <f t="shared" si="100"/>
        <v>34211.4</v>
      </c>
      <c r="AL72" s="5">
        <f>36012-34211</f>
        <v>1801</v>
      </c>
      <c r="AM72" s="5">
        <f t="shared" si="101"/>
        <v>36012.400000000001</v>
      </c>
      <c r="AN72" s="12">
        <v>0</v>
      </c>
      <c r="AO72" s="12">
        <f t="shared" si="80"/>
        <v>36012.400000000001</v>
      </c>
      <c r="AP72" s="5">
        <f t="shared" si="81"/>
        <v>-0.40000000000145519</v>
      </c>
      <c r="AQ72" s="5">
        <f t="shared" si="82"/>
        <v>0</v>
      </c>
      <c r="AR72" s="5">
        <f t="shared" si="83"/>
        <v>36012.400000000001</v>
      </c>
      <c r="AS72" s="5">
        <f t="shared" si="84"/>
        <v>-0.40000000000145519</v>
      </c>
      <c r="AU72" s="22">
        <v>7</v>
      </c>
      <c r="AV72" s="5">
        <v>0</v>
      </c>
    </row>
    <row r="73" spans="1:48" ht="15" x14ac:dyDescent="0.2">
      <c r="B73" s="1" t="s">
        <v>65</v>
      </c>
      <c r="C73" s="7">
        <v>39994</v>
      </c>
      <c r="D73" s="5">
        <v>82901</v>
      </c>
      <c r="E73" s="6" t="s">
        <v>15</v>
      </c>
      <c r="F73" s="6">
        <v>20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>SUM(D73/20/2)</f>
        <v>2072.5250000000001</v>
      </c>
      <c r="S73" s="5">
        <f t="shared" si="102"/>
        <v>2072.5250000000001</v>
      </c>
      <c r="T73" s="5">
        <f>SUM(D73/20)</f>
        <v>4145.05</v>
      </c>
      <c r="U73" s="5">
        <f t="shared" si="85"/>
        <v>6217.5750000000007</v>
      </c>
      <c r="V73" s="5">
        <f t="shared" si="86"/>
        <v>4145.05</v>
      </c>
      <c r="W73" s="5">
        <f t="shared" si="87"/>
        <v>10362.625</v>
      </c>
      <c r="X73" s="5">
        <f t="shared" si="88"/>
        <v>4145.05</v>
      </c>
      <c r="Y73" s="5">
        <f t="shared" si="89"/>
        <v>14507.674999999999</v>
      </c>
      <c r="Z73" s="5">
        <f t="shared" si="103"/>
        <v>4145.05</v>
      </c>
      <c r="AA73" s="5">
        <f t="shared" si="90"/>
        <v>18652.724999999999</v>
      </c>
      <c r="AB73" s="5">
        <f t="shared" si="91"/>
        <v>4145.05</v>
      </c>
      <c r="AC73" s="5">
        <f t="shared" si="92"/>
        <v>22797.774999999998</v>
      </c>
      <c r="AD73" s="5">
        <f t="shared" si="93"/>
        <v>4145.05</v>
      </c>
      <c r="AE73" s="5">
        <f t="shared" si="94"/>
        <v>26942.824999999997</v>
      </c>
      <c r="AF73" s="5">
        <f t="shared" si="95"/>
        <v>4145.05</v>
      </c>
      <c r="AG73" s="5">
        <f t="shared" si="96"/>
        <v>31087.874999999996</v>
      </c>
      <c r="AH73" s="5">
        <f t="shared" si="97"/>
        <v>4145.05</v>
      </c>
      <c r="AI73" s="5">
        <f t="shared" si="98"/>
        <v>35232.924999999996</v>
      </c>
      <c r="AJ73" s="5">
        <f t="shared" si="99"/>
        <v>4145.05</v>
      </c>
      <c r="AK73" s="5">
        <f t="shared" si="100"/>
        <v>39377.974999999999</v>
      </c>
      <c r="AL73" s="5">
        <f>AJ73</f>
        <v>4145.05</v>
      </c>
      <c r="AM73" s="5">
        <f t="shared" si="101"/>
        <v>43523.025000000001</v>
      </c>
      <c r="AN73" s="12">
        <f>AL73</f>
        <v>4145.05</v>
      </c>
      <c r="AO73" s="12">
        <f t="shared" si="80"/>
        <v>47668.075000000004</v>
      </c>
      <c r="AP73" s="5">
        <f t="shared" si="81"/>
        <v>35232.924999999996</v>
      </c>
      <c r="AQ73" s="5">
        <f t="shared" si="82"/>
        <v>4145.05</v>
      </c>
      <c r="AR73" s="5">
        <f t="shared" si="83"/>
        <v>51813.125000000007</v>
      </c>
      <c r="AS73" s="5">
        <f t="shared" si="84"/>
        <v>31087.874999999993</v>
      </c>
      <c r="AU73" s="22">
        <v>7</v>
      </c>
      <c r="AV73" s="5">
        <v>0</v>
      </c>
    </row>
    <row r="74" spans="1:48" ht="15" x14ac:dyDescent="0.2">
      <c r="B74" s="1" t="s">
        <v>66</v>
      </c>
      <c r="C74" s="7">
        <v>39994</v>
      </c>
      <c r="D74" s="5">
        <v>58000</v>
      </c>
      <c r="E74" s="6" t="s">
        <v>15</v>
      </c>
      <c r="F74" s="6">
        <v>20</v>
      </c>
      <c r="G74" s="5"/>
      <c r="H74" s="5"/>
      <c r="I74" s="5"/>
      <c r="J74" s="5"/>
      <c r="K74" s="5"/>
      <c r="L74" s="5"/>
      <c r="M74" s="5"/>
      <c r="N74" s="5"/>
      <c r="O74" s="5"/>
      <c r="Q74" s="5"/>
      <c r="R74" s="5">
        <f>SUM(D74/20/2)</f>
        <v>1450</v>
      </c>
      <c r="S74" s="5">
        <f t="shared" si="102"/>
        <v>1450</v>
      </c>
      <c r="T74" s="5">
        <f>SUM(D74/20)</f>
        <v>2900</v>
      </c>
      <c r="U74" s="5">
        <f t="shared" si="85"/>
        <v>4350</v>
      </c>
      <c r="V74" s="5">
        <f t="shared" si="86"/>
        <v>2900</v>
      </c>
      <c r="W74" s="5">
        <f t="shared" si="87"/>
        <v>7250</v>
      </c>
      <c r="X74" s="5">
        <f t="shared" si="88"/>
        <v>2900</v>
      </c>
      <c r="Y74" s="5">
        <f t="shared" si="89"/>
        <v>10150</v>
      </c>
      <c r="Z74" s="5">
        <f t="shared" si="103"/>
        <v>2900</v>
      </c>
      <c r="AA74" s="5">
        <f t="shared" si="90"/>
        <v>13050</v>
      </c>
      <c r="AB74" s="5">
        <f t="shared" si="91"/>
        <v>2900</v>
      </c>
      <c r="AC74" s="5">
        <f t="shared" si="92"/>
        <v>15950</v>
      </c>
      <c r="AD74" s="5">
        <f t="shared" si="93"/>
        <v>2900</v>
      </c>
      <c r="AE74" s="5">
        <f t="shared" si="94"/>
        <v>18850</v>
      </c>
      <c r="AF74" s="5">
        <f t="shared" si="95"/>
        <v>2900</v>
      </c>
      <c r="AG74" s="5">
        <f t="shared" si="96"/>
        <v>21750</v>
      </c>
      <c r="AH74" s="5">
        <f t="shared" si="97"/>
        <v>2900</v>
      </c>
      <c r="AI74" s="5">
        <f t="shared" si="98"/>
        <v>24650</v>
      </c>
      <c r="AJ74" s="5">
        <f t="shared" si="99"/>
        <v>2900</v>
      </c>
      <c r="AK74" s="5">
        <f t="shared" si="100"/>
        <v>27550</v>
      </c>
      <c r="AL74" s="5">
        <f>AJ74</f>
        <v>2900</v>
      </c>
      <c r="AM74" s="5">
        <f t="shared" si="101"/>
        <v>30450</v>
      </c>
      <c r="AN74" s="1">
        <f>AL74</f>
        <v>2900</v>
      </c>
      <c r="AO74" s="1">
        <f t="shared" si="80"/>
        <v>33350</v>
      </c>
      <c r="AP74" s="5">
        <f t="shared" si="81"/>
        <v>24650</v>
      </c>
      <c r="AQ74" s="5">
        <f t="shared" si="82"/>
        <v>2900</v>
      </c>
      <c r="AR74" s="5">
        <f t="shared" si="83"/>
        <v>36250</v>
      </c>
      <c r="AS74" s="5">
        <f t="shared" si="84"/>
        <v>21750</v>
      </c>
      <c r="AU74" s="22">
        <v>7</v>
      </c>
      <c r="AV74" s="5">
        <v>0</v>
      </c>
    </row>
    <row r="75" spans="1:48" ht="15" x14ac:dyDescent="0.2">
      <c r="B75" s="1" t="s">
        <v>67</v>
      </c>
      <c r="C75" s="7">
        <v>40179</v>
      </c>
      <c r="D75" s="5">
        <v>7382</v>
      </c>
      <c r="E75" s="6" t="s">
        <v>15</v>
      </c>
      <c r="F75" s="6">
        <v>20</v>
      </c>
      <c r="G75" s="5"/>
      <c r="H75" s="5"/>
      <c r="I75" s="5"/>
      <c r="J75" s="5"/>
      <c r="K75" s="5"/>
      <c r="L75" s="5"/>
      <c r="M75" s="5"/>
      <c r="R75" s="5"/>
      <c r="T75" s="1">
        <v>369</v>
      </c>
      <c r="U75" s="1">
        <v>369</v>
      </c>
      <c r="V75" s="1">
        <v>369</v>
      </c>
      <c r="W75" s="5">
        <f t="shared" si="87"/>
        <v>738</v>
      </c>
      <c r="X75" s="1">
        <v>369</v>
      </c>
      <c r="Y75" s="5">
        <f t="shared" si="89"/>
        <v>1107</v>
      </c>
      <c r="Z75" s="1">
        <v>369</v>
      </c>
      <c r="AA75" s="5">
        <f t="shared" si="90"/>
        <v>1476</v>
      </c>
      <c r="AB75" s="5">
        <f t="shared" si="91"/>
        <v>369</v>
      </c>
      <c r="AC75" s="5">
        <f t="shared" si="92"/>
        <v>1845</v>
      </c>
      <c r="AD75" s="5">
        <f t="shared" si="93"/>
        <v>369</v>
      </c>
      <c r="AE75" s="5">
        <f t="shared" si="94"/>
        <v>2214</v>
      </c>
      <c r="AF75" s="5">
        <f t="shared" si="95"/>
        <v>369</v>
      </c>
      <c r="AG75" s="5">
        <f t="shared" si="96"/>
        <v>2583</v>
      </c>
      <c r="AH75" s="5">
        <f t="shared" si="97"/>
        <v>369</v>
      </c>
      <c r="AI75" s="5">
        <f t="shared" si="98"/>
        <v>2952</v>
      </c>
      <c r="AJ75" s="5">
        <f t="shared" si="99"/>
        <v>369</v>
      </c>
      <c r="AK75" s="5">
        <f t="shared" si="100"/>
        <v>3321</v>
      </c>
      <c r="AL75" s="5">
        <f>AJ75</f>
        <v>369</v>
      </c>
      <c r="AM75" s="5">
        <f t="shared" si="101"/>
        <v>3690</v>
      </c>
      <c r="AN75" s="1">
        <f>AL75</f>
        <v>369</v>
      </c>
      <c r="AO75" s="1">
        <f t="shared" si="80"/>
        <v>4059</v>
      </c>
      <c r="AP75" s="5">
        <f t="shared" si="81"/>
        <v>3323</v>
      </c>
      <c r="AQ75" s="5">
        <f t="shared" si="82"/>
        <v>369</v>
      </c>
      <c r="AR75" s="5">
        <f t="shared" si="83"/>
        <v>4428</v>
      </c>
      <c r="AS75" s="5">
        <f t="shared" si="84"/>
        <v>2954</v>
      </c>
      <c r="AU75" s="22">
        <v>7</v>
      </c>
      <c r="AV75" s="5">
        <v>0</v>
      </c>
    </row>
    <row r="76" spans="1:48" ht="15" x14ac:dyDescent="0.2">
      <c r="C76" s="7"/>
      <c r="D76" s="5"/>
      <c r="E76" s="6"/>
      <c r="F76" s="6"/>
      <c r="G76" s="5"/>
      <c r="H76" s="5"/>
      <c r="I76" s="5"/>
      <c r="J76" s="5"/>
      <c r="K76" s="5"/>
      <c r="L76" s="5"/>
      <c r="M76" s="5"/>
      <c r="R76" s="5"/>
      <c r="W76" s="5"/>
      <c r="Y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U76" s="20"/>
    </row>
    <row r="77" spans="1:48" x14ac:dyDescent="0.25">
      <c r="D77" s="8">
        <f>SUM(D65:D75)</f>
        <v>246248</v>
      </c>
      <c r="E77" s="9"/>
      <c r="F77" s="9"/>
      <c r="G77" s="8">
        <f t="shared" ref="G77:R77" si="104">SUM(G67:G75)</f>
        <v>128</v>
      </c>
      <c r="H77" s="8">
        <f t="shared" si="104"/>
        <v>771.375</v>
      </c>
      <c r="I77" s="8">
        <f t="shared" si="104"/>
        <v>899.375</v>
      </c>
      <c r="J77" s="8">
        <f t="shared" si="104"/>
        <v>1141.25</v>
      </c>
      <c r="K77" s="8">
        <f t="shared" si="104"/>
        <v>2040.625</v>
      </c>
      <c r="L77" s="8">
        <f t="shared" si="104"/>
        <v>3117</v>
      </c>
      <c r="M77" s="8">
        <f t="shared" si="104"/>
        <v>5157.625</v>
      </c>
      <c r="N77" s="8">
        <f t="shared" si="104"/>
        <v>3117</v>
      </c>
      <c r="O77" s="8">
        <f t="shared" si="104"/>
        <v>8274.625</v>
      </c>
      <c r="P77" s="8">
        <f t="shared" si="104"/>
        <v>3117</v>
      </c>
      <c r="Q77" s="8">
        <f t="shared" si="104"/>
        <v>11391.625</v>
      </c>
      <c r="R77" s="8">
        <f t="shared" si="104"/>
        <v>8440.125</v>
      </c>
      <c r="S77" s="8">
        <f>SUM(S67:S74)</f>
        <v>19816.75</v>
      </c>
      <c r="T77" s="8">
        <f t="shared" ref="T77:AA77" si="105">SUM(T67:T75)</f>
        <v>14132.25</v>
      </c>
      <c r="U77" s="8">
        <f t="shared" si="105"/>
        <v>33949</v>
      </c>
      <c r="V77" s="8">
        <f t="shared" si="105"/>
        <v>14132.25</v>
      </c>
      <c r="W77" s="8">
        <f t="shared" si="105"/>
        <v>48081.25</v>
      </c>
      <c r="X77" s="8">
        <f t="shared" si="105"/>
        <v>14132.25</v>
      </c>
      <c r="Y77" s="8">
        <f t="shared" si="105"/>
        <v>62213.5</v>
      </c>
      <c r="Z77" s="8">
        <f t="shared" si="105"/>
        <v>14077.45</v>
      </c>
      <c r="AA77" s="8">
        <f t="shared" si="105"/>
        <v>76290.95</v>
      </c>
      <c r="AB77" s="5">
        <f>Z77</f>
        <v>14077.45</v>
      </c>
      <c r="AC77" s="5">
        <f>AA77+AB77</f>
        <v>90368.4</v>
      </c>
      <c r="AD77" s="5">
        <f>AB77</f>
        <v>14077.45</v>
      </c>
      <c r="AE77" s="5">
        <f>AC77+AD77</f>
        <v>104445.84999999999</v>
      </c>
      <c r="AF77" s="5">
        <f>AD77</f>
        <v>14077.45</v>
      </c>
      <c r="AG77" s="5">
        <f>AE77+AF77</f>
        <v>118523.29999999999</v>
      </c>
      <c r="AH77" s="5">
        <f>AF77</f>
        <v>14077.45</v>
      </c>
      <c r="AI77" s="8">
        <f>SUM(AI65:AI75)</f>
        <v>132761.75</v>
      </c>
      <c r="AJ77" s="8">
        <f>SUM(AJ65:AJ75)</f>
        <v>14077.45</v>
      </c>
      <c r="AK77" s="8">
        <f>SUM(AK65:AK75)</f>
        <v>146839.20000000001</v>
      </c>
      <c r="AL77" s="8">
        <f>SUM(AL65:AL75)</f>
        <v>12277.25</v>
      </c>
      <c r="AM77" s="8">
        <f>SUM(AM65:AM75)</f>
        <v>159116.44999999998</v>
      </c>
      <c r="AN77" s="8">
        <f t="shared" ref="AN77:AS77" si="106">SUM(AN67:AN76)</f>
        <v>10476.25</v>
      </c>
      <c r="AO77" s="8">
        <f t="shared" si="106"/>
        <v>169592.7</v>
      </c>
      <c r="AP77" s="8">
        <f t="shared" si="106"/>
        <v>76655.299999999988</v>
      </c>
      <c r="AQ77" s="8">
        <f t="shared" si="106"/>
        <v>10476.25</v>
      </c>
      <c r="AR77" s="8">
        <f t="shared" si="106"/>
        <v>180068.95</v>
      </c>
      <c r="AS77" s="8">
        <f t="shared" si="106"/>
        <v>66179.049999999988</v>
      </c>
      <c r="AU77" s="20"/>
      <c r="AV77" s="8">
        <f>SUM(AV67:AV76)</f>
        <v>0</v>
      </c>
    </row>
    <row r="78" spans="1:48" x14ac:dyDescent="0.25">
      <c r="D78" s="8"/>
      <c r="E78" s="9"/>
      <c r="F78" s="9"/>
      <c r="G78" s="8"/>
      <c r="H78" s="8"/>
      <c r="I78" s="8"/>
      <c r="J78" s="8"/>
      <c r="K78" s="8"/>
      <c r="L78" s="8"/>
      <c r="M78" s="8"/>
      <c r="N78" s="11"/>
      <c r="O78" s="11"/>
      <c r="P78" s="11"/>
      <c r="Q78" s="11"/>
      <c r="R78" s="8"/>
      <c r="S78" s="11"/>
      <c r="T78" s="11"/>
      <c r="U78" s="11"/>
      <c r="AB78" s="5"/>
      <c r="AC78" s="5"/>
      <c r="AD78" s="5"/>
      <c r="AE78" s="5"/>
      <c r="AF78" s="8"/>
      <c r="AH78" s="8"/>
      <c r="AJ78" s="8"/>
      <c r="AL78" s="8"/>
      <c r="AU78" s="20"/>
    </row>
    <row r="79" spans="1:48" x14ac:dyDescent="0.25">
      <c r="D79" s="8"/>
      <c r="E79" s="9"/>
      <c r="F79" s="9"/>
      <c r="G79" s="8"/>
      <c r="H79" s="8"/>
      <c r="I79" s="8"/>
      <c r="J79" s="8"/>
      <c r="K79" s="8"/>
      <c r="L79" s="8"/>
      <c r="M79" s="8"/>
      <c r="N79" s="11"/>
      <c r="O79" s="11"/>
      <c r="P79" s="11"/>
      <c r="Q79" s="11"/>
      <c r="R79" s="8"/>
      <c r="S79" s="11"/>
      <c r="T79" s="11"/>
      <c r="U79" s="11"/>
      <c r="AB79" s="5"/>
      <c r="AC79" s="5"/>
      <c r="AD79" s="5"/>
      <c r="AE79" s="5"/>
      <c r="AF79" s="8"/>
      <c r="AH79" s="8"/>
      <c r="AJ79" s="8"/>
      <c r="AL79" s="8"/>
      <c r="AU79" s="20"/>
    </row>
    <row r="80" spans="1:48" x14ac:dyDescent="0.25">
      <c r="A80" s="1">
        <v>363.2</v>
      </c>
      <c r="B80" s="1" t="s">
        <v>68</v>
      </c>
      <c r="D80" s="8"/>
      <c r="E80" s="9"/>
      <c r="F80" s="9"/>
      <c r="G80" s="8"/>
      <c r="H80" s="8"/>
      <c r="I80" s="8"/>
      <c r="J80" s="8"/>
      <c r="K80" s="8"/>
      <c r="L80" s="8"/>
      <c r="M80" s="8"/>
      <c r="N80" s="11"/>
      <c r="O80" s="11"/>
      <c r="P80" s="11"/>
      <c r="Q80" s="11"/>
      <c r="R80" s="8"/>
      <c r="S80" s="11"/>
      <c r="T80" s="11"/>
      <c r="U80" s="11"/>
      <c r="AB80" s="5"/>
      <c r="AC80" s="5"/>
      <c r="AD80" s="5"/>
      <c r="AE80" s="5"/>
      <c r="AF80" s="8"/>
      <c r="AH80" s="8"/>
      <c r="AJ80" s="8"/>
      <c r="AL80" s="8"/>
      <c r="AU80" s="20"/>
    </row>
    <row r="81" spans="1:48" x14ac:dyDescent="0.25">
      <c r="B81" s="1" t="s">
        <v>69</v>
      </c>
      <c r="C81" s="7">
        <v>38168</v>
      </c>
      <c r="D81" s="8">
        <v>47654</v>
      </c>
      <c r="E81" s="9" t="s">
        <v>15</v>
      </c>
      <c r="F81" s="9">
        <v>20</v>
      </c>
      <c r="G81" s="8"/>
      <c r="H81" s="8">
        <f>SUM(D81/F81/2)</f>
        <v>1191.3499999999999</v>
      </c>
      <c r="I81" s="8">
        <f>SUM(G81:H81)</f>
        <v>1191.3499999999999</v>
      </c>
      <c r="J81" s="8">
        <f>SUM(D81/F81)</f>
        <v>2382.6999999999998</v>
      </c>
      <c r="K81" s="8">
        <f>SUM(I81:J81)</f>
        <v>3574.0499999999997</v>
      </c>
      <c r="L81" s="8">
        <f>SUM(D81/F81)</f>
        <v>2382.6999999999998</v>
      </c>
      <c r="M81" s="8">
        <f>SUM(K81:L81)</f>
        <v>5956.75</v>
      </c>
      <c r="N81" s="8">
        <f>SUM(D81/F81)</f>
        <v>2382.6999999999998</v>
      </c>
      <c r="O81" s="8">
        <f>SUM(M81+N81)</f>
        <v>8339.4500000000007</v>
      </c>
      <c r="P81" s="8">
        <f>SUM(D81/F81)</f>
        <v>2382.6999999999998</v>
      </c>
      <c r="Q81" s="8">
        <f>SUM(O81+P81)</f>
        <v>10722.150000000001</v>
      </c>
      <c r="R81" s="8">
        <f>SUM(D81/F81)</f>
        <v>2382.6999999999998</v>
      </c>
      <c r="S81" s="8">
        <f>SUM(Q81+R81)</f>
        <v>13104.850000000002</v>
      </c>
      <c r="T81" s="8">
        <f>R81</f>
        <v>2382.6999999999998</v>
      </c>
      <c r="U81" s="8">
        <f>S81+T81</f>
        <v>15487.550000000003</v>
      </c>
      <c r="V81" s="8">
        <f>T81</f>
        <v>2382.6999999999998</v>
      </c>
      <c r="W81" s="8">
        <f>U81+V81</f>
        <v>17870.250000000004</v>
      </c>
      <c r="X81" s="8">
        <f>V81</f>
        <v>2382.6999999999998</v>
      </c>
      <c r="Y81" s="8">
        <f>W81+X81</f>
        <v>20252.950000000004</v>
      </c>
      <c r="Z81" s="8">
        <f>X81</f>
        <v>2382.6999999999998</v>
      </c>
      <c r="AA81" s="8">
        <f>Y81+Z81</f>
        <v>22635.650000000005</v>
      </c>
      <c r="AB81" s="5">
        <f>Z81</f>
        <v>2382.6999999999998</v>
      </c>
      <c r="AC81" s="5">
        <f>AA81+AB81</f>
        <v>25018.350000000006</v>
      </c>
      <c r="AD81" s="5">
        <f>AB81</f>
        <v>2382.6999999999998</v>
      </c>
      <c r="AE81" s="5">
        <f>AC81+AD81</f>
        <v>27401.050000000007</v>
      </c>
      <c r="AF81" s="5">
        <f>AD81</f>
        <v>2382.6999999999998</v>
      </c>
      <c r="AG81" s="5">
        <f>AE81+AF81</f>
        <v>29783.750000000007</v>
      </c>
      <c r="AH81" s="5">
        <f>AF81</f>
        <v>2382.6999999999998</v>
      </c>
      <c r="AI81" s="5">
        <f>AG81+AH81</f>
        <v>32166.450000000008</v>
      </c>
      <c r="AJ81" s="5">
        <f>AH81</f>
        <v>2382.6999999999998</v>
      </c>
      <c r="AK81" s="5">
        <f>AI81+AJ81</f>
        <v>34549.150000000009</v>
      </c>
      <c r="AL81" s="5">
        <f>AJ81</f>
        <v>2382.6999999999998</v>
      </c>
      <c r="AM81" s="5">
        <f>AK81+AL81</f>
        <v>36931.850000000006</v>
      </c>
      <c r="AN81" s="5">
        <v>2383</v>
      </c>
      <c r="AO81" s="5">
        <f>AL81+AM81</f>
        <v>39314.550000000003</v>
      </c>
      <c r="AP81" s="5">
        <f>D81-AO81</f>
        <v>8339.4499999999971</v>
      </c>
      <c r="AQ81" s="5">
        <f>SUM(AN81)</f>
        <v>2383</v>
      </c>
      <c r="AR81" s="5">
        <f>AO81+AQ81</f>
        <v>41697.550000000003</v>
      </c>
      <c r="AS81" s="5">
        <f>D81-AR81</f>
        <v>5956.4499999999971</v>
      </c>
      <c r="AU81" s="20">
        <v>7</v>
      </c>
      <c r="AV81" s="5">
        <v>0</v>
      </c>
    </row>
    <row r="82" spans="1:48" x14ac:dyDescent="0.25">
      <c r="D82" s="8"/>
      <c r="E82" s="9"/>
      <c r="F82" s="9"/>
      <c r="G82" s="8"/>
      <c r="H82" s="8"/>
      <c r="I82" s="8"/>
      <c r="J82" s="8"/>
      <c r="K82" s="8"/>
      <c r="L82" s="8"/>
      <c r="M82" s="8"/>
      <c r="N82" s="11"/>
      <c r="O82" s="11"/>
      <c r="P82" s="11"/>
      <c r="Q82" s="11"/>
      <c r="R82" s="8"/>
      <c r="S82" s="11"/>
      <c r="T82" s="8"/>
      <c r="U82" s="8"/>
      <c r="AB82" s="5"/>
      <c r="AC82" s="5"/>
      <c r="AD82" s="5"/>
      <c r="AE82" s="5"/>
      <c r="AF82" s="8"/>
      <c r="AH82" s="8"/>
      <c r="AJ82" s="8"/>
      <c r="AL82" s="8"/>
      <c r="AU82" s="20"/>
    </row>
    <row r="83" spans="1:48" ht="15" x14ac:dyDescent="0.2">
      <c r="D83" s="5"/>
      <c r="E83" s="6"/>
      <c r="F83" s="6"/>
      <c r="G83" s="5"/>
      <c r="H83" s="5"/>
      <c r="I83" s="5"/>
      <c r="J83" s="5"/>
      <c r="K83" s="5"/>
      <c r="L83" s="5"/>
      <c r="M83" s="5"/>
      <c r="R83" s="5"/>
      <c r="AB83" s="5"/>
      <c r="AC83" s="5"/>
      <c r="AD83" s="5"/>
      <c r="AE83" s="5"/>
      <c r="AF83" s="5"/>
      <c r="AH83" s="5"/>
      <c r="AJ83" s="5"/>
      <c r="AL83" s="5"/>
      <c r="AU83" s="20"/>
    </row>
    <row r="84" spans="1:48" ht="15" x14ac:dyDescent="0.2">
      <c r="A84" s="1">
        <v>373</v>
      </c>
      <c r="B84" s="1" t="s">
        <v>70</v>
      </c>
      <c r="D84" s="5"/>
      <c r="E84" s="6"/>
      <c r="F84" s="6"/>
      <c r="G84" s="5"/>
      <c r="H84" s="5"/>
      <c r="I84" s="5"/>
      <c r="J84" s="5"/>
      <c r="K84" s="5"/>
      <c r="L84" s="5"/>
      <c r="M84" s="5"/>
      <c r="R84" s="5"/>
      <c r="AB84" s="5"/>
      <c r="AC84" s="5"/>
      <c r="AD84" s="5"/>
      <c r="AE84" s="5"/>
      <c r="AF84" s="5"/>
      <c r="AH84" s="5"/>
      <c r="AJ84" s="5"/>
      <c r="AL84" s="5"/>
      <c r="AU84" s="20"/>
    </row>
    <row r="85" spans="1:48" x14ac:dyDescent="0.25">
      <c r="C85" s="7"/>
      <c r="D85" s="5"/>
      <c r="E85" s="6"/>
      <c r="F85" s="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U85" s="20"/>
    </row>
    <row r="86" spans="1:48" ht="15" x14ac:dyDescent="0.2">
      <c r="D86" s="5"/>
      <c r="E86" s="6"/>
      <c r="F86" s="6"/>
      <c r="G86" s="5"/>
      <c r="H86" s="5"/>
      <c r="I86" s="5"/>
      <c r="J86" s="5"/>
      <c r="K86" s="5"/>
      <c r="L86" s="5"/>
      <c r="M86" s="5"/>
      <c r="R86" s="5"/>
      <c r="AB86" s="5"/>
      <c r="AC86" s="5"/>
      <c r="AD86" s="5"/>
      <c r="AE86" s="5"/>
      <c r="AF86" s="5"/>
      <c r="AH86" s="5"/>
      <c r="AJ86" s="5"/>
      <c r="AL86" s="5"/>
      <c r="AU86" s="20"/>
    </row>
    <row r="87" spans="1:48" ht="15" x14ac:dyDescent="0.2">
      <c r="A87" s="1">
        <v>391</v>
      </c>
      <c r="B87" s="1" t="s">
        <v>71</v>
      </c>
      <c r="D87" s="5"/>
      <c r="E87" s="6"/>
      <c r="F87" s="6"/>
      <c r="G87" s="5"/>
      <c r="H87" s="5"/>
      <c r="I87" s="5"/>
      <c r="J87" s="5"/>
      <c r="K87" s="5"/>
      <c r="L87" s="5"/>
      <c r="M87" s="5"/>
      <c r="R87" s="5"/>
      <c r="AB87" s="5"/>
      <c r="AC87" s="5"/>
      <c r="AD87" s="5"/>
      <c r="AE87" s="5"/>
      <c r="AF87" s="5"/>
      <c r="AH87" s="5"/>
      <c r="AJ87" s="5"/>
      <c r="AL87" s="5"/>
      <c r="AU87" s="20"/>
    </row>
    <row r="88" spans="1:48" ht="15" x14ac:dyDescent="0.2">
      <c r="B88" s="1" t="s">
        <v>72</v>
      </c>
      <c r="C88" s="7">
        <v>37073</v>
      </c>
      <c r="D88" s="5">
        <v>1300</v>
      </c>
      <c r="E88" s="6" t="s">
        <v>15</v>
      </c>
      <c r="F88" s="6">
        <v>10</v>
      </c>
      <c r="G88" s="5">
        <f>192+130</f>
        <v>322</v>
      </c>
      <c r="H88" s="5">
        <f>SUM(D88/F88)</f>
        <v>130</v>
      </c>
      <c r="I88" s="5">
        <f>SUM(G88:H88)</f>
        <v>452</v>
      </c>
      <c r="J88" s="5">
        <f>SUM(D88/F88)</f>
        <v>130</v>
      </c>
      <c r="K88" s="5">
        <f>SUM(I88:J88)</f>
        <v>582</v>
      </c>
      <c r="L88" s="5">
        <f>SUM(D88/F88)</f>
        <v>130</v>
      </c>
      <c r="M88" s="5">
        <f>SUM(K88:L88)</f>
        <v>712</v>
      </c>
      <c r="N88" s="5">
        <f>SUM(D88/F88)</f>
        <v>130</v>
      </c>
      <c r="O88" s="5">
        <f>SUM(M88+N88)</f>
        <v>842</v>
      </c>
      <c r="P88" s="5">
        <f>SUM(D88/F88)</f>
        <v>130</v>
      </c>
      <c r="Q88" s="5">
        <f>SUM(O88+P88)</f>
        <v>972</v>
      </c>
      <c r="R88" s="5">
        <f>SUM(D88/F88)</f>
        <v>130</v>
      </c>
      <c r="S88" s="5">
        <f>SUM(Q88+R88)</f>
        <v>1102</v>
      </c>
      <c r="T88" s="5">
        <f>SUM(D88/10)</f>
        <v>130</v>
      </c>
      <c r="U88" s="5">
        <f>S88+T88</f>
        <v>1232</v>
      </c>
      <c r="V88" s="5">
        <f>1300-1232</f>
        <v>68</v>
      </c>
      <c r="W88" s="5">
        <f>U88+V88</f>
        <v>1300</v>
      </c>
      <c r="X88" s="5">
        <v>0</v>
      </c>
      <c r="Y88" s="5">
        <f>W88+X88</f>
        <v>1300</v>
      </c>
      <c r="Z88" s="5">
        <v>0</v>
      </c>
      <c r="AA88" s="5">
        <f>Y88+Z88</f>
        <v>1300</v>
      </c>
      <c r="AB88" s="5">
        <f>Z88</f>
        <v>0</v>
      </c>
      <c r="AC88" s="5">
        <f>AA88+AB88</f>
        <v>1300</v>
      </c>
      <c r="AD88" s="5">
        <f>AB88</f>
        <v>0</v>
      </c>
      <c r="AE88" s="5">
        <f>AC88+AD88</f>
        <v>1300</v>
      </c>
      <c r="AF88" s="5">
        <f>AD88</f>
        <v>0</v>
      </c>
      <c r="AG88" s="5">
        <f>AE88+AF88</f>
        <v>1300</v>
      </c>
      <c r="AH88" s="5">
        <f>AF88</f>
        <v>0</v>
      </c>
      <c r="AI88" s="5">
        <f>AG88+AH88</f>
        <v>1300</v>
      </c>
      <c r="AJ88" s="5">
        <f>AH88</f>
        <v>0</v>
      </c>
      <c r="AK88" s="5">
        <f>AI88+AJ88</f>
        <v>1300</v>
      </c>
      <c r="AL88" s="5">
        <f>AJ88</f>
        <v>0</v>
      </c>
      <c r="AM88" s="5">
        <f>AK88+AL88</f>
        <v>1300</v>
      </c>
      <c r="AN88" s="5">
        <f>AL88</f>
        <v>0</v>
      </c>
      <c r="AO88" s="5">
        <f>AM88+AN88</f>
        <v>1300</v>
      </c>
      <c r="AP88" s="5">
        <f>D88-AO88</f>
        <v>0</v>
      </c>
      <c r="AQ88" s="5">
        <f>SUM(AN88)</f>
        <v>0</v>
      </c>
      <c r="AR88" s="5">
        <f>AO88+AQ88</f>
        <v>1300</v>
      </c>
      <c r="AS88" s="5">
        <f>D88-AR88</f>
        <v>0</v>
      </c>
      <c r="AU88" s="20">
        <v>10</v>
      </c>
      <c r="AV88" s="5">
        <v>0</v>
      </c>
    </row>
    <row r="89" spans="1:48" ht="15" x14ac:dyDescent="0.2">
      <c r="B89" s="1" t="s">
        <v>73</v>
      </c>
      <c r="C89" s="7">
        <v>37865</v>
      </c>
      <c r="D89" s="5">
        <v>4478</v>
      </c>
      <c r="E89" s="6" t="s">
        <v>15</v>
      </c>
      <c r="F89" s="6">
        <v>10</v>
      </c>
      <c r="G89" s="5">
        <v>149</v>
      </c>
      <c r="H89" s="5">
        <f>SUM(D89/F89)</f>
        <v>447.8</v>
      </c>
      <c r="I89" s="5">
        <f>SUM(G89:H89)</f>
        <v>596.79999999999995</v>
      </c>
      <c r="J89" s="5">
        <f>SUM(D89/F89)</f>
        <v>447.8</v>
      </c>
      <c r="K89" s="5">
        <f>SUM(I89:J89)</f>
        <v>1044.5999999999999</v>
      </c>
      <c r="L89" s="5">
        <f>SUM(D89/F89)</f>
        <v>447.8</v>
      </c>
      <c r="M89" s="5">
        <f>SUM(K89:L89)</f>
        <v>1492.3999999999999</v>
      </c>
      <c r="N89" s="5">
        <f>SUM(D89/F89)</f>
        <v>447.8</v>
      </c>
      <c r="O89" s="5">
        <f>SUM(M89+N89)</f>
        <v>1940.1999999999998</v>
      </c>
      <c r="P89" s="5">
        <f>SUM(D89/F89)</f>
        <v>447.8</v>
      </c>
      <c r="Q89" s="5">
        <f>SUM(O89+P89)</f>
        <v>2388</v>
      </c>
      <c r="R89" s="5">
        <f>SUM(D89/F89)</f>
        <v>447.8</v>
      </c>
      <c r="S89" s="5">
        <f>SUM(Q89+R89)</f>
        <v>2835.8</v>
      </c>
      <c r="T89" s="5">
        <f>SUM(D89/10)</f>
        <v>447.8</v>
      </c>
      <c r="U89" s="5">
        <f>S89+T89</f>
        <v>3283.6000000000004</v>
      </c>
      <c r="V89" s="5">
        <v>448</v>
      </c>
      <c r="W89" s="5">
        <f>U89+V89</f>
        <v>3731.6000000000004</v>
      </c>
      <c r="X89" s="5">
        <v>639</v>
      </c>
      <c r="Y89" s="5">
        <f>W89+X89</f>
        <v>4370.6000000000004</v>
      </c>
      <c r="Z89" s="5">
        <f>4478-4371</f>
        <v>107</v>
      </c>
      <c r="AA89" s="5">
        <f>Y89+Z89</f>
        <v>4477.6000000000004</v>
      </c>
      <c r="AB89" s="5">
        <v>0</v>
      </c>
      <c r="AC89" s="5">
        <f>AA89+AB89</f>
        <v>4477.6000000000004</v>
      </c>
      <c r="AD89" s="5">
        <v>0</v>
      </c>
      <c r="AE89" s="5">
        <f>AC89+AD89</f>
        <v>4477.6000000000004</v>
      </c>
      <c r="AF89" s="5">
        <v>0</v>
      </c>
      <c r="AG89" s="5">
        <f>AE89+AF89</f>
        <v>4477.6000000000004</v>
      </c>
      <c r="AH89" s="5">
        <v>0</v>
      </c>
      <c r="AI89" s="5">
        <f>AG89+AH89</f>
        <v>4477.6000000000004</v>
      </c>
      <c r="AJ89" s="5">
        <v>0</v>
      </c>
      <c r="AK89" s="5">
        <f>AI89+AJ89</f>
        <v>4477.6000000000004</v>
      </c>
      <c r="AL89" s="5">
        <v>0</v>
      </c>
      <c r="AM89" s="5">
        <f>AK89+AL89</f>
        <v>4477.6000000000004</v>
      </c>
      <c r="AN89" s="5">
        <v>0</v>
      </c>
      <c r="AO89" s="5">
        <f>AM89+AN89</f>
        <v>4477.6000000000004</v>
      </c>
      <c r="AP89" s="5">
        <f>D89-AO89</f>
        <v>0.3999999999996362</v>
      </c>
      <c r="AQ89" s="5">
        <f>SUM(AN89)</f>
        <v>0</v>
      </c>
      <c r="AR89" s="5">
        <f>AO89+AQ89</f>
        <v>4477.6000000000004</v>
      </c>
      <c r="AS89" s="5">
        <f>D89-AR89</f>
        <v>0.3999999999996362</v>
      </c>
      <c r="AU89" s="20">
        <v>10</v>
      </c>
      <c r="AV89" s="5">
        <v>0</v>
      </c>
    </row>
    <row r="90" spans="1:48" ht="15" x14ac:dyDescent="0.2">
      <c r="C90" s="7"/>
      <c r="D90" s="5"/>
      <c r="E90" s="6"/>
      <c r="F90" s="6"/>
      <c r="G90" s="5"/>
      <c r="H90" s="5"/>
      <c r="I90" s="5"/>
      <c r="J90" s="5"/>
      <c r="K90" s="5"/>
      <c r="L90" s="5"/>
      <c r="M90" s="5"/>
      <c r="R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U90" s="20"/>
    </row>
    <row r="91" spans="1:48" x14ac:dyDescent="0.25">
      <c r="C91" s="7"/>
      <c r="D91" s="5">
        <f>SUM(D88:D90)</f>
        <v>5778</v>
      </c>
      <c r="E91" s="6"/>
      <c r="F91" s="6"/>
      <c r="G91" s="8">
        <f>SUM(G88:G90)</f>
        <v>471</v>
      </c>
      <c r="H91" s="8">
        <f>SUM(H88:H90)</f>
        <v>577.79999999999995</v>
      </c>
      <c r="I91" s="8">
        <f>SUM(I88:I90)</f>
        <v>1048.8</v>
      </c>
      <c r="J91" s="8">
        <f>SUM(J88:J90)</f>
        <v>577.79999999999995</v>
      </c>
      <c r="K91" s="8">
        <f>SUM(I91:J91)</f>
        <v>1626.6</v>
      </c>
      <c r="L91" s="8">
        <f>SUM(L88:L90)</f>
        <v>577.79999999999995</v>
      </c>
      <c r="M91" s="8">
        <f>SUM(K91:L91)</f>
        <v>2204.3999999999996</v>
      </c>
      <c r="N91" s="8">
        <f t="shared" ref="N91:S91" si="107">SUM(N88:N89)</f>
        <v>577.79999999999995</v>
      </c>
      <c r="O91" s="8">
        <f t="shared" si="107"/>
        <v>2782.2</v>
      </c>
      <c r="P91" s="8">
        <f t="shared" si="107"/>
        <v>577.79999999999995</v>
      </c>
      <c r="Q91" s="8">
        <f t="shared" si="107"/>
        <v>3360</v>
      </c>
      <c r="R91" s="8">
        <f t="shared" si="107"/>
        <v>577.79999999999995</v>
      </c>
      <c r="S91" s="8">
        <f t="shared" si="107"/>
        <v>3937.8</v>
      </c>
      <c r="T91" s="11">
        <f>SUM(T88:T90)</f>
        <v>577.79999999999995</v>
      </c>
      <c r="U91" s="11">
        <f>SUM(U88:U90)</f>
        <v>4515.6000000000004</v>
      </c>
      <c r="V91" s="8">
        <f t="shared" ref="V91:AA91" si="108">SUM(V88:V89)</f>
        <v>516</v>
      </c>
      <c r="W91" s="8">
        <f t="shared" si="108"/>
        <v>5031.6000000000004</v>
      </c>
      <c r="X91" s="8">
        <f t="shared" si="108"/>
        <v>639</v>
      </c>
      <c r="Y91" s="8">
        <f t="shared" si="108"/>
        <v>5670.6</v>
      </c>
      <c r="Z91" s="8">
        <f t="shared" si="108"/>
        <v>107</v>
      </c>
      <c r="AA91" s="8">
        <f t="shared" si="108"/>
        <v>5777.6</v>
      </c>
      <c r="AB91" s="5">
        <v>0</v>
      </c>
      <c r="AC91" s="5">
        <f>AA91+AB91</f>
        <v>5777.6</v>
      </c>
      <c r="AD91" s="5">
        <v>0</v>
      </c>
      <c r="AE91" s="5">
        <f>AC91+AD91</f>
        <v>5777.6</v>
      </c>
      <c r="AF91" s="5">
        <v>0</v>
      </c>
      <c r="AG91" s="5">
        <f>AE91+AF91</f>
        <v>5777.6</v>
      </c>
      <c r="AH91" s="5">
        <v>0</v>
      </c>
      <c r="AI91" s="5">
        <f>AG91+AH91</f>
        <v>5777.6</v>
      </c>
      <c r="AJ91" s="5">
        <v>0</v>
      </c>
      <c r="AK91" s="5">
        <f>AI91+AJ91</f>
        <v>5777.6</v>
      </c>
      <c r="AL91" s="5">
        <v>0</v>
      </c>
      <c r="AM91" s="5">
        <f>AK91+AL91</f>
        <v>5777.6</v>
      </c>
      <c r="AN91" s="5">
        <v>0</v>
      </c>
      <c r="AO91" s="5">
        <f>AM91+AN91</f>
        <v>5777.6</v>
      </c>
      <c r="AP91" s="5">
        <v>0</v>
      </c>
      <c r="AQ91" s="5">
        <f>SUM(AQ88:AQ90)</f>
        <v>0</v>
      </c>
      <c r="AR91" s="5">
        <f>SUM(AR88:AR90)</f>
        <v>5777.6</v>
      </c>
      <c r="AS91" s="5">
        <f>SUM(AS88:AS90)</f>
        <v>0.3999999999996362</v>
      </c>
      <c r="AU91" s="20"/>
      <c r="AV91" s="5">
        <f>SUM(AV88:AV90)</f>
        <v>0</v>
      </c>
    </row>
    <row r="92" spans="1:48" ht="15" x14ac:dyDescent="0.2">
      <c r="C92" s="7"/>
      <c r="D92" s="5"/>
      <c r="E92" s="6"/>
      <c r="F92" s="6"/>
      <c r="G92" s="5"/>
      <c r="H92" s="5"/>
      <c r="I92" s="5"/>
      <c r="J92" s="5"/>
      <c r="K92" s="5"/>
      <c r="L92" s="5"/>
      <c r="M92" s="5"/>
      <c r="R92" s="5"/>
      <c r="AB92" s="5"/>
      <c r="AC92" s="5"/>
      <c r="AD92" s="5"/>
      <c r="AE92" s="5"/>
      <c r="AF92" s="5"/>
      <c r="AH92" s="5"/>
      <c r="AJ92" s="5"/>
      <c r="AL92" s="5"/>
      <c r="AU92" s="20"/>
    </row>
    <row r="93" spans="1:48" ht="15" x14ac:dyDescent="0.2">
      <c r="A93" s="1">
        <v>392</v>
      </c>
      <c r="B93" s="1" t="s">
        <v>74</v>
      </c>
      <c r="C93" s="7"/>
      <c r="D93" s="5"/>
      <c r="E93" s="6"/>
      <c r="F93" s="6"/>
      <c r="G93" s="5"/>
      <c r="H93" s="5"/>
      <c r="I93" s="5"/>
      <c r="J93" s="5"/>
      <c r="K93" s="5"/>
      <c r="L93" s="5"/>
      <c r="M93" s="5"/>
      <c r="R93" s="5"/>
      <c r="AB93" s="5"/>
      <c r="AC93" s="5"/>
      <c r="AD93" s="5"/>
      <c r="AE93" s="5"/>
      <c r="AF93" s="5"/>
      <c r="AH93" s="5"/>
      <c r="AJ93" s="5"/>
      <c r="AL93" s="5"/>
      <c r="AU93" s="20"/>
    </row>
    <row r="94" spans="1:48" ht="15" x14ac:dyDescent="0.2">
      <c r="C94" s="7"/>
      <c r="D94" s="5"/>
      <c r="E94" s="6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U94" s="20"/>
    </row>
    <row r="95" spans="1:48" ht="15" x14ac:dyDescent="0.2">
      <c r="B95" s="1" t="s">
        <v>75</v>
      </c>
      <c r="C95" s="24" t="s">
        <v>91</v>
      </c>
      <c r="D95" s="5">
        <v>19828</v>
      </c>
      <c r="E95" s="6" t="s">
        <v>15</v>
      </c>
      <c r="F95" s="6">
        <v>5</v>
      </c>
      <c r="G95" s="5"/>
      <c r="H95" s="5"/>
      <c r="I95" s="5"/>
      <c r="J95" s="5"/>
      <c r="K95" s="5"/>
      <c r="L95" s="5"/>
      <c r="M95" s="5"/>
      <c r="R95" s="5"/>
      <c r="T95" s="1">
        <v>165</v>
      </c>
      <c r="U95" s="1">
        <v>165</v>
      </c>
      <c r="V95" s="1">
        <f>19828/5</f>
        <v>3965.6</v>
      </c>
      <c r="W95" s="5">
        <f>U95+V95</f>
        <v>4130.6000000000004</v>
      </c>
      <c r="X95" s="1">
        <v>3966</v>
      </c>
      <c r="Y95" s="5">
        <f>W95+X95</f>
        <v>8096.6</v>
      </c>
      <c r="Z95" s="1">
        <v>3966</v>
      </c>
      <c r="AA95" s="5">
        <f>Y95+Z95</f>
        <v>12062.6</v>
      </c>
      <c r="AB95" s="5">
        <f>Z95</f>
        <v>3966</v>
      </c>
      <c r="AC95" s="5">
        <f>AA95+AB95</f>
        <v>16028.6</v>
      </c>
      <c r="AD95" s="5">
        <f>19828-16029</f>
        <v>3799</v>
      </c>
      <c r="AE95" s="5">
        <f>AC95+AD95</f>
        <v>19827.599999999999</v>
      </c>
      <c r="AF95" s="5">
        <v>0</v>
      </c>
      <c r="AG95" s="5">
        <f>AE95+AF95</f>
        <v>19827.599999999999</v>
      </c>
      <c r="AH95" s="5">
        <v>0</v>
      </c>
      <c r="AI95" s="5">
        <f>AG95+AH95</f>
        <v>19827.599999999999</v>
      </c>
      <c r="AJ95" s="5">
        <v>0</v>
      </c>
      <c r="AK95" s="5">
        <f>AI95+AJ95</f>
        <v>19827.599999999999</v>
      </c>
      <c r="AL95" s="5">
        <v>0</v>
      </c>
      <c r="AM95" s="5">
        <f>AK95+AL95</f>
        <v>19827.599999999999</v>
      </c>
      <c r="AN95" s="5">
        <v>0</v>
      </c>
      <c r="AO95" s="5">
        <f>AM95+AN95</f>
        <v>19827.599999999999</v>
      </c>
      <c r="AP95" s="5">
        <f>D95-AO95</f>
        <v>0.40000000000145519</v>
      </c>
      <c r="AQ95" s="5">
        <f>SUM(AN95)</f>
        <v>0</v>
      </c>
      <c r="AR95" s="5">
        <f>AO95+AQ95</f>
        <v>19827.599999999999</v>
      </c>
      <c r="AS95" s="5">
        <f>D95-AR95</f>
        <v>0.40000000000145519</v>
      </c>
      <c r="AU95" s="19">
        <v>5</v>
      </c>
      <c r="AV95" s="5">
        <v>0</v>
      </c>
    </row>
    <row r="96" spans="1:48" ht="15" x14ac:dyDescent="0.2">
      <c r="B96" s="1" t="s">
        <v>76</v>
      </c>
      <c r="C96" s="10" t="s">
        <v>77</v>
      </c>
      <c r="D96" s="5">
        <v>7100</v>
      </c>
      <c r="E96" s="6" t="s">
        <v>15</v>
      </c>
      <c r="F96" s="6">
        <v>5</v>
      </c>
      <c r="G96" s="5"/>
      <c r="H96" s="5"/>
      <c r="I96" s="5"/>
      <c r="J96" s="5"/>
      <c r="K96" s="5"/>
      <c r="L96" s="5"/>
      <c r="M96" s="5"/>
      <c r="R96" s="5"/>
      <c r="W96" s="5"/>
      <c r="Y96" s="5">
        <f>W96+X96</f>
        <v>0</v>
      </c>
      <c r="AA96" s="5">
        <f>Y96+Z96</f>
        <v>0</v>
      </c>
      <c r="AB96" s="5">
        <f>7100/5/12*5.5+42</f>
        <v>692.83333333333326</v>
      </c>
      <c r="AC96" s="5">
        <f>AA96+AB96</f>
        <v>692.83333333333326</v>
      </c>
      <c r="AD96" s="5">
        <f>7100/5</f>
        <v>1420</v>
      </c>
      <c r="AE96" s="5">
        <f>AC96+AD96</f>
        <v>2112.833333333333</v>
      </c>
      <c r="AF96" s="5">
        <f>7100/5</f>
        <v>1420</v>
      </c>
      <c r="AG96" s="5">
        <f>AE96+AF96</f>
        <v>3532.833333333333</v>
      </c>
      <c r="AH96" s="5">
        <f>7100/5</f>
        <v>1420</v>
      </c>
      <c r="AI96" s="5">
        <f>AG96+AH96</f>
        <v>4952.833333333333</v>
      </c>
      <c r="AJ96" s="5">
        <f>7100/5</f>
        <v>1420</v>
      </c>
      <c r="AK96" s="5">
        <f>AI96+AJ96</f>
        <v>6372.833333333333</v>
      </c>
      <c r="AL96" s="5">
        <f>7100-6373</f>
        <v>727</v>
      </c>
      <c r="AM96" s="5">
        <f>AK96+AL96</f>
        <v>7099.833333333333</v>
      </c>
      <c r="AN96" s="5">
        <v>0</v>
      </c>
      <c r="AO96" s="5">
        <f>AM96+AN96</f>
        <v>7099.833333333333</v>
      </c>
      <c r="AP96" s="5">
        <f>D96-AO96</f>
        <v>0.16666666666696983</v>
      </c>
      <c r="AQ96" s="5">
        <f>SUM(AN96)</f>
        <v>0</v>
      </c>
      <c r="AR96" s="5">
        <f>AO96+AQ96</f>
        <v>7099.833333333333</v>
      </c>
      <c r="AS96" s="5">
        <f>D96-AR96</f>
        <v>0.16666666666696983</v>
      </c>
      <c r="AU96" s="19">
        <v>5</v>
      </c>
      <c r="AV96" s="5">
        <v>0</v>
      </c>
    </row>
    <row r="97" spans="1:48" ht="15" x14ac:dyDescent="0.2">
      <c r="B97" s="1" t="s">
        <v>78</v>
      </c>
      <c r="C97" s="10">
        <v>42228</v>
      </c>
      <c r="D97" s="5">
        <v>19900</v>
      </c>
      <c r="E97" s="6" t="s">
        <v>15</v>
      </c>
      <c r="F97" s="6">
        <v>5</v>
      </c>
      <c r="G97" s="5"/>
      <c r="H97" s="5"/>
      <c r="I97" s="5"/>
      <c r="J97" s="5"/>
      <c r="K97" s="5"/>
      <c r="L97" s="5"/>
      <c r="M97" s="5"/>
      <c r="R97" s="5"/>
      <c r="W97" s="5"/>
      <c r="Y97" s="5"/>
      <c r="AA97" s="5"/>
      <c r="AB97" s="5"/>
      <c r="AC97" s="5"/>
      <c r="AD97" s="5">
        <f>19900/5/365*141+3799</f>
        <v>5336.4794520547948</v>
      </c>
      <c r="AE97" s="5">
        <f>AC97+AD97</f>
        <v>5336.4794520547948</v>
      </c>
      <c r="AF97" s="5">
        <f>19900/5</f>
        <v>3980</v>
      </c>
      <c r="AG97" s="5">
        <f>AE97+AF97</f>
        <v>9316.4794520547948</v>
      </c>
      <c r="AH97" s="5">
        <f>19900/5</f>
        <v>3980</v>
      </c>
      <c r="AI97" s="5">
        <f>AG97+AH97</f>
        <v>13296.479452054795</v>
      </c>
      <c r="AJ97" s="5">
        <f>19900/5</f>
        <v>3980</v>
      </c>
      <c r="AK97" s="5">
        <f>AI97+AJ97</f>
        <v>17276.479452054795</v>
      </c>
      <c r="AL97" s="5">
        <f>19900-17276</f>
        <v>2624</v>
      </c>
      <c r="AM97" s="5">
        <f>AK97+AL97</f>
        <v>19900.479452054795</v>
      </c>
      <c r="AN97" s="5">
        <v>0</v>
      </c>
      <c r="AO97" s="5">
        <f>AM97+AN97</f>
        <v>19900.479452054795</v>
      </c>
      <c r="AP97" s="5">
        <f>D97-AO97</f>
        <v>-0.47945205479481956</v>
      </c>
      <c r="AQ97" s="5">
        <f>SUM(AN97)</f>
        <v>0</v>
      </c>
      <c r="AR97" s="5">
        <f>AO97+AQ97</f>
        <v>19900.479452054795</v>
      </c>
      <c r="AS97" s="5">
        <f>D97-AR97</f>
        <v>-0.47945205479481956</v>
      </c>
      <c r="AU97" s="19">
        <v>5</v>
      </c>
      <c r="AV97" s="5">
        <v>0</v>
      </c>
    </row>
    <row r="98" spans="1:48" ht="15" x14ac:dyDescent="0.2">
      <c r="B98" s="1" t="s">
        <v>79</v>
      </c>
      <c r="C98" s="10">
        <v>44014</v>
      </c>
      <c r="D98" s="5">
        <v>66931</v>
      </c>
      <c r="E98" s="6" t="s">
        <v>15</v>
      </c>
      <c r="F98" s="6">
        <v>5</v>
      </c>
      <c r="G98" s="5"/>
      <c r="H98" s="5"/>
      <c r="I98" s="5"/>
      <c r="J98" s="5"/>
      <c r="K98" s="5"/>
      <c r="L98" s="5"/>
      <c r="M98" s="5"/>
      <c r="R98" s="5"/>
      <c r="W98" s="5"/>
      <c r="Y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>
        <v>1974</v>
      </c>
      <c r="AN98" s="5">
        <f>66931/5/12*6</f>
        <v>6693.1</v>
      </c>
      <c r="AO98" s="5">
        <f>AM98+AN98</f>
        <v>8667.1</v>
      </c>
      <c r="AP98" s="5">
        <f>D98-AO98</f>
        <v>58263.9</v>
      </c>
      <c r="AQ98" s="5">
        <f>SUM(D98/F98)</f>
        <v>13386.2</v>
      </c>
      <c r="AR98" s="5">
        <f>AO98+AQ98</f>
        <v>22053.300000000003</v>
      </c>
      <c r="AS98" s="5">
        <f>D98-AR98</f>
        <v>44877.7</v>
      </c>
      <c r="AU98" s="19">
        <v>5</v>
      </c>
      <c r="AV98" s="5">
        <f t="shared" ref="AV98" si="109">SUM(D98/AU98)</f>
        <v>13386.2</v>
      </c>
    </row>
    <row r="99" spans="1:48" ht="15" x14ac:dyDescent="0.2">
      <c r="C99" s="10"/>
      <c r="D99" s="5"/>
      <c r="E99" s="6"/>
      <c r="F99" s="6"/>
      <c r="G99" s="5"/>
      <c r="H99" s="5"/>
      <c r="I99" s="5"/>
      <c r="J99" s="5"/>
      <c r="K99" s="5"/>
      <c r="L99" s="5"/>
      <c r="M99" s="5"/>
      <c r="R99" s="5"/>
      <c r="W99" s="5"/>
      <c r="Y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U99" s="20"/>
    </row>
    <row r="100" spans="1:48" x14ac:dyDescent="0.25">
      <c r="C100" s="7"/>
      <c r="D100" s="5">
        <f>SUM(D94:D98)</f>
        <v>113759</v>
      </c>
      <c r="E100" s="6"/>
      <c r="F100" s="6"/>
      <c r="G100" s="8">
        <f>SUM(G95:G96)</f>
        <v>0</v>
      </c>
      <c r="H100" s="8">
        <f>SUM(H95:H96)</f>
        <v>0</v>
      </c>
      <c r="I100" s="8">
        <f>SUM(I95:I96)</f>
        <v>0</v>
      </c>
      <c r="J100" s="8">
        <f>SUM(J95:J96)</f>
        <v>0</v>
      </c>
      <c r="K100" s="8">
        <f>SUM(I100:J100)</f>
        <v>0</v>
      </c>
      <c r="L100" s="8">
        <f>SUM(L95:L96)</f>
        <v>0</v>
      </c>
      <c r="M100" s="8">
        <f>SUM(K100:L100)</f>
        <v>0</v>
      </c>
      <c r="N100" s="8">
        <f>SUM(N95:N96)</f>
        <v>0</v>
      </c>
      <c r="O100" s="8" t="e">
        <f>SUM(#REF!)</f>
        <v>#REF!</v>
      </c>
      <c r="P100" s="8">
        <f>SUM(P95:P96)</f>
        <v>0</v>
      </c>
      <c r="Q100" s="8" t="e">
        <f>SUM(#REF!)</f>
        <v>#REF!</v>
      </c>
      <c r="R100" s="8" t="e">
        <f>SUM(#REF!)</f>
        <v>#REF!</v>
      </c>
      <c r="S100" s="8" t="e">
        <f>SUM(#REF!)</f>
        <v>#REF!</v>
      </c>
      <c r="T100" s="11">
        <f t="shared" ref="T100:AB100" si="110">SUM(T95:T96)</f>
        <v>165</v>
      </c>
      <c r="U100" s="11">
        <f t="shared" si="110"/>
        <v>165</v>
      </c>
      <c r="V100" s="11">
        <f t="shared" si="110"/>
        <v>3965.6</v>
      </c>
      <c r="W100" s="11">
        <f t="shared" si="110"/>
        <v>4130.6000000000004</v>
      </c>
      <c r="X100" s="11">
        <f t="shared" si="110"/>
        <v>3966</v>
      </c>
      <c r="Y100" s="11">
        <f t="shared" si="110"/>
        <v>8096.6</v>
      </c>
      <c r="Z100" s="11">
        <f t="shared" si="110"/>
        <v>3966</v>
      </c>
      <c r="AA100" s="11">
        <f t="shared" si="110"/>
        <v>12062.6</v>
      </c>
      <c r="AB100" s="5">
        <f t="shared" si="110"/>
        <v>4658.833333333333</v>
      </c>
      <c r="AC100" s="5">
        <f>AA100+AB100</f>
        <v>16721.433333333334</v>
      </c>
      <c r="AD100" s="5">
        <f>SUM(AD95:AD97)</f>
        <v>10555.479452054795</v>
      </c>
      <c r="AE100" s="5">
        <f>SUM(AE95:AE97)</f>
        <v>27276.912785388125</v>
      </c>
      <c r="AF100" s="5">
        <f>SUM(AF95:AF97)</f>
        <v>5400</v>
      </c>
      <c r="AG100" s="5">
        <f>SUM(AG95:AG97)</f>
        <v>32676.912785388125</v>
      </c>
      <c r="AH100" s="5">
        <f>SUM(AH95:AH97)</f>
        <v>5400</v>
      </c>
      <c r="AI100" s="5">
        <f t="shared" ref="AI100:AS100" si="111">SUM(AI94:AI98)</f>
        <v>38076.912785388122</v>
      </c>
      <c r="AJ100" s="5">
        <f t="shared" si="111"/>
        <v>5400</v>
      </c>
      <c r="AK100" s="5">
        <f t="shared" si="111"/>
        <v>43476.912785388122</v>
      </c>
      <c r="AL100" s="5">
        <f t="shared" si="111"/>
        <v>3351</v>
      </c>
      <c r="AM100" s="5">
        <f t="shared" si="111"/>
        <v>48801.912785388122</v>
      </c>
      <c r="AN100" s="5">
        <f t="shared" si="111"/>
        <v>6693.1</v>
      </c>
      <c r="AO100" s="5">
        <f t="shared" si="111"/>
        <v>55495.01278538812</v>
      </c>
      <c r="AP100" s="5">
        <f t="shared" si="111"/>
        <v>58263.987214611872</v>
      </c>
      <c r="AQ100" s="5">
        <f t="shared" si="111"/>
        <v>13386.2</v>
      </c>
      <c r="AR100" s="5">
        <f t="shared" si="111"/>
        <v>68881.212785388125</v>
      </c>
      <c r="AS100" s="5">
        <f t="shared" si="111"/>
        <v>44877.787214611868</v>
      </c>
      <c r="AU100" s="20"/>
      <c r="AV100" s="5">
        <f t="shared" ref="AV100" si="112">SUM(AV94:AV98)</f>
        <v>13386.2</v>
      </c>
    </row>
    <row r="101" spans="1:48" ht="15" x14ac:dyDescent="0.2">
      <c r="D101" s="5"/>
      <c r="E101" s="6"/>
      <c r="F101" s="6"/>
      <c r="G101" s="5"/>
      <c r="H101" s="5"/>
      <c r="I101" s="5"/>
      <c r="J101" s="5"/>
      <c r="K101" s="5"/>
      <c r="L101" s="5"/>
      <c r="M101" s="5"/>
      <c r="R101" s="5"/>
      <c r="AB101" s="5"/>
      <c r="AC101" s="5"/>
      <c r="AD101" s="5"/>
      <c r="AE101" s="5"/>
      <c r="AF101" s="5"/>
      <c r="AH101" s="5"/>
      <c r="AJ101" s="5"/>
      <c r="AL101" s="5"/>
      <c r="AU101" s="20"/>
    </row>
    <row r="102" spans="1:48" ht="15" x14ac:dyDescent="0.2">
      <c r="D102" s="5"/>
      <c r="E102" s="6"/>
      <c r="F102" s="6"/>
      <c r="G102" s="5"/>
      <c r="H102" s="5"/>
      <c r="I102" s="5"/>
      <c r="J102" s="5"/>
      <c r="K102" s="5"/>
      <c r="L102" s="5"/>
      <c r="M102" s="5"/>
      <c r="R102" s="5"/>
      <c r="AB102" s="5"/>
      <c r="AC102" s="5"/>
      <c r="AD102" s="5"/>
      <c r="AE102" s="5"/>
      <c r="AF102" s="5"/>
      <c r="AH102" s="5"/>
      <c r="AJ102" s="5"/>
      <c r="AL102" s="5"/>
      <c r="AU102" s="20"/>
    </row>
    <row r="103" spans="1:48" ht="15" x14ac:dyDescent="0.2">
      <c r="A103" s="1">
        <v>393.2</v>
      </c>
      <c r="B103" s="1" t="s">
        <v>80</v>
      </c>
      <c r="D103" s="5"/>
      <c r="E103" s="6"/>
      <c r="F103" s="6"/>
      <c r="G103" s="5"/>
      <c r="H103" s="5"/>
      <c r="I103" s="5"/>
      <c r="J103" s="5"/>
      <c r="K103" s="5"/>
      <c r="L103" s="5"/>
      <c r="M103" s="5"/>
      <c r="R103" s="5"/>
      <c r="AB103" s="5"/>
      <c r="AC103" s="5"/>
      <c r="AD103" s="5"/>
      <c r="AE103" s="5"/>
      <c r="AF103" s="5"/>
      <c r="AH103" s="5"/>
      <c r="AJ103" s="5"/>
      <c r="AL103" s="5"/>
      <c r="AU103" s="20"/>
    </row>
    <row r="104" spans="1:48" ht="15" x14ac:dyDescent="0.2">
      <c r="B104" s="1" t="s">
        <v>81</v>
      </c>
      <c r="C104" s="7">
        <v>37438</v>
      </c>
      <c r="D104" s="5">
        <v>533</v>
      </c>
      <c r="E104" s="6" t="s">
        <v>15</v>
      </c>
      <c r="F104" s="6">
        <v>10</v>
      </c>
      <c r="G104" s="5">
        <f>27+53</f>
        <v>80</v>
      </c>
      <c r="H104" s="5">
        <f>SUM(D104/F104)</f>
        <v>53.3</v>
      </c>
      <c r="I104" s="5">
        <f>SUM(G104:H104)</f>
        <v>133.30000000000001</v>
      </c>
      <c r="J104" s="5">
        <f>SUM(D104/F104)</f>
        <v>53.3</v>
      </c>
      <c r="K104" s="5">
        <f>SUM(I104:J104)</f>
        <v>186.60000000000002</v>
      </c>
      <c r="L104" s="5">
        <f>SUM(D104/F104)</f>
        <v>53.3</v>
      </c>
      <c r="M104" s="5">
        <f>SUM(K104:L104)</f>
        <v>239.90000000000003</v>
      </c>
      <c r="N104" s="5">
        <f>SUM(D104/F104)</f>
        <v>53.3</v>
      </c>
      <c r="O104" s="5">
        <f>SUM(M104+N104)</f>
        <v>293.20000000000005</v>
      </c>
      <c r="P104" s="5">
        <f>SUM(D104/F104)</f>
        <v>53.3</v>
      </c>
      <c r="Q104" s="5">
        <f>SUM(O104+P104)</f>
        <v>346.50000000000006</v>
      </c>
      <c r="R104" s="5">
        <f>SUM(D104/F104)</f>
        <v>53.3</v>
      </c>
      <c r="S104" s="5">
        <f>SUM(Q104+R104)</f>
        <v>399.80000000000007</v>
      </c>
      <c r="T104" s="5">
        <f>D104/10</f>
        <v>53.3</v>
      </c>
      <c r="U104" s="5">
        <f>S104+T104</f>
        <v>453.10000000000008</v>
      </c>
      <c r="V104" s="5">
        <f>T104</f>
        <v>53.3</v>
      </c>
      <c r="W104" s="5">
        <f>U104+V104</f>
        <v>506.40000000000009</v>
      </c>
      <c r="X104" s="5">
        <f>533-506</f>
        <v>27</v>
      </c>
      <c r="Y104" s="5">
        <f>W104+X104</f>
        <v>533.40000000000009</v>
      </c>
      <c r="Z104" s="5">
        <v>0</v>
      </c>
      <c r="AA104" s="5">
        <f>Y104+Z104</f>
        <v>533.40000000000009</v>
      </c>
      <c r="AB104" s="5">
        <f>Z104</f>
        <v>0</v>
      </c>
      <c r="AC104" s="5">
        <f>AA104+AB104</f>
        <v>533.40000000000009</v>
      </c>
      <c r="AD104" s="5">
        <f>AB104</f>
        <v>0</v>
      </c>
      <c r="AE104" s="5">
        <f>AC104+AD104</f>
        <v>533.40000000000009</v>
      </c>
      <c r="AF104" s="5">
        <f>AD104</f>
        <v>0</v>
      </c>
      <c r="AG104" s="5">
        <f>AE104+AF104</f>
        <v>533.40000000000009</v>
      </c>
      <c r="AH104" s="5">
        <f>AF104</f>
        <v>0</v>
      </c>
      <c r="AI104" s="5">
        <f>AG104+AH104</f>
        <v>533.40000000000009</v>
      </c>
      <c r="AJ104" s="5">
        <f>AH104</f>
        <v>0</v>
      </c>
      <c r="AK104" s="5">
        <f>AI104+AJ104</f>
        <v>533.40000000000009</v>
      </c>
      <c r="AL104" s="5">
        <f>AJ104</f>
        <v>0</v>
      </c>
      <c r="AM104" s="5">
        <f>AK104+AL104</f>
        <v>533.40000000000009</v>
      </c>
      <c r="AN104" s="5">
        <f>AL104</f>
        <v>0</v>
      </c>
      <c r="AO104" s="5">
        <f>AM104+AN104</f>
        <v>533.40000000000009</v>
      </c>
      <c r="AP104" s="5">
        <f>D104-AO104</f>
        <v>-0.40000000000009095</v>
      </c>
      <c r="AQ104" s="5">
        <f>SUM(AN104)</f>
        <v>0</v>
      </c>
      <c r="AR104" s="5">
        <f>AO104+AQ104</f>
        <v>533.40000000000009</v>
      </c>
      <c r="AS104" s="5">
        <f>D104-AR104</f>
        <v>-0.40000000000009095</v>
      </c>
      <c r="AU104" s="19">
        <v>10</v>
      </c>
      <c r="AV104" s="5">
        <v>0</v>
      </c>
    </row>
    <row r="105" spans="1:48" ht="15" x14ac:dyDescent="0.2">
      <c r="B105" s="1" t="s">
        <v>82</v>
      </c>
      <c r="C105" s="7">
        <v>37803</v>
      </c>
      <c r="D105" s="5">
        <v>1390</v>
      </c>
      <c r="E105" s="6" t="s">
        <v>15</v>
      </c>
      <c r="F105" s="6">
        <v>10</v>
      </c>
      <c r="G105" s="5">
        <v>70</v>
      </c>
      <c r="H105" s="5">
        <f>SUM(D105/F105)</f>
        <v>139</v>
      </c>
      <c r="I105" s="5">
        <f>SUM(G105:H105)</f>
        <v>209</v>
      </c>
      <c r="J105" s="5">
        <f>SUM(D105/F105)</f>
        <v>139</v>
      </c>
      <c r="K105" s="5">
        <f>SUM(I105:J105)</f>
        <v>348</v>
      </c>
      <c r="L105" s="5">
        <f>SUM(D105/F105)</f>
        <v>139</v>
      </c>
      <c r="M105" s="5">
        <f>SUM(K105:L105)</f>
        <v>487</v>
      </c>
      <c r="N105" s="5">
        <f>SUM(D105/F105)</f>
        <v>139</v>
      </c>
      <c r="O105" s="5">
        <f>SUM(M105+N105)</f>
        <v>626</v>
      </c>
      <c r="P105" s="5">
        <f>SUM(D105/F105)</f>
        <v>139</v>
      </c>
      <c r="Q105" s="5">
        <f>SUM(O105+P105)</f>
        <v>765</v>
      </c>
      <c r="R105" s="5">
        <f>SUM(D105/F105)</f>
        <v>139</v>
      </c>
      <c r="S105" s="5">
        <f>SUM(Q105+R105)</f>
        <v>904</v>
      </c>
      <c r="T105" s="5">
        <f>D105/10</f>
        <v>139</v>
      </c>
      <c r="U105" s="5">
        <f>S105+T105</f>
        <v>1043</v>
      </c>
      <c r="V105" s="5">
        <f>T105</f>
        <v>139</v>
      </c>
      <c r="W105" s="5">
        <f>U105+V105</f>
        <v>1182</v>
      </c>
      <c r="X105" s="5">
        <v>166</v>
      </c>
      <c r="Y105" s="5">
        <f>W105+X105</f>
        <v>1348</v>
      </c>
      <c r="Z105" s="5">
        <f>1390-1348</f>
        <v>42</v>
      </c>
      <c r="AA105" s="5">
        <f>Y105+Z105</f>
        <v>1390</v>
      </c>
      <c r="AB105" s="5">
        <v>0</v>
      </c>
      <c r="AC105" s="5">
        <f>AA105+AB105</f>
        <v>1390</v>
      </c>
      <c r="AD105" s="5">
        <v>0</v>
      </c>
      <c r="AE105" s="5">
        <f>AC105+AD105</f>
        <v>1390</v>
      </c>
      <c r="AF105" s="5">
        <v>0</v>
      </c>
      <c r="AG105" s="5">
        <f>AE105+AF105</f>
        <v>1390</v>
      </c>
      <c r="AH105" s="5">
        <v>0</v>
      </c>
      <c r="AI105" s="5">
        <f>AG105+AH105</f>
        <v>1390</v>
      </c>
      <c r="AJ105" s="5">
        <v>0</v>
      </c>
      <c r="AK105" s="5">
        <f>AI105+AJ105</f>
        <v>1390</v>
      </c>
      <c r="AL105" s="5">
        <v>0</v>
      </c>
      <c r="AM105" s="5">
        <f>AK105+AL105</f>
        <v>1390</v>
      </c>
      <c r="AN105" s="5">
        <v>0</v>
      </c>
      <c r="AO105" s="5">
        <f>AM105+AN105</f>
        <v>1390</v>
      </c>
      <c r="AP105" s="5">
        <f>D105-AO105</f>
        <v>0</v>
      </c>
      <c r="AQ105" s="5">
        <f>SUM(AN105)</f>
        <v>0</v>
      </c>
      <c r="AR105" s="5">
        <f>AO105+AQ105</f>
        <v>1390</v>
      </c>
      <c r="AS105" s="5">
        <f>D105-AR105</f>
        <v>0</v>
      </c>
      <c r="AU105" s="19">
        <v>10</v>
      </c>
      <c r="AV105" s="5">
        <v>0</v>
      </c>
    </row>
    <row r="106" spans="1:48" ht="15" x14ac:dyDescent="0.2">
      <c r="C106" s="7"/>
      <c r="D106" s="5"/>
      <c r="E106" s="6"/>
      <c r="F106" s="6"/>
      <c r="G106" s="5"/>
      <c r="H106" s="5"/>
      <c r="I106" s="5"/>
      <c r="J106" s="5"/>
      <c r="K106" s="5"/>
      <c r="L106" s="5"/>
      <c r="M106" s="5"/>
      <c r="R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U106" s="20"/>
    </row>
    <row r="107" spans="1:48" x14ac:dyDescent="0.25">
      <c r="C107" s="7"/>
      <c r="D107" s="5">
        <f>SUM(D104:D106)</f>
        <v>1923</v>
      </c>
      <c r="E107" s="6"/>
      <c r="F107" s="6"/>
      <c r="G107" s="8">
        <f>SUM(G104:G106)</f>
        <v>150</v>
      </c>
      <c r="H107" s="8">
        <f>SUM(H104:H106)</f>
        <v>192.3</v>
      </c>
      <c r="I107" s="8">
        <f>SUM(I104:I106)</f>
        <v>342.3</v>
      </c>
      <c r="J107" s="8">
        <f>SUM(J104:J106)</f>
        <v>192.3</v>
      </c>
      <c r="K107" s="8">
        <f>SUM(I107:J107)</f>
        <v>534.6</v>
      </c>
      <c r="L107" s="8">
        <f>SUM(L104:L106)</f>
        <v>192.3</v>
      </c>
      <c r="M107" s="8">
        <f>SUM(K107:L107)</f>
        <v>726.90000000000009</v>
      </c>
      <c r="N107" s="8">
        <f>SUM(N104:N106)</f>
        <v>192.3</v>
      </c>
      <c r="O107" s="8">
        <f>SUM(O104:O105)</f>
        <v>919.2</v>
      </c>
      <c r="P107" s="8">
        <f>SUM(P104:P106)</f>
        <v>192.3</v>
      </c>
      <c r="Q107" s="8">
        <f t="shared" ref="Q107:AA107" si="113">SUM(Q104:Q105)</f>
        <v>1111.5</v>
      </c>
      <c r="R107" s="8">
        <f t="shared" si="113"/>
        <v>192.3</v>
      </c>
      <c r="S107" s="8">
        <f t="shared" si="113"/>
        <v>1303.8000000000002</v>
      </c>
      <c r="T107" s="8">
        <f t="shared" si="113"/>
        <v>192.3</v>
      </c>
      <c r="U107" s="8">
        <f t="shared" si="113"/>
        <v>1496.1000000000001</v>
      </c>
      <c r="V107" s="8">
        <f t="shared" si="113"/>
        <v>192.3</v>
      </c>
      <c r="W107" s="8">
        <f t="shared" si="113"/>
        <v>1688.4</v>
      </c>
      <c r="X107" s="8">
        <f t="shared" si="113"/>
        <v>193</v>
      </c>
      <c r="Y107" s="8">
        <f t="shared" si="113"/>
        <v>1881.4</v>
      </c>
      <c r="Z107" s="8">
        <f t="shared" si="113"/>
        <v>42</v>
      </c>
      <c r="AA107" s="8">
        <f t="shared" si="113"/>
        <v>1923.4</v>
      </c>
      <c r="AB107" s="5">
        <v>0</v>
      </c>
      <c r="AC107" s="5">
        <f>AA107+AB107</f>
        <v>1923.4</v>
      </c>
      <c r="AD107" s="5">
        <v>0</v>
      </c>
      <c r="AE107" s="5">
        <f>AC107+AD107</f>
        <v>1923.4</v>
      </c>
      <c r="AF107" s="5">
        <v>0</v>
      </c>
      <c r="AG107" s="5">
        <f>AE107+AF107</f>
        <v>1923.4</v>
      </c>
      <c r="AH107" s="5">
        <v>0</v>
      </c>
      <c r="AI107" s="5">
        <f>AG107+AH107</f>
        <v>1923.4</v>
      </c>
      <c r="AJ107" s="5">
        <v>0</v>
      </c>
      <c r="AK107" s="5">
        <f>AI107+AJ107</f>
        <v>1923.4</v>
      </c>
      <c r="AL107" s="5">
        <v>0</v>
      </c>
      <c r="AM107" s="5">
        <f>AK107+AL107</f>
        <v>1923.4</v>
      </c>
      <c r="AN107" s="5">
        <v>0</v>
      </c>
      <c r="AO107" s="5">
        <f>AM107+AN107</f>
        <v>1923.4</v>
      </c>
      <c r="AP107" s="5">
        <f>D107-AO107</f>
        <v>-0.40000000000009095</v>
      </c>
      <c r="AQ107" s="5">
        <f>SUM(AQ104:AQ106)</f>
        <v>0</v>
      </c>
      <c r="AR107" s="5">
        <f>SUM(AR104:AR106)</f>
        <v>1923.4</v>
      </c>
      <c r="AS107" s="5">
        <f>SUM(AS104:AS106)</f>
        <v>-0.40000000000009095</v>
      </c>
      <c r="AU107" s="20"/>
      <c r="AV107" s="5">
        <f>SUM(AV104:AV106)</f>
        <v>0</v>
      </c>
    </row>
    <row r="108" spans="1:48" ht="15" x14ac:dyDescent="0.2">
      <c r="C108" s="7"/>
      <c r="D108" s="5"/>
      <c r="E108" s="6"/>
      <c r="F108" s="6"/>
      <c r="G108" s="5"/>
      <c r="H108" s="5"/>
      <c r="I108" s="5"/>
      <c r="J108" s="5"/>
      <c r="K108" s="5"/>
      <c r="L108" s="5"/>
      <c r="M108" s="5"/>
      <c r="R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N108" s="5"/>
      <c r="AU108" s="20"/>
    </row>
    <row r="109" spans="1:48" ht="15" x14ac:dyDescent="0.2">
      <c r="A109" s="1">
        <v>393.3</v>
      </c>
      <c r="B109" s="1" t="s">
        <v>83</v>
      </c>
      <c r="D109" s="5"/>
      <c r="E109" s="6"/>
      <c r="F109" s="6"/>
      <c r="G109" s="5"/>
      <c r="H109" s="5"/>
      <c r="I109" s="5"/>
      <c r="J109" s="5"/>
      <c r="K109" s="5"/>
      <c r="L109" s="5"/>
      <c r="M109" s="5"/>
      <c r="R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N109" s="5"/>
      <c r="AU109" s="20"/>
    </row>
    <row r="110" spans="1:48" ht="15" x14ac:dyDescent="0.2">
      <c r="B110" s="1" t="s">
        <v>60</v>
      </c>
      <c r="C110" s="7">
        <v>36069</v>
      </c>
      <c r="D110" s="5">
        <v>572</v>
      </c>
      <c r="E110" s="6" t="s">
        <v>15</v>
      </c>
      <c r="F110" s="6">
        <v>10</v>
      </c>
      <c r="G110" s="5">
        <f>243+57</f>
        <v>300</v>
      </c>
      <c r="H110" s="5">
        <f>SUM(D110/F110)</f>
        <v>57.2</v>
      </c>
      <c r="I110" s="5">
        <f>SUM(G110:H110)</f>
        <v>357.2</v>
      </c>
      <c r="J110" s="5">
        <f>SUM(D110/F110)</f>
        <v>57.2</v>
      </c>
      <c r="K110" s="5">
        <f>SUM(I110:J110)</f>
        <v>414.4</v>
      </c>
      <c r="L110" s="5">
        <f>SUM(D110/F110)</f>
        <v>57.2</v>
      </c>
      <c r="M110" s="5">
        <f>SUM(K110:L110)</f>
        <v>471.59999999999997</v>
      </c>
      <c r="N110" s="5">
        <f>SUM(D110/F110)</f>
        <v>57.2</v>
      </c>
      <c r="O110" s="5">
        <f>SUM(M110+N110)</f>
        <v>528.79999999999995</v>
      </c>
      <c r="P110" s="5">
        <f>SUM(D110/F110-14)</f>
        <v>43.2</v>
      </c>
      <c r="Q110" s="5">
        <f>SUM(O110+P110)</f>
        <v>572</v>
      </c>
      <c r="R110" s="5">
        <v>0</v>
      </c>
      <c r="S110" s="5">
        <f>SUM(Q110+R110)</f>
        <v>572</v>
      </c>
      <c r="T110" s="1">
        <v>0</v>
      </c>
      <c r="U110" s="1">
        <v>572</v>
      </c>
      <c r="V110" s="1">
        <v>0</v>
      </c>
      <c r="W110" s="1">
        <v>572</v>
      </c>
      <c r="X110" s="1">
        <v>0</v>
      </c>
      <c r="Y110" s="1">
        <v>572</v>
      </c>
      <c r="Z110" s="1">
        <v>0</v>
      </c>
      <c r="AA110" s="1">
        <v>572</v>
      </c>
      <c r="AB110" s="5">
        <f>Z110</f>
        <v>0</v>
      </c>
      <c r="AC110" s="5">
        <f>AA110+AB110</f>
        <v>572</v>
      </c>
      <c r="AD110" s="5">
        <f>AB110</f>
        <v>0</v>
      </c>
      <c r="AE110" s="5">
        <f>AC110+AD110</f>
        <v>572</v>
      </c>
      <c r="AF110" s="5">
        <f>AD110</f>
        <v>0</v>
      </c>
      <c r="AG110" s="5">
        <f>AE110+AF110</f>
        <v>572</v>
      </c>
      <c r="AH110" s="5">
        <f>AF110</f>
        <v>0</v>
      </c>
      <c r="AI110" s="5">
        <f>AG110+AH110</f>
        <v>572</v>
      </c>
      <c r="AJ110" s="5">
        <f>AH110</f>
        <v>0</v>
      </c>
      <c r="AK110" s="5">
        <f>AI110+AJ110</f>
        <v>572</v>
      </c>
      <c r="AL110" s="5">
        <f>AJ110</f>
        <v>0</v>
      </c>
      <c r="AM110" s="5">
        <f>AK110+AL110</f>
        <v>572</v>
      </c>
      <c r="AN110" s="5">
        <f>AL110</f>
        <v>0</v>
      </c>
      <c r="AO110" s="5">
        <f>AM110+AN110</f>
        <v>572</v>
      </c>
      <c r="AP110" s="5">
        <f>D110-AO110</f>
        <v>0</v>
      </c>
      <c r="AQ110" s="5">
        <f>SUM(AN110)</f>
        <v>0</v>
      </c>
      <c r="AR110" s="5">
        <f>AO110+AQ110</f>
        <v>572</v>
      </c>
      <c r="AS110" s="5">
        <f>D110-AR110</f>
        <v>0</v>
      </c>
      <c r="AU110" s="19">
        <v>10</v>
      </c>
      <c r="AV110" s="5">
        <v>0</v>
      </c>
    </row>
    <row r="111" spans="1:48" ht="15" x14ac:dyDescent="0.2">
      <c r="B111" s="1" t="s">
        <v>84</v>
      </c>
      <c r="C111" s="7">
        <v>37104</v>
      </c>
      <c r="D111" s="5">
        <v>1485</v>
      </c>
      <c r="E111" s="6" t="s">
        <v>15</v>
      </c>
      <c r="F111" s="6">
        <v>10</v>
      </c>
      <c r="G111" s="5">
        <f>211+149</f>
        <v>360</v>
      </c>
      <c r="H111" s="5">
        <f>SUM(D111/F111)</f>
        <v>148.5</v>
      </c>
      <c r="I111" s="5">
        <f>SUM(G111:H111)</f>
        <v>508.5</v>
      </c>
      <c r="J111" s="5">
        <f>SUM(D111/F111)</f>
        <v>148.5</v>
      </c>
      <c r="K111" s="5">
        <f>SUM(I111:J111)</f>
        <v>657</v>
      </c>
      <c r="L111" s="5">
        <f>SUM(D111/F111)</f>
        <v>148.5</v>
      </c>
      <c r="M111" s="5">
        <f>SUM(K111:L111)</f>
        <v>805.5</v>
      </c>
      <c r="N111" s="5">
        <f>SUM(D111/F111)</f>
        <v>148.5</v>
      </c>
      <c r="O111" s="5">
        <f>SUM(M111+N111)</f>
        <v>954</v>
      </c>
      <c r="P111" s="5">
        <f>SUM(D111/F111)</f>
        <v>148.5</v>
      </c>
      <c r="Q111" s="5">
        <f>SUM(O111+P111)</f>
        <v>1102.5</v>
      </c>
      <c r="R111" s="5">
        <f>SUM(D111/F111)</f>
        <v>148.5</v>
      </c>
      <c r="S111" s="5">
        <f>SUM(Q111+R111)</f>
        <v>1251</v>
      </c>
      <c r="T111" s="1">
        <v>149</v>
      </c>
      <c r="U111" s="1">
        <f>1251+149</f>
        <v>1400</v>
      </c>
      <c r="V111" s="1">
        <v>85</v>
      </c>
      <c r="W111" s="1">
        <v>1485</v>
      </c>
      <c r="X111" s="1">
        <v>0</v>
      </c>
      <c r="Y111" s="1">
        <v>1485</v>
      </c>
      <c r="Z111" s="1">
        <v>0</v>
      </c>
      <c r="AA111" s="1">
        <v>1485</v>
      </c>
      <c r="AB111" s="5">
        <f>Z111</f>
        <v>0</v>
      </c>
      <c r="AC111" s="5">
        <f>AA111+AB111</f>
        <v>1485</v>
      </c>
      <c r="AD111" s="5">
        <f>AB111</f>
        <v>0</v>
      </c>
      <c r="AE111" s="5">
        <f>AC111+AD111</f>
        <v>1485</v>
      </c>
      <c r="AF111" s="5">
        <f>AD111</f>
        <v>0</v>
      </c>
      <c r="AG111" s="5">
        <f>AE111+AF111</f>
        <v>1485</v>
      </c>
      <c r="AH111" s="5">
        <f>AF111</f>
        <v>0</v>
      </c>
      <c r="AI111" s="5">
        <f>AG111+AH111</f>
        <v>1485</v>
      </c>
      <c r="AJ111" s="5">
        <f>AH111</f>
        <v>0</v>
      </c>
      <c r="AK111" s="5">
        <f>AI111+AJ111</f>
        <v>1485</v>
      </c>
      <c r="AL111" s="5">
        <f>AJ111</f>
        <v>0</v>
      </c>
      <c r="AM111" s="5">
        <f>AK111+AL111</f>
        <v>1485</v>
      </c>
      <c r="AN111" s="5">
        <f>AL111</f>
        <v>0</v>
      </c>
      <c r="AO111" s="5">
        <f>AM111+AN111</f>
        <v>1485</v>
      </c>
      <c r="AP111" s="5">
        <f>D111-AO111</f>
        <v>0</v>
      </c>
      <c r="AQ111" s="5">
        <f>SUM(AN111)</f>
        <v>0</v>
      </c>
      <c r="AR111" s="5">
        <f>AO111+AQ111</f>
        <v>1485</v>
      </c>
      <c r="AS111" s="5">
        <f>D111-AR111</f>
        <v>0</v>
      </c>
      <c r="AU111" s="19">
        <v>10</v>
      </c>
      <c r="AV111" s="5">
        <v>0</v>
      </c>
    </row>
    <row r="112" spans="1:48" ht="15" x14ac:dyDescent="0.2">
      <c r="B112" s="1" t="s">
        <v>85</v>
      </c>
      <c r="C112" s="7">
        <v>39263</v>
      </c>
      <c r="D112" s="5">
        <v>3424</v>
      </c>
      <c r="E112" s="6" t="s">
        <v>15</v>
      </c>
      <c r="F112" s="6">
        <v>10</v>
      </c>
      <c r="G112" s="5"/>
      <c r="H112" s="5"/>
      <c r="I112" s="5"/>
      <c r="J112" s="5"/>
      <c r="K112" s="5"/>
      <c r="L112" s="5"/>
      <c r="M112" s="5"/>
      <c r="N112" s="5">
        <f>SUM(D112/F112)/2</f>
        <v>171.2</v>
      </c>
      <c r="O112" s="5">
        <f>SUM(M112+N112)</f>
        <v>171.2</v>
      </c>
      <c r="P112" s="5">
        <f>SUM(D112/F112)</f>
        <v>342.4</v>
      </c>
      <c r="Q112" s="5">
        <f>SUM(O112+P112)</f>
        <v>513.59999999999991</v>
      </c>
      <c r="R112" s="5">
        <f>SUM(D112/F112)</f>
        <v>342.4</v>
      </c>
      <c r="S112" s="5">
        <f>SUM(Q112+R112)</f>
        <v>855.99999999999989</v>
      </c>
      <c r="T112" s="1">
        <v>342</v>
      </c>
      <c r="U112" s="1">
        <f>856+342</f>
        <v>1198</v>
      </c>
      <c r="V112" s="5">
        <f>T112</f>
        <v>342</v>
      </c>
      <c r="W112" s="5">
        <f>U112+V112</f>
        <v>1540</v>
      </c>
      <c r="X112" s="5">
        <f>V112</f>
        <v>342</v>
      </c>
      <c r="Y112" s="5">
        <f>W112+X112</f>
        <v>1882</v>
      </c>
      <c r="Z112" s="5">
        <f>X112</f>
        <v>342</v>
      </c>
      <c r="AA112" s="5">
        <f>Y112+Z112</f>
        <v>2224</v>
      </c>
      <c r="AB112" s="5">
        <f>Z112</f>
        <v>342</v>
      </c>
      <c r="AC112" s="5">
        <f>AA112+AB112</f>
        <v>2566</v>
      </c>
      <c r="AD112" s="5">
        <f>AB112</f>
        <v>342</v>
      </c>
      <c r="AE112" s="5">
        <f>AC112+AD112</f>
        <v>2908</v>
      </c>
      <c r="AF112" s="5">
        <f>AD112</f>
        <v>342</v>
      </c>
      <c r="AG112" s="5">
        <f>AE112+AF112</f>
        <v>3250</v>
      </c>
      <c r="AH112" s="5">
        <f>3424-3250</f>
        <v>174</v>
      </c>
      <c r="AI112" s="5">
        <f>AG112+AH112</f>
        <v>3424</v>
      </c>
      <c r="AJ112" s="5">
        <v>0</v>
      </c>
      <c r="AK112" s="5">
        <f>AI112+AJ112</f>
        <v>3424</v>
      </c>
      <c r="AL112" s="5">
        <v>0</v>
      </c>
      <c r="AM112" s="5">
        <f>AK112+AL112</f>
        <v>3424</v>
      </c>
      <c r="AN112" s="5">
        <v>0</v>
      </c>
      <c r="AO112" s="5">
        <f>AM112+AN112</f>
        <v>3424</v>
      </c>
      <c r="AP112" s="5">
        <f>D112-AO112</f>
        <v>0</v>
      </c>
      <c r="AQ112" s="5">
        <f>SUM(AN112)</f>
        <v>0</v>
      </c>
      <c r="AR112" s="5">
        <f>AO112+AQ112</f>
        <v>3424</v>
      </c>
      <c r="AS112" s="5">
        <f>D112-AR112</f>
        <v>0</v>
      </c>
      <c r="AU112" s="19">
        <v>10</v>
      </c>
      <c r="AV112" s="5">
        <v>0</v>
      </c>
    </row>
    <row r="113" spans="1:48" ht="15" x14ac:dyDescent="0.2">
      <c r="C113" s="7"/>
      <c r="D113" s="5"/>
      <c r="E113" s="6"/>
      <c r="F113" s="6"/>
      <c r="G113" s="5"/>
      <c r="H113" s="5"/>
      <c r="I113" s="5"/>
      <c r="J113" s="5"/>
      <c r="K113" s="5"/>
      <c r="L113" s="5"/>
      <c r="M113" s="5"/>
      <c r="R113" s="5"/>
      <c r="AB113" s="5">
        <f>Z113</f>
        <v>0</v>
      </c>
      <c r="AC113" s="5">
        <f>AA113+AB113</f>
        <v>0</v>
      </c>
      <c r="AD113" s="5">
        <f>AB113</f>
        <v>0</v>
      </c>
      <c r="AE113" s="5">
        <f>AC113+AD113</f>
        <v>0</v>
      </c>
      <c r="AF113" s="5">
        <f>AD113</f>
        <v>0</v>
      </c>
      <c r="AG113" s="5">
        <f>AE113+AF113</f>
        <v>0</v>
      </c>
      <c r="AH113" s="5">
        <f>AF113</f>
        <v>0</v>
      </c>
      <c r="AI113" s="5">
        <f>AG113+AH113</f>
        <v>0</v>
      </c>
      <c r="AJ113" s="5">
        <f>AH113</f>
        <v>0</v>
      </c>
      <c r="AK113" s="5">
        <f>AI113+AJ113</f>
        <v>0</v>
      </c>
      <c r="AL113" s="5">
        <f>AJ113</f>
        <v>0</v>
      </c>
      <c r="AM113" s="5"/>
      <c r="AN113" s="5"/>
      <c r="AO113" s="5"/>
      <c r="AP113" s="5"/>
      <c r="AU113" s="20"/>
    </row>
    <row r="114" spans="1:48" x14ac:dyDescent="0.25">
      <c r="D114" s="5">
        <f>SUM(D110:D113)</f>
        <v>5481</v>
      </c>
      <c r="E114" s="6"/>
      <c r="F114" s="6"/>
      <c r="G114" s="8">
        <f>SUM(G110:G113)</f>
        <v>660</v>
      </c>
      <c r="H114" s="8">
        <f>SUM(H110:H113)</f>
        <v>205.7</v>
      </c>
      <c r="I114" s="8">
        <f>SUM(I110:I113)</f>
        <v>865.7</v>
      </c>
      <c r="J114" s="8">
        <f>SUM(J110:J113)</f>
        <v>205.7</v>
      </c>
      <c r="K114" s="8">
        <f>SUM(I114:J114)</f>
        <v>1071.4000000000001</v>
      </c>
      <c r="L114" s="8">
        <f>SUM(L110:L113)</f>
        <v>205.7</v>
      </c>
      <c r="M114" s="8">
        <f>SUM(K114:L114)</f>
        <v>1277.1000000000001</v>
      </c>
      <c r="N114" s="8">
        <f>SUM(N110:N113)</f>
        <v>376.9</v>
      </c>
      <c r="O114" s="8">
        <f t="shared" ref="O114:AA114" si="114">SUM(O110:O112)</f>
        <v>1654</v>
      </c>
      <c r="P114" s="8">
        <f t="shared" si="114"/>
        <v>534.09999999999991</v>
      </c>
      <c r="Q114" s="8">
        <f t="shared" si="114"/>
        <v>2188.1</v>
      </c>
      <c r="R114" s="8">
        <f t="shared" si="114"/>
        <v>490.9</v>
      </c>
      <c r="S114" s="8">
        <f t="shared" si="114"/>
        <v>2679</v>
      </c>
      <c r="T114" s="11">
        <f t="shared" si="114"/>
        <v>491</v>
      </c>
      <c r="U114" s="11">
        <f t="shared" si="114"/>
        <v>3170</v>
      </c>
      <c r="V114" s="11">
        <f t="shared" si="114"/>
        <v>427</v>
      </c>
      <c r="W114" s="11">
        <f t="shared" si="114"/>
        <v>3597</v>
      </c>
      <c r="X114" s="11">
        <f t="shared" si="114"/>
        <v>342</v>
      </c>
      <c r="Y114" s="11">
        <f t="shared" si="114"/>
        <v>3939</v>
      </c>
      <c r="Z114" s="11">
        <f t="shared" si="114"/>
        <v>342</v>
      </c>
      <c r="AA114" s="11">
        <f t="shared" si="114"/>
        <v>4281</v>
      </c>
      <c r="AB114" s="5">
        <f>Z114</f>
        <v>342</v>
      </c>
      <c r="AC114" s="5">
        <f>AA114+AB114</f>
        <v>4623</v>
      </c>
      <c r="AD114" s="5">
        <f>AB114</f>
        <v>342</v>
      </c>
      <c r="AE114" s="5">
        <f>AC114+AD114</f>
        <v>4965</v>
      </c>
      <c r="AF114" s="5">
        <f>AD114</f>
        <v>342</v>
      </c>
      <c r="AG114" s="5">
        <f>AE114+AF114</f>
        <v>5307</v>
      </c>
      <c r="AH114" s="5">
        <f>AF114</f>
        <v>342</v>
      </c>
      <c r="AI114" s="5">
        <f>AG114+AH114</f>
        <v>5649</v>
      </c>
      <c r="AJ114" s="5">
        <v>0</v>
      </c>
      <c r="AK114" s="5">
        <f>AI114+AJ114</f>
        <v>5649</v>
      </c>
      <c r="AL114" s="5">
        <v>0</v>
      </c>
      <c r="AM114" s="5">
        <f t="shared" ref="AM114:AS114" si="115">SUM(AM110:AM113)</f>
        <v>5481</v>
      </c>
      <c r="AN114" s="5">
        <f t="shared" si="115"/>
        <v>0</v>
      </c>
      <c r="AO114" s="5">
        <f t="shared" si="115"/>
        <v>5481</v>
      </c>
      <c r="AP114" s="5">
        <f t="shared" si="115"/>
        <v>0</v>
      </c>
      <c r="AQ114" s="5">
        <f t="shared" si="115"/>
        <v>0</v>
      </c>
      <c r="AR114" s="5">
        <f t="shared" si="115"/>
        <v>5481</v>
      </c>
      <c r="AS114" s="5">
        <f t="shared" si="115"/>
        <v>0</v>
      </c>
      <c r="AU114" s="20"/>
      <c r="AV114" s="5">
        <f t="shared" ref="AV114" si="116">SUM(AV110:AV113)</f>
        <v>0</v>
      </c>
    </row>
    <row r="115" spans="1:48" ht="15" x14ac:dyDescent="0.2">
      <c r="D115" s="5"/>
      <c r="E115" s="6"/>
      <c r="F115" s="6"/>
      <c r="G115" s="5"/>
      <c r="H115" s="5"/>
      <c r="I115" s="5"/>
      <c r="J115" s="5"/>
      <c r="K115" s="5"/>
      <c r="L115" s="5"/>
      <c r="M115" s="5"/>
      <c r="R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U115" s="20"/>
    </row>
    <row r="116" spans="1:48" ht="15" x14ac:dyDescent="0.2">
      <c r="A116" s="1">
        <v>393.5</v>
      </c>
      <c r="B116" s="1" t="s">
        <v>86</v>
      </c>
      <c r="D116" s="5"/>
      <c r="E116" s="6"/>
      <c r="F116" s="6"/>
      <c r="G116" s="5"/>
      <c r="H116" s="5"/>
      <c r="I116" s="5"/>
      <c r="J116" s="5"/>
      <c r="K116" s="5"/>
      <c r="L116" s="5"/>
      <c r="M116" s="5"/>
      <c r="R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U116" s="20"/>
    </row>
    <row r="117" spans="1:48" ht="15" x14ac:dyDescent="0.2">
      <c r="AU117" s="20"/>
    </row>
    <row r="118" spans="1:48" x14ac:dyDescent="0.25">
      <c r="C118" s="7"/>
      <c r="D118" s="5">
        <f>SUM(D117:D117)</f>
        <v>0</v>
      </c>
      <c r="E118" s="6"/>
      <c r="F118" s="6"/>
      <c r="G118" s="8">
        <f>SUM(G117:G117)</f>
        <v>0</v>
      </c>
      <c r="H118" s="8">
        <f>SUM(H117:H117)</f>
        <v>0</v>
      </c>
      <c r="I118" s="8">
        <f>SUM(I117:I117)</f>
        <v>0</v>
      </c>
      <c r="J118" s="8">
        <f>SUM(J117:J117)</f>
        <v>0</v>
      </c>
      <c r="K118" s="8">
        <f>SUM(I118:J118)</f>
        <v>0</v>
      </c>
      <c r="L118" s="8">
        <f>SUM(L117:L117)</f>
        <v>0</v>
      </c>
      <c r="M118" s="8">
        <f>SUM(K118:L118)</f>
        <v>0</v>
      </c>
      <c r="N118" s="8">
        <f>SUM(N117:N117)</f>
        <v>0</v>
      </c>
      <c r="O118" s="8" t="e">
        <f>SUM(#REF!)</f>
        <v>#REF!</v>
      </c>
      <c r="P118" s="8">
        <f>SUM(P117:P117)</f>
        <v>0</v>
      </c>
      <c r="Q118" s="8" t="e">
        <f>SUM(#REF!)</f>
        <v>#REF!</v>
      </c>
      <c r="R118" s="8" t="e">
        <f>SUM(#REF!)</f>
        <v>#REF!</v>
      </c>
      <c r="S118" s="8" t="e">
        <f>SUM(#REF!)</f>
        <v>#REF!</v>
      </c>
      <c r="T118" s="11">
        <v>0</v>
      </c>
      <c r="U118" s="11">
        <v>1449</v>
      </c>
      <c r="V118" s="11">
        <v>0</v>
      </c>
      <c r="W118" s="11">
        <v>1449</v>
      </c>
      <c r="X118" s="11">
        <v>0</v>
      </c>
      <c r="Y118" s="11">
        <v>1449</v>
      </c>
      <c r="Z118" s="11">
        <v>0</v>
      </c>
      <c r="AA118" s="11">
        <v>1449</v>
      </c>
      <c r="AB118" s="5">
        <f>Z118</f>
        <v>0</v>
      </c>
      <c r="AC118" s="5">
        <f>AA118+AB118</f>
        <v>1449</v>
      </c>
      <c r="AD118" s="5">
        <f>AB118</f>
        <v>0</v>
      </c>
      <c r="AE118" s="5">
        <f>AC118+AD118</f>
        <v>1449</v>
      </c>
      <c r="AF118" s="5">
        <f>AD118</f>
        <v>0</v>
      </c>
      <c r="AG118" s="5">
        <f>AE118+AF118</f>
        <v>1449</v>
      </c>
      <c r="AH118" s="5">
        <f>AF118</f>
        <v>0</v>
      </c>
      <c r="AI118" s="5">
        <v>0</v>
      </c>
      <c r="AJ118" s="5">
        <f>AH118</f>
        <v>0</v>
      </c>
      <c r="AK118" s="5">
        <f>AI118+AJ118</f>
        <v>0</v>
      </c>
      <c r="AL118" s="5">
        <f>SUM(AL117:AL117)</f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U118" s="20"/>
      <c r="AV118" s="1">
        <v>0</v>
      </c>
    </row>
    <row r="119" spans="1:48" ht="15" x14ac:dyDescent="0.2">
      <c r="C119" s="7"/>
      <c r="D119" s="5"/>
      <c r="E119" s="6"/>
      <c r="F119" s="6"/>
      <c r="G119" s="5"/>
      <c r="H119" s="5"/>
      <c r="I119" s="5"/>
      <c r="J119" s="5"/>
      <c r="K119" s="5"/>
      <c r="L119" s="5"/>
      <c r="M119" s="5"/>
      <c r="R119" s="5"/>
      <c r="AB119" s="5"/>
      <c r="AC119" s="5"/>
      <c r="AD119" s="5"/>
      <c r="AE119" s="5"/>
      <c r="AF119" s="5"/>
      <c r="AH119" s="5"/>
      <c r="AJ119" s="5"/>
      <c r="AL119" s="5"/>
      <c r="AU119" s="20"/>
    </row>
    <row r="120" spans="1:48" ht="15" x14ac:dyDescent="0.2">
      <c r="A120" s="1">
        <v>393.6</v>
      </c>
      <c r="B120" s="1" t="s">
        <v>87</v>
      </c>
      <c r="D120" s="5"/>
      <c r="E120" s="6"/>
      <c r="F120" s="6"/>
      <c r="G120" s="5"/>
      <c r="H120" s="5"/>
      <c r="I120" s="5"/>
      <c r="J120" s="5"/>
      <c r="K120" s="5"/>
      <c r="L120" s="5"/>
      <c r="M120" s="5"/>
      <c r="R120" s="5"/>
      <c r="AB120" s="5"/>
      <c r="AC120" s="5"/>
      <c r="AD120" s="5"/>
      <c r="AE120" s="5"/>
      <c r="AF120" s="5"/>
      <c r="AH120" s="5"/>
      <c r="AJ120" s="5"/>
      <c r="AL120" s="5"/>
      <c r="AU120" s="20"/>
    </row>
    <row r="121" spans="1:48" ht="15" x14ac:dyDescent="0.2">
      <c r="B121" s="1" t="s">
        <v>88</v>
      </c>
      <c r="C121" s="7">
        <v>37834</v>
      </c>
      <c r="D121" s="5">
        <v>2122</v>
      </c>
      <c r="E121" s="6" t="s">
        <v>15</v>
      </c>
      <c r="F121" s="6">
        <v>10</v>
      </c>
      <c r="G121" s="5">
        <v>88</v>
      </c>
      <c r="H121" s="5">
        <f>SUM(D121/F121)</f>
        <v>212.2</v>
      </c>
      <c r="I121" s="5">
        <f>SUM(G121:H121)</f>
        <v>300.2</v>
      </c>
      <c r="J121" s="5">
        <f>SUM(D121/F121)</f>
        <v>212.2</v>
      </c>
      <c r="K121" s="5">
        <f>SUM(I121:J121)</f>
        <v>512.4</v>
      </c>
      <c r="L121" s="5">
        <f>SUM(D121/F121)</f>
        <v>212.2</v>
      </c>
      <c r="M121" s="5">
        <f>SUM(K121:L121)</f>
        <v>724.59999999999991</v>
      </c>
      <c r="N121" s="5">
        <f>SUM(D121/F121)</f>
        <v>212.2</v>
      </c>
      <c r="O121" s="5">
        <f>SUM(M121+N121)</f>
        <v>936.8</v>
      </c>
      <c r="P121" s="5">
        <f>SUM(D121/F121)</f>
        <v>212.2</v>
      </c>
      <c r="Q121" s="5">
        <f>SUM(O121+P121)</f>
        <v>1149</v>
      </c>
      <c r="R121" s="5">
        <f>SUM(D121/F121)</f>
        <v>212.2</v>
      </c>
      <c r="S121" s="5">
        <f>SUM(Q121+R121)</f>
        <v>1361.2</v>
      </c>
      <c r="T121" s="1">
        <v>212</v>
      </c>
      <c r="U121" s="5">
        <f>S121+T121</f>
        <v>1573.2</v>
      </c>
      <c r="V121" s="5">
        <f>T121</f>
        <v>212</v>
      </c>
      <c r="W121" s="5">
        <f>U121+V121</f>
        <v>1785.2</v>
      </c>
      <c r="X121" s="5">
        <f>V121</f>
        <v>212</v>
      </c>
      <c r="Y121" s="5">
        <f>W121+X121</f>
        <v>1997.2</v>
      </c>
      <c r="Z121" s="5">
        <f>2122-1997</f>
        <v>125</v>
      </c>
      <c r="AA121" s="5">
        <f>Y121+Z121</f>
        <v>2122.1999999999998</v>
      </c>
      <c r="AB121" s="5">
        <v>0</v>
      </c>
      <c r="AC121" s="5">
        <f>AA121+AB121</f>
        <v>2122.1999999999998</v>
      </c>
      <c r="AD121" s="5">
        <v>0</v>
      </c>
      <c r="AE121" s="5">
        <f>AC121+AD121</f>
        <v>2122.1999999999998</v>
      </c>
      <c r="AF121" s="5">
        <v>0</v>
      </c>
      <c r="AG121" s="5">
        <f>AE121+AF121</f>
        <v>2122.1999999999998</v>
      </c>
      <c r="AH121" s="5">
        <v>0</v>
      </c>
      <c r="AI121" s="5">
        <f>AG121+AH121</f>
        <v>2122.1999999999998</v>
      </c>
      <c r="AJ121" s="5">
        <v>0</v>
      </c>
      <c r="AK121" s="5">
        <f>AI121+AJ121</f>
        <v>2122.1999999999998</v>
      </c>
      <c r="AL121" s="5">
        <v>0</v>
      </c>
      <c r="AM121" s="5">
        <f>AK121+AL121</f>
        <v>2122.1999999999998</v>
      </c>
      <c r="AN121" s="5">
        <v>0</v>
      </c>
      <c r="AO121" s="5">
        <f>AM121+AN121</f>
        <v>2122.1999999999998</v>
      </c>
      <c r="AP121" s="5">
        <f>D121-AO121</f>
        <v>-0.1999999999998181</v>
      </c>
      <c r="AQ121" s="5">
        <f>SUM(AN121)</f>
        <v>0</v>
      </c>
      <c r="AR121" s="5">
        <f>AO121+AQ121</f>
        <v>2122.1999999999998</v>
      </c>
      <c r="AS121" s="5">
        <f>D121-AR121</f>
        <v>-0.1999999999998181</v>
      </c>
      <c r="AU121" s="19">
        <v>10</v>
      </c>
      <c r="AV121" s="5">
        <v>0</v>
      </c>
    </row>
    <row r="122" spans="1:48" ht="15" x14ac:dyDescent="0.2">
      <c r="B122" s="1" t="s">
        <v>88</v>
      </c>
      <c r="C122" s="7">
        <v>38030</v>
      </c>
      <c r="D122" s="5">
        <v>7000</v>
      </c>
      <c r="E122" s="6" t="s">
        <v>15</v>
      </c>
      <c r="F122" s="6">
        <v>10</v>
      </c>
      <c r="G122" s="5"/>
      <c r="H122" s="5">
        <f>SUM(D122/F122/2)</f>
        <v>350</v>
      </c>
      <c r="I122" s="5">
        <f>SUM(G122:H122)</f>
        <v>350</v>
      </c>
      <c r="J122" s="5">
        <f>SUM(D122/F122)</f>
        <v>700</v>
      </c>
      <c r="K122" s="5">
        <f>SUM(I122:J122)</f>
        <v>1050</v>
      </c>
      <c r="L122" s="5">
        <f>SUM(D122/F122)</f>
        <v>700</v>
      </c>
      <c r="M122" s="5">
        <f>SUM(K122:L122)</f>
        <v>1750</v>
      </c>
      <c r="N122" s="5">
        <f>SUM(D122/F122)</f>
        <v>700</v>
      </c>
      <c r="O122" s="5">
        <f>SUM(M122+N122)</f>
        <v>2450</v>
      </c>
      <c r="P122" s="5">
        <f>SUM(D122/F122)</f>
        <v>700</v>
      </c>
      <c r="Q122" s="5">
        <f>SUM(O122+P122)</f>
        <v>3150</v>
      </c>
      <c r="R122" s="5">
        <f>SUM(D122/F122)</f>
        <v>700</v>
      </c>
      <c r="S122" s="5">
        <f>SUM(Q122+R122)</f>
        <v>3850</v>
      </c>
      <c r="T122" s="1">
        <v>700</v>
      </c>
      <c r="U122" s="5">
        <f>S122+T122</f>
        <v>4550</v>
      </c>
      <c r="V122" s="5">
        <f>T122</f>
        <v>700</v>
      </c>
      <c r="W122" s="5">
        <f>U122+V122</f>
        <v>5250</v>
      </c>
      <c r="X122" s="5">
        <f>V122</f>
        <v>700</v>
      </c>
      <c r="Y122" s="5">
        <f>W122+X122</f>
        <v>5950</v>
      </c>
      <c r="Z122" s="5">
        <f>X122</f>
        <v>700</v>
      </c>
      <c r="AA122" s="5">
        <f>Y122+Z122</f>
        <v>6650</v>
      </c>
      <c r="AB122" s="5">
        <v>350</v>
      </c>
      <c r="AC122" s="5">
        <f>AA122+AB122</f>
        <v>7000</v>
      </c>
      <c r="AD122" s="5">
        <v>0</v>
      </c>
      <c r="AE122" s="5">
        <f>AC122+AD122</f>
        <v>7000</v>
      </c>
      <c r="AF122" s="5">
        <v>0</v>
      </c>
      <c r="AG122" s="5">
        <f>AE122+AF122</f>
        <v>7000</v>
      </c>
      <c r="AH122" s="5">
        <v>0</v>
      </c>
      <c r="AI122" s="5">
        <f>AG122+AH122</f>
        <v>7000</v>
      </c>
      <c r="AJ122" s="5">
        <v>0</v>
      </c>
      <c r="AK122" s="5">
        <f>AI122+AJ122</f>
        <v>7000</v>
      </c>
      <c r="AL122" s="5">
        <v>0</v>
      </c>
      <c r="AM122" s="5">
        <f>AK122+AL122</f>
        <v>7000</v>
      </c>
      <c r="AN122" s="5">
        <v>0</v>
      </c>
      <c r="AO122" s="5">
        <f>AM122+AN122</f>
        <v>7000</v>
      </c>
      <c r="AP122" s="5">
        <f>D122-AO122</f>
        <v>0</v>
      </c>
      <c r="AQ122" s="5">
        <f>SUM(AN122)</f>
        <v>0</v>
      </c>
      <c r="AR122" s="5">
        <f>AO122+AQ122</f>
        <v>7000</v>
      </c>
      <c r="AS122" s="5">
        <f>D122-AR122</f>
        <v>0</v>
      </c>
      <c r="AU122" s="19">
        <v>10</v>
      </c>
      <c r="AV122" s="5">
        <v>0</v>
      </c>
    </row>
    <row r="123" spans="1:48" ht="15" x14ac:dyDescent="0.2">
      <c r="B123" s="1" t="s">
        <v>89</v>
      </c>
      <c r="C123" s="7">
        <v>41201</v>
      </c>
      <c r="D123" s="5">
        <v>3608</v>
      </c>
      <c r="E123" s="6" t="s">
        <v>15</v>
      </c>
      <c r="F123" s="6">
        <v>10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U123" s="5"/>
      <c r="V123" s="5"/>
      <c r="W123" s="5"/>
      <c r="X123" s="5">
        <v>75</v>
      </c>
      <c r="Y123" s="5">
        <f>W123+X123</f>
        <v>75</v>
      </c>
      <c r="Z123" s="5">
        <v>75</v>
      </c>
      <c r="AA123" s="5">
        <f>Y123+Z123</f>
        <v>150</v>
      </c>
      <c r="AB123" s="5">
        <v>361</v>
      </c>
      <c r="AC123" s="5">
        <f>AA123+AB123</f>
        <v>511</v>
      </c>
      <c r="AD123" s="5">
        <f>3609/10</f>
        <v>360.9</v>
      </c>
      <c r="AE123" s="5">
        <f>AC123+AD123</f>
        <v>871.9</v>
      </c>
      <c r="AF123" s="5">
        <f>3609/10</f>
        <v>360.9</v>
      </c>
      <c r="AG123" s="5">
        <f>AE123+AF123</f>
        <v>1232.8</v>
      </c>
      <c r="AH123" s="5">
        <f>3609/10</f>
        <v>360.9</v>
      </c>
      <c r="AI123" s="5">
        <f>AG123+AH123</f>
        <v>1593.6999999999998</v>
      </c>
      <c r="AJ123" s="5">
        <f>3609/10</f>
        <v>360.9</v>
      </c>
      <c r="AK123" s="5">
        <f>AI123+AJ123</f>
        <v>1954.6</v>
      </c>
      <c r="AL123" s="5">
        <f>3609/10</f>
        <v>360.9</v>
      </c>
      <c r="AM123" s="5">
        <v>2316</v>
      </c>
      <c r="AN123" s="5">
        <f>3609/10</f>
        <v>360.9</v>
      </c>
      <c r="AO123" s="5">
        <f>AM123+AN123</f>
        <v>2676.9</v>
      </c>
      <c r="AP123" s="5">
        <f>D123-AO123</f>
        <v>931.09999999999991</v>
      </c>
      <c r="AQ123" s="5">
        <f>SUM(AN123)</f>
        <v>360.9</v>
      </c>
      <c r="AR123" s="5">
        <f>AO123+AQ123</f>
        <v>3037.8</v>
      </c>
      <c r="AS123" s="5">
        <f>D123-AR123</f>
        <v>570.19999999999982</v>
      </c>
      <c r="AU123" s="19">
        <v>10</v>
      </c>
      <c r="AV123" s="5">
        <v>361</v>
      </c>
    </row>
    <row r="124" spans="1:48" ht="15" x14ac:dyDescent="0.2">
      <c r="B124" s="1" t="s">
        <v>90</v>
      </c>
      <c r="C124" s="10">
        <v>40662</v>
      </c>
      <c r="D124" s="5">
        <v>2728</v>
      </c>
      <c r="E124" s="6" t="s">
        <v>15</v>
      </c>
      <c r="F124" s="6">
        <v>10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U124" s="5"/>
      <c r="V124" s="5">
        <v>182</v>
      </c>
      <c r="W124" s="5">
        <f>U124+V124</f>
        <v>182</v>
      </c>
      <c r="X124" s="5">
        <v>273</v>
      </c>
      <c r="Y124" s="5">
        <f>W124+X124</f>
        <v>455</v>
      </c>
      <c r="Z124" s="5">
        <v>273</v>
      </c>
      <c r="AA124" s="5">
        <f>Y124+Z124</f>
        <v>728</v>
      </c>
      <c r="AB124" s="5">
        <f>Z124</f>
        <v>273</v>
      </c>
      <c r="AC124" s="5">
        <f>AA124+AB124</f>
        <v>1001</v>
      </c>
      <c r="AD124" s="5">
        <f>AB124</f>
        <v>273</v>
      </c>
      <c r="AE124" s="5">
        <f>AC124+AD124</f>
        <v>1274</v>
      </c>
      <c r="AF124" s="5">
        <f>AD124</f>
        <v>273</v>
      </c>
      <c r="AG124" s="5">
        <f>AE124+AF124</f>
        <v>1547</v>
      </c>
      <c r="AH124" s="5">
        <f>AF124</f>
        <v>273</v>
      </c>
      <c r="AI124" s="5">
        <f>AG124+AH124</f>
        <v>1820</v>
      </c>
      <c r="AJ124" s="5">
        <f>AH124</f>
        <v>273</v>
      </c>
      <c r="AK124" s="5">
        <f>AI124+AJ124</f>
        <v>2093</v>
      </c>
      <c r="AL124" s="5">
        <f>AJ124</f>
        <v>273</v>
      </c>
      <c r="AM124" s="5">
        <f>AK124+AL124</f>
        <v>2366</v>
      </c>
      <c r="AN124" s="5">
        <f>AL124</f>
        <v>273</v>
      </c>
      <c r="AO124" s="5">
        <f>AM124+AN124</f>
        <v>2639</v>
      </c>
      <c r="AP124" s="5">
        <f>D124-AO124</f>
        <v>89</v>
      </c>
      <c r="AQ124" s="5">
        <v>89</v>
      </c>
      <c r="AR124" s="5">
        <f>AO124+AQ124</f>
        <v>2728</v>
      </c>
      <c r="AS124" s="5">
        <f>D124-AR124</f>
        <v>0</v>
      </c>
      <c r="AU124" s="19">
        <v>10</v>
      </c>
      <c r="AV124" s="5">
        <v>89</v>
      </c>
    </row>
    <row r="125" spans="1:48" ht="15" x14ac:dyDescent="0.2">
      <c r="C125" s="10"/>
      <c r="D125" s="5"/>
      <c r="E125" s="6"/>
      <c r="F125" s="6"/>
      <c r="G125" s="5"/>
      <c r="H125" s="5"/>
      <c r="I125" s="5"/>
      <c r="J125" s="5"/>
      <c r="K125" s="5"/>
      <c r="L125" s="5"/>
      <c r="M125" s="5"/>
      <c r="R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U125" s="20"/>
    </row>
    <row r="126" spans="1:48" x14ac:dyDescent="0.25">
      <c r="C126" s="7"/>
      <c r="D126" s="5">
        <f>SUM(D120:D125)</f>
        <v>15458</v>
      </c>
      <c r="E126" s="6"/>
      <c r="F126" s="6"/>
      <c r="G126" s="8">
        <f>SUM(G120:G125)</f>
        <v>88</v>
      </c>
      <c r="H126" s="8">
        <f>SUM(H120:H125)</f>
        <v>562.20000000000005</v>
      </c>
      <c r="I126" s="8">
        <f>SUM(I120:I125)</f>
        <v>650.20000000000005</v>
      </c>
      <c r="J126" s="8">
        <f>SUM(J120:J125)</f>
        <v>912.2</v>
      </c>
      <c r="K126" s="8">
        <f>SUM(I126:J126)</f>
        <v>1562.4</v>
      </c>
      <c r="L126" s="8">
        <f>SUM(L120:L125)</f>
        <v>912.2</v>
      </c>
      <c r="M126" s="8">
        <f>SUM(K126:L126)</f>
        <v>2474.6000000000004</v>
      </c>
      <c r="N126" s="8">
        <f>SUM(N120:N125)</f>
        <v>912.2</v>
      </c>
      <c r="O126" s="8">
        <f t="shared" ref="O126:U126" si="117">SUM(O121:O123)</f>
        <v>3386.8</v>
      </c>
      <c r="P126" s="8">
        <f t="shared" si="117"/>
        <v>912.2</v>
      </c>
      <c r="Q126" s="8">
        <f t="shared" si="117"/>
        <v>4299</v>
      </c>
      <c r="R126" s="8">
        <f t="shared" si="117"/>
        <v>912.2</v>
      </c>
      <c r="S126" s="8">
        <f t="shared" si="117"/>
        <v>5211.2</v>
      </c>
      <c r="T126" s="11">
        <f t="shared" si="117"/>
        <v>912</v>
      </c>
      <c r="U126" s="11">
        <f t="shared" si="117"/>
        <v>6123.2</v>
      </c>
      <c r="V126" s="8">
        <f t="shared" ref="V126:AA126" si="118">SUM(V121:V124)</f>
        <v>1094</v>
      </c>
      <c r="W126" s="8">
        <f t="shared" si="118"/>
        <v>7217.2</v>
      </c>
      <c r="X126" s="8">
        <f t="shared" si="118"/>
        <v>1260</v>
      </c>
      <c r="Y126" s="8">
        <f t="shared" si="118"/>
        <v>8477.2000000000007</v>
      </c>
      <c r="Z126" s="8">
        <f t="shared" si="118"/>
        <v>1173</v>
      </c>
      <c r="AA126" s="8">
        <f t="shared" si="118"/>
        <v>9650.2000000000007</v>
      </c>
      <c r="AB126" s="5">
        <f>Z126</f>
        <v>1173</v>
      </c>
      <c r="AC126" s="5">
        <f>AA126+AB126</f>
        <v>10823.2</v>
      </c>
      <c r="AD126" s="5">
        <f>AB126</f>
        <v>1173</v>
      </c>
      <c r="AE126" s="5">
        <f>AC126+AD126</f>
        <v>11996.2</v>
      </c>
      <c r="AF126" s="5">
        <f>AD126</f>
        <v>1173</v>
      </c>
      <c r="AG126" s="5">
        <f>AE126+AF126</f>
        <v>13169.2</v>
      </c>
      <c r="AH126" s="5">
        <f>AF126</f>
        <v>1173</v>
      </c>
      <c r="AI126" s="5">
        <f>AG126+AH126</f>
        <v>14342.2</v>
      </c>
      <c r="AJ126" s="5">
        <f>SUM(AJ121:AJ124)</f>
        <v>633.9</v>
      </c>
      <c r="AK126" s="5">
        <f>AI126+AJ126</f>
        <v>14976.1</v>
      </c>
      <c r="AL126" s="5">
        <f>SUM(AL121:AL124)</f>
        <v>633.9</v>
      </c>
      <c r="AM126" s="5">
        <f>SUM(AM121:AM124)</f>
        <v>13804.2</v>
      </c>
      <c r="AN126" s="5">
        <f>SUM(AN121:AN124)</f>
        <v>633.9</v>
      </c>
      <c r="AO126" s="5">
        <f>AM126+AN126</f>
        <v>14438.1</v>
      </c>
      <c r="AP126" s="5">
        <f>SUM(AP120:AP125)</f>
        <v>1019.9000000000001</v>
      </c>
      <c r="AQ126" s="5">
        <f>SUM(AQ120:AQ125)</f>
        <v>449.9</v>
      </c>
      <c r="AR126" s="5">
        <f>SUM(AR120:AR125)</f>
        <v>14888</v>
      </c>
      <c r="AS126" s="5">
        <f>SUM(AS120:AS125)</f>
        <v>570</v>
      </c>
      <c r="AU126" s="20"/>
      <c r="AV126" s="5">
        <f>SUM(AV120:AV125)</f>
        <v>450</v>
      </c>
    </row>
    <row r="127" spans="1:48" ht="15" x14ac:dyDescent="0.2">
      <c r="C127" s="7"/>
      <c r="D127" s="5"/>
      <c r="E127" s="6"/>
      <c r="F127" s="6"/>
      <c r="G127" s="5"/>
      <c r="H127" s="5"/>
      <c r="I127" s="5"/>
      <c r="J127" s="5"/>
      <c r="K127" s="5"/>
      <c r="L127" s="5"/>
      <c r="M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U127" s="1"/>
    </row>
    <row r="128" spans="1:48" ht="16.5" thickBot="1" x14ac:dyDescent="0.3">
      <c r="C128" s="7"/>
      <c r="D128" s="5">
        <f>SUM(D126+D118+D114+D107+D100+D91+D85+D81+D77+D62+D59+D29+D11)</f>
        <v>19229489.870000001</v>
      </c>
      <c r="E128" s="6"/>
      <c r="F128" s="6"/>
      <c r="G128" s="5">
        <f t="shared" ref="G128:N128" si="119">SUM(G126+G118+G114+G107+G100+G91+G85+G81+G77+G62+G59+G29+G11)</f>
        <v>536086</v>
      </c>
      <c r="H128" s="5">
        <f t="shared" si="119"/>
        <v>207021.61250000002</v>
      </c>
      <c r="I128" s="5">
        <f t="shared" si="119"/>
        <v>743107.61249999993</v>
      </c>
      <c r="J128" s="5">
        <f t="shared" si="119"/>
        <v>304754.7</v>
      </c>
      <c r="K128" s="5">
        <f t="shared" si="119"/>
        <v>1051689.3125</v>
      </c>
      <c r="L128" s="5">
        <f t="shared" si="119"/>
        <v>353157.42337500001</v>
      </c>
      <c r="M128" s="5">
        <f t="shared" si="119"/>
        <v>1404846.7358750002</v>
      </c>
      <c r="N128" s="5">
        <f t="shared" si="119"/>
        <v>399956.13425</v>
      </c>
      <c r="O128" s="5" t="e">
        <f>SUM(O11+O29+O59+O62+O77+O81+O85+O91+O100+O107+O114+O118+O126)</f>
        <v>#REF!</v>
      </c>
      <c r="P128" s="5">
        <f>SUM(P126+P118+P114+P107+P100+P91+P85+P81+P77+P62+P59+P29+P11)</f>
        <v>423792.89675000007</v>
      </c>
      <c r="Q128" s="5" t="e">
        <f t="shared" ref="Q128:AA128" si="120">SUM(Q11+Q29+Q59+Q62+Q77+Q81+Q85+Q91+Q100+Q107+Q114+Q118+Q126)</f>
        <v>#REF!</v>
      </c>
      <c r="R128" s="5" t="e">
        <f t="shared" si="120"/>
        <v>#REF!</v>
      </c>
      <c r="S128" s="5" t="e">
        <f t="shared" si="120"/>
        <v>#REF!</v>
      </c>
      <c r="T128" s="5">
        <f t="shared" si="120"/>
        <v>473947.77174999996</v>
      </c>
      <c r="U128" s="5">
        <f t="shared" si="120"/>
        <v>3176036.9291250003</v>
      </c>
      <c r="V128" s="13">
        <f t="shared" si="120"/>
        <v>486065.07174999994</v>
      </c>
      <c r="W128" s="5">
        <f t="shared" si="120"/>
        <v>3662102.0008750008</v>
      </c>
      <c r="X128" s="14">
        <f t="shared" si="120"/>
        <v>581439.67174999998</v>
      </c>
      <c r="Y128" s="5">
        <f t="shared" si="120"/>
        <v>4243541.6726249997</v>
      </c>
      <c r="Z128" s="14">
        <f t="shared" si="120"/>
        <v>566725.87174999993</v>
      </c>
      <c r="AA128" s="5">
        <f t="shared" si="120"/>
        <v>4810267.5443750005</v>
      </c>
      <c r="AB128" s="5">
        <f>AB11+AB29+AB59+AB62+AB77+AB81+AB85+AB91+AB100+AB107+AB114+AB118+AB126</f>
        <v>564174.30508333328</v>
      </c>
      <c r="AC128" s="5">
        <f>AA128+AB128</f>
        <v>5374441.849458334</v>
      </c>
      <c r="AD128" s="5">
        <f>AD11+AD29+AD59+AD62+AD77+AD81+AD85+AD91+AD100+AD107+AD114+AD118+AD126</f>
        <v>568579.75120205467</v>
      </c>
      <c r="AE128" s="5">
        <f>AC128+AD128</f>
        <v>5943021.6006603884</v>
      </c>
      <c r="AF128" s="5">
        <f>AF11+AF29+AF59+AF62+AF77+AF81+AF85+AF91+AF100+AF107+AF114+AF118+AF126</f>
        <v>552109.66133333324</v>
      </c>
      <c r="AG128" s="5">
        <f>AE128+AF128</f>
        <v>6495131.2619937211</v>
      </c>
      <c r="AH128" s="5">
        <f>AH11+AH29+AH59+AH62+AH77+AH81+AH85+AH91+AH100+AH107+AH114+AH118+AH126</f>
        <v>538292.06133333326</v>
      </c>
      <c r="AI128" s="5">
        <f t="shared" ref="AI128:AS128" si="121">SUM(AI126+AI118+AI114+AI107+AI100+AI91+AI85+AI81+AI77+AI62+AI59+AI29+AI11)</f>
        <v>7032135.123327055</v>
      </c>
      <c r="AJ128" s="5">
        <f t="shared" si="121"/>
        <v>536803.16133333335</v>
      </c>
      <c r="AK128" s="5">
        <f t="shared" si="121"/>
        <v>7568938.2846603887</v>
      </c>
      <c r="AL128" s="5">
        <f t="shared" si="121"/>
        <v>532441.41133333335</v>
      </c>
      <c r="AM128" s="5">
        <f t="shared" si="121"/>
        <v>8101379.8959937226</v>
      </c>
      <c r="AN128" s="5">
        <f t="shared" si="121"/>
        <v>533309.66133333335</v>
      </c>
      <c r="AO128" s="5">
        <f t="shared" si="121"/>
        <v>8634689.9573270567</v>
      </c>
      <c r="AP128" s="5">
        <f t="shared" si="121"/>
        <v>10594800.212672945</v>
      </c>
      <c r="AQ128" s="5">
        <f t="shared" si="121"/>
        <v>532795.96133333328</v>
      </c>
      <c r="AR128" s="5">
        <f t="shared" si="121"/>
        <v>9167485.2186603881</v>
      </c>
      <c r="AS128" s="5">
        <f t="shared" si="121"/>
        <v>10062004.651339611</v>
      </c>
      <c r="AU128" s="1"/>
      <c r="AV128" s="5">
        <f t="shared" ref="AV128" si="122">SUM(AV126+AV118+AV114+AV107+AV100+AV91+AV85+AV81+AV77+AV62+AV59+AV29+AV11)</f>
        <v>536629.98639560433</v>
      </c>
    </row>
    <row r="129" spans="3:47" thickTop="1" x14ac:dyDescent="0.2">
      <c r="C129" s="7"/>
      <c r="D129" s="5"/>
      <c r="E129" s="6"/>
      <c r="F129" s="6"/>
      <c r="G129" s="5"/>
      <c r="H129" s="5"/>
      <c r="I129" s="5"/>
      <c r="J129" s="5"/>
      <c r="K129" s="5"/>
      <c r="L129" s="5"/>
      <c r="M129" s="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6"/>
      <c r="AG129" s="15"/>
      <c r="AH129" s="16"/>
      <c r="AJ129" s="5"/>
      <c r="AL129" s="5"/>
      <c r="AU129" s="1"/>
    </row>
    <row r="130" spans="3:47" x14ac:dyDescent="0.25">
      <c r="C130" s="7"/>
      <c r="D130" s="9"/>
      <c r="E130" s="9"/>
      <c r="F130" s="9"/>
      <c r="G130" s="5"/>
      <c r="H130" s="5"/>
      <c r="I130" s="5"/>
      <c r="J130" s="5"/>
      <c r="K130" s="5"/>
      <c r="L130" s="5"/>
      <c r="M130" s="5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7"/>
      <c r="AH130" s="18"/>
      <c r="AJ130" s="5"/>
      <c r="AL130" s="5"/>
      <c r="AU130" s="1"/>
    </row>
    <row r="131" spans="3:47" ht="15" x14ac:dyDescent="0.2">
      <c r="D131" s="5"/>
      <c r="E131" s="6"/>
      <c r="F131" s="6"/>
      <c r="G131" s="5"/>
      <c r="H131" s="5"/>
      <c r="I131" s="5"/>
      <c r="J131" s="5"/>
      <c r="K131" s="5"/>
      <c r="L131" s="5"/>
      <c r="M131" s="5"/>
      <c r="AF131" s="5"/>
      <c r="AH131" s="5"/>
      <c r="AJ131" s="5"/>
      <c r="AL131" s="5"/>
      <c r="AU131" s="1"/>
    </row>
    <row r="132" spans="3:47" ht="15" x14ac:dyDescent="0.2">
      <c r="D132" s="5"/>
      <c r="E132" s="6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AF132" s="5"/>
      <c r="AH132" s="5"/>
      <c r="AJ132" s="5"/>
      <c r="AL132" s="5"/>
      <c r="AU132" s="1"/>
    </row>
    <row r="133" spans="3:47" ht="15" x14ac:dyDescent="0.2">
      <c r="D133" s="5"/>
      <c r="E133" s="6"/>
      <c r="F133" s="6"/>
      <c r="G133" s="5"/>
      <c r="H133" s="5"/>
      <c r="I133" s="5"/>
      <c r="J133" s="5"/>
      <c r="K133" s="5"/>
      <c r="L133" s="5"/>
      <c r="AF133" s="5"/>
      <c r="AH133" s="5"/>
      <c r="AJ133" s="5"/>
      <c r="AL133" s="5"/>
      <c r="AU133" s="1"/>
    </row>
    <row r="134" spans="3:47" ht="15" x14ac:dyDescent="0.2">
      <c r="D134" s="5"/>
      <c r="E134" s="6"/>
      <c r="F134" s="6"/>
      <c r="G134" s="5"/>
      <c r="H134" s="5"/>
      <c r="I134" s="5"/>
      <c r="J134" s="5"/>
      <c r="K134" s="5"/>
      <c r="L134" s="5"/>
      <c r="AF134" s="5"/>
      <c r="AH134" s="5"/>
      <c r="AJ134" s="5"/>
      <c r="AL134" s="5"/>
      <c r="AU134" s="1"/>
    </row>
    <row r="135" spans="3:47" ht="15" x14ac:dyDescent="0.2">
      <c r="D135" s="5"/>
      <c r="E135" s="6"/>
      <c r="F135" s="6"/>
      <c r="G135" s="5"/>
      <c r="H135" s="5"/>
      <c r="I135" s="5"/>
      <c r="J135" s="5"/>
      <c r="K135" s="5"/>
      <c r="L135" s="5"/>
      <c r="AF135" s="5"/>
      <c r="AH135" s="5"/>
      <c r="AJ135" s="5"/>
      <c r="AL135" s="5"/>
      <c r="AU135" s="1"/>
    </row>
    <row r="136" spans="3:47" ht="15" x14ac:dyDescent="0.2">
      <c r="D136" s="5"/>
      <c r="E136" s="6"/>
      <c r="F136" s="5"/>
      <c r="G136" s="5"/>
      <c r="H136" s="5"/>
      <c r="I136" s="5"/>
      <c r="J136" s="5"/>
      <c r="K136" s="5"/>
      <c r="L136" s="5"/>
      <c r="AF136" s="5"/>
      <c r="AH136" s="5"/>
      <c r="AJ136" s="5"/>
      <c r="AL136" s="5"/>
      <c r="AU136" s="1"/>
    </row>
    <row r="137" spans="3:47" ht="15" x14ac:dyDescent="0.2">
      <c r="D137" s="5"/>
      <c r="E137" s="6"/>
      <c r="F137" s="6"/>
      <c r="G137" s="5"/>
      <c r="H137" s="5"/>
      <c r="I137" s="5"/>
      <c r="J137" s="5"/>
      <c r="K137" s="5"/>
      <c r="L137" s="5"/>
      <c r="AF137" s="5"/>
      <c r="AH137" s="5"/>
      <c r="AJ137" s="5"/>
      <c r="AL137" s="5"/>
      <c r="AU137" s="1"/>
    </row>
    <row r="138" spans="3:47" ht="15" x14ac:dyDescent="0.2">
      <c r="D138" s="5"/>
      <c r="E138" s="6"/>
      <c r="F138" s="6"/>
      <c r="G138" s="5"/>
      <c r="H138" s="5"/>
      <c r="I138" s="5"/>
      <c r="J138" s="5"/>
      <c r="K138" s="5"/>
      <c r="L138" s="5"/>
      <c r="AF138" s="5"/>
      <c r="AH138" s="5"/>
      <c r="AJ138" s="5"/>
      <c r="AL138" s="5"/>
      <c r="AU138" s="1"/>
    </row>
    <row r="139" spans="3:47" ht="15" x14ac:dyDescent="0.2">
      <c r="D139" s="5"/>
      <c r="E139" s="6"/>
      <c r="F139" s="6"/>
      <c r="G139" s="5"/>
      <c r="H139" s="5"/>
      <c r="I139" s="5"/>
      <c r="J139" s="5"/>
      <c r="K139" s="5"/>
      <c r="L139" s="5"/>
      <c r="AF139" s="5"/>
      <c r="AH139" s="5"/>
      <c r="AJ139" s="5"/>
      <c r="AL139" s="5"/>
      <c r="AU139" s="1"/>
    </row>
    <row r="140" spans="3:47" ht="15" x14ac:dyDescent="0.2">
      <c r="D140" s="5"/>
      <c r="E140" s="6"/>
      <c r="F140" s="6"/>
      <c r="G140" s="5"/>
      <c r="H140" s="5"/>
      <c r="I140" s="5"/>
      <c r="J140" s="5"/>
      <c r="K140" s="5"/>
      <c r="L140" s="5"/>
      <c r="AF140" s="5"/>
      <c r="AH140" s="5"/>
      <c r="AJ140" s="5"/>
      <c r="AL140" s="5"/>
      <c r="AU14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2022-01-10T17:04:14Z</dcterms:created>
  <dcterms:modified xsi:type="dcterms:W3CDTF">2022-01-10T17:04:38Z</dcterms:modified>
</cp:coreProperties>
</file>