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01C44CC4-6F9A-4E6B-A4E6-A311F564405E}" xr6:coauthVersionLast="36" xr6:coauthVersionMax="36" xr10:uidLastSave="{00000000-0000-0000-0000-000000000000}"/>
  <bookViews>
    <workbookView xWindow="0" yWindow="0" windowWidth="15120" windowHeight="10785" xr2:uid="{0BA826AF-8B0D-4AE9-9A6F-DFFBB5A30FA5}"/>
  </bookViews>
  <sheets>
    <sheet name="Sheet1" sheetId="1" r:id="rId1"/>
  </sheets>
  <definedNames>
    <definedName name="_xlnm.Print_Titles" localSheetId="0">Sheet1!$3:$5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409" i="1" l="1"/>
  <c r="AR409" i="1" s="1"/>
  <c r="AN409" i="1"/>
  <c r="AM409" i="1"/>
  <c r="AO404" i="1"/>
  <c r="AN404" i="1"/>
  <c r="AQ404" i="1" s="1"/>
  <c r="AE404" i="1"/>
  <c r="Y404" i="1"/>
  <c r="X404" i="1"/>
  <c r="Q404" i="1"/>
  <c r="M404" i="1"/>
  <c r="AN392" i="1"/>
  <c r="M392" i="1"/>
  <c r="AN391" i="1"/>
  <c r="M391" i="1"/>
  <c r="AJ388" i="1"/>
  <c r="AL388" i="1" s="1"/>
  <c r="AO388" i="1" s="1"/>
  <c r="AF388" i="1"/>
  <c r="AD388" i="1"/>
  <c r="W388" i="1"/>
  <c r="Y388" i="1" s="1"/>
  <c r="AA388" i="1" s="1"/>
  <c r="AC388" i="1" s="1"/>
  <c r="AE388" i="1" s="1"/>
  <c r="AG388" i="1" s="1"/>
  <c r="AI388" i="1" s="1"/>
  <c r="AK388" i="1" s="1"/>
  <c r="AM388" i="1" s="1"/>
  <c r="V388" i="1"/>
  <c r="X388" i="1" s="1"/>
  <c r="Z388" i="1" s="1"/>
  <c r="U388" i="1"/>
  <c r="S388" i="1"/>
  <c r="M387" i="1"/>
  <c r="L386" i="1"/>
  <c r="H386" i="1"/>
  <c r="G386" i="1"/>
  <c r="C386" i="1"/>
  <c r="AS385" i="1"/>
  <c r="AR385" i="1"/>
  <c r="AT385" i="1" s="1"/>
  <c r="AT384" i="1"/>
  <c r="AR384" i="1"/>
  <c r="AT383" i="1"/>
  <c r="AR383" i="1"/>
  <c r="AO382" i="1"/>
  <c r="AR382" i="1" s="1"/>
  <c r="AN382" i="1"/>
  <c r="AQ382" i="1" s="1"/>
  <c r="AT382" i="1" s="1"/>
  <c r="AL382" i="1"/>
  <c r="AJ382" i="1"/>
  <c r="AK382" i="1" s="1"/>
  <c r="AM382" i="1" s="1"/>
  <c r="AH381" i="1"/>
  <c r="AJ381" i="1" s="1"/>
  <c r="AL381" i="1" s="1"/>
  <c r="AO381" i="1" s="1"/>
  <c r="AR381" i="1" s="1"/>
  <c r="AB381" i="1"/>
  <c r="AD381" i="1" s="1"/>
  <c r="AF381" i="1" s="1"/>
  <c r="AJ380" i="1"/>
  <c r="AL380" i="1" s="1"/>
  <c r="AO380" i="1" s="1"/>
  <c r="AR380" i="1" s="1"/>
  <c r="AB380" i="1"/>
  <c r="AD380" i="1" s="1"/>
  <c r="AF380" i="1" s="1"/>
  <c r="AH380" i="1" s="1"/>
  <c r="AA380" i="1"/>
  <c r="Z379" i="1"/>
  <c r="AB379" i="1" s="1"/>
  <c r="AD379" i="1" s="1"/>
  <c r="AF379" i="1" s="1"/>
  <c r="AH379" i="1" s="1"/>
  <c r="AJ379" i="1" s="1"/>
  <c r="AL379" i="1" s="1"/>
  <c r="AO379" i="1" s="1"/>
  <c r="X379" i="1"/>
  <c r="W379" i="1"/>
  <c r="Y379" i="1" s="1"/>
  <c r="V379" i="1"/>
  <c r="AB378" i="1"/>
  <c r="AD378" i="1" s="1"/>
  <c r="AF378" i="1" s="1"/>
  <c r="AH378" i="1" s="1"/>
  <c r="AJ378" i="1" s="1"/>
  <c r="AL378" i="1" s="1"/>
  <c r="AA378" i="1"/>
  <c r="AC378" i="1" s="1"/>
  <c r="AE378" i="1" s="1"/>
  <c r="AG378" i="1" s="1"/>
  <c r="AI378" i="1" s="1"/>
  <c r="AK378" i="1" s="1"/>
  <c r="AM378" i="1" s="1"/>
  <c r="W378" i="1"/>
  <c r="Y378" i="1" s="1"/>
  <c r="V378" i="1"/>
  <c r="AR377" i="1"/>
  <c r="AO377" i="1"/>
  <c r="AJ377" i="1"/>
  <c r="Y377" i="1"/>
  <c r="AA377" i="1" s="1"/>
  <c r="AC377" i="1" s="1"/>
  <c r="AE377" i="1" s="1"/>
  <c r="AG377" i="1" s="1"/>
  <c r="AI377" i="1" s="1"/>
  <c r="AK377" i="1" s="1"/>
  <c r="AM377" i="1" s="1"/>
  <c r="W377" i="1"/>
  <c r="V377" i="1"/>
  <c r="X377" i="1" s="1"/>
  <c r="Z377" i="1" s="1"/>
  <c r="AB377" i="1" s="1"/>
  <c r="AD377" i="1" s="1"/>
  <c r="AF377" i="1" s="1"/>
  <c r="AH377" i="1" s="1"/>
  <c r="U377" i="1"/>
  <c r="AS376" i="1"/>
  <c r="AR376" i="1"/>
  <c r="AQ376" i="1"/>
  <c r="AT376" i="1" s="1"/>
  <c r="AN376" i="1"/>
  <c r="AL376" i="1"/>
  <c r="AM376" i="1" s="1"/>
  <c r="AP376" i="1" s="1"/>
  <c r="AK376" i="1"/>
  <c r="Z376" i="1"/>
  <c r="AB376" i="1" s="1"/>
  <c r="AD376" i="1" s="1"/>
  <c r="AF376" i="1" s="1"/>
  <c r="AH376" i="1" s="1"/>
  <c r="AJ376" i="1" s="1"/>
  <c r="X376" i="1"/>
  <c r="V376" i="1"/>
  <c r="U376" i="1"/>
  <c r="W376" i="1" s="1"/>
  <c r="Y376" i="1" s="1"/>
  <c r="S376" i="1"/>
  <c r="R376" i="1"/>
  <c r="AR375" i="1"/>
  <c r="AO375" i="1"/>
  <c r="AJ375" i="1"/>
  <c r="X375" i="1"/>
  <c r="Z375" i="1" s="1"/>
  <c r="AB375" i="1" s="1"/>
  <c r="AD375" i="1" s="1"/>
  <c r="AF375" i="1" s="1"/>
  <c r="AH375" i="1" s="1"/>
  <c r="S375" i="1"/>
  <c r="U375" i="1" s="1"/>
  <c r="W375" i="1" s="1"/>
  <c r="Y375" i="1" s="1"/>
  <c r="AA375" i="1" s="1"/>
  <c r="AC375" i="1" s="1"/>
  <c r="AE375" i="1" s="1"/>
  <c r="AG375" i="1" s="1"/>
  <c r="AI375" i="1" s="1"/>
  <c r="AK375" i="1" s="1"/>
  <c r="AM375" i="1" s="1"/>
  <c r="R375" i="1"/>
  <c r="T375" i="1" s="1"/>
  <c r="V375" i="1" s="1"/>
  <c r="Q375" i="1"/>
  <c r="P375" i="1"/>
  <c r="AR374" i="1"/>
  <c r="AO374" i="1"/>
  <c r="AJ374" i="1"/>
  <c r="AH374" i="1"/>
  <c r="AD374" i="1"/>
  <c r="AF374" i="1" s="1"/>
  <c r="Y374" i="1"/>
  <c r="AA374" i="1" s="1"/>
  <c r="AC374" i="1" s="1"/>
  <c r="V374" i="1"/>
  <c r="X374" i="1" s="1"/>
  <c r="Z374" i="1" s="1"/>
  <c r="AB374" i="1" s="1"/>
  <c r="R374" i="1"/>
  <c r="T374" i="1" s="1"/>
  <c r="P374" i="1"/>
  <c r="AR373" i="1"/>
  <c r="AL373" i="1"/>
  <c r="V373" i="1"/>
  <c r="X373" i="1" s="1"/>
  <c r="AO372" i="1"/>
  <c r="AR372" i="1" s="1"/>
  <c r="AF372" i="1"/>
  <c r="V372" i="1"/>
  <c r="X372" i="1" s="1"/>
  <c r="T372" i="1"/>
  <c r="R372" i="1"/>
  <c r="P372" i="1"/>
  <c r="N372" i="1"/>
  <c r="O372" i="1" s="1"/>
  <c r="L372" i="1"/>
  <c r="AH371" i="1"/>
  <c r="AJ371" i="1" s="1"/>
  <c r="AL371" i="1" s="1"/>
  <c r="AO371" i="1" s="1"/>
  <c r="AR371" i="1" s="1"/>
  <c r="Z371" i="1"/>
  <c r="T371" i="1"/>
  <c r="V371" i="1" s="1"/>
  <c r="X371" i="1" s="1"/>
  <c r="R371" i="1"/>
  <c r="Q371" i="1"/>
  <c r="S371" i="1" s="1"/>
  <c r="U371" i="1" s="1"/>
  <c r="W371" i="1" s="1"/>
  <c r="Y371" i="1" s="1"/>
  <c r="AA371" i="1" s="1"/>
  <c r="AC371" i="1" s="1"/>
  <c r="AE371" i="1" s="1"/>
  <c r="AG371" i="1" s="1"/>
  <c r="AI371" i="1" s="1"/>
  <c r="AK371" i="1" s="1"/>
  <c r="AM371" i="1" s="1"/>
  <c r="P371" i="1"/>
  <c r="O371" i="1"/>
  <c r="N371" i="1"/>
  <c r="M371" i="1"/>
  <c r="L371" i="1"/>
  <c r="J371" i="1"/>
  <c r="J386" i="1" s="1"/>
  <c r="AF370" i="1"/>
  <c r="AH370" i="1" s="1"/>
  <c r="AJ370" i="1" s="1"/>
  <c r="AL370" i="1" s="1"/>
  <c r="AO370" i="1" s="1"/>
  <c r="AR370" i="1" s="1"/>
  <c r="AB370" i="1"/>
  <c r="T370" i="1"/>
  <c r="V370" i="1" s="1"/>
  <c r="X370" i="1" s="1"/>
  <c r="Z370" i="1" s="1"/>
  <c r="S370" i="1"/>
  <c r="R370" i="1"/>
  <c r="P370" i="1"/>
  <c r="L370" i="1"/>
  <c r="N370" i="1" s="1"/>
  <c r="I370" i="1"/>
  <c r="K370" i="1" s="1"/>
  <c r="M370" i="1" s="1"/>
  <c r="O370" i="1" s="1"/>
  <c r="Q370" i="1" s="1"/>
  <c r="AL369" i="1"/>
  <c r="AF369" i="1"/>
  <c r="AH369" i="1" s="1"/>
  <c r="AJ369" i="1" s="1"/>
  <c r="AD369" i="1"/>
  <c r="Z369" i="1"/>
  <c r="T369" i="1"/>
  <c r="R369" i="1"/>
  <c r="Q369" i="1"/>
  <c r="S369" i="1" s="1"/>
  <c r="U369" i="1" s="1"/>
  <c r="W369" i="1" s="1"/>
  <c r="Y369" i="1" s="1"/>
  <c r="AA369" i="1" s="1"/>
  <c r="AC369" i="1" s="1"/>
  <c r="AE369" i="1" s="1"/>
  <c r="AG369" i="1" s="1"/>
  <c r="AI369" i="1" s="1"/>
  <c r="AK369" i="1" s="1"/>
  <c r="AM369" i="1" s="1"/>
  <c r="P369" i="1"/>
  <c r="L369" i="1"/>
  <c r="N369" i="1" s="1"/>
  <c r="K369" i="1"/>
  <c r="M369" i="1" s="1"/>
  <c r="O369" i="1" s="1"/>
  <c r="I369" i="1"/>
  <c r="AD368" i="1"/>
  <c r="AF368" i="1" s="1"/>
  <c r="AH368" i="1" s="1"/>
  <c r="AJ368" i="1" s="1"/>
  <c r="AL368" i="1" s="1"/>
  <c r="AO368" i="1" s="1"/>
  <c r="AR368" i="1" s="1"/>
  <c r="Z368" i="1"/>
  <c r="T368" i="1"/>
  <c r="V368" i="1" s="1"/>
  <c r="X368" i="1" s="1"/>
  <c r="P368" i="1"/>
  <c r="O368" i="1"/>
  <c r="Q368" i="1" s="1"/>
  <c r="S368" i="1" s="1"/>
  <c r="U368" i="1" s="1"/>
  <c r="W368" i="1" s="1"/>
  <c r="Y368" i="1" s="1"/>
  <c r="AA368" i="1" s="1"/>
  <c r="AC368" i="1" s="1"/>
  <c r="AE368" i="1" s="1"/>
  <c r="AG368" i="1" s="1"/>
  <c r="AI368" i="1" s="1"/>
  <c r="AK368" i="1" s="1"/>
  <c r="AM368" i="1" s="1"/>
  <c r="N368" i="1"/>
  <c r="I368" i="1"/>
  <c r="K368" i="1" s="1"/>
  <c r="M368" i="1" s="1"/>
  <c r="AH367" i="1"/>
  <c r="AJ367" i="1" s="1"/>
  <c r="AL367" i="1" s="1"/>
  <c r="AO367" i="1" s="1"/>
  <c r="AR367" i="1" s="1"/>
  <c r="AD367" i="1"/>
  <c r="AF367" i="1" s="1"/>
  <c r="Z367" i="1"/>
  <c r="V367" i="1"/>
  <c r="X367" i="1" s="1"/>
  <c r="T367" i="1"/>
  <c r="N367" i="1"/>
  <c r="P367" i="1" s="1"/>
  <c r="M367" i="1"/>
  <c r="O367" i="1" s="1"/>
  <c r="Q367" i="1" s="1"/>
  <c r="S367" i="1" s="1"/>
  <c r="U367" i="1" s="1"/>
  <c r="W367" i="1" s="1"/>
  <c r="Y367" i="1" s="1"/>
  <c r="AA367" i="1" s="1"/>
  <c r="AC367" i="1" s="1"/>
  <c r="AE367" i="1" s="1"/>
  <c r="AG367" i="1" s="1"/>
  <c r="AI367" i="1" s="1"/>
  <c r="AK367" i="1" s="1"/>
  <c r="AM367" i="1" s="1"/>
  <c r="K367" i="1"/>
  <c r="J367" i="1"/>
  <c r="I367" i="1"/>
  <c r="AR366" i="1"/>
  <c r="AQ366" i="1"/>
  <c r="AT366" i="1" s="1"/>
  <c r="AP366" i="1"/>
  <c r="AS366" i="1" s="1"/>
  <c r="AO366" i="1"/>
  <c r="AJ365" i="1"/>
  <c r="AL365" i="1" s="1"/>
  <c r="AO365" i="1" s="1"/>
  <c r="AR365" i="1" s="1"/>
  <c r="AD365" i="1"/>
  <c r="AF365" i="1" s="1"/>
  <c r="AH365" i="1" s="1"/>
  <c r="V365" i="1"/>
  <c r="X365" i="1" s="1"/>
  <c r="Z365" i="1" s="1"/>
  <c r="T365" i="1"/>
  <c r="O365" i="1"/>
  <c r="Q365" i="1" s="1"/>
  <c r="S365" i="1" s="1"/>
  <c r="U365" i="1" s="1"/>
  <c r="W365" i="1" s="1"/>
  <c r="Y365" i="1" s="1"/>
  <c r="AA365" i="1" s="1"/>
  <c r="AC365" i="1" s="1"/>
  <c r="AE365" i="1" s="1"/>
  <c r="AG365" i="1" s="1"/>
  <c r="AI365" i="1" s="1"/>
  <c r="AK365" i="1" s="1"/>
  <c r="AM365" i="1" s="1"/>
  <c r="N365" i="1"/>
  <c r="P365" i="1" s="1"/>
  <c r="L365" i="1"/>
  <c r="K365" i="1"/>
  <c r="M365" i="1" s="1"/>
  <c r="I365" i="1"/>
  <c r="AS364" i="1"/>
  <c r="AR364" i="1"/>
  <c r="AQ364" i="1"/>
  <c r="AT364" i="1" s="1"/>
  <c r="AP364" i="1"/>
  <c r="AR363" i="1"/>
  <c r="AT363" i="1" s="1"/>
  <c r="AQ363" i="1"/>
  <c r="AP363" i="1"/>
  <c r="AS363" i="1" s="1"/>
  <c r="AH362" i="1"/>
  <c r="AF362" i="1"/>
  <c r="AD362" i="1"/>
  <c r="Z362" i="1"/>
  <c r="R362" i="1"/>
  <c r="T362" i="1" s="1"/>
  <c r="P362" i="1"/>
  <c r="N362" i="1"/>
  <c r="N386" i="1" s="1"/>
  <c r="L362" i="1"/>
  <c r="I362" i="1"/>
  <c r="AS359" i="1"/>
  <c r="AP359" i="1"/>
  <c r="AN359" i="1"/>
  <c r="AD359" i="1"/>
  <c r="AC359" i="1"/>
  <c r="AE359" i="1" s="1"/>
  <c r="AA359" i="1"/>
  <c r="O359" i="1"/>
  <c r="N359" i="1"/>
  <c r="M359" i="1"/>
  <c r="C359" i="1"/>
  <c r="V358" i="1"/>
  <c r="Q358" i="1"/>
  <c r="S358" i="1" s="1"/>
  <c r="P358" i="1"/>
  <c r="AO357" i="1"/>
  <c r="AN357" i="1"/>
  <c r="AQ357" i="1" s="1"/>
  <c r="AD357" i="1"/>
  <c r="T357" i="1"/>
  <c r="V357" i="1" s="1"/>
  <c r="V359" i="1" s="1"/>
  <c r="X359" i="1" s="1"/>
  <c r="R357" i="1"/>
  <c r="R359" i="1" s="1"/>
  <c r="Q357" i="1"/>
  <c r="P357" i="1"/>
  <c r="P359" i="1" s="1"/>
  <c r="O357" i="1"/>
  <c r="M357" i="1"/>
  <c r="L357" i="1"/>
  <c r="L359" i="1" s="1"/>
  <c r="K357" i="1"/>
  <c r="K359" i="1" s="1"/>
  <c r="J357" i="1"/>
  <c r="J359" i="1" s="1"/>
  <c r="X356" i="1"/>
  <c r="M356" i="1"/>
  <c r="AF355" i="1"/>
  <c r="AH355" i="1" s="1"/>
  <c r="AI355" i="1" s="1"/>
  <c r="AD355" i="1"/>
  <c r="AC355" i="1"/>
  <c r="AE355" i="1" s="1"/>
  <c r="V355" i="1"/>
  <c r="R355" i="1"/>
  <c r="M355" i="1"/>
  <c r="L355" i="1"/>
  <c r="K355" i="1"/>
  <c r="J355" i="1"/>
  <c r="H355" i="1"/>
  <c r="G355" i="1"/>
  <c r="C355" i="1"/>
  <c r="AN355" i="1" s="1"/>
  <c r="T354" i="1"/>
  <c r="V354" i="1" s="1"/>
  <c r="X354" i="1" s="1"/>
  <c r="Q354" i="1"/>
  <c r="S354" i="1" s="1"/>
  <c r="U354" i="1" s="1"/>
  <c r="W354" i="1" s="1"/>
  <c r="Y354" i="1" s="1"/>
  <c r="P354" i="1"/>
  <c r="N354" i="1"/>
  <c r="M354" i="1"/>
  <c r="O354" i="1" s="1"/>
  <c r="AR353" i="1"/>
  <c r="AS353" i="1" s="1"/>
  <c r="AO353" i="1"/>
  <c r="AN353" i="1"/>
  <c r="AH353" i="1"/>
  <c r="AE353" i="1"/>
  <c r="AG353" i="1" s="1"/>
  <c r="AI353" i="1" s="1"/>
  <c r="AD353" i="1"/>
  <c r="AF353" i="1" s="1"/>
  <c r="AC353" i="1"/>
  <c r="V353" i="1"/>
  <c r="X353" i="1" s="1"/>
  <c r="T353" i="1"/>
  <c r="N353" i="1"/>
  <c r="M353" i="1"/>
  <c r="O353" i="1" s="1"/>
  <c r="O355" i="1" s="1"/>
  <c r="K353" i="1"/>
  <c r="I353" i="1"/>
  <c r="I355" i="1" s="1"/>
  <c r="AE352" i="1"/>
  <c r="M352" i="1"/>
  <c r="AE351" i="1"/>
  <c r="M351" i="1"/>
  <c r="V350" i="1"/>
  <c r="J350" i="1"/>
  <c r="H350" i="1"/>
  <c r="G350" i="1"/>
  <c r="C350" i="1"/>
  <c r="AR349" i="1"/>
  <c r="AQ349" i="1"/>
  <c r="AT349" i="1" s="1"/>
  <c r="AO349" i="1"/>
  <c r="AR347" i="1"/>
  <c r="AR345" i="1"/>
  <c r="AS345" i="1" s="1"/>
  <c r="AO345" i="1"/>
  <c r="AN345" i="1"/>
  <c r="AQ345" i="1" s="1"/>
  <c r="AM345" i="1"/>
  <c r="AP345" i="1" s="1"/>
  <c r="AL344" i="1"/>
  <c r="AO344" i="1" s="1"/>
  <c r="AR344" i="1" s="1"/>
  <c r="AS344" i="1" s="1"/>
  <c r="AM343" i="1"/>
  <c r="AL343" i="1"/>
  <c r="AO343" i="1" s="1"/>
  <c r="AR343" i="1" s="1"/>
  <c r="AR342" i="1"/>
  <c r="AO342" i="1"/>
  <c r="AP342" i="1" s="1"/>
  <c r="AS342" i="1" s="1"/>
  <c r="AN342" i="1"/>
  <c r="AQ342" i="1" s="1"/>
  <c r="AM342" i="1"/>
  <c r="AL342" i="1"/>
  <c r="AL341" i="1"/>
  <c r="AO341" i="1" s="1"/>
  <c r="AR341" i="1" s="1"/>
  <c r="AK341" i="1"/>
  <c r="AM341" i="1" s="1"/>
  <c r="AJ341" i="1"/>
  <c r="AO340" i="1"/>
  <c r="AR340" i="1" s="1"/>
  <c r="AN340" i="1"/>
  <c r="AL340" i="1"/>
  <c r="AJ340" i="1"/>
  <c r="AK340" i="1" s="1"/>
  <c r="AM340" i="1" s="1"/>
  <c r="AH339" i="1"/>
  <c r="AH338" i="1"/>
  <c r="AJ338" i="1" s="1"/>
  <c r="AL338" i="1" s="1"/>
  <c r="AO338" i="1" s="1"/>
  <c r="AG338" i="1"/>
  <c r="AI338" i="1" s="1"/>
  <c r="AK338" i="1" s="1"/>
  <c r="AM338" i="1" s="1"/>
  <c r="AF338" i="1"/>
  <c r="AO337" i="1"/>
  <c r="AR337" i="1" s="1"/>
  <c r="AF337" i="1"/>
  <c r="AE337" i="1"/>
  <c r="AD337" i="1"/>
  <c r="AR336" i="1"/>
  <c r="AO336" i="1"/>
  <c r="AJ336" i="1"/>
  <c r="AG336" i="1"/>
  <c r="AI336" i="1" s="1"/>
  <c r="AK336" i="1" s="1"/>
  <c r="AM336" i="1" s="1"/>
  <c r="AP336" i="1" s="1"/>
  <c r="AS336" i="1" s="1"/>
  <c r="AF336" i="1"/>
  <c r="AH336" i="1" s="1"/>
  <c r="AE336" i="1"/>
  <c r="AD336" i="1"/>
  <c r="AC336" i="1"/>
  <c r="AB336" i="1"/>
  <c r="AR335" i="1"/>
  <c r="AO335" i="1"/>
  <c r="AJ335" i="1"/>
  <c r="AD335" i="1"/>
  <c r="AC335" i="1"/>
  <c r="AB335" i="1"/>
  <c r="AR334" i="1"/>
  <c r="AS334" i="1" s="1"/>
  <c r="AQ334" i="1"/>
  <c r="AT334" i="1" s="1"/>
  <c r="AP334" i="1"/>
  <c r="AO334" i="1"/>
  <c r="AN334" i="1"/>
  <c r="AH334" i="1"/>
  <c r="AD334" i="1"/>
  <c r="AF334" i="1" s="1"/>
  <c r="AC334" i="1"/>
  <c r="AB334" i="1"/>
  <c r="Z334" i="1"/>
  <c r="X334" i="1"/>
  <c r="Y334" i="1" s="1"/>
  <c r="AA334" i="1" s="1"/>
  <c r="AL333" i="1"/>
  <c r="AO333" i="1" s="1"/>
  <c r="AR333" i="1" s="1"/>
  <c r="AJ333" i="1"/>
  <c r="Z333" i="1"/>
  <c r="AB333" i="1" s="1"/>
  <c r="AD333" i="1" s="1"/>
  <c r="W333" i="1"/>
  <c r="Y333" i="1" s="1"/>
  <c r="AA333" i="1" s="1"/>
  <c r="AC333" i="1" s="1"/>
  <c r="AE333" i="1" s="1"/>
  <c r="AG333" i="1" s="1"/>
  <c r="AI333" i="1" s="1"/>
  <c r="AK333" i="1" s="1"/>
  <c r="AM333" i="1" s="1"/>
  <c r="V333" i="1"/>
  <c r="AR332" i="1"/>
  <c r="AS332" i="1" s="1"/>
  <c r="AQ332" i="1"/>
  <c r="AO332" i="1"/>
  <c r="AL331" i="1"/>
  <c r="AO331" i="1" s="1"/>
  <c r="AR331" i="1" s="1"/>
  <c r="AJ331" i="1"/>
  <c r="AA331" i="1"/>
  <c r="AC331" i="1" s="1"/>
  <c r="AE331" i="1" s="1"/>
  <c r="AG331" i="1" s="1"/>
  <c r="AI331" i="1" s="1"/>
  <c r="AK331" i="1" s="1"/>
  <c r="AM331" i="1" s="1"/>
  <c r="Z331" i="1"/>
  <c r="X331" i="1"/>
  <c r="U331" i="1"/>
  <c r="W331" i="1" s="1"/>
  <c r="Y331" i="1" s="1"/>
  <c r="S331" i="1"/>
  <c r="O331" i="1"/>
  <c r="AB330" i="1"/>
  <c r="AD330" i="1" s="1"/>
  <c r="W330" i="1"/>
  <c r="Y330" i="1" s="1"/>
  <c r="AA330" i="1" s="1"/>
  <c r="R330" i="1"/>
  <c r="T330" i="1" s="1"/>
  <c r="AD328" i="1"/>
  <c r="AF328" i="1" s="1"/>
  <c r="AH328" i="1" s="1"/>
  <c r="AJ328" i="1" s="1"/>
  <c r="AL328" i="1" s="1"/>
  <c r="AO328" i="1" s="1"/>
  <c r="AR328" i="1" s="1"/>
  <c r="X328" i="1"/>
  <c r="Z328" i="1" s="1"/>
  <c r="AB328" i="1" s="1"/>
  <c r="T328" i="1"/>
  <c r="R328" i="1"/>
  <c r="P328" i="1"/>
  <c r="N328" i="1"/>
  <c r="O328" i="1" s="1"/>
  <c r="Q328" i="1" s="1"/>
  <c r="S328" i="1" s="1"/>
  <c r="U328" i="1" s="1"/>
  <c r="W328" i="1" s="1"/>
  <c r="Y328" i="1" s="1"/>
  <c r="AA328" i="1" s="1"/>
  <c r="AC328" i="1" s="1"/>
  <c r="AE328" i="1" s="1"/>
  <c r="AG328" i="1" s="1"/>
  <c r="AI328" i="1" s="1"/>
  <c r="AK328" i="1" s="1"/>
  <c r="AM328" i="1" s="1"/>
  <c r="L328" i="1"/>
  <c r="Z327" i="1"/>
  <c r="AB327" i="1" s="1"/>
  <c r="AD327" i="1" s="1"/>
  <c r="AF327" i="1" s="1"/>
  <c r="AH327" i="1" s="1"/>
  <c r="AJ327" i="1" s="1"/>
  <c r="AL327" i="1" s="1"/>
  <c r="AO327" i="1" s="1"/>
  <c r="AR327" i="1" s="1"/>
  <c r="X327" i="1"/>
  <c r="R327" i="1"/>
  <c r="T327" i="1" s="1"/>
  <c r="Q327" i="1"/>
  <c r="S327" i="1" s="1"/>
  <c r="U327" i="1" s="1"/>
  <c r="W327" i="1" s="1"/>
  <c r="Y327" i="1" s="1"/>
  <c r="AA327" i="1" s="1"/>
  <c r="AC327" i="1" s="1"/>
  <c r="AE327" i="1" s="1"/>
  <c r="AG327" i="1" s="1"/>
  <c r="AI327" i="1" s="1"/>
  <c r="AK327" i="1" s="1"/>
  <c r="AM327" i="1" s="1"/>
  <c r="P327" i="1"/>
  <c r="O327" i="1"/>
  <c r="L327" i="1"/>
  <c r="L350" i="1" s="1"/>
  <c r="Z326" i="1"/>
  <c r="AB326" i="1" s="1"/>
  <c r="AD326" i="1" s="1"/>
  <c r="AF326" i="1" s="1"/>
  <c r="AH326" i="1" s="1"/>
  <c r="AJ326" i="1" s="1"/>
  <c r="AL326" i="1" s="1"/>
  <c r="AO326" i="1" s="1"/>
  <c r="AR326" i="1" s="1"/>
  <c r="V326" i="1"/>
  <c r="X326" i="1" s="1"/>
  <c r="P326" i="1"/>
  <c r="N326" i="1"/>
  <c r="I326" i="1"/>
  <c r="K326" i="1" s="1"/>
  <c r="M326" i="1" s="1"/>
  <c r="O326" i="1" s="1"/>
  <c r="Q326" i="1" s="1"/>
  <c r="S326" i="1" s="1"/>
  <c r="U326" i="1" s="1"/>
  <c r="W326" i="1" s="1"/>
  <c r="Y326" i="1" s="1"/>
  <c r="AA326" i="1" s="1"/>
  <c r="AC326" i="1" s="1"/>
  <c r="AE326" i="1" s="1"/>
  <c r="AG326" i="1" s="1"/>
  <c r="AI326" i="1" s="1"/>
  <c r="AK326" i="1" s="1"/>
  <c r="AM326" i="1" s="1"/>
  <c r="AP325" i="1"/>
  <c r="AS325" i="1" s="1"/>
  <c r="AS324" i="1"/>
  <c r="AP324" i="1"/>
  <c r="P323" i="1"/>
  <c r="R323" i="1" s="1"/>
  <c r="T323" i="1" s="1"/>
  <c r="V323" i="1" s="1"/>
  <c r="X323" i="1" s="1"/>
  <c r="Z323" i="1" s="1"/>
  <c r="AB323" i="1" s="1"/>
  <c r="AD323" i="1" s="1"/>
  <c r="AF323" i="1" s="1"/>
  <c r="AH323" i="1" s="1"/>
  <c r="AJ323" i="1" s="1"/>
  <c r="AL323" i="1" s="1"/>
  <c r="AO323" i="1" s="1"/>
  <c r="AR323" i="1" s="1"/>
  <c r="N323" i="1"/>
  <c r="K323" i="1"/>
  <c r="M323" i="1" s="1"/>
  <c r="O323" i="1" s="1"/>
  <c r="Q323" i="1" s="1"/>
  <c r="I323" i="1"/>
  <c r="AH322" i="1"/>
  <c r="AJ322" i="1" s="1"/>
  <c r="AL322" i="1" s="1"/>
  <c r="AO322" i="1" s="1"/>
  <c r="AR322" i="1" s="1"/>
  <c r="AG322" i="1"/>
  <c r="AI322" i="1" s="1"/>
  <c r="AF322" i="1"/>
  <c r="AE322" i="1"/>
  <c r="U322" i="1"/>
  <c r="T322" i="1"/>
  <c r="V322" i="1" s="1"/>
  <c r="O322" i="1"/>
  <c r="N321" i="1"/>
  <c r="I321" i="1"/>
  <c r="I350" i="1" s="1"/>
  <c r="AE320" i="1"/>
  <c r="AE319" i="1"/>
  <c r="AE318" i="1"/>
  <c r="M318" i="1"/>
  <c r="AE317" i="1"/>
  <c r="M317" i="1"/>
  <c r="AE316" i="1"/>
  <c r="M316" i="1"/>
  <c r="H315" i="1"/>
  <c r="G315" i="1"/>
  <c r="C315" i="1"/>
  <c r="AE314" i="1"/>
  <c r="AE313" i="1"/>
  <c r="AG312" i="1"/>
  <c r="AF312" i="1"/>
  <c r="AH312" i="1" s="1"/>
  <c r="AJ312" i="1" s="1"/>
  <c r="AL312" i="1" s="1"/>
  <c r="AO312" i="1" s="1"/>
  <c r="AR312" i="1" s="1"/>
  <c r="AE312" i="1"/>
  <c r="V311" i="1"/>
  <c r="X311" i="1" s="1"/>
  <c r="Z311" i="1" s="1"/>
  <c r="AB311" i="1" s="1"/>
  <c r="AD311" i="1" s="1"/>
  <c r="AF311" i="1" s="1"/>
  <c r="AH311" i="1" s="1"/>
  <c r="AJ311" i="1" s="1"/>
  <c r="AL311" i="1" s="1"/>
  <c r="U311" i="1"/>
  <c r="W311" i="1" s="1"/>
  <c r="Y311" i="1" s="1"/>
  <c r="AA311" i="1" s="1"/>
  <c r="AC311" i="1" s="1"/>
  <c r="AE311" i="1" s="1"/>
  <c r="AG311" i="1" s="1"/>
  <c r="AI311" i="1" s="1"/>
  <c r="AK311" i="1" s="1"/>
  <c r="AM311" i="1" s="1"/>
  <c r="T311" i="1"/>
  <c r="AN310" i="1"/>
  <c r="V310" i="1"/>
  <c r="X310" i="1" s="1"/>
  <c r="Z310" i="1" s="1"/>
  <c r="AB310" i="1" s="1"/>
  <c r="AD310" i="1" s="1"/>
  <c r="AF310" i="1" s="1"/>
  <c r="AH310" i="1" s="1"/>
  <c r="AJ310" i="1" s="1"/>
  <c r="AL310" i="1" s="1"/>
  <c r="AO310" i="1" s="1"/>
  <c r="U310" i="1"/>
  <c r="T310" i="1"/>
  <c r="AR309" i="1"/>
  <c r="AL309" i="1"/>
  <c r="Z309" i="1"/>
  <c r="AB309" i="1" s="1"/>
  <c r="AD309" i="1" s="1"/>
  <c r="AF309" i="1" s="1"/>
  <c r="AH309" i="1" s="1"/>
  <c r="AJ309" i="1" s="1"/>
  <c r="X309" i="1"/>
  <c r="AA309" i="1" s="1"/>
  <c r="AC309" i="1" s="1"/>
  <c r="V309" i="1"/>
  <c r="R309" i="1"/>
  <c r="S309" i="1" s="1"/>
  <c r="U309" i="1" s="1"/>
  <c r="W309" i="1" s="1"/>
  <c r="AO308" i="1"/>
  <c r="AR308" i="1" s="1"/>
  <c r="AH308" i="1"/>
  <c r="Z308" i="1"/>
  <c r="AB308" i="1" s="1"/>
  <c r="AD308" i="1" s="1"/>
  <c r="AF308" i="1" s="1"/>
  <c r="T308" i="1"/>
  <c r="V308" i="1" s="1"/>
  <c r="R308" i="1"/>
  <c r="P308" i="1"/>
  <c r="N308" i="1"/>
  <c r="O308" i="1" s="1"/>
  <c r="Q308" i="1" s="1"/>
  <c r="S308" i="1" s="1"/>
  <c r="U308" i="1" s="1"/>
  <c r="W308" i="1" s="1"/>
  <c r="Y308" i="1" s="1"/>
  <c r="AA308" i="1" s="1"/>
  <c r="AC308" i="1" s="1"/>
  <c r="AE308" i="1" s="1"/>
  <c r="AG308" i="1" s="1"/>
  <c r="AI308" i="1" s="1"/>
  <c r="AK308" i="1" s="1"/>
  <c r="AM308" i="1" s="1"/>
  <c r="AO307" i="1"/>
  <c r="AR307" i="1" s="1"/>
  <c r="Z307" i="1"/>
  <c r="AB307" i="1" s="1"/>
  <c r="AD307" i="1" s="1"/>
  <c r="AF307" i="1" s="1"/>
  <c r="R307" i="1"/>
  <c r="T307" i="1" s="1"/>
  <c r="V307" i="1" s="1"/>
  <c r="P307" i="1"/>
  <c r="N307" i="1"/>
  <c r="L307" i="1"/>
  <c r="M307" i="1" s="1"/>
  <c r="O307" i="1" s="1"/>
  <c r="Q307" i="1" s="1"/>
  <c r="S307" i="1" s="1"/>
  <c r="U307" i="1" s="1"/>
  <c r="W307" i="1" s="1"/>
  <c r="Y307" i="1" s="1"/>
  <c r="AA307" i="1" s="1"/>
  <c r="AC307" i="1" s="1"/>
  <c r="AE307" i="1" s="1"/>
  <c r="AG307" i="1" s="1"/>
  <c r="AI307" i="1" s="1"/>
  <c r="AK307" i="1" s="1"/>
  <c r="AM307" i="1" s="1"/>
  <c r="AO306" i="1"/>
  <c r="AR306" i="1" s="1"/>
  <c r="AF306" i="1"/>
  <c r="AD306" i="1"/>
  <c r="V306" i="1"/>
  <c r="X306" i="1" s="1"/>
  <c r="Z306" i="1" s="1"/>
  <c r="AB306" i="1" s="1"/>
  <c r="T306" i="1"/>
  <c r="R306" i="1"/>
  <c r="P306" i="1"/>
  <c r="O306" i="1"/>
  <c r="N306" i="1"/>
  <c r="M306" i="1"/>
  <c r="L306" i="1"/>
  <c r="K306" i="1"/>
  <c r="AB305" i="1"/>
  <c r="AD305" i="1" s="1"/>
  <c r="AF305" i="1" s="1"/>
  <c r="AH305" i="1" s="1"/>
  <c r="AJ305" i="1" s="1"/>
  <c r="AL305" i="1" s="1"/>
  <c r="AO305" i="1" s="1"/>
  <c r="AR305" i="1" s="1"/>
  <c r="V305" i="1"/>
  <c r="R305" i="1"/>
  <c r="T305" i="1" s="1"/>
  <c r="P305" i="1"/>
  <c r="L305" i="1"/>
  <c r="N305" i="1" s="1"/>
  <c r="K305" i="1"/>
  <c r="M305" i="1" s="1"/>
  <c r="O305" i="1" s="1"/>
  <c r="Q305" i="1" s="1"/>
  <c r="S305" i="1" s="1"/>
  <c r="U305" i="1" s="1"/>
  <c r="W305" i="1" s="1"/>
  <c r="Y305" i="1" s="1"/>
  <c r="AA305" i="1" s="1"/>
  <c r="AC305" i="1" s="1"/>
  <c r="AE305" i="1" s="1"/>
  <c r="AG305" i="1" s="1"/>
  <c r="AI305" i="1" s="1"/>
  <c r="AK305" i="1" s="1"/>
  <c r="AM305" i="1" s="1"/>
  <c r="I305" i="1"/>
  <c r="X304" i="1"/>
  <c r="Z304" i="1" s="1"/>
  <c r="AB304" i="1" s="1"/>
  <c r="AD304" i="1" s="1"/>
  <c r="AF304" i="1" s="1"/>
  <c r="AH304" i="1" s="1"/>
  <c r="AJ304" i="1" s="1"/>
  <c r="AL304" i="1" s="1"/>
  <c r="AO304" i="1" s="1"/>
  <c r="AR304" i="1" s="1"/>
  <c r="T304" i="1"/>
  <c r="V304" i="1" s="1"/>
  <c r="P304" i="1"/>
  <c r="N304" i="1"/>
  <c r="M304" i="1"/>
  <c r="O304" i="1" s="1"/>
  <c r="Q304" i="1" s="1"/>
  <c r="S304" i="1" s="1"/>
  <c r="U304" i="1" s="1"/>
  <c r="W304" i="1" s="1"/>
  <c r="Y304" i="1" s="1"/>
  <c r="AA304" i="1" s="1"/>
  <c r="AC304" i="1" s="1"/>
  <c r="AE304" i="1" s="1"/>
  <c r="AG304" i="1" s="1"/>
  <c r="AI304" i="1" s="1"/>
  <c r="AK304" i="1" s="1"/>
  <c r="AM304" i="1" s="1"/>
  <c r="L304" i="1"/>
  <c r="K304" i="1"/>
  <c r="I304" i="1"/>
  <c r="AJ303" i="1"/>
  <c r="AL303" i="1" s="1"/>
  <c r="AO303" i="1" s="1"/>
  <c r="AR303" i="1" s="1"/>
  <c r="Z303" i="1"/>
  <c r="AB303" i="1" s="1"/>
  <c r="AD303" i="1" s="1"/>
  <c r="AF303" i="1" s="1"/>
  <c r="AH303" i="1" s="1"/>
  <c r="R303" i="1"/>
  <c r="T303" i="1" s="1"/>
  <c r="V303" i="1" s="1"/>
  <c r="X303" i="1" s="1"/>
  <c r="N303" i="1"/>
  <c r="L303" i="1"/>
  <c r="K303" i="1"/>
  <c r="M303" i="1" s="1"/>
  <c r="O303" i="1" s="1"/>
  <c r="Q303" i="1" s="1"/>
  <c r="S303" i="1" s="1"/>
  <c r="U303" i="1" s="1"/>
  <c r="W303" i="1" s="1"/>
  <c r="Y303" i="1" s="1"/>
  <c r="AA303" i="1" s="1"/>
  <c r="AC303" i="1" s="1"/>
  <c r="AE303" i="1" s="1"/>
  <c r="AG303" i="1" s="1"/>
  <c r="AI303" i="1" s="1"/>
  <c r="AK303" i="1" s="1"/>
  <c r="AM303" i="1" s="1"/>
  <c r="I303" i="1"/>
  <c r="AJ302" i="1"/>
  <c r="AL302" i="1" s="1"/>
  <c r="AO302" i="1" s="1"/>
  <c r="AR302" i="1" s="1"/>
  <c r="Z302" i="1"/>
  <c r="AB302" i="1" s="1"/>
  <c r="AD302" i="1" s="1"/>
  <c r="AF302" i="1" s="1"/>
  <c r="AH302" i="1" s="1"/>
  <c r="R302" i="1"/>
  <c r="T302" i="1" s="1"/>
  <c r="V302" i="1" s="1"/>
  <c r="X302" i="1" s="1"/>
  <c r="L302" i="1"/>
  <c r="K302" i="1"/>
  <c r="M302" i="1" s="1"/>
  <c r="O302" i="1" s="1"/>
  <c r="Q302" i="1" s="1"/>
  <c r="S302" i="1" s="1"/>
  <c r="U302" i="1" s="1"/>
  <c r="W302" i="1" s="1"/>
  <c r="Y302" i="1" s="1"/>
  <c r="AA302" i="1" s="1"/>
  <c r="AC302" i="1" s="1"/>
  <c r="AE302" i="1" s="1"/>
  <c r="AG302" i="1" s="1"/>
  <c r="AI302" i="1" s="1"/>
  <c r="AK302" i="1" s="1"/>
  <c r="AM302" i="1" s="1"/>
  <c r="I302" i="1"/>
  <c r="R301" i="1"/>
  <c r="T301" i="1" s="1"/>
  <c r="V301" i="1" s="1"/>
  <c r="X301" i="1" s="1"/>
  <c r="Z301" i="1" s="1"/>
  <c r="AB301" i="1" s="1"/>
  <c r="AD301" i="1" s="1"/>
  <c r="AF301" i="1" s="1"/>
  <c r="AH301" i="1" s="1"/>
  <c r="AJ301" i="1" s="1"/>
  <c r="AL301" i="1" s="1"/>
  <c r="AO301" i="1" s="1"/>
  <c r="AR301" i="1" s="1"/>
  <c r="L301" i="1"/>
  <c r="N301" i="1" s="1"/>
  <c r="P301" i="1" s="1"/>
  <c r="K301" i="1"/>
  <c r="M301" i="1" s="1"/>
  <c r="I301" i="1"/>
  <c r="T300" i="1"/>
  <c r="V300" i="1" s="1"/>
  <c r="X300" i="1" s="1"/>
  <c r="Z300" i="1" s="1"/>
  <c r="AB300" i="1" s="1"/>
  <c r="AD300" i="1" s="1"/>
  <c r="AF300" i="1" s="1"/>
  <c r="AH300" i="1" s="1"/>
  <c r="AJ300" i="1" s="1"/>
  <c r="AL300" i="1" s="1"/>
  <c r="AO300" i="1" s="1"/>
  <c r="AR300" i="1" s="1"/>
  <c r="S300" i="1"/>
  <c r="R300" i="1"/>
  <c r="N300" i="1"/>
  <c r="L300" i="1"/>
  <c r="K300" i="1"/>
  <c r="M300" i="1" s="1"/>
  <c r="O300" i="1" s="1"/>
  <c r="Q300" i="1" s="1"/>
  <c r="I300" i="1"/>
  <c r="AL299" i="1"/>
  <c r="AO299" i="1" s="1"/>
  <c r="AR299" i="1" s="1"/>
  <c r="T299" i="1"/>
  <c r="V299" i="1" s="1"/>
  <c r="X299" i="1" s="1"/>
  <c r="Z299" i="1" s="1"/>
  <c r="AB299" i="1" s="1"/>
  <c r="AD299" i="1" s="1"/>
  <c r="AF299" i="1" s="1"/>
  <c r="AH299" i="1" s="1"/>
  <c r="AJ299" i="1" s="1"/>
  <c r="R299" i="1"/>
  <c r="N299" i="1"/>
  <c r="L299" i="1"/>
  <c r="K299" i="1"/>
  <c r="M299" i="1" s="1"/>
  <c r="O299" i="1" s="1"/>
  <c r="Q299" i="1" s="1"/>
  <c r="S299" i="1" s="1"/>
  <c r="U299" i="1" s="1"/>
  <c r="W299" i="1" s="1"/>
  <c r="Y299" i="1" s="1"/>
  <c r="AA299" i="1" s="1"/>
  <c r="AC299" i="1" s="1"/>
  <c r="AE299" i="1" s="1"/>
  <c r="AG299" i="1" s="1"/>
  <c r="AI299" i="1" s="1"/>
  <c r="AK299" i="1" s="1"/>
  <c r="AM299" i="1" s="1"/>
  <c r="I299" i="1"/>
  <c r="R298" i="1"/>
  <c r="T298" i="1" s="1"/>
  <c r="V298" i="1" s="1"/>
  <c r="X298" i="1" s="1"/>
  <c r="Z298" i="1" s="1"/>
  <c r="AB298" i="1" s="1"/>
  <c r="AD298" i="1" s="1"/>
  <c r="AF298" i="1" s="1"/>
  <c r="AH298" i="1" s="1"/>
  <c r="AJ298" i="1" s="1"/>
  <c r="AL298" i="1" s="1"/>
  <c r="AO298" i="1" s="1"/>
  <c r="AR298" i="1" s="1"/>
  <c r="L298" i="1"/>
  <c r="K298" i="1"/>
  <c r="I298" i="1"/>
  <c r="AD297" i="1"/>
  <c r="AF297" i="1" s="1"/>
  <c r="AH297" i="1" s="1"/>
  <c r="AJ297" i="1" s="1"/>
  <c r="AL297" i="1" s="1"/>
  <c r="AO297" i="1" s="1"/>
  <c r="AR297" i="1" s="1"/>
  <c r="Y297" i="1"/>
  <c r="AA297" i="1" s="1"/>
  <c r="AC297" i="1" s="1"/>
  <c r="AE297" i="1" s="1"/>
  <c r="AG297" i="1" s="1"/>
  <c r="AI297" i="1" s="1"/>
  <c r="AK297" i="1" s="1"/>
  <c r="AM297" i="1" s="1"/>
  <c r="R297" i="1"/>
  <c r="T297" i="1" s="1"/>
  <c r="V297" i="1" s="1"/>
  <c r="X297" i="1" s="1"/>
  <c r="Z297" i="1" s="1"/>
  <c r="AB297" i="1" s="1"/>
  <c r="O297" i="1"/>
  <c r="Q297" i="1" s="1"/>
  <c r="S297" i="1" s="1"/>
  <c r="U297" i="1" s="1"/>
  <c r="W297" i="1" s="1"/>
  <c r="M297" i="1"/>
  <c r="L297" i="1"/>
  <c r="I297" i="1"/>
  <c r="K297" i="1" s="1"/>
  <c r="AO296" i="1"/>
  <c r="AR296" i="1" s="1"/>
  <c r="Q296" i="1"/>
  <c r="S296" i="1" s="1"/>
  <c r="U296" i="1" s="1"/>
  <c r="W296" i="1" s="1"/>
  <c r="Y296" i="1" s="1"/>
  <c r="AA296" i="1" s="1"/>
  <c r="O296" i="1"/>
  <c r="N296" i="1"/>
  <c r="P296" i="1" s="1"/>
  <c r="R296" i="1" s="1"/>
  <c r="T296" i="1" s="1"/>
  <c r="V296" i="1" s="1"/>
  <c r="X296" i="1" s="1"/>
  <c r="Z296" i="1" s="1"/>
  <c r="AB296" i="1" s="1"/>
  <c r="AD296" i="1" s="1"/>
  <c r="AF296" i="1" s="1"/>
  <c r="AH296" i="1" s="1"/>
  <c r="AJ296" i="1" s="1"/>
  <c r="AL296" i="1" s="1"/>
  <c r="L296" i="1"/>
  <c r="K296" i="1"/>
  <c r="M296" i="1" s="1"/>
  <c r="I296" i="1"/>
  <c r="AB295" i="1"/>
  <c r="AD295" i="1" s="1"/>
  <c r="AF295" i="1" s="1"/>
  <c r="AH295" i="1" s="1"/>
  <c r="AJ295" i="1" s="1"/>
  <c r="AL295" i="1" s="1"/>
  <c r="AO295" i="1" s="1"/>
  <c r="AR295" i="1" s="1"/>
  <c r="X295" i="1"/>
  <c r="Z295" i="1" s="1"/>
  <c r="R295" i="1"/>
  <c r="T295" i="1" s="1"/>
  <c r="V295" i="1" s="1"/>
  <c r="P295" i="1"/>
  <c r="L295" i="1"/>
  <c r="N295" i="1" s="1"/>
  <c r="I295" i="1"/>
  <c r="K295" i="1" s="1"/>
  <c r="M295" i="1" s="1"/>
  <c r="O295" i="1" s="1"/>
  <c r="Q295" i="1" s="1"/>
  <c r="S295" i="1" s="1"/>
  <c r="U295" i="1" s="1"/>
  <c r="W295" i="1" s="1"/>
  <c r="Y295" i="1" s="1"/>
  <c r="AA295" i="1" s="1"/>
  <c r="AI294" i="1"/>
  <c r="AK294" i="1" s="1"/>
  <c r="AM294" i="1" s="1"/>
  <c r="Q294" i="1"/>
  <c r="S294" i="1" s="1"/>
  <c r="U294" i="1" s="1"/>
  <c r="W294" i="1" s="1"/>
  <c r="Y294" i="1" s="1"/>
  <c r="AA294" i="1" s="1"/>
  <c r="AC294" i="1" s="1"/>
  <c r="AE294" i="1" s="1"/>
  <c r="AG294" i="1" s="1"/>
  <c r="L294" i="1"/>
  <c r="N294" i="1" s="1"/>
  <c r="P294" i="1" s="1"/>
  <c r="R294" i="1" s="1"/>
  <c r="T294" i="1" s="1"/>
  <c r="V294" i="1" s="1"/>
  <c r="X294" i="1" s="1"/>
  <c r="Z294" i="1" s="1"/>
  <c r="AB294" i="1" s="1"/>
  <c r="AD294" i="1" s="1"/>
  <c r="AF294" i="1" s="1"/>
  <c r="AH294" i="1" s="1"/>
  <c r="AJ294" i="1" s="1"/>
  <c r="AL294" i="1" s="1"/>
  <c r="AO294" i="1" s="1"/>
  <c r="AR294" i="1" s="1"/>
  <c r="K294" i="1"/>
  <c r="M294" i="1" s="1"/>
  <c r="O294" i="1" s="1"/>
  <c r="I294" i="1"/>
  <c r="R293" i="1"/>
  <c r="T293" i="1" s="1"/>
  <c r="V293" i="1" s="1"/>
  <c r="X293" i="1" s="1"/>
  <c r="Z293" i="1" s="1"/>
  <c r="AB293" i="1" s="1"/>
  <c r="AD293" i="1" s="1"/>
  <c r="AF293" i="1" s="1"/>
  <c r="AH293" i="1" s="1"/>
  <c r="AJ293" i="1" s="1"/>
  <c r="AL293" i="1" s="1"/>
  <c r="AO293" i="1" s="1"/>
  <c r="AR293" i="1" s="1"/>
  <c r="L293" i="1"/>
  <c r="N293" i="1" s="1"/>
  <c r="P293" i="1" s="1"/>
  <c r="K293" i="1"/>
  <c r="I293" i="1"/>
  <c r="T292" i="1"/>
  <c r="V292" i="1" s="1"/>
  <c r="X292" i="1" s="1"/>
  <c r="Z292" i="1" s="1"/>
  <c r="AB292" i="1" s="1"/>
  <c r="AD292" i="1" s="1"/>
  <c r="AF292" i="1" s="1"/>
  <c r="AH292" i="1" s="1"/>
  <c r="AJ292" i="1" s="1"/>
  <c r="AL292" i="1" s="1"/>
  <c r="AO292" i="1" s="1"/>
  <c r="AR292" i="1" s="1"/>
  <c r="N292" i="1"/>
  <c r="P292" i="1" s="1"/>
  <c r="R292" i="1" s="1"/>
  <c r="M292" i="1"/>
  <c r="L292" i="1"/>
  <c r="I292" i="1"/>
  <c r="K292" i="1" s="1"/>
  <c r="P291" i="1"/>
  <c r="R291" i="1" s="1"/>
  <c r="N291" i="1"/>
  <c r="L291" i="1"/>
  <c r="I291" i="1"/>
  <c r="K291" i="1" s="1"/>
  <c r="M291" i="1" s="1"/>
  <c r="O291" i="1" s="1"/>
  <c r="Q291" i="1" s="1"/>
  <c r="S291" i="1" s="1"/>
  <c r="T290" i="1"/>
  <c r="P290" i="1"/>
  <c r="P315" i="1" s="1"/>
  <c r="J290" i="1"/>
  <c r="I290" i="1"/>
  <c r="AE289" i="1"/>
  <c r="AE288" i="1"/>
  <c r="AE287" i="1"/>
  <c r="AE286" i="1"/>
  <c r="I285" i="1"/>
  <c r="H285" i="1"/>
  <c r="G285" i="1"/>
  <c r="C285" i="1"/>
  <c r="AP284" i="1"/>
  <c r="AS284" i="1" s="1"/>
  <c r="AB283" i="1"/>
  <c r="AB282" i="1"/>
  <c r="AO281" i="1"/>
  <c r="AR281" i="1" s="1"/>
  <c r="AJ281" i="1"/>
  <c r="AL281" i="1" s="1"/>
  <c r="AF281" i="1"/>
  <c r="X281" i="1"/>
  <c r="Z281" i="1" s="1"/>
  <c r="AB281" i="1" s="1"/>
  <c r="AD281" i="1" s="1"/>
  <c r="V281" i="1"/>
  <c r="T281" i="1"/>
  <c r="R281" i="1"/>
  <c r="P281" i="1"/>
  <c r="O281" i="1"/>
  <c r="N281" i="1"/>
  <c r="L281" i="1"/>
  <c r="M281" i="1" s="1"/>
  <c r="AB280" i="1"/>
  <c r="AD280" i="1" s="1"/>
  <c r="AF280" i="1" s="1"/>
  <c r="AH280" i="1" s="1"/>
  <c r="AJ280" i="1" s="1"/>
  <c r="AL280" i="1" s="1"/>
  <c r="AO280" i="1" s="1"/>
  <c r="AR280" i="1" s="1"/>
  <c r="V280" i="1"/>
  <c r="X280" i="1" s="1"/>
  <c r="Z280" i="1" s="1"/>
  <c r="T280" i="1"/>
  <c r="R280" i="1"/>
  <c r="P280" i="1"/>
  <c r="N280" i="1"/>
  <c r="L280" i="1"/>
  <c r="J280" i="1"/>
  <c r="AO279" i="1"/>
  <c r="AR279" i="1" s="1"/>
  <c r="AH279" i="1"/>
  <c r="W279" i="1"/>
  <c r="R279" i="1"/>
  <c r="T279" i="1" s="1"/>
  <c r="V279" i="1" s="1"/>
  <c r="P279" i="1"/>
  <c r="P285" i="1" s="1"/>
  <c r="L279" i="1"/>
  <c r="K279" i="1"/>
  <c r="AN278" i="1"/>
  <c r="AQ278" i="1" s="1"/>
  <c r="AT278" i="1" s="1"/>
  <c r="AH278" i="1"/>
  <c r="AJ278" i="1" s="1"/>
  <c r="AL278" i="1" s="1"/>
  <c r="AO278" i="1" s="1"/>
  <c r="AR278" i="1" s="1"/>
  <c r="AF278" i="1"/>
  <c r="AD278" i="1"/>
  <c r="AA278" i="1"/>
  <c r="AC278" i="1" s="1"/>
  <c r="AE278" i="1" s="1"/>
  <c r="AG278" i="1" s="1"/>
  <c r="AI278" i="1" s="1"/>
  <c r="AK278" i="1" s="1"/>
  <c r="AM278" i="1" s="1"/>
  <c r="AP278" i="1" s="1"/>
  <c r="AS278" i="1" s="1"/>
  <c r="Z278" i="1"/>
  <c r="R278" i="1"/>
  <c r="T278" i="1" s="1"/>
  <c r="Q278" i="1"/>
  <c r="P278" i="1"/>
  <c r="M278" i="1"/>
  <c r="O278" i="1" s="1"/>
  <c r="L278" i="1"/>
  <c r="N278" i="1" s="1"/>
  <c r="K278" i="1"/>
  <c r="I278" i="1"/>
  <c r="AH277" i="1"/>
  <c r="AD277" i="1"/>
  <c r="AF277" i="1" s="1"/>
  <c r="AB277" i="1"/>
  <c r="V277" i="1"/>
  <c r="X277" i="1" s="1"/>
  <c r="Z277" i="1" s="1"/>
  <c r="S277" i="1"/>
  <c r="U277" i="1" s="1"/>
  <c r="R277" i="1"/>
  <c r="P277" i="1"/>
  <c r="O277" i="1"/>
  <c r="Q277" i="1" s="1"/>
  <c r="N277" i="1"/>
  <c r="M277" i="1"/>
  <c r="L277" i="1"/>
  <c r="L285" i="1" s="1"/>
  <c r="K277" i="1"/>
  <c r="I277" i="1"/>
  <c r="AQ276" i="1"/>
  <c r="AO276" i="1"/>
  <c r="AQ275" i="1"/>
  <c r="AO275" i="1"/>
  <c r="AQ274" i="1"/>
  <c r="AO274" i="1"/>
  <c r="H273" i="1"/>
  <c r="G273" i="1"/>
  <c r="C273" i="1"/>
  <c r="AT271" i="1"/>
  <c r="AS271" i="1"/>
  <c r="AR271" i="1"/>
  <c r="AP271" i="1"/>
  <c r="AR270" i="1"/>
  <c r="AO270" i="1"/>
  <c r="AS269" i="1"/>
  <c r="AT269" i="1" s="1"/>
  <c r="AP269" i="1"/>
  <c r="AO269" i="1"/>
  <c r="AR269" i="1" s="1"/>
  <c r="AN269" i="1"/>
  <c r="AM269" i="1"/>
  <c r="AL269" i="1"/>
  <c r="AM268" i="1"/>
  <c r="AL268" i="1"/>
  <c r="AO268" i="1" s="1"/>
  <c r="AR268" i="1" s="1"/>
  <c r="AO267" i="1"/>
  <c r="AR267" i="1" s="1"/>
  <c r="AN267" i="1"/>
  <c r="AQ267" i="1" s="1"/>
  <c r="AM267" i="1"/>
  <c r="AL267" i="1"/>
  <c r="AK267" i="1"/>
  <c r="AJ267" i="1"/>
  <c r="AM266" i="1"/>
  <c r="AP266" i="1" s="1"/>
  <c r="AS266" i="1" s="1"/>
  <c r="AT266" i="1" s="1"/>
  <c r="AJ266" i="1"/>
  <c r="AL266" i="1" s="1"/>
  <c r="AO266" i="1" s="1"/>
  <c r="AR266" i="1" s="1"/>
  <c r="AH266" i="1"/>
  <c r="AF266" i="1"/>
  <c r="AG266" i="1" s="1"/>
  <c r="AI266" i="1" s="1"/>
  <c r="AK266" i="1" s="1"/>
  <c r="AO265" i="1"/>
  <c r="AR265" i="1" s="1"/>
  <c r="AL265" i="1"/>
  <c r="AH265" i="1"/>
  <c r="AJ265" i="1" s="1"/>
  <c r="AF265" i="1"/>
  <c r="AE265" i="1"/>
  <c r="AG265" i="1" s="1"/>
  <c r="AI265" i="1" s="1"/>
  <c r="AK265" i="1" s="1"/>
  <c r="AM265" i="1" s="1"/>
  <c r="AD265" i="1"/>
  <c r="AH264" i="1"/>
  <c r="AG264" i="1"/>
  <c r="AF264" i="1"/>
  <c r="AE264" i="1"/>
  <c r="AD263" i="1"/>
  <c r="AF263" i="1" s="1"/>
  <c r="AH263" i="1" s="1"/>
  <c r="AJ263" i="1" s="1"/>
  <c r="AL263" i="1" s="1"/>
  <c r="AO263" i="1" s="1"/>
  <c r="AR263" i="1" s="1"/>
  <c r="AC263" i="1"/>
  <c r="AB263" i="1"/>
  <c r="AR262" i="1"/>
  <c r="AJ262" i="1"/>
  <c r="AL262" i="1" s="1"/>
  <c r="AO262" i="1" s="1"/>
  <c r="AD262" i="1"/>
  <c r="AF262" i="1" s="1"/>
  <c r="AH262" i="1" s="1"/>
  <c r="Z262" i="1"/>
  <c r="AB262" i="1" s="1"/>
  <c r="X262" i="1"/>
  <c r="Y262" i="1" s="1"/>
  <c r="AA262" i="1" s="1"/>
  <c r="AC262" i="1" s="1"/>
  <c r="AE262" i="1" s="1"/>
  <c r="AG262" i="1" s="1"/>
  <c r="AI262" i="1" s="1"/>
  <c r="AK262" i="1" s="1"/>
  <c r="AM262" i="1" s="1"/>
  <c r="AH261" i="1"/>
  <c r="AJ261" i="1" s="1"/>
  <c r="AL261" i="1" s="1"/>
  <c r="AO261" i="1" s="1"/>
  <c r="AR261" i="1" s="1"/>
  <c r="AA261" i="1"/>
  <c r="AC261" i="1" s="1"/>
  <c r="AE261" i="1" s="1"/>
  <c r="AG261" i="1" s="1"/>
  <c r="Z261" i="1"/>
  <c r="AB261" i="1" s="1"/>
  <c r="AD261" i="1" s="1"/>
  <c r="AF261" i="1" s="1"/>
  <c r="Y261" i="1"/>
  <c r="X260" i="1"/>
  <c r="W260" i="1"/>
  <c r="AB259" i="1"/>
  <c r="AD259" i="1" s="1"/>
  <c r="AF259" i="1" s="1"/>
  <c r="AH259" i="1" s="1"/>
  <c r="AJ259" i="1" s="1"/>
  <c r="AL259" i="1" s="1"/>
  <c r="AO259" i="1" s="1"/>
  <c r="AR259" i="1" s="1"/>
  <c r="V259" i="1"/>
  <c r="X259" i="1" s="1"/>
  <c r="Z259" i="1" s="1"/>
  <c r="U259" i="1"/>
  <c r="V258" i="1"/>
  <c r="X258" i="1" s="1"/>
  <c r="Z258" i="1" s="1"/>
  <c r="AB258" i="1" s="1"/>
  <c r="AD258" i="1" s="1"/>
  <c r="AF258" i="1" s="1"/>
  <c r="AH258" i="1" s="1"/>
  <c r="AJ258" i="1" s="1"/>
  <c r="AL258" i="1" s="1"/>
  <c r="AO258" i="1" s="1"/>
  <c r="AR258" i="1" s="1"/>
  <c r="U258" i="1"/>
  <c r="S258" i="1"/>
  <c r="R258" i="1"/>
  <c r="X257" i="1"/>
  <c r="Z257" i="1" s="1"/>
  <c r="AB257" i="1" s="1"/>
  <c r="AD257" i="1" s="1"/>
  <c r="AF257" i="1" s="1"/>
  <c r="AH257" i="1" s="1"/>
  <c r="AJ257" i="1" s="1"/>
  <c r="AL257" i="1" s="1"/>
  <c r="AO257" i="1" s="1"/>
  <c r="AR257" i="1" s="1"/>
  <c r="R257" i="1"/>
  <c r="T257" i="1" s="1"/>
  <c r="V257" i="1" s="1"/>
  <c r="P257" i="1"/>
  <c r="Q257" i="1" s="1"/>
  <c r="S257" i="1" s="1"/>
  <c r="U257" i="1" s="1"/>
  <c r="W257" i="1" s="1"/>
  <c r="AJ256" i="1"/>
  <c r="AL256" i="1" s="1"/>
  <c r="AO256" i="1" s="1"/>
  <c r="AR256" i="1" s="1"/>
  <c r="AB256" i="1"/>
  <c r="AD256" i="1" s="1"/>
  <c r="AF256" i="1" s="1"/>
  <c r="AH256" i="1" s="1"/>
  <c r="V256" i="1"/>
  <c r="X256" i="1" s="1"/>
  <c r="Z256" i="1" s="1"/>
  <c r="R256" i="1"/>
  <c r="T256" i="1" s="1"/>
  <c r="P256" i="1"/>
  <c r="O256" i="1"/>
  <c r="Q256" i="1" s="1"/>
  <c r="S256" i="1" s="1"/>
  <c r="U256" i="1" s="1"/>
  <c r="W256" i="1" s="1"/>
  <c r="Y256" i="1" s="1"/>
  <c r="AA256" i="1" s="1"/>
  <c r="AC256" i="1" s="1"/>
  <c r="AE256" i="1" s="1"/>
  <c r="AG256" i="1" s="1"/>
  <c r="AI256" i="1" s="1"/>
  <c r="AK256" i="1" s="1"/>
  <c r="AM256" i="1" s="1"/>
  <c r="N256" i="1"/>
  <c r="AB255" i="1"/>
  <c r="AD255" i="1" s="1"/>
  <c r="AF255" i="1" s="1"/>
  <c r="AH255" i="1" s="1"/>
  <c r="AJ255" i="1" s="1"/>
  <c r="AL255" i="1" s="1"/>
  <c r="AO255" i="1" s="1"/>
  <c r="AR255" i="1" s="1"/>
  <c r="V255" i="1"/>
  <c r="X255" i="1" s="1"/>
  <c r="Z255" i="1" s="1"/>
  <c r="U255" i="1"/>
  <c r="W255" i="1" s="1"/>
  <c r="Y255" i="1" s="1"/>
  <c r="AA255" i="1" s="1"/>
  <c r="AC255" i="1" s="1"/>
  <c r="AE255" i="1" s="1"/>
  <c r="AG255" i="1" s="1"/>
  <c r="AI255" i="1" s="1"/>
  <c r="T255" i="1"/>
  <c r="R255" i="1"/>
  <c r="P255" i="1"/>
  <c r="O255" i="1"/>
  <c r="Q255" i="1" s="1"/>
  <c r="S255" i="1" s="1"/>
  <c r="N255" i="1"/>
  <c r="L255" i="1"/>
  <c r="M255" i="1" s="1"/>
  <c r="AD254" i="1"/>
  <c r="AF254" i="1" s="1"/>
  <c r="AH254" i="1" s="1"/>
  <c r="AJ254" i="1" s="1"/>
  <c r="AL254" i="1" s="1"/>
  <c r="AO254" i="1" s="1"/>
  <c r="AR254" i="1" s="1"/>
  <c r="V254" i="1"/>
  <c r="X254" i="1" s="1"/>
  <c r="Z254" i="1" s="1"/>
  <c r="AB254" i="1" s="1"/>
  <c r="R254" i="1"/>
  <c r="T254" i="1" s="1"/>
  <c r="P254" i="1"/>
  <c r="O254" i="1"/>
  <c r="Q254" i="1" s="1"/>
  <c r="S254" i="1" s="1"/>
  <c r="U254" i="1" s="1"/>
  <c r="W254" i="1" s="1"/>
  <c r="Y254" i="1" s="1"/>
  <c r="AA254" i="1" s="1"/>
  <c r="AC254" i="1" s="1"/>
  <c r="M254" i="1"/>
  <c r="L254" i="1"/>
  <c r="N254" i="1" s="1"/>
  <c r="K254" i="1"/>
  <c r="R253" i="1"/>
  <c r="T253" i="1" s="1"/>
  <c r="V253" i="1" s="1"/>
  <c r="X253" i="1" s="1"/>
  <c r="Z253" i="1" s="1"/>
  <c r="AB253" i="1" s="1"/>
  <c r="AD253" i="1" s="1"/>
  <c r="AF253" i="1" s="1"/>
  <c r="AH253" i="1" s="1"/>
  <c r="AJ253" i="1" s="1"/>
  <c r="AL253" i="1" s="1"/>
  <c r="AO253" i="1" s="1"/>
  <c r="AR253" i="1" s="1"/>
  <c r="P253" i="1"/>
  <c r="L253" i="1"/>
  <c r="N253" i="1" s="1"/>
  <c r="K253" i="1"/>
  <c r="J253" i="1"/>
  <c r="I253" i="1"/>
  <c r="X252" i="1"/>
  <c r="Z252" i="1" s="1"/>
  <c r="AB252" i="1" s="1"/>
  <c r="AD252" i="1" s="1"/>
  <c r="AF252" i="1" s="1"/>
  <c r="AH252" i="1" s="1"/>
  <c r="AJ252" i="1" s="1"/>
  <c r="AL252" i="1" s="1"/>
  <c r="AO252" i="1" s="1"/>
  <c r="AR252" i="1" s="1"/>
  <c r="V252" i="1"/>
  <c r="R252" i="1"/>
  <c r="T252" i="1" s="1"/>
  <c r="P252" i="1"/>
  <c r="J252" i="1"/>
  <c r="L252" i="1" s="1"/>
  <c r="N252" i="1" s="1"/>
  <c r="I252" i="1"/>
  <c r="AO251" i="1"/>
  <c r="AR251" i="1" s="1"/>
  <c r="T251" i="1"/>
  <c r="V251" i="1" s="1"/>
  <c r="X251" i="1" s="1"/>
  <c r="Z251" i="1" s="1"/>
  <c r="AB251" i="1" s="1"/>
  <c r="AD251" i="1" s="1"/>
  <c r="AF251" i="1" s="1"/>
  <c r="AH251" i="1" s="1"/>
  <c r="AJ251" i="1" s="1"/>
  <c r="AL251" i="1" s="1"/>
  <c r="R251" i="1"/>
  <c r="P251" i="1"/>
  <c r="O251" i="1"/>
  <c r="Q251" i="1" s="1"/>
  <c r="S251" i="1" s="1"/>
  <c r="U251" i="1" s="1"/>
  <c r="W251" i="1" s="1"/>
  <c r="Y251" i="1" s="1"/>
  <c r="AA251" i="1" s="1"/>
  <c r="AC251" i="1" s="1"/>
  <c r="AE251" i="1" s="1"/>
  <c r="AG251" i="1" s="1"/>
  <c r="AI251" i="1" s="1"/>
  <c r="AK251" i="1" s="1"/>
  <c r="AM251" i="1" s="1"/>
  <c r="N251" i="1"/>
  <c r="M251" i="1"/>
  <c r="K251" i="1"/>
  <c r="J251" i="1"/>
  <c r="L251" i="1" s="1"/>
  <c r="I251" i="1"/>
  <c r="X250" i="1"/>
  <c r="Z250" i="1" s="1"/>
  <c r="AB250" i="1" s="1"/>
  <c r="AD250" i="1" s="1"/>
  <c r="AF250" i="1" s="1"/>
  <c r="AH250" i="1" s="1"/>
  <c r="AJ250" i="1" s="1"/>
  <c r="AL250" i="1" s="1"/>
  <c r="AO250" i="1" s="1"/>
  <c r="AR250" i="1" s="1"/>
  <c r="R250" i="1"/>
  <c r="T250" i="1" s="1"/>
  <c r="V250" i="1" s="1"/>
  <c r="P250" i="1"/>
  <c r="L250" i="1"/>
  <c r="N250" i="1" s="1"/>
  <c r="K250" i="1"/>
  <c r="M250" i="1" s="1"/>
  <c r="O250" i="1" s="1"/>
  <c r="Q250" i="1" s="1"/>
  <c r="S250" i="1" s="1"/>
  <c r="U250" i="1" s="1"/>
  <c r="W250" i="1" s="1"/>
  <c r="Y250" i="1" s="1"/>
  <c r="AA250" i="1" s="1"/>
  <c r="AC250" i="1" s="1"/>
  <c r="AE250" i="1" s="1"/>
  <c r="AG250" i="1" s="1"/>
  <c r="AI250" i="1" s="1"/>
  <c r="AK250" i="1" s="1"/>
  <c r="AM250" i="1" s="1"/>
  <c r="J250" i="1"/>
  <c r="I250" i="1"/>
  <c r="AB249" i="1"/>
  <c r="AD249" i="1" s="1"/>
  <c r="AF249" i="1" s="1"/>
  <c r="AH249" i="1" s="1"/>
  <c r="AJ249" i="1" s="1"/>
  <c r="AL249" i="1" s="1"/>
  <c r="AO249" i="1" s="1"/>
  <c r="AR249" i="1" s="1"/>
  <c r="V249" i="1"/>
  <c r="X249" i="1" s="1"/>
  <c r="Z249" i="1" s="1"/>
  <c r="T249" i="1"/>
  <c r="R249" i="1"/>
  <c r="P249" i="1"/>
  <c r="K249" i="1"/>
  <c r="M249" i="1" s="1"/>
  <c r="O249" i="1" s="1"/>
  <c r="Q249" i="1" s="1"/>
  <c r="S249" i="1" s="1"/>
  <c r="U249" i="1" s="1"/>
  <c r="W249" i="1" s="1"/>
  <c r="Y249" i="1" s="1"/>
  <c r="AA249" i="1" s="1"/>
  <c r="AC249" i="1" s="1"/>
  <c r="AE249" i="1" s="1"/>
  <c r="AG249" i="1" s="1"/>
  <c r="AI249" i="1" s="1"/>
  <c r="AK249" i="1" s="1"/>
  <c r="AM249" i="1" s="1"/>
  <c r="J249" i="1"/>
  <c r="L249" i="1" s="1"/>
  <c r="N249" i="1" s="1"/>
  <c r="I249" i="1"/>
  <c r="Z248" i="1"/>
  <c r="AB248" i="1" s="1"/>
  <c r="AD248" i="1" s="1"/>
  <c r="AF248" i="1" s="1"/>
  <c r="AH248" i="1" s="1"/>
  <c r="AJ248" i="1" s="1"/>
  <c r="AL248" i="1" s="1"/>
  <c r="AO248" i="1" s="1"/>
  <c r="AR248" i="1" s="1"/>
  <c r="T248" i="1"/>
  <c r="V248" i="1" s="1"/>
  <c r="X248" i="1" s="1"/>
  <c r="R248" i="1"/>
  <c r="P248" i="1"/>
  <c r="N248" i="1"/>
  <c r="L248" i="1"/>
  <c r="J248" i="1"/>
  <c r="I248" i="1"/>
  <c r="K248" i="1" s="1"/>
  <c r="M248" i="1" s="1"/>
  <c r="O248" i="1" s="1"/>
  <c r="Q248" i="1" s="1"/>
  <c r="S248" i="1" s="1"/>
  <c r="U248" i="1" s="1"/>
  <c r="W248" i="1" s="1"/>
  <c r="Y248" i="1" s="1"/>
  <c r="AA248" i="1" s="1"/>
  <c r="AC248" i="1" s="1"/>
  <c r="AE248" i="1" s="1"/>
  <c r="AG248" i="1" s="1"/>
  <c r="AI248" i="1" s="1"/>
  <c r="AK248" i="1" s="1"/>
  <c r="AM248" i="1" s="1"/>
  <c r="R247" i="1"/>
  <c r="T247" i="1" s="1"/>
  <c r="V247" i="1" s="1"/>
  <c r="X247" i="1" s="1"/>
  <c r="Z247" i="1" s="1"/>
  <c r="AB247" i="1" s="1"/>
  <c r="AD247" i="1" s="1"/>
  <c r="AF247" i="1" s="1"/>
  <c r="AH247" i="1" s="1"/>
  <c r="AJ247" i="1" s="1"/>
  <c r="AL247" i="1" s="1"/>
  <c r="AO247" i="1" s="1"/>
  <c r="AR247" i="1" s="1"/>
  <c r="P247" i="1"/>
  <c r="M247" i="1"/>
  <c r="O247" i="1" s="1"/>
  <c r="Q247" i="1" s="1"/>
  <c r="L247" i="1"/>
  <c r="N247" i="1" s="1"/>
  <c r="K247" i="1"/>
  <c r="J247" i="1"/>
  <c r="I247" i="1"/>
  <c r="AN246" i="1"/>
  <c r="AQ246" i="1" s="1"/>
  <c r="AB246" i="1"/>
  <c r="AD246" i="1" s="1"/>
  <c r="AF246" i="1" s="1"/>
  <c r="AH246" i="1" s="1"/>
  <c r="AJ246" i="1" s="1"/>
  <c r="AL246" i="1" s="1"/>
  <c r="AO246" i="1" s="1"/>
  <c r="AR246" i="1" s="1"/>
  <c r="V246" i="1"/>
  <c r="X246" i="1" s="1"/>
  <c r="Z246" i="1" s="1"/>
  <c r="T246" i="1"/>
  <c r="R246" i="1"/>
  <c r="P246" i="1"/>
  <c r="J246" i="1"/>
  <c r="L246" i="1" s="1"/>
  <c r="N246" i="1" s="1"/>
  <c r="I246" i="1"/>
  <c r="K246" i="1" s="1"/>
  <c r="M246" i="1" s="1"/>
  <c r="O246" i="1" s="1"/>
  <c r="Q246" i="1" s="1"/>
  <c r="S246" i="1" s="1"/>
  <c r="U246" i="1" s="1"/>
  <c r="W246" i="1" s="1"/>
  <c r="Y246" i="1" s="1"/>
  <c r="AA246" i="1" s="1"/>
  <c r="AC246" i="1" s="1"/>
  <c r="AE246" i="1" s="1"/>
  <c r="AG246" i="1" s="1"/>
  <c r="AI246" i="1" s="1"/>
  <c r="AK246" i="1" s="1"/>
  <c r="AM246" i="1" s="1"/>
  <c r="AP246" i="1" s="1"/>
  <c r="AS246" i="1" s="1"/>
  <c r="AT246" i="1" s="1"/>
  <c r="Z245" i="1"/>
  <c r="AB245" i="1" s="1"/>
  <c r="AD245" i="1" s="1"/>
  <c r="AF245" i="1" s="1"/>
  <c r="AH245" i="1" s="1"/>
  <c r="AJ245" i="1" s="1"/>
  <c r="AL245" i="1" s="1"/>
  <c r="AO245" i="1" s="1"/>
  <c r="AR245" i="1" s="1"/>
  <c r="T245" i="1"/>
  <c r="V245" i="1" s="1"/>
  <c r="X245" i="1" s="1"/>
  <c r="R245" i="1"/>
  <c r="P245" i="1"/>
  <c r="N245" i="1"/>
  <c r="L245" i="1"/>
  <c r="J245" i="1"/>
  <c r="I245" i="1"/>
  <c r="K245" i="1" s="1"/>
  <c r="M245" i="1" s="1"/>
  <c r="O245" i="1" s="1"/>
  <c r="Q245" i="1" s="1"/>
  <c r="S245" i="1" s="1"/>
  <c r="U245" i="1" s="1"/>
  <c r="W245" i="1" s="1"/>
  <c r="Y245" i="1" s="1"/>
  <c r="AD244" i="1"/>
  <c r="AF244" i="1" s="1"/>
  <c r="AH244" i="1" s="1"/>
  <c r="AJ244" i="1" s="1"/>
  <c r="AL244" i="1" s="1"/>
  <c r="AO244" i="1" s="1"/>
  <c r="AR244" i="1" s="1"/>
  <c r="V244" i="1"/>
  <c r="X244" i="1" s="1"/>
  <c r="Z244" i="1" s="1"/>
  <c r="AB244" i="1" s="1"/>
  <c r="R244" i="1"/>
  <c r="T244" i="1" s="1"/>
  <c r="P244" i="1"/>
  <c r="L244" i="1"/>
  <c r="N244" i="1" s="1"/>
  <c r="J244" i="1"/>
  <c r="K244" i="1" s="1"/>
  <c r="I244" i="1"/>
  <c r="V243" i="1"/>
  <c r="X243" i="1" s="1"/>
  <c r="Z243" i="1" s="1"/>
  <c r="AB243" i="1" s="1"/>
  <c r="AD243" i="1" s="1"/>
  <c r="AF243" i="1" s="1"/>
  <c r="AH243" i="1" s="1"/>
  <c r="AJ243" i="1" s="1"/>
  <c r="AL243" i="1" s="1"/>
  <c r="AO243" i="1" s="1"/>
  <c r="AR243" i="1" s="1"/>
  <c r="T243" i="1"/>
  <c r="R243" i="1"/>
  <c r="P243" i="1"/>
  <c r="J243" i="1"/>
  <c r="L243" i="1" s="1"/>
  <c r="N243" i="1" s="1"/>
  <c r="I243" i="1"/>
  <c r="T242" i="1"/>
  <c r="V242" i="1" s="1"/>
  <c r="X242" i="1" s="1"/>
  <c r="Z242" i="1" s="1"/>
  <c r="AB242" i="1" s="1"/>
  <c r="AD242" i="1" s="1"/>
  <c r="AF242" i="1" s="1"/>
  <c r="AH242" i="1" s="1"/>
  <c r="AJ242" i="1" s="1"/>
  <c r="AL242" i="1" s="1"/>
  <c r="AO242" i="1" s="1"/>
  <c r="AR242" i="1" s="1"/>
  <c r="R242" i="1"/>
  <c r="P242" i="1"/>
  <c r="N242" i="1"/>
  <c r="L242" i="1"/>
  <c r="J242" i="1"/>
  <c r="I242" i="1"/>
  <c r="R241" i="1"/>
  <c r="P241" i="1"/>
  <c r="K241" i="1"/>
  <c r="J241" i="1"/>
  <c r="I241" i="1"/>
  <c r="M240" i="1"/>
  <c r="M239" i="1"/>
  <c r="C237" i="1"/>
  <c r="AS236" i="1"/>
  <c r="AR236" i="1"/>
  <c r="AT236" i="1" s="1"/>
  <c r="AS235" i="1"/>
  <c r="AR235" i="1"/>
  <c r="AP235" i="1"/>
  <c r="AO235" i="1"/>
  <c r="AQ235" i="1" s="1"/>
  <c r="AT235" i="1" s="1"/>
  <c r="AT234" i="1"/>
  <c r="AR234" i="1"/>
  <c r="AQ234" i="1"/>
  <c r="AP234" i="1"/>
  <c r="AS234" i="1" s="1"/>
  <c r="AT233" i="1"/>
  <c r="AS233" i="1"/>
  <c r="AR233" i="1"/>
  <c r="AQ233" i="1"/>
  <c r="AP233" i="1"/>
  <c r="AO232" i="1"/>
  <c r="T232" i="1"/>
  <c r="Q232" i="1"/>
  <c r="P232" i="1"/>
  <c r="O232" i="1"/>
  <c r="N232" i="1"/>
  <c r="M232" i="1"/>
  <c r="L232" i="1"/>
  <c r="K232" i="1"/>
  <c r="J232" i="1"/>
  <c r="I232" i="1"/>
  <c r="H232" i="1"/>
  <c r="G232" i="1"/>
  <c r="AR231" i="1"/>
  <c r="AP231" i="1"/>
  <c r="AS231" i="1" s="1"/>
  <c r="AO231" i="1"/>
  <c r="AQ231" i="1" s="1"/>
  <c r="AT231" i="1" s="1"/>
  <c r="AP230" i="1"/>
  <c r="AS230" i="1" s="1"/>
  <c r="AT230" i="1" s="1"/>
  <c r="AN230" i="1"/>
  <c r="AQ230" i="1" s="1"/>
  <c r="AM230" i="1"/>
  <c r="AL230" i="1"/>
  <c r="AO230" i="1" s="1"/>
  <c r="AR230" i="1" s="1"/>
  <c r="AO229" i="1"/>
  <c r="AR229" i="1" s="1"/>
  <c r="AM229" i="1"/>
  <c r="AL229" i="1"/>
  <c r="AN228" i="1"/>
  <c r="AM228" i="1"/>
  <c r="AL228" i="1"/>
  <c r="AO228" i="1" s="1"/>
  <c r="AR228" i="1" s="1"/>
  <c r="AL227" i="1"/>
  <c r="AL226" i="1"/>
  <c r="AO226" i="1" s="1"/>
  <c r="AR226" i="1" s="1"/>
  <c r="AS226" i="1" s="1"/>
  <c r="AT226" i="1" s="1"/>
  <c r="AQ225" i="1"/>
  <c r="AO225" i="1"/>
  <c r="AR225" i="1" s="1"/>
  <c r="AN225" i="1"/>
  <c r="AM225" i="1"/>
  <c r="AP225" i="1" s="1"/>
  <c r="AL225" i="1"/>
  <c r="AL224" i="1"/>
  <c r="AO224" i="1" s="1"/>
  <c r="AR224" i="1" s="1"/>
  <c r="AQ223" i="1"/>
  <c r="AO223" i="1"/>
  <c r="AR223" i="1" s="1"/>
  <c r="AN223" i="1"/>
  <c r="AM223" i="1"/>
  <c r="AP223" i="1" s="1"/>
  <c r="AL223" i="1"/>
  <c r="AL222" i="1"/>
  <c r="AO222" i="1" s="1"/>
  <c r="AR222" i="1" s="1"/>
  <c r="AQ221" i="1"/>
  <c r="AN221" i="1"/>
  <c r="AL221" i="1"/>
  <c r="AO221" i="1" s="1"/>
  <c r="AR221" i="1" s="1"/>
  <c r="AS221" i="1" s="1"/>
  <c r="AT221" i="1" s="1"/>
  <c r="AR220" i="1"/>
  <c r="AL220" i="1"/>
  <c r="AO220" i="1" s="1"/>
  <c r="AJ220" i="1"/>
  <c r="AI220" i="1"/>
  <c r="AK220" i="1" s="1"/>
  <c r="AG220" i="1"/>
  <c r="AM219" i="1"/>
  <c r="AK219" i="1"/>
  <c r="AJ219" i="1"/>
  <c r="AL219" i="1" s="1"/>
  <c r="AO219" i="1" s="1"/>
  <c r="AR219" i="1" s="1"/>
  <c r="AL218" i="1"/>
  <c r="AO218" i="1" s="1"/>
  <c r="AR218" i="1" s="1"/>
  <c r="AJ218" i="1"/>
  <c r="AH218" i="1"/>
  <c r="AF218" i="1"/>
  <c r="AG218" i="1" s="1"/>
  <c r="AI218" i="1" s="1"/>
  <c r="AK218" i="1" s="1"/>
  <c r="AM218" i="1" s="1"/>
  <c r="AO217" i="1"/>
  <c r="AR217" i="1" s="1"/>
  <c r="AI217" i="1"/>
  <c r="AK217" i="1" s="1"/>
  <c r="AM217" i="1" s="1"/>
  <c r="AG217" i="1"/>
  <c r="AF217" i="1"/>
  <c r="AH217" i="1" s="1"/>
  <c r="AJ217" i="1" s="1"/>
  <c r="AL217" i="1" s="1"/>
  <c r="AE217" i="1"/>
  <c r="AD217" i="1"/>
  <c r="AH216" i="1"/>
  <c r="AJ216" i="1" s="1"/>
  <c r="AL216" i="1" s="1"/>
  <c r="AO216" i="1" s="1"/>
  <c r="AR216" i="1" s="1"/>
  <c r="AF216" i="1"/>
  <c r="AE216" i="1"/>
  <c r="AG216" i="1" s="1"/>
  <c r="AI216" i="1" s="1"/>
  <c r="AK216" i="1" s="1"/>
  <c r="AM216" i="1" s="1"/>
  <c r="AP216" i="1" s="1"/>
  <c r="AS216" i="1" s="1"/>
  <c r="AT216" i="1" s="1"/>
  <c r="AD216" i="1"/>
  <c r="AE215" i="1"/>
  <c r="AD215" i="1"/>
  <c r="AF215" i="1" s="1"/>
  <c r="AH215" i="1" s="1"/>
  <c r="AJ215" i="1" s="1"/>
  <c r="AL215" i="1" s="1"/>
  <c r="AO215" i="1" s="1"/>
  <c r="AR215" i="1" s="1"/>
  <c r="AC215" i="1"/>
  <c r="AB215" i="1"/>
  <c r="Y215" i="1"/>
  <c r="AC214" i="1"/>
  <c r="AE214" i="1" s="1"/>
  <c r="AG214" i="1" s="1"/>
  <c r="AI214" i="1" s="1"/>
  <c r="AK214" i="1" s="1"/>
  <c r="AM214" i="1" s="1"/>
  <c r="AA214" i="1"/>
  <c r="Z214" i="1"/>
  <c r="AB214" i="1" s="1"/>
  <c r="AD214" i="1" s="1"/>
  <c r="AF214" i="1" s="1"/>
  <c r="AH214" i="1" s="1"/>
  <c r="AJ214" i="1" s="1"/>
  <c r="AL214" i="1" s="1"/>
  <c r="AO214" i="1" s="1"/>
  <c r="AR214" i="1" s="1"/>
  <c r="Y214" i="1"/>
  <c r="X214" i="1"/>
  <c r="AH213" i="1"/>
  <c r="AJ213" i="1" s="1"/>
  <c r="AL213" i="1" s="1"/>
  <c r="AO213" i="1" s="1"/>
  <c r="AR213" i="1" s="1"/>
  <c r="AB213" i="1"/>
  <c r="AD213" i="1" s="1"/>
  <c r="AF213" i="1" s="1"/>
  <c r="Z213" i="1"/>
  <c r="Y213" i="1"/>
  <c r="AA213" i="1" s="1"/>
  <c r="X213" i="1"/>
  <c r="W213" i="1"/>
  <c r="V212" i="1"/>
  <c r="X212" i="1" s="1"/>
  <c r="Z212" i="1" s="1"/>
  <c r="AB212" i="1" s="1"/>
  <c r="AD212" i="1" s="1"/>
  <c r="AF212" i="1" s="1"/>
  <c r="AH212" i="1" s="1"/>
  <c r="AJ212" i="1" s="1"/>
  <c r="AL212" i="1" s="1"/>
  <c r="AO212" i="1" s="1"/>
  <c r="AR212" i="1" s="1"/>
  <c r="U212" i="1"/>
  <c r="AN211" i="1"/>
  <c r="V211" i="1"/>
  <c r="S211" i="1"/>
  <c r="U211" i="1" s="1"/>
  <c r="R211" i="1"/>
  <c r="R232" i="1" s="1"/>
  <c r="M210" i="1"/>
  <c r="H208" i="1"/>
  <c r="G208" i="1"/>
  <c r="C208" i="1"/>
  <c r="AR206" i="1"/>
  <c r="AT206" i="1" s="1"/>
  <c r="AP206" i="1"/>
  <c r="AS206" i="1" s="1"/>
  <c r="AO205" i="1"/>
  <c r="AO204" i="1"/>
  <c r="AR204" i="1" s="1"/>
  <c r="AM204" i="1"/>
  <c r="AL204" i="1"/>
  <c r="AL203" i="1"/>
  <c r="AO202" i="1"/>
  <c r="AR202" i="1" s="1"/>
  <c r="AM202" i="1"/>
  <c r="AL202" i="1"/>
  <c r="AK202" i="1"/>
  <c r="AJ202" i="1"/>
  <c r="AL201" i="1"/>
  <c r="AO201" i="1" s="1"/>
  <c r="AR201" i="1" s="1"/>
  <c r="AH201" i="1"/>
  <c r="AJ201" i="1" s="1"/>
  <c r="AF201" i="1"/>
  <c r="AG201" i="1" s="1"/>
  <c r="AH200" i="1"/>
  <c r="AJ200" i="1" s="1"/>
  <c r="AL200" i="1" s="1"/>
  <c r="AO200" i="1" s="1"/>
  <c r="AR200" i="1" s="1"/>
  <c r="AF200" i="1"/>
  <c r="AE200" i="1"/>
  <c r="AG200" i="1" s="1"/>
  <c r="AI200" i="1" s="1"/>
  <c r="AK200" i="1" s="1"/>
  <c r="AM200" i="1" s="1"/>
  <c r="AD200" i="1"/>
  <c r="AH199" i="1"/>
  <c r="AJ199" i="1" s="1"/>
  <c r="AL199" i="1" s="1"/>
  <c r="AO199" i="1" s="1"/>
  <c r="AR199" i="1" s="1"/>
  <c r="AG199" i="1"/>
  <c r="AF199" i="1"/>
  <c r="AE199" i="1"/>
  <c r="AB198" i="1"/>
  <c r="Y198" i="1"/>
  <c r="AB197" i="1"/>
  <c r="AD197" i="1" s="1"/>
  <c r="AF197" i="1" s="1"/>
  <c r="AH197" i="1" s="1"/>
  <c r="AJ197" i="1" s="1"/>
  <c r="AL197" i="1" s="1"/>
  <c r="AO197" i="1" s="1"/>
  <c r="AR197" i="1" s="1"/>
  <c r="Z197" i="1"/>
  <c r="X197" i="1"/>
  <c r="Y197" i="1" s="1"/>
  <c r="AA197" i="1" s="1"/>
  <c r="AC197" i="1" s="1"/>
  <c r="AE197" i="1" s="1"/>
  <c r="AG197" i="1" s="1"/>
  <c r="AI197" i="1" s="1"/>
  <c r="AK197" i="1" s="1"/>
  <c r="AM197" i="1" s="1"/>
  <c r="Z196" i="1"/>
  <c r="AB196" i="1" s="1"/>
  <c r="AD196" i="1" s="1"/>
  <c r="AF196" i="1" s="1"/>
  <c r="AH196" i="1" s="1"/>
  <c r="AJ196" i="1" s="1"/>
  <c r="AL196" i="1" s="1"/>
  <c r="AO196" i="1" s="1"/>
  <c r="AR196" i="1" s="1"/>
  <c r="X196" i="1"/>
  <c r="W196" i="1"/>
  <c r="Y196" i="1" s="1"/>
  <c r="AA196" i="1" s="1"/>
  <c r="AC196" i="1" s="1"/>
  <c r="AE196" i="1" s="1"/>
  <c r="AG196" i="1" s="1"/>
  <c r="AI196" i="1" s="1"/>
  <c r="AK196" i="1" s="1"/>
  <c r="AM196" i="1" s="1"/>
  <c r="Z195" i="1"/>
  <c r="AB195" i="1" s="1"/>
  <c r="AD195" i="1" s="1"/>
  <c r="AF195" i="1" s="1"/>
  <c r="AH195" i="1" s="1"/>
  <c r="AJ195" i="1" s="1"/>
  <c r="AL195" i="1" s="1"/>
  <c r="AO195" i="1" s="1"/>
  <c r="AR195" i="1" s="1"/>
  <c r="V195" i="1"/>
  <c r="X195" i="1" s="1"/>
  <c r="T195" i="1"/>
  <c r="U195" i="1" s="1"/>
  <c r="W195" i="1" s="1"/>
  <c r="Y195" i="1" s="1"/>
  <c r="AA195" i="1" s="1"/>
  <c r="AC195" i="1" s="1"/>
  <c r="AE195" i="1" s="1"/>
  <c r="AG195" i="1" s="1"/>
  <c r="AI195" i="1" s="1"/>
  <c r="AK195" i="1" s="1"/>
  <c r="AM195" i="1" s="1"/>
  <c r="AB194" i="1"/>
  <c r="AD194" i="1" s="1"/>
  <c r="AF194" i="1" s="1"/>
  <c r="AH194" i="1" s="1"/>
  <c r="AJ194" i="1" s="1"/>
  <c r="AL194" i="1" s="1"/>
  <c r="AO194" i="1" s="1"/>
  <c r="AR194" i="1" s="1"/>
  <c r="Z194" i="1"/>
  <c r="X194" i="1"/>
  <c r="V194" i="1"/>
  <c r="S194" i="1"/>
  <c r="U194" i="1" s="1"/>
  <c r="W194" i="1" s="1"/>
  <c r="Y194" i="1" s="1"/>
  <c r="AA194" i="1" s="1"/>
  <c r="AC194" i="1" s="1"/>
  <c r="AE194" i="1" s="1"/>
  <c r="AG194" i="1" s="1"/>
  <c r="AI194" i="1" s="1"/>
  <c r="AK194" i="1" s="1"/>
  <c r="AM194" i="1" s="1"/>
  <c r="R194" i="1"/>
  <c r="V193" i="1"/>
  <c r="X193" i="1" s="1"/>
  <c r="Z193" i="1" s="1"/>
  <c r="AB193" i="1" s="1"/>
  <c r="AD193" i="1" s="1"/>
  <c r="AF193" i="1" s="1"/>
  <c r="AH193" i="1" s="1"/>
  <c r="AJ193" i="1" s="1"/>
  <c r="AL193" i="1" s="1"/>
  <c r="AO193" i="1" s="1"/>
  <c r="AR193" i="1" s="1"/>
  <c r="U193" i="1"/>
  <c r="T193" i="1"/>
  <c r="R193" i="1"/>
  <c r="P193" i="1"/>
  <c r="Q193" i="1" s="1"/>
  <c r="S193" i="1" s="1"/>
  <c r="R192" i="1"/>
  <c r="T192" i="1" s="1"/>
  <c r="V192" i="1" s="1"/>
  <c r="X192" i="1" s="1"/>
  <c r="Z192" i="1" s="1"/>
  <c r="AB192" i="1" s="1"/>
  <c r="AD192" i="1" s="1"/>
  <c r="AF192" i="1" s="1"/>
  <c r="AH192" i="1" s="1"/>
  <c r="AJ192" i="1" s="1"/>
  <c r="AL192" i="1" s="1"/>
  <c r="AO192" i="1" s="1"/>
  <c r="AR192" i="1" s="1"/>
  <c r="Q192" i="1"/>
  <c r="S192" i="1" s="1"/>
  <c r="U192" i="1" s="1"/>
  <c r="P192" i="1"/>
  <c r="N192" i="1"/>
  <c r="X191" i="1"/>
  <c r="Z191" i="1" s="1"/>
  <c r="AB191" i="1" s="1"/>
  <c r="AD191" i="1" s="1"/>
  <c r="AF191" i="1" s="1"/>
  <c r="AH191" i="1" s="1"/>
  <c r="AJ191" i="1" s="1"/>
  <c r="AL191" i="1" s="1"/>
  <c r="AO191" i="1" s="1"/>
  <c r="AR191" i="1" s="1"/>
  <c r="R191" i="1"/>
  <c r="T191" i="1" s="1"/>
  <c r="V191" i="1" s="1"/>
  <c r="Q191" i="1"/>
  <c r="P191" i="1"/>
  <c r="N191" i="1"/>
  <c r="T190" i="1"/>
  <c r="V190" i="1" s="1"/>
  <c r="X190" i="1" s="1"/>
  <c r="Z190" i="1" s="1"/>
  <c r="AB190" i="1" s="1"/>
  <c r="AD190" i="1" s="1"/>
  <c r="AF190" i="1" s="1"/>
  <c r="AH190" i="1" s="1"/>
  <c r="AJ190" i="1" s="1"/>
  <c r="AL190" i="1" s="1"/>
  <c r="AO190" i="1" s="1"/>
  <c r="AR190" i="1" s="1"/>
  <c r="R190" i="1"/>
  <c r="P190" i="1"/>
  <c r="O190" i="1"/>
  <c r="Q190" i="1" s="1"/>
  <c r="S190" i="1" s="1"/>
  <c r="U190" i="1" s="1"/>
  <c r="W190" i="1" s="1"/>
  <c r="Y190" i="1" s="1"/>
  <c r="AA190" i="1" s="1"/>
  <c r="AC190" i="1" s="1"/>
  <c r="AE190" i="1" s="1"/>
  <c r="AG190" i="1" s="1"/>
  <c r="AI190" i="1" s="1"/>
  <c r="AK190" i="1" s="1"/>
  <c r="AM190" i="1" s="1"/>
  <c r="N190" i="1"/>
  <c r="M190" i="1"/>
  <c r="L190" i="1"/>
  <c r="X189" i="1"/>
  <c r="Z189" i="1" s="1"/>
  <c r="AB189" i="1" s="1"/>
  <c r="AD189" i="1" s="1"/>
  <c r="AF189" i="1" s="1"/>
  <c r="AH189" i="1" s="1"/>
  <c r="AJ189" i="1" s="1"/>
  <c r="AL189" i="1" s="1"/>
  <c r="AO189" i="1" s="1"/>
  <c r="AR189" i="1" s="1"/>
  <c r="V189" i="1"/>
  <c r="T189" i="1"/>
  <c r="R189" i="1"/>
  <c r="P189" i="1"/>
  <c r="N189" i="1"/>
  <c r="L189" i="1"/>
  <c r="M189" i="1" s="1"/>
  <c r="O189" i="1" s="1"/>
  <c r="Q189" i="1" s="1"/>
  <c r="S189" i="1" s="1"/>
  <c r="U189" i="1" s="1"/>
  <c r="W189" i="1" s="1"/>
  <c r="Y189" i="1" s="1"/>
  <c r="AA189" i="1" s="1"/>
  <c r="AC189" i="1" s="1"/>
  <c r="AE189" i="1" s="1"/>
  <c r="AG189" i="1" s="1"/>
  <c r="AI189" i="1" s="1"/>
  <c r="AK189" i="1" s="1"/>
  <c r="AM189" i="1" s="1"/>
  <c r="J189" i="1"/>
  <c r="K189" i="1" s="1"/>
  <c r="R188" i="1"/>
  <c r="T188" i="1" s="1"/>
  <c r="V188" i="1" s="1"/>
  <c r="X188" i="1" s="1"/>
  <c r="Z188" i="1" s="1"/>
  <c r="AB188" i="1" s="1"/>
  <c r="AD188" i="1" s="1"/>
  <c r="AF188" i="1" s="1"/>
  <c r="AH188" i="1" s="1"/>
  <c r="AJ188" i="1" s="1"/>
  <c r="AL188" i="1" s="1"/>
  <c r="AO188" i="1" s="1"/>
  <c r="AR188" i="1" s="1"/>
  <c r="P188" i="1"/>
  <c r="L188" i="1"/>
  <c r="N188" i="1" s="1"/>
  <c r="K188" i="1"/>
  <c r="M188" i="1" s="1"/>
  <c r="O188" i="1" s="1"/>
  <c r="Q188" i="1" s="1"/>
  <c r="S188" i="1" s="1"/>
  <c r="J188" i="1"/>
  <c r="I188" i="1"/>
  <c r="Z187" i="1"/>
  <c r="AB187" i="1" s="1"/>
  <c r="AD187" i="1" s="1"/>
  <c r="AF187" i="1" s="1"/>
  <c r="AH187" i="1" s="1"/>
  <c r="AJ187" i="1" s="1"/>
  <c r="AL187" i="1" s="1"/>
  <c r="AO187" i="1" s="1"/>
  <c r="AR187" i="1" s="1"/>
  <c r="T187" i="1"/>
  <c r="V187" i="1" s="1"/>
  <c r="X187" i="1" s="1"/>
  <c r="R187" i="1"/>
  <c r="P187" i="1"/>
  <c r="N187" i="1"/>
  <c r="L187" i="1"/>
  <c r="J187" i="1"/>
  <c r="K187" i="1" s="1"/>
  <c r="M187" i="1" s="1"/>
  <c r="O187" i="1" s="1"/>
  <c r="Q187" i="1" s="1"/>
  <c r="S187" i="1" s="1"/>
  <c r="U187" i="1" s="1"/>
  <c r="W187" i="1" s="1"/>
  <c r="Y187" i="1" s="1"/>
  <c r="AA187" i="1" s="1"/>
  <c r="AC187" i="1" s="1"/>
  <c r="AE187" i="1" s="1"/>
  <c r="I187" i="1"/>
  <c r="V186" i="1"/>
  <c r="X186" i="1" s="1"/>
  <c r="Z186" i="1" s="1"/>
  <c r="AB186" i="1" s="1"/>
  <c r="AD186" i="1" s="1"/>
  <c r="AF186" i="1" s="1"/>
  <c r="AH186" i="1" s="1"/>
  <c r="AJ186" i="1" s="1"/>
  <c r="AL186" i="1" s="1"/>
  <c r="AO186" i="1" s="1"/>
  <c r="AR186" i="1" s="1"/>
  <c r="T186" i="1"/>
  <c r="R186" i="1"/>
  <c r="P186" i="1"/>
  <c r="J186" i="1"/>
  <c r="L186" i="1" s="1"/>
  <c r="N186" i="1" s="1"/>
  <c r="I186" i="1"/>
  <c r="K186" i="1" s="1"/>
  <c r="M186" i="1" s="1"/>
  <c r="O186" i="1" s="1"/>
  <c r="X185" i="1"/>
  <c r="Z185" i="1" s="1"/>
  <c r="AB185" i="1" s="1"/>
  <c r="AD185" i="1" s="1"/>
  <c r="AF185" i="1" s="1"/>
  <c r="AH185" i="1" s="1"/>
  <c r="AJ185" i="1" s="1"/>
  <c r="AL185" i="1" s="1"/>
  <c r="AO185" i="1" s="1"/>
  <c r="AR185" i="1" s="1"/>
  <c r="R185" i="1"/>
  <c r="T185" i="1" s="1"/>
  <c r="V185" i="1" s="1"/>
  <c r="P185" i="1"/>
  <c r="L185" i="1"/>
  <c r="N185" i="1" s="1"/>
  <c r="K185" i="1"/>
  <c r="J185" i="1"/>
  <c r="I185" i="1"/>
  <c r="T184" i="1"/>
  <c r="V184" i="1" s="1"/>
  <c r="X184" i="1" s="1"/>
  <c r="Z184" i="1" s="1"/>
  <c r="AB184" i="1" s="1"/>
  <c r="AD184" i="1" s="1"/>
  <c r="AF184" i="1" s="1"/>
  <c r="AH184" i="1" s="1"/>
  <c r="AJ184" i="1" s="1"/>
  <c r="AL184" i="1" s="1"/>
  <c r="AO184" i="1" s="1"/>
  <c r="AR184" i="1" s="1"/>
  <c r="R184" i="1"/>
  <c r="P184" i="1"/>
  <c r="N184" i="1"/>
  <c r="L184" i="1"/>
  <c r="J184" i="1"/>
  <c r="K184" i="1" s="1"/>
  <c r="M184" i="1" s="1"/>
  <c r="O184" i="1" s="1"/>
  <c r="Q184" i="1" s="1"/>
  <c r="S184" i="1" s="1"/>
  <c r="U184" i="1" s="1"/>
  <c r="W184" i="1" s="1"/>
  <c r="Y184" i="1" s="1"/>
  <c r="AA184" i="1" s="1"/>
  <c r="AC184" i="1" s="1"/>
  <c r="AE184" i="1" s="1"/>
  <c r="AG184" i="1" s="1"/>
  <c r="AI184" i="1" s="1"/>
  <c r="AK184" i="1" s="1"/>
  <c r="AM184" i="1" s="1"/>
  <c r="I184" i="1"/>
  <c r="AB183" i="1"/>
  <c r="AD183" i="1" s="1"/>
  <c r="AF183" i="1" s="1"/>
  <c r="AH183" i="1" s="1"/>
  <c r="AJ183" i="1" s="1"/>
  <c r="AL183" i="1" s="1"/>
  <c r="AO183" i="1" s="1"/>
  <c r="AR183" i="1" s="1"/>
  <c r="V183" i="1"/>
  <c r="X183" i="1" s="1"/>
  <c r="Z183" i="1" s="1"/>
  <c r="T183" i="1"/>
  <c r="R183" i="1"/>
  <c r="P183" i="1"/>
  <c r="J183" i="1"/>
  <c r="L183" i="1" s="1"/>
  <c r="N183" i="1" s="1"/>
  <c r="I183" i="1"/>
  <c r="K183" i="1" s="1"/>
  <c r="M183" i="1" s="1"/>
  <c r="O183" i="1" s="1"/>
  <c r="R182" i="1"/>
  <c r="T182" i="1" s="1"/>
  <c r="V182" i="1" s="1"/>
  <c r="X182" i="1" s="1"/>
  <c r="Z182" i="1" s="1"/>
  <c r="AB182" i="1" s="1"/>
  <c r="AD182" i="1" s="1"/>
  <c r="AF182" i="1" s="1"/>
  <c r="AH182" i="1" s="1"/>
  <c r="AJ182" i="1" s="1"/>
  <c r="AL182" i="1" s="1"/>
  <c r="AO182" i="1" s="1"/>
  <c r="AR182" i="1" s="1"/>
  <c r="P182" i="1"/>
  <c r="L182" i="1"/>
  <c r="N182" i="1" s="1"/>
  <c r="J182" i="1"/>
  <c r="K182" i="1" s="1"/>
  <c r="M182" i="1" s="1"/>
  <c r="O182" i="1" s="1"/>
  <c r="Q182" i="1" s="1"/>
  <c r="I182" i="1"/>
  <c r="X181" i="1"/>
  <c r="Z181" i="1" s="1"/>
  <c r="AB181" i="1" s="1"/>
  <c r="AD181" i="1" s="1"/>
  <c r="AF181" i="1" s="1"/>
  <c r="AH181" i="1" s="1"/>
  <c r="AJ181" i="1" s="1"/>
  <c r="AL181" i="1" s="1"/>
  <c r="AO181" i="1" s="1"/>
  <c r="AR181" i="1" s="1"/>
  <c r="R181" i="1"/>
  <c r="T181" i="1" s="1"/>
  <c r="V181" i="1" s="1"/>
  <c r="P181" i="1"/>
  <c r="N181" i="1"/>
  <c r="M181" i="1"/>
  <c r="O181" i="1" s="1"/>
  <c r="Q181" i="1" s="1"/>
  <c r="S181" i="1" s="1"/>
  <c r="L181" i="1"/>
  <c r="J181" i="1"/>
  <c r="K181" i="1" s="1"/>
  <c r="I181" i="1"/>
  <c r="AF180" i="1"/>
  <c r="AH180" i="1" s="1"/>
  <c r="AJ180" i="1" s="1"/>
  <c r="AL180" i="1" s="1"/>
  <c r="AO180" i="1" s="1"/>
  <c r="AR180" i="1" s="1"/>
  <c r="T180" i="1"/>
  <c r="V180" i="1" s="1"/>
  <c r="X180" i="1" s="1"/>
  <c r="Z180" i="1" s="1"/>
  <c r="AB180" i="1" s="1"/>
  <c r="AD180" i="1" s="1"/>
  <c r="R180" i="1"/>
  <c r="P180" i="1"/>
  <c r="J180" i="1"/>
  <c r="L180" i="1" s="1"/>
  <c r="N180" i="1" s="1"/>
  <c r="I180" i="1"/>
  <c r="K180" i="1" s="1"/>
  <c r="M180" i="1" s="1"/>
  <c r="R179" i="1"/>
  <c r="T179" i="1" s="1"/>
  <c r="V179" i="1" s="1"/>
  <c r="X179" i="1" s="1"/>
  <c r="Z179" i="1" s="1"/>
  <c r="AB179" i="1" s="1"/>
  <c r="AD179" i="1" s="1"/>
  <c r="AF179" i="1" s="1"/>
  <c r="AH179" i="1" s="1"/>
  <c r="AJ179" i="1" s="1"/>
  <c r="AL179" i="1" s="1"/>
  <c r="AO179" i="1" s="1"/>
  <c r="AR179" i="1" s="1"/>
  <c r="P179" i="1"/>
  <c r="L179" i="1"/>
  <c r="N179" i="1" s="1"/>
  <c r="K179" i="1"/>
  <c r="M179" i="1" s="1"/>
  <c r="O179" i="1" s="1"/>
  <c r="Q179" i="1" s="1"/>
  <c r="S179" i="1" s="1"/>
  <c r="U179" i="1" s="1"/>
  <c r="W179" i="1" s="1"/>
  <c r="Y179" i="1" s="1"/>
  <c r="AA179" i="1" s="1"/>
  <c r="AC179" i="1" s="1"/>
  <c r="AE179" i="1" s="1"/>
  <c r="AG179" i="1" s="1"/>
  <c r="AI179" i="1" s="1"/>
  <c r="AK179" i="1" s="1"/>
  <c r="AM179" i="1" s="1"/>
  <c r="J179" i="1"/>
  <c r="I179" i="1"/>
  <c r="Z178" i="1"/>
  <c r="AB178" i="1" s="1"/>
  <c r="AD178" i="1" s="1"/>
  <c r="AF178" i="1" s="1"/>
  <c r="AH178" i="1" s="1"/>
  <c r="AJ178" i="1" s="1"/>
  <c r="AL178" i="1" s="1"/>
  <c r="AO178" i="1" s="1"/>
  <c r="AR178" i="1" s="1"/>
  <c r="T178" i="1"/>
  <c r="V178" i="1" s="1"/>
  <c r="X178" i="1" s="1"/>
  <c r="R178" i="1"/>
  <c r="P178" i="1"/>
  <c r="L178" i="1"/>
  <c r="N178" i="1" s="1"/>
  <c r="J178" i="1"/>
  <c r="I178" i="1"/>
  <c r="K178" i="1" s="1"/>
  <c r="M178" i="1" s="1"/>
  <c r="O178" i="1" s="1"/>
  <c r="Q178" i="1" s="1"/>
  <c r="S178" i="1" s="1"/>
  <c r="U178" i="1" s="1"/>
  <c r="W178" i="1" s="1"/>
  <c r="Y178" i="1" s="1"/>
  <c r="AA178" i="1" s="1"/>
  <c r="AC178" i="1" s="1"/>
  <c r="AE178" i="1" s="1"/>
  <c r="AG178" i="1" s="1"/>
  <c r="AI178" i="1" s="1"/>
  <c r="AK178" i="1" s="1"/>
  <c r="V177" i="1"/>
  <c r="X177" i="1" s="1"/>
  <c r="Z177" i="1" s="1"/>
  <c r="AB177" i="1" s="1"/>
  <c r="AD177" i="1" s="1"/>
  <c r="AF177" i="1" s="1"/>
  <c r="AH177" i="1" s="1"/>
  <c r="AJ177" i="1" s="1"/>
  <c r="AL177" i="1" s="1"/>
  <c r="AO177" i="1" s="1"/>
  <c r="AR177" i="1" s="1"/>
  <c r="T177" i="1"/>
  <c r="R177" i="1"/>
  <c r="P177" i="1"/>
  <c r="N177" i="1"/>
  <c r="J177" i="1"/>
  <c r="L177" i="1" s="1"/>
  <c r="I177" i="1"/>
  <c r="R176" i="1"/>
  <c r="P176" i="1"/>
  <c r="P208" i="1" s="1"/>
  <c r="J176" i="1"/>
  <c r="J208" i="1" s="1"/>
  <c r="I176" i="1"/>
  <c r="H170" i="1"/>
  <c r="G170" i="1"/>
  <c r="C170" i="1"/>
  <c r="AS169" i="1"/>
  <c r="AT169" i="1" s="1"/>
  <c r="AR169" i="1"/>
  <c r="AP169" i="1"/>
  <c r="AR168" i="1"/>
  <c r="AQ168" i="1"/>
  <c r="AO168" i="1"/>
  <c r="AP168" i="1" s="1"/>
  <c r="AS168" i="1" s="1"/>
  <c r="AT168" i="1" s="1"/>
  <c r="AT167" i="1"/>
  <c r="AO167" i="1"/>
  <c r="AR167" i="1" s="1"/>
  <c r="AN167" i="1"/>
  <c r="AQ167" i="1" s="1"/>
  <c r="AM167" i="1"/>
  <c r="AP167" i="1" s="1"/>
  <c r="AS167" i="1" s="1"/>
  <c r="AM166" i="1"/>
  <c r="AL166" i="1"/>
  <c r="AO166" i="1" s="1"/>
  <c r="AR166" i="1" s="1"/>
  <c r="AK166" i="1"/>
  <c r="AL165" i="1"/>
  <c r="AO165" i="1" s="1"/>
  <c r="AR165" i="1" s="1"/>
  <c r="AK165" i="1"/>
  <c r="AM165" i="1" s="1"/>
  <c r="AR164" i="1"/>
  <c r="AQ164" i="1"/>
  <c r="AO164" i="1"/>
  <c r="AP164" i="1" s="1"/>
  <c r="AS164" i="1" s="1"/>
  <c r="AT164" i="1" s="1"/>
  <c r="AN164" i="1"/>
  <c r="AO163" i="1"/>
  <c r="AR163" i="1" s="1"/>
  <c r="AN163" i="1"/>
  <c r="AQ163" i="1" s="1"/>
  <c r="AL163" i="1"/>
  <c r="AJ163" i="1"/>
  <c r="AK163" i="1" s="1"/>
  <c r="AM163" i="1" s="1"/>
  <c r="AH163" i="1"/>
  <c r="AR162" i="1"/>
  <c r="AL162" i="1"/>
  <c r="AO162" i="1" s="1"/>
  <c r="AJ162" i="1"/>
  <c r="AK162" i="1" s="1"/>
  <c r="AM162" i="1" s="1"/>
  <c r="AH162" i="1"/>
  <c r="AF162" i="1"/>
  <c r="AG162" i="1" s="1"/>
  <c r="AI162" i="1" s="1"/>
  <c r="AO161" i="1"/>
  <c r="AR161" i="1" s="1"/>
  <c r="AF161" i="1"/>
  <c r="AH161" i="1" s="1"/>
  <c r="AJ161" i="1" s="1"/>
  <c r="AL161" i="1" s="1"/>
  <c r="AD161" i="1"/>
  <c r="AE161" i="1" s="1"/>
  <c r="AG161" i="1" s="1"/>
  <c r="AI161" i="1" s="1"/>
  <c r="AK161" i="1" s="1"/>
  <c r="AM161" i="1" s="1"/>
  <c r="AF160" i="1"/>
  <c r="AH160" i="1" s="1"/>
  <c r="AJ160" i="1" s="1"/>
  <c r="AL160" i="1" s="1"/>
  <c r="AO160" i="1" s="1"/>
  <c r="AR160" i="1" s="1"/>
  <c r="AD160" i="1"/>
  <c r="AE160" i="1" s="1"/>
  <c r="AG160" i="1" s="1"/>
  <c r="AI160" i="1" s="1"/>
  <c r="AL159" i="1"/>
  <c r="AO159" i="1" s="1"/>
  <c r="AR159" i="1" s="1"/>
  <c r="AF159" i="1"/>
  <c r="AH159" i="1" s="1"/>
  <c r="AJ159" i="1" s="1"/>
  <c r="AE159" i="1"/>
  <c r="AG159" i="1" s="1"/>
  <c r="AI159" i="1" s="1"/>
  <c r="AK159" i="1" s="1"/>
  <c r="AM159" i="1" s="1"/>
  <c r="AD159" i="1"/>
  <c r="AB158" i="1"/>
  <c r="Y158" i="1"/>
  <c r="AD157" i="1"/>
  <c r="AF157" i="1" s="1"/>
  <c r="AH157" i="1" s="1"/>
  <c r="AJ157" i="1" s="1"/>
  <c r="AL157" i="1" s="1"/>
  <c r="AO157" i="1" s="1"/>
  <c r="AR157" i="1" s="1"/>
  <c r="Z157" i="1"/>
  <c r="AB157" i="1" s="1"/>
  <c r="X157" i="1"/>
  <c r="Y157" i="1" s="1"/>
  <c r="AA157" i="1" s="1"/>
  <c r="AC157" i="1" s="1"/>
  <c r="AE157" i="1" s="1"/>
  <c r="W157" i="1"/>
  <c r="AB156" i="1"/>
  <c r="AD156" i="1" s="1"/>
  <c r="AF156" i="1" s="1"/>
  <c r="AH156" i="1" s="1"/>
  <c r="AJ156" i="1" s="1"/>
  <c r="AL156" i="1" s="1"/>
  <c r="AO156" i="1" s="1"/>
  <c r="AR156" i="1" s="1"/>
  <c r="Y156" i="1"/>
  <c r="AA156" i="1" s="1"/>
  <c r="AF155" i="1"/>
  <c r="AH155" i="1" s="1"/>
  <c r="AJ155" i="1" s="1"/>
  <c r="AL155" i="1" s="1"/>
  <c r="AO155" i="1" s="1"/>
  <c r="AR155" i="1" s="1"/>
  <c r="AE155" i="1"/>
  <c r="AG155" i="1" s="1"/>
  <c r="AI155" i="1" s="1"/>
  <c r="AK155" i="1" s="1"/>
  <c r="Z155" i="1"/>
  <c r="AB155" i="1" s="1"/>
  <c r="AD155" i="1" s="1"/>
  <c r="Y155" i="1"/>
  <c r="AA155" i="1" s="1"/>
  <c r="AC155" i="1" s="1"/>
  <c r="W155" i="1"/>
  <c r="AB154" i="1"/>
  <c r="AD154" i="1" s="1"/>
  <c r="AF154" i="1" s="1"/>
  <c r="AH154" i="1" s="1"/>
  <c r="AJ154" i="1" s="1"/>
  <c r="AL154" i="1" s="1"/>
  <c r="AO154" i="1" s="1"/>
  <c r="AR154" i="1" s="1"/>
  <c r="Z154" i="1"/>
  <c r="AA154" i="1" s="1"/>
  <c r="AC154" i="1" s="1"/>
  <c r="AE154" i="1" s="1"/>
  <c r="Y154" i="1"/>
  <c r="W154" i="1"/>
  <c r="AB153" i="1"/>
  <c r="AA153" i="1"/>
  <c r="Z153" i="1"/>
  <c r="Y153" i="1"/>
  <c r="W153" i="1"/>
  <c r="AB152" i="1"/>
  <c r="AD152" i="1" s="1"/>
  <c r="AF152" i="1" s="1"/>
  <c r="AH152" i="1" s="1"/>
  <c r="AJ152" i="1" s="1"/>
  <c r="AL152" i="1" s="1"/>
  <c r="AO152" i="1" s="1"/>
  <c r="AR152" i="1" s="1"/>
  <c r="Z152" i="1"/>
  <c r="W152" i="1"/>
  <c r="Y152" i="1" s="1"/>
  <c r="AA152" i="1" s="1"/>
  <c r="AC152" i="1" s="1"/>
  <c r="AE152" i="1" s="1"/>
  <c r="AG152" i="1" s="1"/>
  <c r="AI152" i="1" s="1"/>
  <c r="AK152" i="1" s="1"/>
  <c r="AM152" i="1" s="1"/>
  <c r="AD151" i="1"/>
  <c r="AF151" i="1" s="1"/>
  <c r="AH151" i="1" s="1"/>
  <c r="AJ151" i="1" s="1"/>
  <c r="AL151" i="1" s="1"/>
  <c r="AO151" i="1" s="1"/>
  <c r="AR151" i="1" s="1"/>
  <c r="AB151" i="1"/>
  <c r="Z151" i="1"/>
  <c r="W151" i="1"/>
  <c r="Y151" i="1" s="1"/>
  <c r="AA151" i="1" s="1"/>
  <c r="AC151" i="1" s="1"/>
  <c r="AE151" i="1" s="1"/>
  <c r="AG151" i="1" s="1"/>
  <c r="AI151" i="1" s="1"/>
  <c r="AK151" i="1" s="1"/>
  <c r="AM151" i="1" s="1"/>
  <c r="Z150" i="1"/>
  <c r="AB150" i="1" s="1"/>
  <c r="AD150" i="1" s="1"/>
  <c r="AF150" i="1" s="1"/>
  <c r="AH150" i="1" s="1"/>
  <c r="AJ150" i="1" s="1"/>
  <c r="AL150" i="1" s="1"/>
  <c r="AO150" i="1" s="1"/>
  <c r="AR150" i="1" s="1"/>
  <c r="W150" i="1"/>
  <c r="Y150" i="1" s="1"/>
  <c r="AA150" i="1" s="1"/>
  <c r="AC150" i="1" s="1"/>
  <c r="AE150" i="1" s="1"/>
  <c r="AG150" i="1" s="1"/>
  <c r="AI150" i="1" s="1"/>
  <c r="AK150" i="1" s="1"/>
  <c r="AM150" i="1" s="1"/>
  <c r="AD149" i="1"/>
  <c r="AF149" i="1" s="1"/>
  <c r="AH149" i="1" s="1"/>
  <c r="AJ149" i="1" s="1"/>
  <c r="AL149" i="1" s="1"/>
  <c r="AO149" i="1" s="1"/>
  <c r="AR149" i="1" s="1"/>
  <c r="AB149" i="1"/>
  <c r="Z149" i="1"/>
  <c r="W149" i="1"/>
  <c r="Y149" i="1" s="1"/>
  <c r="AA149" i="1" s="1"/>
  <c r="AC149" i="1" s="1"/>
  <c r="AE149" i="1" s="1"/>
  <c r="AG149" i="1" s="1"/>
  <c r="AI149" i="1" s="1"/>
  <c r="AK149" i="1" s="1"/>
  <c r="AM149" i="1" s="1"/>
  <c r="V148" i="1"/>
  <c r="U148" i="1"/>
  <c r="Z147" i="1"/>
  <c r="AB147" i="1" s="1"/>
  <c r="AD147" i="1" s="1"/>
  <c r="AF147" i="1" s="1"/>
  <c r="AH147" i="1" s="1"/>
  <c r="AJ147" i="1" s="1"/>
  <c r="AL147" i="1" s="1"/>
  <c r="AO147" i="1" s="1"/>
  <c r="AR147" i="1" s="1"/>
  <c r="V147" i="1"/>
  <c r="X147" i="1" s="1"/>
  <c r="S147" i="1"/>
  <c r="U147" i="1" s="1"/>
  <c r="W147" i="1" s="1"/>
  <c r="Y147" i="1" s="1"/>
  <c r="R147" i="1"/>
  <c r="T146" i="1"/>
  <c r="V146" i="1" s="1"/>
  <c r="X146" i="1" s="1"/>
  <c r="Z146" i="1" s="1"/>
  <c r="AB146" i="1" s="1"/>
  <c r="AD146" i="1" s="1"/>
  <c r="AF146" i="1" s="1"/>
  <c r="AH146" i="1" s="1"/>
  <c r="AJ146" i="1" s="1"/>
  <c r="AL146" i="1" s="1"/>
  <c r="AO146" i="1" s="1"/>
  <c r="AR146" i="1" s="1"/>
  <c r="R146" i="1"/>
  <c r="Q146" i="1"/>
  <c r="S146" i="1" s="1"/>
  <c r="P146" i="1"/>
  <c r="AI145" i="1"/>
  <c r="AK145" i="1" s="1"/>
  <c r="AM145" i="1" s="1"/>
  <c r="T145" i="1"/>
  <c r="V145" i="1" s="1"/>
  <c r="X145" i="1" s="1"/>
  <c r="Z145" i="1" s="1"/>
  <c r="AB145" i="1" s="1"/>
  <c r="AD145" i="1" s="1"/>
  <c r="AF145" i="1" s="1"/>
  <c r="AH145" i="1" s="1"/>
  <c r="AJ145" i="1" s="1"/>
  <c r="AL145" i="1" s="1"/>
  <c r="AO145" i="1" s="1"/>
  <c r="AR145" i="1" s="1"/>
  <c r="R145" i="1"/>
  <c r="Q145" i="1"/>
  <c r="S145" i="1" s="1"/>
  <c r="U145" i="1" s="1"/>
  <c r="W145" i="1" s="1"/>
  <c r="Y145" i="1" s="1"/>
  <c r="AA145" i="1" s="1"/>
  <c r="AC145" i="1" s="1"/>
  <c r="AE145" i="1" s="1"/>
  <c r="AG145" i="1" s="1"/>
  <c r="P145" i="1"/>
  <c r="T144" i="1"/>
  <c r="V144" i="1" s="1"/>
  <c r="X144" i="1" s="1"/>
  <c r="Z144" i="1" s="1"/>
  <c r="AB144" i="1" s="1"/>
  <c r="AD144" i="1" s="1"/>
  <c r="AF144" i="1" s="1"/>
  <c r="AH144" i="1" s="1"/>
  <c r="AJ144" i="1" s="1"/>
  <c r="AL144" i="1" s="1"/>
  <c r="AO144" i="1" s="1"/>
  <c r="AR144" i="1" s="1"/>
  <c r="R144" i="1"/>
  <c r="P144" i="1"/>
  <c r="N144" i="1"/>
  <c r="O144" i="1" s="1"/>
  <c r="Q144" i="1" s="1"/>
  <c r="S144" i="1" s="1"/>
  <c r="M144" i="1"/>
  <c r="AR143" i="1"/>
  <c r="Z143" i="1"/>
  <c r="AB143" i="1" s="1"/>
  <c r="AD143" i="1" s="1"/>
  <c r="AF143" i="1" s="1"/>
  <c r="AH143" i="1" s="1"/>
  <c r="AJ143" i="1" s="1"/>
  <c r="AL143" i="1" s="1"/>
  <c r="AO143" i="1" s="1"/>
  <c r="T143" i="1"/>
  <c r="V143" i="1" s="1"/>
  <c r="X143" i="1" s="1"/>
  <c r="R143" i="1"/>
  <c r="Q143" i="1"/>
  <c r="S143" i="1" s="1"/>
  <c r="U143" i="1" s="1"/>
  <c r="W143" i="1" s="1"/>
  <c r="Y143" i="1" s="1"/>
  <c r="AA143" i="1" s="1"/>
  <c r="AC143" i="1" s="1"/>
  <c r="AE143" i="1" s="1"/>
  <c r="AG143" i="1" s="1"/>
  <c r="AI143" i="1" s="1"/>
  <c r="AK143" i="1" s="1"/>
  <c r="AM143" i="1" s="1"/>
  <c r="P143" i="1"/>
  <c r="N143" i="1"/>
  <c r="T142" i="1"/>
  <c r="V142" i="1" s="1"/>
  <c r="X142" i="1" s="1"/>
  <c r="R142" i="1"/>
  <c r="Q142" i="1"/>
  <c r="S142" i="1" s="1"/>
  <c r="U142" i="1" s="1"/>
  <c r="P142" i="1"/>
  <c r="N142" i="1"/>
  <c r="L142" i="1"/>
  <c r="M142" i="1" s="1"/>
  <c r="O142" i="1" s="1"/>
  <c r="T141" i="1"/>
  <c r="V141" i="1" s="1"/>
  <c r="X141" i="1" s="1"/>
  <c r="R141" i="1"/>
  <c r="P141" i="1"/>
  <c r="N141" i="1"/>
  <c r="L141" i="1"/>
  <c r="K141" i="1"/>
  <c r="M141" i="1" s="1"/>
  <c r="O141" i="1" s="1"/>
  <c r="Q141" i="1" s="1"/>
  <c r="S141" i="1" s="1"/>
  <c r="U141" i="1" s="1"/>
  <c r="J141" i="1"/>
  <c r="Z140" i="1"/>
  <c r="AB140" i="1" s="1"/>
  <c r="AD140" i="1" s="1"/>
  <c r="AF140" i="1" s="1"/>
  <c r="AH140" i="1" s="1"/>
  <c r="AJ140" i="1" s="1"/>
  <c r="AL140" i="1" s="1"/>
  <c r="AO140" i="1" s="1"/>
  <c r="AR140" i="1" s="1"/>
  <c r="T140" i="1"/>
  <c r="V140" i="1" s="1"/>
  <c r="X140" i="1" s="1"/>
  <c r="R140" i="1"/>
  <c r="P140" i="1"/>
  <c r="N140" i="1"/>
  <c r="L140" i="1"/>
  <c r="K140" i="1"/>
  <c r="M140" i="1" s="1"/>
  <c r="O140" i="1" s="1"/>
  <c r="Q140" i="1" s="1"/>
  <c r="S140" i="1" s="1"/>
  <c r="U140" i="1" s="1"/>
  <c r="W140" i="1" s="1"/>
  <c r="Y140" i="1" s="1"/>
  <c r="AA140" i="1" s="1"/>
  <c r="AC140" i="1" s="1"/>
  <c r="AE140" i="1" s="1"/>
  <c r="J140" i="1"/>
  <c r="V139" i="1"/>
  <c r="X139" i="1" s="1"/>
  <c r="R139" i="1"/>
  <c r="T139" i="1" s="1"/>
  <c r="P139" i="1"/>
  <c r="L139" i="1"/>
  <c r="N139" i="1" s="1"/>
  <c r="J139" i="1"/>
  <c r="K139" i="1" s="1"/>
  <c r="M139" i="1" s="1"/>
  <c r="V138" i="1"/>
  <c r="X138" i="1" s="1"/>
  <c r="Z138" i="1" s="1"/>
  <c r="AB138" i="1" s="1"/>
  <c r="AD138" i="1" s="1"/>
  <c r="AF138" i="1" s="1"/>
  <c r="AH138" i="1" s="1"/>
  <c r="AJ138" i="1" s="1"/>
  <c r="AL138" i="1" s="1"/>
  <c r="AO138" i="1" s="1"/>
  <c r="AR138" i="1" s="1"/>
  <c r="T138" i="1"/>
  <c r="R138" i="1"/>
  <c r="P138" i="1"/>
  <c r="J138" i="1"/>
  <c r="L138" i="1" s="1"/>
  <c r="N138" i="1" s="1"/>
  <c r="R137" i="1"/>
  <c r="T137" i="1" s="1"/>
  <c r="V137" i="1" s="1"/>
  <c r="X137" i="1" s="1"/>
  <c r="P137" i="1"/>
  <c r="L137" i="1"/>
  <c r="N137" i="1" s="1"/>
  <c r="J137" i="1"/>
  <c r="I137" i="1"/>
  <c r="K137" i="1" s="1"/>
  <c r="M137" i="1" s="1"/>
  <c r="O137" i="1" s="1"/>
  <c r="Q137" i="1" s="1"/>
  <c r="S137" i="1" s="1"/>
  <c r="U137" i="1" s="1"/>
  <c r="Y136" i="1"/>
  <c r="AA136" i="1" s="1"/>
  <c r="AC136" i="1" s="1"/>
  <c r="AE136" i="1" s="1"/>
  <c r="AG136" i="1" s="1"/>
  <c r="AI136" i="1" s="1"/>
  <c r="AK136" i="1" s="1"/>
  <c r="AM136" i="1" s="1"/>
  <c r="R136" i="1"/>
  <c r="T136" i="1" s="1"/>
  <c r="V136" i="1" s="1"/>
  <c r="X136" i="1" s="1"/>
  <c r="Z136" i="1" s="1"/>
  <c r="AB136" i="1" s="1"/>
  <c r="AD136" i="1" s="1"/>
  <c r="AF136" i="1" s="1"/>
  <c r="AH136" i="1" s="1"/>
  <c r="AJ136" i="1" s="1"/>
  <c r="AL136" i="1" s="1"/>
  <c r="AO136" i="1" s="1"/>
  <c r="AR136" i="1" s="1"/>
  <c r="P136" i="1"/>
  <c r="L136" i="1"/>
  <c r="N136" i="1" s="1"/>
  <c r="J136" i="1"/>
  <c r="I136" i="1"/>
  <c r="K136" i="1" s="1"/>
  <c r="R135" i="1"/>
  <c r="T135" i="1" s="1"/>
  <c r="V135" i="1" s="1"/>
  <c r="X135" i="1" s="1"/>
  <c r="Z135" i="1" s="1"/>
  <c r="AB135" i="1" s="1"/>
  <c r="AD135" i="1" s="1"/>
  <c r="AF135" i="1" s="1"/>
  <c r="AH135" i="1" s="1"/>
  <c r="AJ135" i="1" s="1"/>
  <c r="AL135" i="1" s="1"/>
  <c r="AO135" i="1" s="1"/>
  <c r="AR135" i="1" s="1"/>
  <c r="P135" i="1"/>
  <c r="J135" i="1"/>
  <c r="I135" i="1"/>
  <c r="T134" i="1"/>
  <c r="V134" i="1" s="1"/>
  <c r="X134" i="1" s="1"/>
  <c r="Z134" i="1" s="1"/>
  <c r="AB134" i="1" s="1"/>
  <c r="AD134" i="1" s="1"/>
  <c r="AF134" i="1" s="1"/>
  <c r="AH134" i="1" s="1"/>
  <c r="AJ134" i="1" s="1"/>
  <c r="AL134" i="1" s="1"/>
  <c r="AO134" i="1" s="1"/>
  <c r="AR134" i="1" s="1"/>
  <c r="R134" i="1"/>
  <c r="P134" i="1"/>
  <c r="N134" i="1"/>
  <c r="K134" i="1"/>
  <c r="M134" i="1" s="1"/>
  <c r="J134" i="1"/>
  <c r="L134" i="1" s="1"/>
  <c r="I134" i="1"/>
  <c r="R133" i="1"/>
  <c r="T133" i="1" s="1"/>
  <c r="V133" i="1" s="1"/>
  <c r="X133" i="1" s="1"/>
  <c r="Z133" i="1" s="1"/>
  <c r="AB133" i="1" s="1"/>
  <c r="AD133" i="1" s="1"/>
  <c r="AF133" i="1" s="1"/>
  <c r="AH133" i="1" s="1"/>
  <c r="AJ133" i="1" s="1"/>
  <c r="AL133" i="1" s="1"/>
  <c r="AO133" i="1" s="1"/>
  <c r="AR133" i="1" s="1"/>
  <c r="P133" i="1"/>
  <c r="L133" i="1"/>
  <c r="N133" i="1" s="1"/>
  <c r="J133" i="1"/>
  <c r="I133" i="1"/>
  <c r="K133" i="1" s="1"/>
  <c r="AH132" i="1"/>
  <c r="AJ132" i="1" s="1"/>
  <c r="AL132" i="1" s="1"/>
  <c r="AO132" i="1" s="1"/>
  <c r="AR132" i="1" s="1"/>
  <c r="AB132" i="1"/>
  <c r="AD132" i="1" s="1"/>
  <c r="AF132" i="1" s="1"/>
  <c r="Y132" i="1"/>
  <c r="AA132" i="1" s="1"/>
  <c r="R132" i="1"/>
  <c r="T132" i="1" s="1"/>
  <c r="V132" i="1" s="1"/>
  <c r="X132" i="1" s="1"/>
  <c r="Z132" i="1" s="1"/>
  <c r="P132" i="1"/>
  <c r="O132" i="1"/>
  <c r="Q132" i="1" s="1"/>
  <c r="S132" i="1" s="1"/>
  <c r="U132" i="1" s="1"/>
  <c r="L132" i="1"/>
  <c r="N132" i="1" s="1"/>
  <c r="J132" i="1"/>
  <c r="I132" i="1"/>
  <c r="K132" i="1" s="1"/>
  <c r="M132" i="1" s="1"/>
  <c r="AH131" i="1"/>
  <c r="AJ131" i="1" s="1"/>
  <c r="AL131" i="1" s="1"/>
  <c r="AO131" i="1" s="1"/>
  <c r="AR131" i="1" s="1"/>
  <c r="AB131" i="1"/>
  <c r="AD131" i="1" s="1"/>
  <c r="AF131" i="1" s="1"/>
  <c r="V131" i="1"/>
  <c r="X131" i="1" s="1"/>
  <c r="Z131" i="1" s="1"/>
  <c r="T131" i="1"/>
  <c r="R131" i="1"/>
  <c r="P131" i="1"/>
  <c r="J131" i="1"/>
  <c r="L131" i="1" s="1"/>
  <c r="N131" i="1" s="1"/>
  <c r="I131" i="1"/>
  <c r="V130" i="1"/>
  <c r="X130" i="1" s="1"/>
  <c r="R130" i="1"/>
  <c r="T130" i="1" s="1"/>
  <c r="P130" i="1"/>
  <c r="K130" i="1"/>
  <c r="M130" i="1" s="1"/>
  <c r="O130" i="1" s="1"/>
  <c r="Q130" i="1" s="1"/>
  <c r="S130" i="1" s="1"/>
  <c r="U130" i="1" s="1"/>
  <c r="J130" i="1"/>
  <c r="L130" i="1" s="1"/>
  <c r="N130" i="1" s="1"/>
  <c r="I130" i="1"/>
  <c r="AO129" i="1"/>
  <c r="AR129" i="1" s="1"/>
  <c r="T129" i="1"/>
  <c r="V129" i="1" s="1"/>
  <c r="X129" i="1" s="1"/>
  <c r="Z129" i="1" s="1"/>
  <c r="AB129" i="1" s="1"/>
  <c r="AD129" i="1" s="1"/>
  <c r="AF129" i="1" s="1"/>
  <c r="AH129" i="1" s="1"/>
  <c r="AJ129" i="1" s="1"/>
  <c r="AL129" i="1" s="1"/>
  <c r="R129" i="1"/>
  <c r="P129" i="1"/>
  <c r="K129" i="1"/>
  <c r="J129" i="1"/>
  <c r="L129" i="1" s="1"/>
  <c r="N129" i="1" s="1"/>
  <c r="I129" i="1"/>
  <c r="AD128" i="1"/>
  <c r="AF128" i="1" s="1"/>
  <c r="AH128" i="1" s="1"/>
  <c r="AJ128" i="1" s="1"/>
  <c r="AL128" i="1" s="1"/>
  <c r="AO128" i="1" s="1"/>
  <c r="AR128" i="1" s="1"/>
  <c r="R128" i="1"/>
  <c r="T128" i="1" s="1"/>
  <c r="V128" i="1" s="1"/>
  <c r="X128" i="1" s="1"/>
  <c r="Z128" i="1" s="1"/>
  <c r="AB128" i="1" s="1"/>
  <c r="P128" i="1"/>
  <c r="L128" i="1"/>
  <c r="N128" i="1" s="1"/>
  <c r="J128" i="1"/>
  <c r="I128" i="1"/>
  <c r="K128" i="1" s="1"/>
  <c r="M128" i="1" s="1"/>
  <c r="O128" i="1" s="1"/>
  <c r="Q128" i="1" s="1"/>
  <c r="S128" i="1" s="1"/>
  <c r="U128" i="1" s="1"/>
  <c r="W128" i="1" s="1"/>
  <c r="Y128" i="1" s="1"/>
  <c r="AA128" i="1" s="1"/>
  <c r="AC128" i="1" s="1"/>
  <c r="AD127" i="1"/>
  <c r="AF127" i="1" s="1"/>
  <c r="AH127" i="1" s="1"/>
  <c r="AJ127" i="1" s="1"/>
  <c r="AL127" i="1" s="1"/>
  <c r="AO127" i="1" s="1"/>
  <c r="AR127" i="1" s="1"/>
  <c r="V127" i="1"/>
  <c r="X127" i="1" s="1"/>
  <c r="Z127" i="1" s="1"/>
  <c r="AB127" i="1" s="1"/>
  <c r="R127" i="1"/>
  <c r="T127" i="1" s="1"/>
  <c r="P127" i="1"/>
  <c r="L127" i="1"/>
  <c r="N127" i="1" s="1"/>
  <c r="K127" i="1"/>
  <c r="J127" i="1"/>
  <c r="I127" i="1"/>
  <c r="V126" i="1"/>
  <c r="X126" i="1" s="1"/>
  <c r="Z126" i="1" s="1"/>
  <c r="AB126" i="1" s="1"/>
  <c r="AD126" i="1" s="1"/>
  <c r="AF126" i="1" s="1"/>
  <c r="AH126" i="1" s="1"/>
  <c r="AJ126" i="1" s="1"/>
  <c r="AL126" i="1" s="1"/>
  <c r="AO126" i="1" s="1"/>
  <c r="AR126" i="1" s="1"/>
  <c r="T126" i="1"/>
  <c r="R126" i="1"/>
  <c r="P126" i="1"/>
  <c r="J126" i="1"/>
  <c r="L126" i="1" s="1"/>
  <c r="N126" i="1" s="1"/>
  <c r="I126" i="1"/>
  <c r="T125" i="1"/>
  <c r="V125" i="1" s="1"/>
  <c r="X125" i="1" s="1"/>
  <c r="Z125" i="1" s="1"/>
  <c r="AB125" i="1" s="1"/>
  <c r="AD125" i="1" s="1"/>
  <c r="AF125" i="1" s="1"/>
  <c r="AH125" i="1" s="1"/>
  <c r="AJ125" i="1" s="1"/>
  <c r="AL125" i="1" s="1"/>
  <c r="AO125" i="1" s="1"/>
  <c r="AR125" i="1" s="1"/>
  <c r="R125" i="1"/>
  <c r="P125" i="1"/>
  <c r="N125" i="1"/>
  <c r="L125" i="1"/>
  <c r="J125" i="1"/>
  <c r="I125" i="1"/>
  <c r="K125" i="1" s="1"/>
  <c r="M125" i="1" s="1"/>
  <c r="O125" i="1" s="1"/>
  <c r="Q125" i="1" s="1"/>
  <c r="S125" i="1" s="1"/>
  <c r="U125" i="1" s="1"/>
  <c r="W125" i="1" s="1"/>
  <c r="Y125" i="1" s="1"/>
  <c r="AA125" i="1" s="1"/>
  <c r="AC125" i="1" s="1"/>
  <c r="AE125" i="1" s="1"/>
  <c r="AG125" i="1" s="1"/>
  <c r="AI125" i="1" s="1"/>
  <c r="AK125" i="1" s="1"/>
  <c r="AM125" i="1" s="1"/>
  <c r="R124" i="1"/>
  <c r="P124" i="1"/>
  <c r="L124" i="1"/>
  <c r="J124" i="1"/>
  <c r="I124" i="1"/>
  <c r="H121" i="1"/>
  <c r="G121" i="1"/>
  <c r="C121" i="1"/>
  <c r="AS120" i="1"/>
  <c r="AP120" i="1"/>
  <c r="AR119" i="1"/>
  <c r="AO119" i="1"/>
  <c r="AF119" i="1"/>
  <c r="AE119" i="1"/>
  <c r="AD119" i="1"/>
  <c r="AC119" i="1"/>
  <c r="AB119" i="1"/>
  <c r="AN118" i="1"/>
  <c r="AK118" i="1"/>
  <c r="Z118" i="1"/>
  <c r="Y118" i="1"/>
  <c r="X118" i="1"/>
  <c r="Z117" i="1"/>
  <c r="Y117" i="1"/>
  <c r="X117" i="1"/>
  <c r="AH116" i="1"/>
  <c r="AJ116" i="1" s="1"/>
  <c r="AL116" i="1" s="1"/>
  <c r="AO116" i="1" s="1"/>
  <c r="AR116" i="1" s="1"/>
  <c r="Z116" i="1"/>
  <c r="AB116" i="1" s="1"/>
  <c r="AD116" i="1" s="1"/>
  <c r="AF116" i="1" s="1"/>
  <c r="V116" i="1"/>
  <c r="X116" i="1" s="1"/>
  <c r="T116" i="1"/>
  <c r="R116" i="1"/>
  <c r="P116" i="1"/>
  <c r="N116" i="1"/>
  <c r="L116" i="1"/>
  <c r="K116" i="1"/>
  <c r="M116" i="1" s="1"/>
  <c r="O116" i="1" s="1"/>
  <c r="Q116" i="1" s="1"/>
  <c r="S116" i="1" s="1"/>
  <c r="U116" i="1" s="1"/>
  <c r="W116" i="1" s="1"/>
  <c r="Y116" i="1" s="1"/>
  <c r="AA116" i="1" s="1"/>
  <c r="AC116" i="1" s="1"/>
  <c r="AE116" i="1" s="1"/>
  <c r="AG116" i="1" s="1"/>
  <c r="AI116" i="1" s="1"/>
  <c r="AK116" i="1" s="1"/>
  <c r="AM116" i="1" s="1"/>
  <c r="V115" i="1"/>
  <c r="X115" i="1" s="1"/>
  <c r="Z115" i="1" s="1"/>
  <c r="AB115" i="1" s="1"/>
  <c r="AD115" i="1" s="1"/>
  <c r="AF115" i="1" s="1"/>
  <c r="AH115" i="1" s="1"/>
  <c r="AJ115" i="1" s="1"/>
  <c r="AL115" i="1" s="1"/>
  <c r="AO115" i="1" s="1"/>
  <c r="AR115" i="1" s="1"/>
  <c r="R115" i="1"/>
  <c r="T115" i="1" s="1"/>
  <c r="P115" i="1"/>
  <c r="L115" i="1"/>
  <c r="K115" i="1"/>
  <c r="AB114" i="1"/>
  <c r="AD114" i="1" s="1"/>
  <c r="AF114" i="1" s="1"/>
  <c r="AH114" i="1" s="1"/>
  <c r="AJ114" i="1" s="1"/>
  <c r="AL114" i="1" s="1"/>
  <c r="AO114" i="1" s="1"/>
  <c r="AR114" i="1" s="1"/>
  <c r="V114" i="1"/>
  <c r="X114" i="1" s="1"/>
  <c r="Z114" i="1" s="1"/>
  <c r="T114" i="1"/>
  <c r="R114" i="1"/>
  <c r="P114" i="1"/>
  <c r="J114" i="1"/>
  <c r="I114" i="1"/>
  <c r="X113" i="1"/>
  <c r="Z113" i="1" s="1"/>
  <c r="AB113" i="1" s="1"/>
  <c r="AD113" i="1" s="1"/>
  <c r="AF113" i="1" s="1"/>
  <c r="AH113" i="1" s="1"/>
  <c r="AJ113" i="1" s="1"/>
  <c r="AL113" i="1" s="1"/>
  <c r="AO113" i="1" s="1"/>
  <c r="AR113" i="1" s="1"/>
  <c r="R113" i="1"/>
  <c r="T113" i="1" s="1"/>
  <c r="V113" i="1" s="1"/>
  <c r="P113" i="1"/>
  <c r="L113" i="1"/>
  <c r="N113" i="1" s="1"/>
  <c r="J113" i="1"/>
  <c r="I113" i="1"/>
  <c r="K113" i="1" s="1"/>
  <c r="T112" i="1"/>
  <c r="V112" i="1" s="1"/>
  <c r="X112" i="1" s="1"/>
  <c r="Z112" i="1" s="1"/>
  <c r="AB112" i="1" s="1"/>
  <c r="AD112" i="1" s="1"/>
  <c r="AF112" i="1" s="1"/>
  <c r="AH112" i="1" s="1"/>
  <c r="AJ112" i="1" s="1"/>
  <c r="AL112" i="1" s="1"/>
  <c r="AO112" i="1" s="1"/>
  <c r="AR112" i="1" s="1"/>
  <c r="R112" i="1"/>
  <c r="P112" i="1"/>
  <c r="N112" i="1"/>
  <c r="L112" i="1"/>
  <c r="J112" i="1"/>
  <c r="I112" i="1"/>
  <c r="K112" i="1" s="1"/>
  <c r="M112" i="1" s="1"/>
  <c r="O112" i="1" s="1"/>
  <c r="Q112" i="1" s="1"/>
  <c r="S112" i="1" s="1"/>
  <c r="U112" i="1" s="1"/>
  <c r="W112" i="1" s="1"/>
  <c r="Y112" i="1" s="1"/>
  <c r="AB111" i="1"/>
  <c r="AD111" i="1" s="1"/>
  <c r="AF111" i="1" s="1"/>
  <c r="AH111" i="1" s="1"/>
  <c r="AJ111" i="1" s="1"/>
  <c r="AL111" i="1" s="1"/>
  <c r="AO111" i="1" s="1"/>
  <c r="AR111" i="1" s="1"/>
  <c r="V111" i="1"/>
  <c r="X111" i="1" s="1"/>
  <c r="Z111" i="1" s="1"/>
  <c r="T111" i="1"/>
  <c r="R111" i="1"/>
  <c r="P111" i="1"/>
  <c r="J111" i="1"/>
  <c r="I111" i="1"/>
  <c r="T110" i="1"/>
  <c r="V110" i="1" s="1"/>
  <c r="X110" i="1" s="1"/>
  <c r="Z110" i="1" s="1"/>
  <c r="AB110" i="1" s="1"/>
  <c r="AD110" i="1" s="1"/>
  <c r="AF110" i="1" s="1"/>
  <c r="AH110" i="1" s="1"/>
  <c r="AJ110" i="1" s="1"/>
  <c r="R110" i="1"/>
  <c r="P110" i="1"/>
  <c r="N110" i="1"/>
  <c r="L110" i="1"/>
  <c r="J110" i="1"/>
  <c r="I110" i="1"/>
  <c r="K110" i="1" s="1"/>
  <c r="M110" i="1" s="1"/>
  <c r="O110" i="1" s="1"/>
  <c r="Q110" i="1" s="1"/>
  <c r="S110" i="1" s="1"/>
  <c r="U110" i="1" s="1"/>
  <c r="W110" i="1" s="1"/>
  <c r="Y110" i="1" s="1"/>
  <c r="AO109" i="1"/>
  <c r="AR109" i="1" s="1"/>
  <c r="AF109" i="1"/>
  <c r="AH109" i="1" s="1"/>
  <c r="T109" i="1"/>
  <c r="V109" i="1" s="1"/>
  <c r="X109" i="1" s="1"/>
  <c r="Z109" i="1" s="1"/>
  <c r="AB109" i="1" s="1"/>
  <c r="AD109" i="1" s="1"/>
  <c r="R109" i="1"/>
  <c r="P109" i="1"/>
  <c r="N109" i="1"/>
  <c r="L109" i="1"/>
  <c r="J109" i="1"/>
  <c r="I109" i="1"/>
  <c r="K109" i="1" s="1"/>
  <c r="M109" i="1" s="1"/>
  <c r="O109" i="1" s="1"/>
  <c r="Q109" i="1" s="1"/>
  <c r="S109" i="1" s="1"/>
  <c r="U109" i="1" s="1"/>
  <c r="W109" i="1" s="1"/>
  <c r="Y109" i="1" s="1"/>
  <c r="AO108" i="1"/>
  <c r="AR108" i="1" s="1"/>
  <c r="AH108" i="1"/>
  <c r="T108" i="1"/>
  <c r="R108" i="1"/>
  <c r="R121" i="1" s="1"/>
  <c r="P108" i="1"/>
  <c r="N108" i="1"/>
  <c r="L108" i="1"/>
  <c r="J108" i="1"/>
  <c r="I108" i="1"/>
  <c r="I121" i="1" s="1"/>
  <c r="J105" i="1"/>
  <c r="H105" i="1"/>
  <c r="G105" i="1"/>
  <c r="C105" i="1"/>
  <c r="AP103" i="1"/>
  <c r="AS103" i="1" s="1"/>
  <c r="V102" i="1"/>
  <c r="X102" i="1" s="1"/>
  <c r="Z102" i="1" s="1"/>
  <c r="AB102" i="1" s="1"/>
  <c r="T102" i="1"/>
  <c r="R102" i="1"/>
  <c r="P102" i="1"/>
  <c r="N102" i="1"/>
  <c r="L102" i="1"/>
  <c r="K102" i="1"/>
  <c r="M102" i="1" s="1"/>
  <c r="O102" i="1" s="1"/>
  <c r="Q102" i="1" s="1"/>
  <c r="S102" i="1" s="1"/>
  <c r="U102" i="1" s="1"/>
  <c r="W102" i="1" s="1"/>
  <c r="Y102" i="1" s="1"/>
  <c r="AB101" i="1"/>
  <c r="AD101" i="1" s="1"/>
  <c r="AF101" i="1" s="1"/>
  <c r="AH101" i="1" s="1"/>
  <c r="AJ101" i="1" s="1"/>
  <c r="AL101" i="1" s="1"/>
  <c r="AO101" i="1" s="1"/>
  <c r="AR101" i="1" s="1"/>
  <c r="V101" i="1"/>
  <c r="X101" i="1" s="1"/>
  <c r="Z101" i="1" s="1"/>
  <c r="T101" i="1"/>
  <c r="R101" i="1"/>
  <c r="P101" i="1"/>
  <c r="J101" i="1"/>
  <c r="I101" i="1"/>
  <c r="AJ100" i="1"/>
  <c r="AL100" i="1" s="1"/>
  <c r="AO100" i="1" s="1"/>
  <c r="AR100" i="1" s="1"/>
  <c r="X100" i="1"/>
  <c r="Z100" i="1" s="1"/>
  <c r="AB100" i="1" s="1"/>
  <c r="AD100" i="1" s="1"/>
  <c r="AF100" i="1" s="1"/>
  <c r="AH100" i="1" s="1"/>
  <c r="R100" i="1"/>
  <c r="T100" i="1" s="1"/>
  <c r="V100" i="1" s="1"/>
  <c r="P100" i="1"/>
  <c r="L100" i="1"/>
  <c r="N100" i="1" s="1"/>
  <c r="J100" i="1"/>
  <c r="I100" i="1"/>
  <c r="K100" i="1" s="1"/>
  <c r="M100" i="1" s="1"/>
  <c r="O100" i="1" s="1"/>
  <c r="Q100" i="1" s="1"/>
  <c r="S100" i="1" s="1"/>
  <c r="U100" i="1" s="1"/>
  <c r="W100" i="1" s="1"/>
  <c r="Y100" i="1" s="1"/>
  <c r="T99" i="1"/>
  <c r="V99" i="1" s="1"/>
  <c r="X99" i="1" s="1"/>
  <c r="Z99" i="1" s="1"/>
  <c r="AB99" i="1" s="1"/>
  <c r="AD99" i="1" s="1"/>
  <c r="AF99" i="1" s="1"/>
  <c r="AH99" i="1" s="1"/>
  <c r="AJ99" i="1" s="1"/>
  <c r="AL99" i="1" s="1"/>
  <c r="AO99" i="1" s="1"/>
  <c r="AR99" i="1" s="1"/>
  <c r="R99" i="1"/>
  <c r="P99" i="1"/>
  <c r="N99" i="1"/>
  <c r="L99" i="1"/>
  <c r="J99" i="1"/>
  <c r="I99" i="1"/>
  <c r="K99" i="1" s="1"/>
  <c r="M99" i="1" s="1"/>
  <c r="O99" i="1" s="1"/>
  <c r="Q99" i="1" s="1"/>
  <c r="S99" i="1" s="1"/>
  <c r="U99" i="1" s="1"/>
  <c r="W99" i="1" s="1"/>
  <c r="Y99" i="1" s="1"/>
  <c r="AA99" i="1" s="1"/>
  <c r="AC99" i="1" s="1"/>
  <c r="AE99" i="1" s="1"/>
  <c r="AG99" i="1" s="1"/>
  <c r="AI99" i="1" s="1"/>
  <c r="AK99" i="1" s="1"/>
  <c r="AM99" i="1" s="1"/>
  <c r="AB98" i="1"/>
  <c r="AD98" i="1" s="1"/>
  <c r="AF98" i="1" s="1"/>
  <c r="AH98" i="1" s="1"/>
  <c r="AJ98" i="1" s="1"/>
  <c r="AL98" i="1" s="1"/>
  <c r="AO98" i="1" s="1"/>
  <c r="AR98" i="1" s="1"/>
  <c r="V98" i="1"/>
  <c r="X98" i="1" s="1"/>
  <c r="Z98" i="1" s="1"/>
  <c r="T98" i="1"/>
  <c r="R98" i="1"/>
  <c r="P98" i="1"/>
  <c r="J98" i="1"/>
  <c r="I98" i="1"/>
  <c r="X97" i="1"/>
  <c r="Z97" i="1" s="1"/>
  <c r="AB97" i="1" s="1"/>
  <c r="AD97" i="1" s="1"/>
  <c r="AF97" i="1" s="1"/>
  <c r="AH97" i="1" s="1"/>
  <c r="AJ97" i="1" s="1"/>
  <c r="AL97" i="1" s="1"/>
  <c r="AO97" i="1" s="1"/>
  <c r="AR97" i="1" s="1"/>
  <c r="R97" i="1"/>
  <c r="T97" i="1" s="1"/>
  <c r="V97" i="1" s="1"/>
  <c r="P97" i="1"/>
  <c r="L97" i="1"/>
  <c r="N97" i="1" s="1"/>
  <c r="J97" i="1"/>
  <c r="I97" i="1"/>
  <c r="K97" i="1" s="1"/>
  <c r="M97" i="1" s="1"/>
  <c r="O97" i="1" s="1"/>
  <c r="Q97" i="1" s="1"/>
  <c r="S97" i="1" s="1"/>
  <c r="U97" i="1" s="1"/>
  <c r="W97" i="1" s="1"/>
  <c r="Y97" i="1" s="1"/>
  <c r="T96" i="1"/>
  <c r="V96" i="1" s="1"/>
  <c r="R96" i="1"/>
  <c r="P96" i="1"/>
  <c r="N96" i="1"/>
  <c r="L96" i="1"/>
  <c r="J96" i="1"/>
  <c r="I96" i="1"/>
  <c r="K96" i="1" s="1"/>
  <c r="M96" i="1" s="1"/>
  <c r="O96" i="1" s="1"/>
  <c r="Q96" i="1" s="1"/>
  <c r="S96" i="1" s="1"/>
  <c r="U96" i="1" s="1"/>
  <c r="W96" i="1" s="1"/>
  <c r="Y96" i="1" s="1"/>
  <c r="AB95" i="1"/>
  <c r="AD95" i="1" s="1"/>
  <c r="V95" i="1"/>
  <c r="X95" i="1" s="1"/>
  <c r="Z95" i="1" s="1"/>
  <c r="T95" i="1"/>
  <c r="R95" i="1"/>
  <c r="P95" i="1"/>
  <c r="P105" i="1" s="1"/>
  <c r="K95" i="1"/>
  <c r="J95" i="1"/>
  <c r="L95" i="1" s="1"/>
  <c r="I95" i="1"/>
  <c r="I105" i="1" s="1"/>
  <c r="M94" i="1"/>
  <c r="M93" i="1"/>
  <c r="M92" i="1"/>
  <c r="AR91" i="1"/>
  <c r="AO91" i="1"/>
  <c r="AN91" i="1"/>
  <c r="AQ91" i="1" s="1"/>
  <c r="AT91" i="1" s="1"/>
  <c r="AM91" i="1"/>
  <c r="AP91" i="1" s="1"/>
  <c r="AS91" i="1" s="1"/>
  <c r="AK91" i="1"/>
  <c r="AI91" i="1"/>
  <c r="AD91" i="1"/>
  <c r="AF91" i="1" s="1"/>
  <c r="Z91" i="1"/>
  <c r="Y91" i="1"/>
  <c r="AA91" i="1" s="1"/>
  <c r="AC91" i="1" s="1"/>
  <c r="AE91" i="1" s="1"/>
  <c r="X91" i="1"/>
  <c r="J89" i="1"/>
  <c r="H89" i="1"/>
  <c r="G89" i="1"/>
  <c r="C89" i="1"/>
  <c r="AM88" i="1"/>
  <c r="AN88" i="1" s="1"/>
  <c r="AK88" i="1"/>
  <c r="AD88" i="1"/>
  <c r="AF88" i="1" s="1"/>
  <c r="AH88" i="1" s="1"/>
  <c r="AJ88" i="1" s="1"/>
  <c r="AL88" i="1" s="1"/>
  <c r="AO88" i="1" s="1"/>
  <c r="AB88" i="1"/>
  <c r="Z88" i="1"/>
  <c r="Y88" i="1"/>
  <c r="AA88" i="1" s="1"/>
  <c r="AC88" i="1" s="1"/>
  <c r="AE88" i="1" s="1"/>
  <c r="AG88" i="1" s="1"/>
  <c r="AI88" i="1" s="1"/>
  <c r="X88" i="1"/>
  <c r="AR87" i="1"/>
  <c r="AO87" i="1"/>
  <c r="AB87" i="1"/>
  <c r="AD87" i="1" s="1"/>
  <c r="AF87" i="1" s="1"/>
  <c r="AH87" i="1" s="1"/>
  <c r="Z87" i="1"/>
  <c r="AA87" i="1" s="1"/>
  <c r="AC87" i="1" s="1"/>
  <c r="AE87" i="1" s="1"/>
  <c r="AG87" i="1" s="1"/>
  <c r="AI87" i="1" s="1"/>
  <c r="AK87" i="1" s="1"/>
  <c r="AM87" i="1" s="1"/>
  <c r="AP87" i="1" s="1"/>
  <c r="AS87" i="1" s="1"/>
  <c r="AT87" i="1" s="1"/>
  <c r="X87" i="1"/>
  <c r="Y87" i="1" s="1"/>
  <c r="AO86" i="1"/>
  <c r="AR86" i="1" s="1"/>
  <c r="AH86" i="1"/>
  <c r="X86" i="1"/>
  <c r="Z86" i="1" s="1"/>
  <c r="AB86" i="1" s="1"/>
  <c r="AD86" i="1" s="1"/>
  <c r="AF86" i="1" s="1"/>
  <c r="R86" i="1"/>
  <c r="T86" i="1" s="1"/>
  <c r="V86" i="1" s="1"/>
  <c r="P86" i="1"/>
  <c r="O86" i="1"/>
  <c r="Q86" i="1" s="1"/>
  <c r="S86" i="1" s="1"/>
  <c r="U86" i="1" s="1"/>
  <c r="W86" i="1" s="1"/>
  <c r="N86" i="1"/>
  <c r="AF85" i="1"/>
  <c r="AH85" i="1" s="1"/>
  <c r="AJ85" i="1" s="1"/>
  <c r="AL85" i="1" s="1"/>
  <c r="Z85" i="1"/>
  <c r="AB85" i="1" s="1"/>
  <c r="AD85" i="1" s="1"/>
  <c r="T85" i="1"/>
  <c r="V85" i="1" s="1"/>
  <c r="X85" i="1" s="1"/>
  <c r="R85" i="1"/>
  <c r="P85" i="1"/>
  <c r="N85" i="1"/>
  <c r="O85" i="1" s="1"/>
  <c r="Q85" i="1" s="1"/>
  <c r="S85" i="1" s="1"/>
  <c r="U85" i="1" s="1"/>
  <c r="W85" i="1" s="1"/>
  <c r="Y85" i="1" s="1"/>
  <c r="AA85" i="1" s="1"/>
  <c r="AC85" i="1" s="1"/>
  <c r="AE85" i="1" s="1"/>
  <c r="AG85" i="1" s="1"/>
  <c r="AI85" i="1" s="1"/>
  <c r="M85" i="1"/>
  <c r="L85" i="1"/>
  <c r="K85" i="1"/>
  <c r="AA84" i="1"/>
  <c r="AC84" i="1" s="1"/>
  <c r="AE84" i="1" s="1"/>
  <c r="AG84" i="1" s="1"/>
  <c r="AI84" i="1" s="1"/>
  <c r="AK84" i="1" s="1"/>
  <c r="AM84" i="1" s="1"/>
  <c r="Z84" i="1"/>
  <c r="AB84" i="1" s="1"/>
  <c r="AD84" i="1" s="1"/>
  <c r="AF84" i="1" s="1"/>
  <c r="AH84" i="1" s="1"/>
  <c r="AJ84" i="1" s="1"/>
  <c r="AL84" i="1" s="1"/>
  <c r="AO84" i="1" s="1"/>
  <c r="AR84" i="1" s="1"/>
  <c r="T84" i="1"/>
  <c r="V84" i="1" s="1"/>
  <c r="X84" i="1" s="1"/>
  <c r="S84" i="1"/>
  <c r="U84" i="1" s="1"/>
  <c r="W84" i="1" s="1"/>
  <c r="Y84" i="1" s="1"/>
  <c r="R84" i="1"/>
  <c r="P84" i="1"/>
  <c r="N84" i="1"/>
  <c r="M84" i="1"/>
  <c r="O84" i="1" s="1"/>
  <c r="Q84" i="1" s="1"/>
  <c r="L84" i="1"/>
  <c r="K84" i="1"/>
  <c r="AF83" i="1"/>
  <c r="AH83" i="1" s="1"/>
  <c r="AJ83" i="1" s="1"/>
  <c r="AL83" i="1" s="1"/>
  <c r="AO83" i="1" s="1"/>
  <c r="AR83" i="1" s="1"/>
  <c r="W83" i="1"/>
  <c r="Y83" i="1" s="1"/>
  <c r="AA83" i="1" s="1"/>
  <c r="AC83" i="1" s="1"/>
  <c r="AE83" i="1" s="1"/>
  <c r="AG83" i="1" s="1"/>
  <c r="AI83" i="1" s="1"/>
  <c r="AK83" i="1" s="1"/>
  <c r="AM83" i="1" s="1"/>
  <c r="T83" i="1"/>
  <c r="V83" i="1" s="1"/>
  <c r="X83" i="1" s="1"/>
  <c r="Z83" i="1" s="1"/>
  <c r="AB83" i="1" s="1"/>
  <c r="AD83" i="1" s="1"/>
  <c r="R83" i="1"/>
  <c r="P83" i="1"/>
  <c r="N83" i="1"/>
  <c r="O83" i="1" s="1"/>
  <c r="Q83" i="1" s="1"/>
  <c r="S83" i="1" s="1"/>
  <c r="U83" i="1" s="1"/>
  <c r="M83" i="1"/>
  <c r="L83" i="1"/>
  <c r="K83" i="1"/>
  <c r="Z82" i="1"/>
  <c r="AB82" i="1" s="1"/>
  <c r="AD82" i="1" s="1"/>
  <c r="AF82" i="1" s="1"/>
  <c r="AH82" i="1" s="1"/>
  <c r="AJ82" i="1" s="1"/>
  <c r="AL82" i="1" s="1"/>
  <c r="AO82" i="1" s="1"/>
  <c r="AR82" i="1" s="1"/>
  <c r="T82" i="1"/>
  <c r="V82" i="1" s="1"/>
  <c r="X82" i="1" s="1"/>
  <c r="R82" i="1"/>
  <c r="P82" i="1"/>
  <c r="N82" i="1"/>
  <c r="M82" i="1"/>
  <c r="O82" i="1" s="1"/>
  <c r="Q82" i="1" s="1"/>
  <c r="S82" i="1" s="1"/>
  <c r="U82" i="1" s="1"/>
  <c r="W82" i="1" s="1"/>
  <c r="Y82" i="1" s="1"/>
  <c r="AA82" i="1" s="1"/>
  <c r="AC82" i="1" s="1"/>
  <c r="AE82" i="1" s="1"/>
  <c r="AG82" i="1" s="1"/>
  <c r="AI82" i="1" s="1"/>
  <c r="AK82" i="1" s="1"/>
  <c r="AM82" i="1" s="1"/>
  <c r="L82" i="1"/>
  <c r="K82" i="1"/>
  <c r="W81" i="1"/>
  <c r="Y81" i="1" s="1"/>
  <c r="T81" i="1"/>
  <c r="V81" i="1" s="1"/>
  <c r="X81" i="1" s="1"/>
  <c r="Z81" i="1" s="1"/>
  <c r="AB81" i="1" s="1"/>
  <c r="AD81" i="1" s="1"/>
  <c r="AF81" i="1" s="1"/>
  <c r="AH81" i="1" s="1"/>
  <c r="AJ81" i="1" s="1"/>
  <c r="AL81" i="1" s="1"/>
  <c r="AO81" i="1" s="1"/>
  <c r="AR81" i="1" s="1"/>
  <c r="R81" i="1"/>
  <c r="P81" i="1"/>
  <c r="N81" i="1"/>
  <c r="O81" i="1" s="1"/>
  <c r="Q81" i="1" s="1"/>
  <c r="S81" i="1" s="1"/>
  <c r="U81" i="1" s="1"/>
  <c r="M81" i="1"/>
  <c r="L81" i="1"/>
  <c r="K81" i="1"/>
  <c r="I81" i="1"/>
  <c r="R80" i="1"/>
  <c r="T80" i="1" s="1"/>
  <c r="V80" i="1" s="1"/>
  <c r="X80" i="1" s="1"/>
  <c r="Z80" i="1" s="1"/>
  <c r="AB80" i="1" s="1"/>
  <c r="AD80" i="1" s="1"/>
  <c r="AF80" i="1" s="1"/>
  <c r="AH80" i="1" s="1"/>
  <c r="AJ80" i="1" s="1"/>
  <c r="AL80" i="1" s="1"/>
  <c r="AO80" i="1" s="1"/>
  <c r="AR80" i="1" s="1"/>
  <c r="P80" i="1"/>
  <c r="L80" i="1"/>
  <c r="N80" i="1" s="1"/>
  <c r="I80" i="1"/>
  <c r="K80" i="1" s="1"/>
  <c r="V79" i="1"/>
  <c r="X79" i="1" s="1"/>
  <c r="Z79" i="1" s="1"/>
  <c r="AB79" i="1" s="1"/>
  <c r="AD79" i="1" s="1"/>
  <c r="AF79" i="1" s="1"/>
  <c r="AH79" i="1" s="1"/>
  <c r="AJ79" i="1" s="1"/>
  <c r="AL79" i="1" s="1"/>
  <c r="AO79" i="1" s="1"/>
  <c r="AR79" i="1" s="1"/>
  <c r="T79" i="1"/>
  <c r="R79" i="1"/>
  <c r="P79" i="1"/>
  <c r="N79" i="1"/>
  <c r="L79" i="1"/>
  <c r="I79" i="1"/>
  <c r="K79" i="1" s="1"/>
  <c r="M79" i="1" s="1"/>
  <c r="O79" i="1" s="1"/>
  <c r="Q79" i="1" s="1"/>
  <c r="S79" i="1" s="1"/>
  <c r="U79" i="1" s="1"/>
  <c r="W79" i="1" s="1"/>
  <c r="Y79" i="1" s="1"/>
  <c r="AA79" i="1" s="1"/>
  <c r="AC79" i="1" s="1"/>
  <c r="AE79" i="1" s="1"/>
  <c r="AG79" i="1" s="1"/>
  <c r="AI79" i="1" s="1"/>
  <c r="AK79" i="1" s="1"/>
  <c r="AM79" i="1" s="1"/>
  <c r="AL78" i="1"/>
  <c r="T78" i="1"/>
  <c r="V78" i="1" s="1"/>
  <c r="X78" i="1" s="1"/>
  <c r="Z78" i="1" s="1"/>
  <c r="AB78" i="1" s="1"/>
  <c r="AD78" i="1" s="1"/>
  <c r="AF78" i="1" s="1"/>
  <c r="AH78" i="1" s="1"/>
  <c r="AJ78" i="1" s="1"/>
  <c r="R78" i="1"/>
  <c r="P78" i="1"/>
  <c r="N78" i="1"/>
  <c r="L78" i="1"/>
  <c r="K78" i="1"/>
  <c r="M78" i="1" s="1"/>
  <c r="O78" i="1" s="1"/>
  <c r="Q78" i="1" s="1"/>
  <c r="S78" i="1" s="1"/>
  <c r="U78" i="1" s="1"/>
  <c r="W78" i="1" s="1"/>
  <c r="Y78" i="1" s="1"/>
  <c r="AA78" i="1" s="1"/>
  <c r="AC78" i="1" s="1"/>
  <c r="AE78" i="1" s="1"/>
  <c r="AG78" i="1" s="1"/>
  <c r="AI78" i="1" s="1"/>
  <c r="AK78" i="1" s="1"/>
  <c r="AM78" i="1" s="1"/>
  <c r="I78" i="1"/>
  <c r="AO77" i="1"/>
  <c r="AR77" i="1" s="1"/>
  <c r="AJ77" i="1"/>
  <c r="T77" i="1"/>
  <c r="R77" i="1"/>
  <c r="P77" i="1"/>
  <c r="N77" i="1"/>
  <c r="L77" i="1"/>
  <c r="K77" i="1"/>
  <c r="M77" i="1" s="1"/>
  <c r="I77" i="1"/>
  <c r="I89" i="1" s="1"/>
  <c r="M76" i="1"/>
  <c r="M75" i="1"/>
  <c r="M74" i="1"/>
  <c r="AR72" i="1"/>
  <c r="AO72" i="1"/>
  <c r="AD72" i="1"/>
  <c r="AA72" i="1"/>
  <c r="AC72" i="1" s="1"/>
  <c r="AE72" i="1" s="1"/>
  <c r="AG72" i="1" s="1"/>
  <c r="AI72" i="1" s="1"/>
  <c r="AK72" i="1" s="1"/>
  <c r="AM72" i="1" s="1"/>
  <c r="X72" i="1"/>
  <c r="Y72" i="1" s="1"/>
  <c r="AR70" i="1"/>
  <c r="AS70" i="1" s="1"/>
  <c r="AT70" i="1" s="1"/>
  <c r="AO70" i="1"/>
  <c r="AQ70" i="1" s="1"/>
  <c r="AN70" i="1"/>
  <c r="AF70" i="1"/>
  <c r="AD70" i="1"/>
  <c r="P70" i="1"/>
  <c r="R70" i="1" s="1"/>
  <c r="T70" i="1" s="1"/>
  <c r="V70" i="1" s="1"/>
  <c r="X70" i="1" s="1"/>
  <c r="M70" i="1"/>
  <c r="O70" i="1" s="1"/>
  <c r="Q70" i="1" s="1"/>
  <c r="S70" i="1" s="1"/>
  <c r="U70" i="1" s="1"/>
  <c r="W70" i="1" s="1"/>
  <c r="Y70" i="1" s="1"/>
  <c r="AA70" i="1" s="1"/>
  <c r="AC70" i="1" s="1"/>
  <c r="AE70" i="1" s="1"/>
  <c r="AG70" i="1" s="1"/>
  <c r="I70" i="1"/>
  <c r="K70" i="1" s="1"/>
  <c r="M69" i="1"/>
  <c r="M68" i="1"/>
  <c r="M67" i="1"/>
  <c r="AT66" i="1"/>
  <c r="AR66" i="1"/>
  <c r="AN66" i="1"/>
  <c r="M66" i="1"/>
  <c r="AD64" i="1"/>
  <c r="AB64" i="1"/>
  <c r="R64" i="1"/>
  <c r="L64" i="1"/>
  <c r="I64" i="1"/>
  <c r="H64" i="1"/>
  <c r="G64" i="1"/>
  <c r="C64" i="1"/>
  <c r="AO63" i="1"/>
  <c r="AF63" i="1"/>
  <c r="AH63" i="1" s="1"/>
  <c r="AD63" i="1"/>
  <c r="Z63" i="1"/>
  <c r="T63" i="1"/>
  <c r="V63" i="1" s="1"/>
  <c r="X63" i="1" s="1"/>
  <c r="R63" i="1"/>
  <c r="P63" i="1"/>
  <c r="N63" i="1"/>
  <c r="L63" i="1"/>
  <c r="J63" i="1"/>
  <c r="K63" i="1" s="1"/>
  <c r="M63" i="1" s="1"/>
  <c r="O63" i="1" s="1"/>
  <c r="Q63" i="1" s="1"/>
  <c r="S63" i="1" s="1"/>
  <c r="U63" i="1" s="1"/>
  <c r="W63" i="1" s="1"/>
  <c r="Y63" i="1" s="1"/>
  <c r="AA63" i="1" s="1"/>
  <c r="AC63" i="1" s="1"/>
  <c r="AE63" i="1" s="1"/>
  <c r="AG63" i="1" s="1"/>
  <c r="AI63" i="1" s="1"/>
  <c r="AK63" i="1" s="1"/>
  <c r="I63" i="1"/>
  <c r="AT62" i="1"/>
  <c r="AS62" i="1"/>
  <c r="AQ62" i="1"/>
  <c r="AP62" i="1"/>
  <c r="AN62" i="1"/>
  <c r="AH62" i="1"/>
  <c r="AF62" i="1"/>
  <c r="AF64" i="1" s="1"/>
  <c r="T62" i="1"/>
  <c r="R62" i="1"/>
  <c r="P62" i="1"/>
  <c r="P64" i="1" s="1"/>
  <c r="N62" i="1"/>
  <c r="L62" i="1"/>
  <c r="J62" i="1"/>
  <c r="J64" i="1" s="1"/>
  <c r="K64" i="1" s="1"/>
  <c r="M64" i="1" s="1"/>
  <c r="I62" i="1"/>
  <c r="AC61" i="1"/>
  <c r="M61" i="1"/>
  <c r="AC60" i="1"/>
  <c r="M60" i="1"/>
  <c r="H59" i="1"/>
  <c r="H405" i="1" s="1"/>
  <c r="G59" i="1"/>
  <c r="G405" i="1" s="1"/>
  <c r="C59" i="1"/>
  <c r="AR58" i="1"/>
  <c r="AQ58" i="1"/>
  <c r="AT58" i="1" s="1"/>
  <c r="AO58" i="1"/>
  <c r="AP58" i="1" s="1"/>
  <c r="AS58" i="1" s="1"/>
  <c r="AR57" i="1"/>
  <c r="AQ57" i="1"/>
  <c r="AO57" i="1"/>
  <c r="AP57" i="1" s="1"/>
  <c r="AS57" i="1" s="1"/>
  <c r="AT57" i="1" s="1"/>
  <c r="AO56" i="1"/>
  <c r="AR56" i="1" s="1"/>
  <c r="AM56" i="1"/>
  <c r="AP56" i="1" s="1"/>
  <c r="AS56" i="1" s="1"/>
  <c r="AT56" i="1" s="1"/>
  <c r="AO55" i="1"/>
  <c r="AR55" i="1" s="1"/>
  <c r="AM55" i="1"/>
  <c r="AR54" i="1"/>
  <c r="AO54" i="1"/>
  <c r="AM54" i="1"/>
  <c r="AN54" i="1" s="1"/>
  <c r="AQ54" i="1" s="1"/>
  <c r="AO53" i="1"/>
  <c r="AR53" i="1" s="1"/>
  <c r="AM53" i="1"/>
  <c r="AP53" i="1" s="1"/>
  <c r="AS53" i="1" s="1"/>
  <c r="AT53" i="1" s="1"/>
  <c r="AL53" i="1"/>
  <c r="AL52" i="1"/>
  <c r="AO52" i="1" s="1"/>
  <c r="AR52" i="1" s="1"/>
  <c r="AJ52" i="1"/>
  <c r="AK52" i="1" s="1"/>
  <c r="AM52" i="1" s="1"/>
  <c r="AP52" i="1" s="1"/>
  <c r="AS52" i="1" s="1"/>
  <c r="AT52" i="1" s="1"/>
  <c r="C52" i="1"/>
  <c r="AT51" i="1"/>
  <c r="AL51" i="1"/>
  <c r="AO51" i="1" s="1"/>
  <c r="AR51" i="1" s="1"/>
  <c r="AJ51" i="1"/>
  <c r="AK51" i="1" s="1"/>
  <c r="AM51" i="1" s="1"/>
  <c r="AP51" i="1" s="1"/>
  <c r="AS51" i="1" s="1"/>
  <c r="AO50" i="1"/>
  <c r="AR50" i="1" s="1"/>
  <c r="AM50" i="1"/>
  <c r="AL50" i="1"/>
  <c r="AK50" i="1"/>
  <c r="AJ50" i="1"/>
  <c r="AF49" i="1"/>
  <c r="AH49" i="1" s="1"/>
  <c r="AJ49" i="1" s="1"/>
  <c r="AL49" i="1" s="1"/>
  <c r="AO49" i="1" s="1"/>
  <c r="AR49" i="1" s="1"/>
  <c r="AD49" i="1"/>
  <c r="AE49" i="1" s="1"/>
  <c r="AK48" i="1"/>
  <c r="AJ48" i="1"/>
  <c r="AL48" i="1" s="1"/>
  <c r="AO48" i="1" s="1"/>
  <c r="AR48" i="1" s="1"/>
  <c r="AH48" i="1"/>
  <c r="AF48" i="1"/>
  <c r="AE48" i="1"/>
  <c r="AG48" i="1" s="1"/>
  <c r="AI48" i="1" s="1"/>
  <c r="AC47" i="1"/>
  <c r="AE47" i="1" s="1"/>
  <c r="AG47" i="1" s="1"/>
  <c r="AI47" i="1" s="1"/>
  <c r="AK47" i="1" s="1"/>
  <c r="AM47" i="1" s="1"/>
  <c r="AB47" i="1"/>
  <c r="AD47" i="1" s="1"/>
  <c r="AF47" i="1" s="1"/>
  <c r="AH47" i="1" s="1"/>
  <c r="AJ47" i="1" s="1"/>
  <c r="AL47" i="1" s="1"/>
  <c r="AO47" i="1" s="1"/>
  <c r="AR47" i="1" s="1"/>
  <c r="AD46" i="1"/>
  <c r="AF46" i="1" s="1"/>
  <c r="AH46" i="1" s="1"/>
  <c r="AJ46" i="1" s="1"/>
  <c r="AL46" i="1" s="1"/>
  <c r="AO46" i="1" s="1"/>
  <c r="AR46" i="1" s="1"/>
  <c r="AC46" i="1"/>
  <c r="AE46" i="1" s="1"/>
  <c r="AG46" i="1" s="1"/>
  <c r="AI46" i="1" s="1"/>
  <c r="AB46" i="1"/>
  <c r="AA46" i="1"/>
  <c r="AF45" i="1"/>
  <c r="AH45" i="1" s="1"/>
  <c r="AJ45" i="1" s="1"/>
  <c r="AL45" i="1" s="1"/>
  <c r="AO45" i="1" s="1"/>
  <c r="AR45" i="1" s="1"/>
  <c r="AD45" i="1"/>
  <c r="AB45" i="1"/>
  <c r="AC45" i="1" s="1"/>
  <c r="AE45" i="1" s="1"/>
  <c r="AG45" i="1" s="1"/>
  <c r="AI45" i="1" s="1"/>
  <c r="AK45" i="1" s="1"/>
  <c r="AA45" i="1"/>
  <c r="AB44" i="1"/>
  <c r="AD44" i="1" s="1"/>
  <c r="AF44" i="1" s="1"/>
  <c r="AH44" i="1" s="1"/>
  <c r="AJ44" i="1" s="1"/>
  <c r="AL44" i="1" s="1"/>
  <c r="AO44" i="1" s="1"/>
  <c r="AR44" i="1" s="1"/>
  <c r="AA44" i="1"/>
  <c r="AC44" i="1" s="1"/>
  <c r="AE44" i="1" s="1"/>
  <c r="AG44" i="1" s="1"/>
  <c r="AJ43" i="1"/>
  <c r="AL43" i="1" s="1"/>
  <c r="AO43" i="1" s="1"/>
  <c r="AR43" i="1" s="1"/>
  <c r="AD43" i="1"/>
  <c r="AF43" i="1" s="1"/>
  <c r="AH43" i="1" s="1"/>
  <c r="AC43" i="1"/>
  <c r="AE43" i="1" s="1"/>
  <c r="AG43" i="1" s="1"/>
  <c r="AI43" i="1" s="1"/>
  <c r="AB43" i="1"/>
  <c r="AA43" i="1"/>
  <c r="T42" i="1"/>
  <c r="V42" i="1" s="1"/>
  <c r="X42" i="1" s="1"/>
  <c r="Z42" i="1" s="1"/>
  <c r="AB42" i="1" s="1"/>
  <c r="AD42" i="1" s="1"/>
  <c r="AF42" i="1" s="1"/>
  <c r="AH42" i="1" s="1"/>
  <c r="AJ42" i="1" s="1"/>
  <c r="AL42" i="1" s="1"/>
  <c r="AO42" i="1" s="1"/>
  <c r="AR42" i="1" s="1"/>
  <c r="R42" i="1"/>
  <c r="P42" i="1"/>
  <c r="M42" i="1"/>
  <c r="O42" i="1" s="1"/>
  <c r="Q42" i="1" s="1"/>
  <c r="S42" i="1" s="1"/>
  <c r="U42" i="1" s="1"/>
  <c r="W42" i="1" s="1"/>
  <c r="Y42" i="1" s="1"/>
  <c r="W41" i="1"/>
  <c r="Y41" i="1" s="1"/>
  <c r="V41" i="1"/>
  <c r="X41" i="1" s="1"/>
  <c r="Z41" i="1" s="1"/>
  <c r="AB41" i="1" s="1"/>
  <c r="AD41" i="1" s="1"/>
  <c r="AF41" i="1" s="1"/>
  <c r="AH41" i="1" s="1"/>
  <c r="AJ41" i="1" s="1"/>
  <c r="AL41" i="1" s="1"/>
  <c r="AO41" i="1" s="1"/>
  <c r="AR41" i="1" s="1"/>
  <c r="T41" i="1"/>
  <c r="R41" i="1"/>
  <c r="Q41" i="1"/>
  <c r="S41" i="1" s="1"/>
  <c r="U41" i="1" s="1"/>
  <c r="P41" i="1"/>
  <c r="O41" i="1"/>
  <c r="N41" i="1"/>
  <c r="M41" i="1"/>
  <c r="L41" i="1"/>
  <c r="V40" i="1"/>
  <c r="X40" i="1" s="1"/>
  <c r="Z40" i="1" s="1"/>
  <c r="AB40" i="1" s="1"/>
  <c r="AD40" i="1" s="1"/>
  <c r="AF40" i="1" s="1"/>
  <c r="AH40" i="1" s="1"/>
  <c r="AJ40" i="1" s="1"/>
  <c r="AL40" i="1" s="1"/>
  <c r="AO40" i="1" s="1"/>
  <c r="AR40" i="1" s="1"/>
  <c r="T40" i="1"/>
  <c r="R40" i="1"/>
  <c r="P40" i="1"/>
  <c r="N40" i="1"/>
  <c r="L40" i="1"/>
  <c r="M40" i="1" s="1"/>
  <c r="O40" i="1" s="1"/>
  <c r="Q40" i="1" s="1"/>
  <c r="S40" i="1" s="1"/>
  <c r="U40" i="1" s="1"/>
  <c r="U39" i="1"/>
  <c r="T39" i="1"/>
  <c r="V39" i="1" s="1"/>
  <c r="X39" i="1" s="1"/>
  <c r="Z39" i="1" s="1"/>
  <c r="AB39" i="1" s="1"/>
  <c r="AD39" i="1" s="1"/>
  <c r="AF39" i="1" s="1"/>
  <c r="AH39" i="1" s="1"/>
  <c r="AJ39" i="1" s="1"/>
  <c r="AL39" i="1" s="1"/>
  <c r="AO39" i="1" s="1"/>
  <c r="AR39" i="1" s="1"/>
  <c r="R39" i="1"/>
  <c r="P39" i="1"/>
  <c r="O39" i="1"/>
  <c r="Q39" i="1" s="1"/>
  <c r="S39" i="1" s="1"/>
  <c r="N39" i="1"/>
  <c r="M39" i="1"/>
  <c r="L39" i="1"/>
  <c r="K39" i="1"/>
  <c r="J39" i="1"/>
  <c r="V38" i="1"/>
  <c r="X38" i="1" s="1"/>
  <c r="Z38" i="1" s="1"/>
  <c r="AB38" i="1" s="1"/>
  <c r="AD38" i="1" s="1"/>
  <c r="AF38" i="1" s="1"/>
  <c r="AH38" i="1" s="1"/>
  <c r="AJ38" i="1" s="1"/>
  <c r="AL38" i="1" s="1"/>
  <c r="AO38" i="1" s="1"/>
  <c r="AR38" i="1" s="1"/>
  <c r="R38" i="1"/>
  <c r="T38" i="1" s="1"/>
  <c r="P38" i="1"/>
  <c r="N38" i="1"/>
  <c r="L38" i="1"/>
  <c r="J38" i="1"/>
  <c r="K38" i="1" s="1"/>
  <c r="M38" i="1" s="1"/>
  <c r="O38" i="1" s="1"/>
  <c r="Q38" i="1" s="1"/>
  <c r="S38" i="1" s="1"/>
  <c r="U38" i="1" s="1"/>
  <c r="AO37" i="1"/>
  <c r="AR37" i="1" s="1"/>
  <c r="V37" i="1"/>
  <c r="X37" i="1" s="1"/>
  <c r="Z37" i="1" s="1"/>
  <c r="AB37" i="1" s="1"/>
  <c r="AD37" i="1" s="1"/>
  <c r="AF37" i="1" s="1"/>
  <c r="AH37" i="1" s="1"/>
  <c r="AJ37" i="1" s="1"/>
  <c r="AL37" i="1" s="1"/>
  <c r="T37" i="1"/>
  <c r="R37" i="1"/>
  <c r="P37" i="1"/>
  <c r="N37" i="1"/>
  <c r="L37" i="1"/>
  <c r="K37" i="1"/>
  <c r="M37" i="1" s="1"/>
  <c r="O37" i="1" s="1"/>
  <c r="Q37" i="1" s="1"/>
  <c r="S37" i="1" s="1"/>
  <c r="U37" i="1" s="1"/>
  <c r="W37" i="1" s="1"/>
  <c r="Y37" i="1" s="1"/>
  <c r="AA37" i="1" s="1"/>
  <c r="AC37" i="1" s="1"/>
  <c r="AE37" i="1" s="1"/>
  <c r="AG37" i="1" s="1"/>
  <c r="AI37" i="1" s="1"/>
  <c r="AK37" i="1" s="1"/>
  <c r="AM37" i="1" s="1"/>
  <c r="J37" i="1"/>
  <c r="R36" i="1"/>
  <c r="T36" i="1" s="1"/>
  <c r="V36" i="1" s="1"/>
  <c r="X36" i="1" s="1"/>
  <c r="Z36" i="1" s="1"/>
  <c r="AB36" i="1" s="1"/>
  <c r="AD36" i="1" s="1"/>
  <c r="AF36" i="1" s="1"/>
  <c r="AH36" i="1" s="1"/>
  <c r="AJ36" i="1" s="1"/>
  <c r="AL36" i="1" s="1"/>
  <c r="AO36" i="1" s="1"/>
  <c r="AR36" i="1" s="1"/>
  <c r="P36" i="1"/>
  <c r="L36" i="1"/>
  <c r="N36" i="1" s="1"/>
  <c r="K36" i="1"/>
  <c r="M36" i="1" s="1"/>
  <c r="O36" i="1" s="1"/>
  <c r="Q36" i="1" s="1"/>
  <c r="J36" i="1"/>
  <c r="R35" i="1"/>
  <c r="T35" i="1" s="1"/>
  <c r="V35" i="1" s="1"/>
  <c r="X35" i="1" s="1"/>
  <c r="Z35" i="1" s="1"/>
  <c r="AB35" i="1" s="1"/>
  <c r="AD35" i="1" s="1"/>
  <c r="AF35" i="1" s="1"/>
  <c r="AH35" i="1" s="1"/>
  <c r="AJ35" i="1" s="1"/>
  <c r="AL35" i="1" s="1"/>
  <c r="AO35" i="1" s="1"/>
  <c r="AR35" i="1" s="1"/>
  <c r="P35" i="1"/>
  <c r="M35" i="1"/>
  <c r="O35" i="1" s="1"/>
  <c r="Q35" i="1" s="1"/>
  <c r="S35" i="1" s="1"/>
  <c r="U35" i="1" s="1"/>
  <c r="W35" i="1" s="1"/>
  <c r="Y35" i="1" s="1"/>
  <c r="AA35" i="1" s="1"/>
  <c r="AC35" i="1" s="1"/>
  <c r="AE35" i="1" s="1"/>
  <c r="AG35" i="1" s="1"/>
  <c r="AI35" i="1" s="1"/>
  <c r="AK35" i="1" s="1"/>
  <c r="AM35" i="1" s="1"/>
  <c r="L35" i="1"/>
  <c r="N35" i="1" s="1"/>
  <c r="K35" i="1"/>
  <c r="J35" i="1"/>
  <c r="AF34" i="1"/>
  <c r="AH34" i="1" s="1"/>
  <c r="AJ34" i="1" s="1"/>
  <c r="AL34" i="1" s="1"/>
  <c r="AO34" i="1" s="1"/>
  <c r="AR34" i="1" s="1"/>
  <c r="Z34" i="1"/>
  <c r="AB34" i="1" s="1"/>
  <c r="AD34" i="1" s="1"/>
  <c r="T34" i="1"/>
  <c r="V34" i="1" s="1"/>
  <c r="X34" i="1" s="1"/>
  <c r="R34" i="1"/>
  <c r="P34" i="1"/>
  <c r="N34" i="1"/>
  <c r="L34" i="1"/>
  <c r="J34" i="1"/>
  <c r="K34" i="1" s="1"/>
  <c r="M34" i="1" s="1"/>
  <c r="O34" i="1" s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AK34" i="1" s="1"/>
  <c r="I34" i="1"/>
  <c r="V33" i="1"/>
  <c r="X33" i="1" s="1"/>
  <c r="Z33" i="1" s="1"/>
  <c r="AB33" i="1" s="1"/>
  <c r="AD33" i="1" s="1"/>
  <c r="AF33" i="1" s="1"/>
  <c r="AH33" i="1" s="1"/>
  <c r="AJ33" i="1" s="1"/>
  <c r="AL33" i="1" s="1"/>
  <c r="AO33" i="1" s="1"/>
  <c r="AR33" i="1" s="1"/>
  <c r="T33" i="1"/>
  <c r="R33" i="1"/>
  <c r="P33" i="1"/>
  <c r="J33" i="1"/>
  <c r="L33" i="1" s="1"/>
  <c r="N33" i="1" s="1"/>
  <c r="I33" i="1"/>
  <c r="K33" i="1" s="1"/>
  <c r="M33" i="1" s="1"/>
  <c r="O33" i="1" s="1"/>
  <c r="Q33" i="1" s="1"/>
  <c r="S33" i="1" s="1"/>
  <c r="U33" i="1" s="1"/>
  <c r="X32" i="1"/>
  <c r="Z32" i="1" s="1"/>
  <c r="AB32" i="1" s="1"/>
  <c r="AD32" i="1" s="1"/>
  <c r="AF32" i="1" s="1"/>
  <c r="AH32" i="1" s="1"/>
  <c r="AJ32" i="1" s="1"/>
  <c r="AL32" i="1" s="1"/>
  <c r="AO32" i="1" s="1"/>
  <c r="AR32" i="1" s="1"/>
  <c r="R32" i="1"/>
  <c r="T32" i="1" s="1"/>
  <c r="V32" i="1" s="1"/>
  <c r="P32" i="1"/>
  <c r="L32" i="1"/>
  <c r="N32" i="1" s="1"/>
  <c r="K32" i="1"/>
  <c r="M32" i="1" s="1"/>
  <c r="O32" i="1" s="1"/>
  <c r="Q32" i="1" s="1"/>
  <c r="S32" i="1" s="1"/>
  <c r="U32" i="1" s="1"/>
  <c r="W32" i="1" s="1"/>
  <c r="Y32" i="1" s="1"/>
  <c r="AA32" i="1" s="1"/>
  <c r="AC32" i="1" s="1"/>
  <c r="AE32" i="1" s="1"/>
  <c r="AG32" i="1" s="1"/>
  <c r="AI32" i="1" s="1"/>
  <c r="AK32" i="1" s="1"/>
  <c r="AM32" i="1" s="1"/>
  <c r="J32" i="1"/>
  <c r="I32" i="1"/>
  <c r="T31" i="1"/>
  <c r="V31" i="1" s="1"/>
  <c r="X31" i="1" s="1"/>
  <c r="Z31" i="1" s="1"/>
  <c r="AB31" i="1" s="1"/>
  <c r="AD31" i="1" s="1"/>
  <c r="AF31" i="1" s="1"/>
  <c r="AH31" i="1" s="1"/>
  <c r="AJ31" i="1" s="1"/>
  <c r="AL31" i="1" s="1"/>
  <c r="AO31" i="1" s="1"/>
  <c r="AR31" i="1" s="1"/>
  <c r="R31" i="1"/>
  <c r="P31" i="1"/>
  <c r="N31" i="1"/>
  <c r="L31" i="1"/>
  <c r="J31" i="1"/>
  <c r="K31" i="1" s="1"/>
  <c r="M31" i="1" s="1"/>
  <c r="O31" i="1" s="1"/>
  <c r="Q31" i="1" s="1"/>
  <c r="S31" i="1" s="1"/>
  <c r="U31" i="1" s="1"/>
  <c r="W31" i="1" s="1"/>
  <c r="Y31" i="1" s="1"/>
  <c r="I31" i="1"/>
  <c r="V30" i="1"/>
  <c r="X30" i="1" s="1"/>
  <c r="Z30" i="1" s="1"/>
  <c r="AB30" i="1" s="1"/>
  <c r="AD30" i="1" s="1"/>
  <c r="AF30" i="1" s="1"/>
  <c r="AH30" i="1" s="1"/>
  <c r="AJ30" i="1" s="1"/>
  <c r="AL30" i="1" s="1"/>
  <c r="AO30" i="1" s="1"/>
  <c r="AR30" i="1" s="1"/>
  <c r="T30" i="1"/>
  <c r="R30" i="1"/>
  <c r="P30" i="1"/>
  <c r="J30" i="1"/>
  <c r="L30" i="1" s="1"/>
  <c r="N30" i="1" s="1"/>
  <c r="I30" i="1"/>
  <c r="K30" i="1" s="1"/>
  <c r="M30" i="1" s="1"/>
  <c r="O30" i="1" s="1"/>
  <c r="Q30" i="1" s="1"/>
  <c r="S30" i="1" s="1"/>
  <c r="U30" i="1" s="1"/>
  <c r="W30" i="1" s="1"/>
  <c r="Y30" i="1" s="1"/>
  <c r="AA30" i="1" s="1"/>
  <c r="R29" i="1"/>
  <c r="T29" i="1" s="1"/>
  <c r="V29" i="1" s="1"/>
  <c r="X29" i="1" s="1"/>
  <c r="Z29" i="1" s="1"/>
  <c r="AB29" i="1" s="1"/>
  <c r="AD29" i="1" s="1"/>
  <c r="AF29" i="1" s="1"/>
  <c r="AH29" i="1" s="1"/>
  <c r="AJ29" i="1" s="1"/>
  <c r="AL29" i="1" s="1"/>
  <c r="AO29" i="1" s="1"/>
  <c r="AR29" i="1" s="1"/>
  <c r="P29" i="1"/>
  <c r="J29" i="1"/>
  <c r="L29" i="1" s="1"/>
  <c r="N29" i="1" s="1"/>
  <c r="I29" i="1"/>
  <c r="T28" i="1"/>
  <c r="V28" i="1" s="1"/>
  <c r="X28" i="1" s="1"/>
  <c r="Z28" i="1" s="1"/>
  <c r="AB28" i="1" s="1"/>
  <c r="AD28" i="1" s="1"/>
  <c r="AF28" i="1" s="1"/>
  <c r="AH28" i="1" s="1"/>
  <c r="AJ28" i="1" s="1"/>
  <c r="AL28" i="1" s="1"/>
  <c r="AO28" i="1" s="1"/>
  <c r="AR28" i="1" s="1"/>
  <c r="R28" i="1"/>
  <c r="P28" i="1"/>
  <c r="L28" i="1"/>
  <c r="N28" i="1" s="1"/>
  <c r="J28" i="1"/>
  <c r="K28" i="1" s="1"/>
  <c r="I28" i="1"/>
  <c r="T27" i="1"/>
  <c r="V27" i="1" s="1"/>
  <c r="X27" i="1" s="1"/>
  <c r="Z27" i="1" s="1"/>
  <c r="AB27" i="1" s="1"/>
  <c r="AD27" i="1" s="1"/>
  <c r="AF27" i="1" s="1"/>
  <c r="AH27" i="1" s="1"/>
  <c r="AJ27" i="1" s="1"/>
  <c r="AL27" i="1" s="1"/>
  <c r="AO27" i="1" s="1"/>
  <c r="AR27" i="1" s="1"/>
  <c r="R27" i="1"/>
  <c r="P27" i="1"/>
  <c r="J27" i="1"/>
  <c r="L27" i="1" s="1"/>
  <c r="N27" i="1" s="1"/>
  <c r="I27" i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AM27" i="1" s="1"/>
  <c r="V26" i="1"/>
  <c r="X26" i="1" s="1"/>
  <c r="Z26" i="1" s="1"/>
  <c r="T26" i="1"/>
  <c r="R26" i="1"/>
  <c r="P26" i="1"/>
  <c r="J26" i="1"/>
  <c r="L26" i="1" s="1"/>
  <c r="N26" i="1" s="1"/>
  <c r="I26" i="1"/>
  <c r="K26" i="1" s="1"/>
  <c r="M26" i="1" s="1"/>
  <c r="O26" i="1" s="1"/>
  <c r="Q26" i="1" s="1"/>
  <c r="S26" i="1" s="1"/>
  <c r="U26" i="1" s="1"/>
  <c r="W26" i="1" s="1"/>
  <c r="Y26" i="1" s="1"/>
  <c r="AA26" i="1" s="1"/>
  <c r="AD25" i="1"/>
  <c r="AF25" i="1" s="1"/>
  <c r="AH25" i="1" s="1"/>
  <c r="AJ25" i="1" s="1"/>
  <c r="AL25" i="1" s="1"/>
  <c r="AO25" i="1" s="1"/>
  <c r="AR25" i="1" s="1"/>
  <c r="AS25" i="1" s="1"/>
  <c r="AT25" i="1" s="1"/>
  <c r="Z25" i="1"/>
  <c r="T25" i="1"/>
  <c r="V25" i="1" s="1"/>
  <c r="L25" i="1"/>
  <c r="J25" i="1"/>
  <c r="I25" i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F24" i="1"/>
  <c r="AH24" i="1" s="1"/>
  <c r="AD24" i="1"/>
  <c r="Z24" i="1"/>
  <c r="R24" i="1"/>
  <c r="P24" i="1"/>
  <c r="L24" i="1"/>
  <c r="J24" i="1"/>
  <c r="I24" i="1"/>
  <c r="AN20" i="1"/>
  <c r="AQ20" i="1" s="1"/>
  <c r="AT20" i="1" s="1"/>
  <c r="AN19" i="1"/>
  <c r="AQ19" i="1" s="1"/>
  <c r="AT19" i="1" s="1"/>
  <c r="AN18" i="1"/>
  <c r="AQ18" i="1" s="1"/>
  <c r="AT18" i="1" s="1"/>
  <c r="AN17" i="1"/>
  <c r="AQ17" i="1" s="1"/>
  <c r="AT17" i="1" s="1"/>
  <c r="AN16" i="1"/>
  <c r="AQ16" i="1" s="1"/>
  <c r="AT16" i="1" s="1"/>
  <c r="AN15" i="1"/>
  <c r="AQ15" i="1" s="1"/>
  <c r="AT15" i="1" s="1"/>
  <c r="AN14" i="1"/>
  <c r="AQ14" i="1" s="1"/>
  <c r="AT14" i="1" s="1"/>
  <c r="AN13" i="1"/>
  <c r="AQ13" i="1" s="1"/>
  <c r="AT13" i="1" s="1"/>
  <c r="C12" i="1"/>
  <c r="C22" i="1" s="1"/>
  <c r="AQ11" i="1"/>
  <c r="AT11" i="1" s="1"/>
  <c r="AN11" i="1"/>
  <c r="AN10" i="1"/>
  <c r="AQ10" i="1" s="1"/>
  <c r="AT10" i="1" s="1"/>
  <c r="AQ9" i="1"/>
  <c r="AT9" i="1" s="1"/>
  <c r="AN9" i="1"/>
  <c r="AN8" i="1"/>
  <c r="AQ8" i="1" s="1"/>
  <c r="AT8" i="1" s="1"/>
  <c r="AN37" i="1" l="1"/>
  <c r="AQ37" i="1" s="1"/>
  <c r="AP37" i="1"/>
  <c r="AS37" i="1" s="1"/>
  <c r="AT37" i="1" s="1"/>
  <c r="AC30" i="1"/>
  <c r="AE30" i="1" s="1"/>
  <c r="AG30" i="1" s="1"/>
  <c r="AI30" i="1" s="1"/>
  <c r="AK30" i="1" s="1"/>
  <c r="AM30" i="1" s="1"/>
  <c r="AP72" i="1"/>
  <c r="AS72" i="1" s="1"/>
  <c r="AN72" i="1"/>
  <c r="AQ72" i="1" s="1"/>
  <c r="AT72" i="1" s="1"/>
  <c r="AA31" i="1"/>
  <c r="AC31" i="1" s="1"/>
  <c r="AE31" i="1" s="1"/>
  <c r="AG31" i="1" s="1"/>
  <c r="AI31" i="1" s="1"/>
  <c r="AK31" i="1" s="1"/>
  <c r="AM31" i="1" s="1"/>
  <c r="AN32" i="1"/>
  <c r="AQ32" i="1" s="1"/>
  <c r="AP32" i="1"/>
  <c r="AS32" i="1" s="1"/>
  <c r="AT32" i="1" s="1"/>
  <c r="AJ24" i="1"/>
  <c r="Z59" i="1"/>
  <c r="AP35" i="1"/>
  <c r="AS35" i="1" s="1"/>
  <c r="AT35" i="1" s="1"/>
  <c r="AN35" i="1"/>
  <c r="AQ35" i="1" s="1"/>
  <c r="AM63" i="1"/>
  <c r="AK64" i="1"/>
  <c r="AE25" i="1"/>
  <c r="AG25" i="1" s="1"/>
  <c r="AI25" i="1" s="1"/>
  <c r="AK25" i="1" s="1"/>
  <c r="AM25" i="1" s="1"/>
  <c r="AN25" i="1" s="1"/>
  <c r="AQ25" i="1" s="1"/>
  <c r="AJ121" i="1"/>
  <c r="AL110" i="1"/>
  <c r="AP82" i="1"/>
  <c r="AS82" i="1" s="1"/>
  <c r="AT82" i="1" s="1"/>
  <c r="AN82" i="1"/>
  <c r="AQ82" i="1" s="1"/>
  <c r="AP84" i="1"/>
  <c r="AS84" i="1" s="1"/>
  <c r="AT84" i="1" s="1"/>
  <c r="AN84" i="1"/>
  <c r="AQ84" i="1" s="1"/>
  <c r="AP27" i="1"/>
  <c r="AS27" i="1" s="1"/>
  <c r="AT27" i="1" s="1"/>
  <c r="AN27" i="1"/>
  <c r="AQ27" i="1" s="1"/>
  <c r="AN47" i="1"/>
  <c r="AQ47" i="1" s="1"/>
  <c r="AP47" i="1"/>
  <c r="AS47" i="1" s="1"/>
  <c r="AT47" i="1" s="1"/>
  <c r="AN78" i="1"/>
  <c r="AP79" i="1"/>
  <c r="AS79" i="1" s="1"/>
  <c r="AT79" i="1" s="1"/>
  <c r="AN79" i="1"/>
  <c r="AQ79" i="1" s="1"/>
  <c r="L59" i="1"/>
  <c r="P59" i="1"/>
  <c r="K29" i="1"/>
  <c r="M29" i="1" s="1"/>
  <c r="O29" i="1" s="1"/>
  <c r="Q29" i="1" s="1"/>
  <c r="S29" i="1" s="1"/>
  <c r="U29" i="1" s="1"/>
  <c r="W29" i="1" s="1"/>
  <c r="Y29" i="1" s="1"/>
  <c r="AA29" i="1" s="1"/>
  <c r="AC29" i="1" s="1"/>
  <c r="AE29" i="1" s="1"/>
  <c r="AG29" i="1" s="1"/>
  <c r="AI29" i="1" s="1"/>
  <c r="AK29" i="1" s="1"/>
  <c r="AM29" i="1" s="1"/>
  <c r="R59" i="1"/>
  <c r="S36" i="1"/>
  <c r="U36" i="1" s="1"/>
  <c r="W36" i="1" s="1"/>
  <c r="Y36" i="1" s="1"/>
  <c r="AA36" i="1" s="1"/>
  <c r="AC36" i="1" s="1"/>
  <c r="AE36" i="1" s="1"/>
  <c r="AG36" i="1" s="1"/>
  <c r="AI36" i="1" s="1"/>
  <c r="AK36" i="1" s="1"/>
  <c r="AM36" i="1" s="1"/>
  <c r="AK43" i="1"/>
  <c r="AM43" i="1" s="1"/>
  <c r="AN52" i="1"/>
  <c r="AQ52" i="1" s="1"/>
  <c r="AO64" i="1"/>
  <c r="AR63" i="1"/>
  <c r="AR64" i="1" s="1"/>
  <c r="AN125" i="1"/>
  <c r="AQ125" i="1" s="1"/>
  <c r="AP125" i="1"/>
  <c r="AS125" i="1" s="1"/>
  <c r="AT125" i="1" s="1"/>
  <c r="AP159" i="1"/>
  <c r="AS159" i="1" s="1"/>
  <c r="AT159" i="1" s="1"/>
  <c r="AN159" i="1"/>
  <c r="AQ159" i="1" s="1"/>
  <c r="AP184" i="1"/>
  <c r="AS184" i="1" s="1"/>
  <c r="AT184" i="1" s="1"/>
  <c r="AN184" i="1"/>
  <c r="AQ184" i="1" s="1"/>
  <c r="M28" i="1"/>
  <c r="O28" i="1" s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AK28" i="1" s="1"/>
  <c r="AM28" i="1" s="1"/>
  <c r="AM45" i="1"/>
  <c r="I59" i="1"/>
  <c r="J59" i="1"/>
  <c r="AB26" i="1"/>
  <c r="K24" i="1"/>
  <c r="T24" i="1"/>
  <c r="AE24" i="1"/>
  <c r="AG49" i="1"/>
  <c r="AI49" i="1" s="1"/>
  <c r="AK49" i="1" s="1"/>
  <c r="AM49" i="1" s="1"/>
  <c r="AN51" i="1"/>
  <c r="AQ51" i="1" s="1"/>
  <c r="N64" i="1"/>
  <c r="AH64" i="1"/>
  <c r="AP99" i="1"/>
  <c r="AS99" i="1" s="1"/>
  <c r="AT99" i="1" s="1"/>
  <c r="AN99" i="1"/>
  <c r="AQ99" i="1" s="1"/>
  <c r="AP150" i="1"/>
  <c r="AS150" i="1" s="1"/>
  <c r="AT150" i="1" s="1"/>
  <c r="AN150" i="1"/>
  <c r="AQ150" i="1" s="1"/>
  <c r="AM34" i="1"/>
  <c r="AA42" i="1"/>
  <c r="AC42" i="1" s="1"/>
  <c r="AE42" i="1" s="1"/>
  <c r="AG42" i="1" s="1"/>
  <c r="AI42" i="1" s="1"/>
  <c r="AK42" i="1" s="1"/>
  <c r="AM42" i="1" s="1"/>
  <c r="AP50" i="1"/>
  <c r="AS50" i="1" s="1"/>
  <c r="AT50" i="1" s="1"/>
  <c r="AN50" i="1"/>
  <c r="AQ50" i="1" s="1"/>
  <c r="T89" i="1"/>
  <c r="V77" i="1"/>
  <c r="AP83" i="1"/>
  <c r="AS83" i="1" s="1"/>
  <c r="AT83" i="1" s="1"/>
  <c r="AN83" i="1"/>
  <c r="AQ83" i="1" s="1"/>
  <c r="AO85" i="1"/>
  <c r="AR85" i="1" s="1"/>
  <c r="AM85" i="1"/>
  <c r="K89" i="1"/>
  <c r="W33" i="1"/>
  <c r="Y33" i="1" s="1"/>
  <c r="AA33" i="1" s="1"/>
  <c r="AC33" i="1" s="1"/>
  <c r="AE33" i="1" s="1"/>
  <c r="AG33" i="1" s="1"/>
  <c r="AI33" i="1" s="1"/>
  <c r="AK33" i="1" s="1"/>
  <c r="AM33" i="1" s="1"/>
  <c r="W38" i="1"/>
  <c r="Y38" i="1" s="1"/>
  <c r="AA38" i="1" s="1"/>
  <c r="AC38" i="1" s="1"/>
  <c r="AE38" i="1" s="1"/>
  <c r="AG38" i="1" s="1"/>
  <c r="AI38" i="1" s="1"/>
  <c r="AK38" i="1" s="1"/>
  <c r="AM38" i="1" s="1"/>
  <c r="W40" i="1"/>
  <c r="Y40" i="1" s="1"/>
  <c r="AA40" i="1" s="1"/>
  <c r="AC40" i="1" s="1"/>
  <c r="AE40" i="1" s="1"/>
  <c r="AG40" i="1" s="1"/>
  <c r="AI40" i="1" s="1"/>
  <c r="AK40" i="1" s="1"/>
  <c r="AM40" i="1" s="1"/>
  <c r="AP55" i="1"/>
  <c r="AS55" i="1" s="1"/>
  <c r="AT55" i="1" s="1"/>
  <c r="AN55" i="1"/>
  <c r="AQ55" i="1" s="1"/>
  <c r="M89" i="1"/>
  <c r="O77" i="1"/>
  <c r="AL89" i="1"/>
  <c r="AO89" i="1" s="1"/>
  <c r="AR89" i="1" s="1"/>
  <c r="AO78" i="1"/>
  <c r="AR78" i="1" s="1"/>
  <c r="AP116" i="1"/>
  <c r="AS116" i="1" s="1"/>
  <c r="AT116" i="1" s="1"/>
  <c r="AN116" i="1"/>
  <c r="AQ116" i="1" s="1"/>
  <c r="N24" i="1"/>
  <c r="N59" i="1" s="1"/>
  <c r="AA41" i="1"/>
  <c r="AC41" i="1" s="1"/>
  <c r="AE41" i="1" s="1"/>
  <c r="AG41" i="1" s="1"/>
  <c r="AI41" i="1" s="1"/>
  <c r="AK41" i="1" s="1"/>
  <c r="AM41" i="1" s="1"/>
  <c r="T64" i="1"/>
  <c r="V62" i="1"/>
  <c r="AA81" i="1"/>
  <c r="AC81" i="1" s="1"/>
  <c r="AE81" i="1" s="1"/>
  <c r="AG81" i="1" s="1"/>
  <c r="AI81" i="1" s="1"/>
  <c r="AK81" i="1" s="1"/>
  <c r="AM81" i="1" s="1"/>
  <c r="AN87" i="1"/>
  <c r="AQ87" i="1" s="1"/>
  <c r="AA96" i="1"/>
  <c r="AC96" i="1" s="1"/>
  <c r="AE96" i="1" s="1"/>
  <c r="AG96" i="1" s="1"/>
  <c r="AI96" i="1" s="1"/>
  <c r="AK96" i="1" s="1"/>
  <c r="AM96" i="1" s="1"/>
  <c r="X96" i="1"/>
  <c r="Z96" i="1" s="1"/>
  <c r="AB96" i="1" s="1"/>
  <c r="AD96" i="1" s="1"/>
  <c r="AF96" i="1" s="1"/>
  <c r="AH96" i="1" s="1"/>
  <c r="AJ96" i="1" s="1"/>
  <c r="AL96" i="1" s="1"/>
  <c r="AO96" i="1" s="1"/>
  <c r="AR96" i="1" s="1"/>
  <c r="V105" i="1"/>
  <c r="X105" i="1" s="1"/>
  <c r="AD102" i="1"/>
  <c r="AF102" i="1" s="1"/>
  <c r="AH102" i="1" s="1"/>
  <c r="AJ102" i="1" s="1"/>
  <c r="AL102" i="1" s="1"/>
  <c r="AO102" i="1" s="1"/>
  <c r="AR102" i="1" s="1"/>
  <c r="AC102" i="1"/>
  <c r="AE102" i="1" s="1"/>
  <c r="AG102" i="1" s="1"/>
  <c r="AI102" i="1" s="1"/>
  <c r="AK102" i="1" s="1"/>
  <c r="AM102" i="1" s="1"/>
  <c r="AN12" i="1"/>
  <c r="AQ12" i="1" s="1"/>
  <c r="AT12" i="1" s="1"/>
  <c r="W39" i="1"/>
  <c r="Y39" i="1" s="1"/>
  <c r="AA39" i="1" s="1"/>
  <c r="AC39" i="1" s="1"/>
  <c r="AE39" i="1" s="1"/>
  <c r="AG39" i="1" s="1"/>
  <c r="AI39" i="1" s="1"/>
  <c r="AK39" i="1" s="1"/>
  <c r="AM39" i="1" s="1"/>
  <c r="AI44" i="1"/>
  <c r="AK44" i="1" s="1"/>
  <c r="AM44" i="1" s="1"/>
  <c r="AK46" i="1"/>
  <c r="AM46" i="1" s="1"/>
  <c r="AM48" i="1"/>
  <c r="O64" i="1"/>
  <c r="N89" i="1"/>
  <c r="Y86" i="1"/>
  <c r="AA86" i="1" s="1"/>
  <c r="AC86" i="1" s="1"/>
  <c r="AE86" i="1" s="1"/>
  <c r="AG86" i="1" s="1"/>
  <c r="AI86" i="1" s="1"/>
  <c r="AK86" i="1" s="1"/>
  <c r="AM86" i="1" s="1"/>
  <c r="AR88" i="1"/>
  <c r="AS88" i="1" s="1"/>
  <c r="AT88" i="1" s="1"/>
  <c r="AQ88" i="1"/>
  <c r="AP54" i="1"/>
  <c r="AS54" i="1" s="1"/>
  <c r="AT54" i="1" s="1"/>
  <c r="L89" i="1"/>
  <c r="R105" i="1"/>
  <c r="M113" i="1"/>
  <c r="O113" i="1" s="1"/>
  <c r="Q113" i="1" s="1"/>
  <c r="S113" i="1" s="1"/>
  <c r="U113" i="1" s="1"/>
  <c r="W113" i="1" s="1"/>
  <c r="Y113" i="1" s="1"/>
  <c r="AA113" i="1" s="1"/>
  <c r="AC113" i="1" s="1"/>
  <c r="AE113" i="1" s="1"/>
  <c r="AG113" i="1" s="1"/>
  <c r="AI113" i="1" s="1"/>
  <c r="AK113" i="1" s="1"/>
  <c r="AM113" i="1" s="1"/>
  <c r="AA117" i="1"/>
  <c r="AB117" i="1"/>
  <c r="AD117" i="1" s="1"/>
  <c r="AF117" i="1" s="1"/>
  <c r="AH117" i="1" s="1"/>
  <c r="AJ117" i="1" s="1"/>
  <c r="AL117" i="1" s="1"/>
  <c r="AO117" i="1" s="1"/>
  <c r="AR117" i="1" s="1"/>
  <c r="AB118" i="1"/>
  <c r="AD118" i="1" s="1"/>
  <c r="AF118" i="1" s="1"/>
  <c r="AH118" i="1" s="1"/>
  <c r="AJ118" i="1" s="1"/>
  <c r="AL118" i="1" s="1"/>
  <c r="AO118" i="1" s="1"/>
  <c r="AA118" i="1"/>
  <c r="AC118" i="1" s="1"/>
  <c r="AE118" i="1" s="1"/>
  <c r="AG118" i="1" s="1"/>
  <c r="AI118" i="1" s="1"/>
  <c r="N124" i="1"/>
  <c r="K126" i="1"/>
  <c r="M126" i="1" s="1"/>
  <c r="O126" i="1" s="1"/>
  <c r="Q126" i="1" s="1"/>
  <c r="S126" i="1" s="1"/>
  <c r="U126" i="1" s="1"/>
  <c r="W126" i="1" s="1"/>
  <c r="Y126" i="1" s="1"/>
  <c r="AA126" i="1" s="1"/>
  <c r="AC126" i="1" s="1"/>
  <c r="AE126" i="1" s="1"/>
  <c r="AG126" i="1" s="1"/>
  <c r="AI126" i="1" s="1"/>
  <c r="AK126" i="1" s="1"/>
  <c r="AM126" i="1" s="1"/>
  <c r="M127" i="1"/>
  <c r="O127" i="1" s="1"/>
  <c r="Q127" i="1" s="1"/>
  <c r="S127" i="1" s="1"/>
  <c r="U127" i="1" s="1"/>
  <c r="W127" i="1" s="1"/>
  <c r="Y127" i="1" s="1"/>
  <c r="AA127" i="1" s="1"/>
  <c r="AC127" i="1" s="1"/>
  <c r="AE127" i="1" s="1"/>
  <c r="AG127" i="1" s="1"/>
  <c r="AI127" i="1" s="1"/>
  <c r="AK127" i="1" s="1"/>
  <c r="AM127" i="1" s="1"/>
  <c r="Y130" i="1"/>
  <c r="Z130" i="1"/>
  <c r="AB130" i="1" s="1"/>
  <c r="AD130" i="1" s="1"/>
  <c r="AF130" i="1" s="1"/>
  <c r="AH130" i="1" s="1"/>
  <c r="AJ130" i="1" s="1"/>
  <c r="AL130" i="1" s="1"/>
  <c r="AO130" i="1" s="1"/>
  <c r="AR130" i="1" s="1"/>
  <c r="AP149" i="1"/>
  <c r="AS149" i="1" s="1"/>
  <c r="AT149" i="1" s="1"/>
  <c r="AN149" i="1"/>
  <c r="AQ149" i="1" s="1"/>
  <c r="T105" i="1"/>
  <c r="AA112" i="1"/>
  <c r="AC112" i="1" s="1"/>
  <c r="AE112" i="1" s="1"/>
  <c r="AG112" i="1" s="1"/>
  <c r="AI112" i="1" s="1"/>
  <c r="AK112" i="1" s="1"/>
  <c r="AM112" i="1" s="1"/>
  <c r="AP145" i="1"/>
  <c r="AS145" i="1" s="1"/>
  <c r="AT145" i="1" s="1"/>
  <c r="AN145" i="1"/>
  <c r="AQ145" i="1" s="1"/>
  <c r="AN152" i="1"/>
  <c r="AQ152" i="1" s="1"/>
  <c r="AP152" i="1"/>
  <c r="AS152" i="1" s="1"/>
  <c r="AT152" i="1" s="1"/>
  <c r="AN53" i="1"/>
  <c r="AQ53" i="1" s="1"/>
  <c r="AN56" i="1"/>
  <c r="AQ56" i="1" s="1"/>
  <c r="K62" i="1"/>
  <c r="M62" i="1" s="1"/>
  <c r="O62" i="1" s="1"/>
  <c r="Q62" i="1" s="1"/>
  <c r="P89" i="1"/>
  <c r="N95" i="1"/>
  <c r="L105" i="1"/>
  <c r="Z105" i="1"/>
  <c r="K98" i="1"/>
  <c r="M98" i="1" s="1"/>
  <c r="O98" i="1" s="1"/>
  <c r="Q98" i="1" s="1"/>
  <c r="S98" i="1" s="1"/>
  <c r="U98" i="1" s="1"/>
  <c r="W98" i="1" s="1"/>
  <c r="Y98" i="1" s="1"/>
  <c r="AA98" i="1" s="1"/>
  <c r="AC98" i="1" s="1"/>
  <c r="AE98" i="1" s="1"/>
  <c r="AG98" i="1" s="1"/>
  <c r="AI98" i="1" s="1"/>
  <c r="AK98" i="1" s="1"/>
  <c r="AM98" i="1" s="1"/>
  <c r="L98" i="1"/>
  <c r="N98" i="1" s="1"/>
  <c r="K101" i="1"/>
  <c r="M101" i="1" s="1"/>
  <c r="O101" i="1" s="1"/>
  <c r="Q101" i="1" s="1"/>
  <c r="S101" i="1" s="1"/>
  <c r="U101" i="1" s="1"/>
  <c r="W101" i="1" s="1"/>
  <c r="Y101" i="1" s="1"/>
  <c r="AA101" i="1" s="1"/>
  <c r="AC101" i="1" s="1"/>
  <c r="AE101" i="1" s="1"/>
  <c r="AG101" i="1" s="1"/>
  <c r="AI101" i="1" s="1"/>
  <c r="AK101" i="1" s="1"/>
  <c r="AM101" i="1" s="1"/>
  <c r="L101" i="1"/>
  <c r="N101" i="1" s="1"/>
  <c r="T121" i="1"/>
  <c r="V108" i="1"/>
  <c r="N115" i="1"/>
  <c r="M115" i="1"/>
  <c r="AE128" i="1"/>
  <c r="AG128" i="1" s="1"/>
  <c r="AI128" i="1" s="1"/>
  <c r="AK128" i="1" s="1"/>
  <c r="AM128" i="1" s="1"/>
  <c r="Z141" i="1"/>
  <c r="AB141" i="1" s="1"/>
  <c r="AD141" i="1" s="1"/>
  <c r="AF141" i="1" s="1"/>
  <c r="AH141" i="1" s="1"/>
  <c r="AJ141" i="1" s="1"/>
  <c r="AL141" i="1" s="1"/>
  <c r="AO141" i="1" s="1"/>
  <c r="AR141" i="1" s="1"/>
  <c r="Y141" i="1"/>
  <c r="AA141" i="1" s="1"/>
  <c r="AC141" i="1" s="1"/>
  <c r="AE141" i="1" s="1"/>
  <c r="AG141" i="1" s="1"/>
  <c r="AI141" i="1" s="1"/>
  <c r="AK141" i="1" s="1"/>
  <c r="AM141" i="1" s="1"/>
  <c r="AN151" i="1"/>
  <c r="AQ151" i="1" s="1"/>
  <c r="AP151" i="1"/>
  <c r="AS151" i="1" s="1"/>
  <c r="AT151" i="1" s="1"/>
  <c r="K105" i="1"/>
  <c r="M95" i="1"/>
  <c r="AA109" i="1"/>
  <c r="AC109" i="1" s="1"/>
  <c r="AE109" i="1" s="1"/>
  <c r="AG109" i="1" s="1"/>
  <c r="AI109" i="1" s="1"/>
  <c r="AK109" i="1" s="1"/>
  <c r="AM109" i="1" s="1"/>
  <c r="AA110" i="1"/>
  <c r="AC110" i="1" s="1"/>
  <c r="AE110" i="1" s="1"/>
  <c r="AG110" i="1" s="1"/>
  <c r="AI110" i="1" s="1"/>
  <c r="AK110" i="1" s="1"/>
  <c r="AM110" i="1" s="1"/>
  <c r="AQ118" i="1"/>
  <c r="AH119" i="1"/>
  <c r="AG119" i="1"/>
  <c r="AI119" i="1" s="1"/>
  <c r="AK119" i="1" s="1"/>
  <c r="AM119" i="1" s="1"/>
  <c r="AN143" i="1"/>
  <c r="AQ143" i="1" s="1"/>
  <c r="AP143" i="1"/>
  <c r="AS143" i="1" s="1"/>
  <c r="AT143" i="1" s="1"/>
  <c r="R89" i="1"/>
  <c r="AJ89" i="1"/>
  <c r="M80" i="1"/>
  <c r="O80" i="1" s="1"/>
  <c r="Q80" i="1" s="1"/>
  <c r="S80" i="1" s="1"/>
  <c r="U80" i="1" s="1"/>
  <c r="W80" i="1" s="1"/>
  <c r="Y80" i="1" s="1"/>
  <c r="AA80" i="1" s="1"/>
  <c r="AC80" i="1" s="1"/>
  <c r="AE80" i="1" s="1"/>
  <c r="AG80" i="1" s="1"/>
  <c r="AI80" i="1" s="1"/>
  <c r="AK80" i="1" s="1"/>
  <c r="AM80" i="1" s="1"/>
  <c r="AF95" i="1"/>
  <c r="AD105" i="1"/>
  <c r="AA97" i="1"/>
  <c r="AC97" i="1" s="1"/>
  <c r="AE97" i="1" s="1"/>
  <c r="AG97" i="1" s="1"/>
  <c r="AI97" i="1" s="1"/>
  <c r="AK97" i="1" s="1"/>
  <c r="AM97" i="1" s="1"/>
  <c r="AA100" i="1"/>
  <c r="AC100" i="1" s="1"/>
  <c r="AE100" i="1" s="1"/>
  <c r="AG100" i="1" s="1"/>
  <c r="AI100" i="1" s="1"/>
  <c r="AK100" i="1" s="1"/>
  <c r="AM100" i="1" s="1"/>
  <c r="AB105" i="1"/>
  <c r="K111" i="1"/>
  <c r="M111" i="1" s="1"/>
  <c r="O111" i="1" s="1"/>
  <c r="Q111" i="1" s="1"/>
  <c r="S111" i="1" s="1"/>
  <c r="U111" i="1" s="1"/>
  <c r="W111" i="1" s="1"/>
  <c r="Y111" i="1" s="1"/>
  <c r="AA111" i="1" s="1"/>
  <c r="AC111" i="1" s="1"/>
  <c r="AE111" i="1" s="1"/>
  <c r="AG111" i="1" s="1"/>
  <c r="AI111" i="1" s="1"/>
  <c r="AK111" i="1" s="1"/>
  <c r="AM111" i="1" s="1"/>
  <c r="L111" i="1"/>
  <c r="N111" i="1" s="1"/>
  <c r="N121" i="1" s="1"/>
  <c r="K114" i="1"/>
  <c r="M114" i="1" s="1"/>
  <c r="O114" i="1" s="1"/>
  <c r="Q114" i="1" s="1"/>
  <c r="S114" i="1" s="1"/>
  <c r="U114" i="1" s="1"/>
  <c r="W114" i="1" s="1"/>
  <c r="Y114" i="1" s="1"/>
  <c r="AA114" i="1" s="1"/>
  <c r="AC114" i="1" s="1"/>
  <c r="AE114" i="1" s="1"/>
  <c r="AG114" i="1" s="1"/>
  <c r="AI114" i="1" s="1"/>
  <c r="AK114" i="1" s="1"/>
  <c r="AM114" i="1" s="1"/>
  <c r="L114" i="1"/>
  <c r="N114" i="1" s="1"/>
  <c r="AN136" i="1"/>
  <c r="AQ136" i="1" s="1"/>
  <c r="AP136" i="1"/>
  <c r="AS136" i="1" s="1"/>
  <c r="AT136" i="1" s="1"/>
  <c r="Z142" i="1"/>
  <c r="AB142" i="1" s="1"/>
  <c r="AD142" i="1" s="1"/>
  <c r="AF142" i="1" s="1"/>
  <c r="AH142" i="1" s="1"/>
  <c r="AJ142" i="1" s="1"/>
  <c r="AL142" i="1" s="1"/>
  <c r="AO142" i="1" s="1"/>
  <c r="AR142" i="1" s="1"/>
  <c r="Y142" i="1"/>
  <c r="AA142" i="1" s="1"/>
  <c r="AC142" i="1" s="1"/>
  <c r="AE142" i="1" s="1"/>
  <c r="AG142" i="1" s="1"/>
  <c r="AI142" i="1" s="1"/>
  <c r="AK142" i="1" s="1"/>
  <c r="AM142" i="1" s="1"/>
  <c r="AN179" i="1"/>
  <c r="AQ179" i="1" s="1"/>
  <c r="AP179" i="1"/>
  <c r="AS179" i="1" s="1"/>
  <c r="AT179" i="1" s="1"/>
  <c r="J121" i="1"/>
  <c r="P121" i="1"/>
  <c r="AH121" i="1"/>
  <c r="P170" i="1"/>
  <c r="AG154" i="1"/>
  <c r="AI154" i="1" s="1"/>
  <c r="AK154" i="1" s="1"/>
  <c r="AM154" i="1" s="1"/>
  <c r="AC156" i="1"/>
  <c r="AE156" i="1" s="1"/>
  <c r="AG156" i="1" s="1"/>
  <c r="AI156" i="1" s="1"/>
  <c r="AK156" i="1" s="1"/>
  <c r="AM156" i="1" s="1"/>
  <c r="U181" i="1"/>
  <c r="W181" i="1" s="1"/>
  <c r="Y181" i="1" s="1"/>
  <c r="AA181" i="1" s="1"/>
  <c r="AC181" i="1" s="1"/>
  <c r="AE181" i="1" s="1"/>
  <c r="AG181" i="1" s="1"/>
  <c r="AI181" i="1" s="1"/>
  <c r="AK181" i="1" s="1"/>
  <c r="AM181" i="1" s="1"/>
  <c r="Q183" i="1"/>
  <c r="S183" i="1" s="1"/>
  <c r="U183" i="1" s="1"/>
  <c r="W183" i="1" s="1"/>
  <c r="Y183" i="1" s="1"/>
  <c r="AA183" i="1" s="1"/>
  <c r="AC183" i="1" s="1"/>
  <c r="AE183" i="1" s="1"/>
  <c r="AG183" i="1" s="1"/>
  <c r="AI183" i="1" s="1"/>
  <c r="AK183" i="1" s="1"/>
  <c r="AM183" i="1" s="1"/>
  <c r="K108" i="1"/>
  <c r="I170" i="1"/>
  <c r="Z139" i="1"/>
  <c r="AB139" i="1" s="1"/>
  <c r="AD139" i="1" s="1"/>
  <c r="AF139" i="1" s="1"/>
  <c r="AH139" i="1" s="1"/>
  <c r="AJ139" i="1" s="1"/>
  <c r="AL139" i="1" s="1"/>
  <c r="AO139" i="1" s="1"/>
  <c r="AR139" i="1" s="1"/>
  <c r="Y139" i="1"/>
  <c r="AG140" i="1"/>
  <c r="AI140" i="1" s="1"/>
  <c r="AK140" i="1" s="1"/>
  <c r="AM140" i="1" s="1"/>
  <c r="U144" i="1"/>
  <c r="W144" i="1" s="1"/>
  <c r="Y144" i="1" s="1"/>
  <c r="AA144" i="1" s="1"/>
  <c r="AC144" i="1" s="1"/>
  <c r="AE144" i="1" s="1"/>
  <c r="AG144" i="1" s="1"/>
  <c r="AI144" i="1" s="1"/>
  <c r="AK144" i="1" s="1"/>
  <c r="AM144" i="1" s="1"/>
  <c r="X148" i="1"/>
  <c r="Z148" i="1" s="1"/>
  <c r="AB148" i="1" s="1"/>
  <c r="AD148" i="1" s="1"/>
  <c r="AF148" i="1" s="1"/>
  <c r="AH148" i="1" s="1"/>
  <c r="AJ148" i="1" s="1"/>
  <c r="AL148" i="1" s="1"/>
  <c r="AO148" i="1" s="1"/>
  <c r="AR148" i="1" s="1"/>
  <c r="W148" i="1"/>
  <c r="AD153" i="1"/>
  <c r="AF153" i="1" s="1"/>
  <c r="AH153" i="1" s="1"/>
  <c r="AJ153" i="1" s="1"/>
  <c r="AL153" i="1" s="1"/>
  <c r="AO153" i="1" s="1"/>
  <c r="AR153" i="1" s="1"/>
  <c r="AC153" i="1"/>
  <c r="AN161" i="1"/>
  <c r="AQ161" i="1" s="1"/>
  <c r="AP161" i="1"/>
  <c r="AS161" i="1" s="1"/>
  <c r="AT161" i="1" s="1"/>
  <c r="AN162" i="1"/>
  <c r="AQ162" i="1" s="1"/>
  <c r="AP162" i="1"/>
  <c r="AS162" i="1" s="1"/>
  <c r="AT162" i="1" s="1"/>
  <c r="S182" i="1"/>
  <c r="U182" i="1" s="1"/>
  <c r="W182" i="1" s="1"/>
  <c r="Y182" i="1" s="1"/>
  <c r="AA182" i="1" s="1"/>
  <c r="AC182" i="1" s="1"/>
  <c r="AE182" i="1" s="1"/>
  <c r="AG182" i="1" s="1"/>
  <c r="AI182" i="1" s="1"/>
  <c r="AK182" i="1" s="1"/>
  <c r="AM182" i="1" s="1"/>
  <c r="J170" i="1"/>
  <c r="R170" i="1"/>
  <c r="T124" i="1"/>
  <c r="K131" i="1"/>
  <c r="M131" i="1" s="1"/>
  <c r="O131" i="1" s="1"/>
  <c r="Q131" i="1" s="1"/>
  <c r="S131" i="1" s="1"/>
  <c r="U131" i="1" s="1"/>
  <c r="W131" i="1" s="1"/>
  <c r="Y131" i="1" s="1"/>
  <c r="AA131" i="1" s="1"/>
  <c r="AC131" i="1" s="1"/>
  <c r="AE131" i="1" s="1"/>
  <c r="AG131" i="1" s="1"/>
  <c r="AI131" i="1" s="1"/>
  <c r="AK131" i="1" s="1"/>
  <c r="AM131" i="1" s="1"/>
  <c r="AC132" i="1"/>
  <c r="AE132" i="1" s="1"/>
  <c r="AG132" i="1" s="1"/>
  <c r="AI132" i="1" s="1"/>
  <c r="AK132" i="1" s="1"/>
  <c r="AM132" i="1" s="1"/>
  <c r="L135" i="1"/>
  <c r="N135" i="1" s="1"/>
  <c r="K135" i="1"/>
  <c r="Y137" i="1"/>
  <c r="Z137" i="1"/>
  <c r="AB137" i="1" s="1"/>
  <c r="AD137" i="1" s="1"/>
  <c r="AF137" i="1" s="1"/>
  <c r="AH137" i="1" s="1"/>
  <c r="AJ137" i="1" s="1"/>
  <c r="AL137" i="1" s="1"/>
  <c r="AO137" i="1" s="1"/>
  <c r="AR137" i="1" s="1"/>
  <c r="U146" i="1"/>
  <c r="W146" i="1" s="1"/>
  <c r="Y146" i="1" s="1"/>
  <c r="AA146" i="1" s="1"/>
  <c r="AC146" i="1" s="1"/>
  <c r="AE146" i="1" s="1"/>
  <c r="AG146" i="1" s="1"/>
  <c r="AI146" i="1" s="1"/>
  <c r="AK146" i="1" s="1"/>
  <c r="AM146" i="1" s="1"/>
  <c r="AM155" i="1"/>
  <c r="O180" i="1"/>
  <c r="Q180" i="1" s="1"/>
  <c r="S180" i="1" s="1"/>
  <c r="U180" i="1" s="1"/>
  <c r="W180" i="1" s="1"/>
  <c r="Y180" i="1" s="1"/>
  <c r="AA180" i="1" s="1"/>
  <c r="AC180" i="1" s="1"/>
  <c r="AE180" i="1" s="1"/>
  <c r="AG180" i="1" s="1"/>
  <c r="AI180" i="1" s="1"/>
  <c r="AK180" i="1" s="1"/>
  <c r="AM180" i="1" s="1"/>
  <c r="AP190" i="1"/>
  <c r="AS190" i="1" s="1"/>
  <c r="AT190" i="1" s="1"/>
  <c r="AN190" i="1"/>
  <c r="AQ190" i="1" s="1"/>
  <c r="AP195" i="1"/>
  <c r="AS195" i="1" s="1"/>
  <c r="AT195" i="1" s="1"/>
  <c r="AN195" i="1"/>
  <c r="AQ195" i="1" s="1"/>
  <c r="AP197" i="1"/>
  <c r="AS197" i="1" s="1"/>
  <c r="AT197" i="1" s="1"/>
  <c r="AN197" i="1"/>
  <c r="AQ197" i="1" s="1"/>
  <c r="AP214" i="1"/>
  <c r="AS214" i="1" s="1"/>
  <c r="AT214" i="1" s="1"/>
  <c r="AN214" i="1"/>
  <c r="AQ214" i="1" s="1"/>
  <c r="K124" i="1"/>
  <c r="O134" i="1"/>
  <c r="Q134" i="1" s="1"/>
  <c r="S134" i="1" s="1"/>
  <c r="U134" i="1" s="1"/>
  <c r="W134" i="1" s="1"/>
  <c r="Y134" i="1" s="1"/>
  <c r="AA134" i="1" s="1"/>
  <c r="AC134" i="1" s="1"/>
  <c r="AE134" i="1" s="1"/>
  <c r="AG134" i="1" s="1"/>
  <c r="AI134" i="1" s="1"/>
  <c r="AK134" i="1" s="1"/>
  <c r="AM134" i="1" s="1"/>
  <c r="O139" i="1"/>
  <c r="Q139" i="1" s="1"/>
  <c r="S139" i="1" s="1"/>
  <c r="U139" i="1" s="1"/>
  <c r="AK160" i="1"/>
  <c r="AM160" i="1" s="1"/>
  <c r="AP165" i="1"/>
  <c r="AS165" i="1" s="1"/>
  <c r="AT165" i="1" s="1"/>
  <c r="AN165" i="1"/>
  <c r="AQ165" i="1" s="1"/>
  <c r="AM178" i="1"/>
  <c r="M129" i="1"/>
  <c r="O129" i="1" s="1"/>
  <c r="Q129" i="1" s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AM129" i="1" s="1"/>
  <c r="M133" i="1"/>
  <c r="O133" i="1" s="1"/>
  <c r="Q133" i="1" s="1"/>
  <c r="S133" i="1" s="1"/>
  <c r="U133" i="1" s="1"/>
  <c r="W133" i="1" s="1"/>
  <c r="Y133" i="1" s="1"/>
  <c r="AA133" i="1" s="1"/>
  <c r="AC133" i="1" s="1"/>
  <c r="AE133" i="1" s="1"/>
  <c r="AG133" i="1" s="1"/>
  <c r="AI133" i="1" s="1"/>
  <c r="AK133" i="1" s="1"/>
  <c r="AM133" i="1" s="1"/>
  <c r="M136" i="1"/>
  <c r="O136" i="1" s="1"/>
  <c r="Q136" i="1" s="1"/>
  <c r="S136" i="1" s="1"/>
  <c r="U136" i="1" s="1"/>
  <c r="AA147" i="1"/>
  <c r="AC147" i="1" s="1"/>
  <c r="AE147" i="1" s="1"/>
  <c r="AG147" i="1" s="1"/>
  <c r="AI147" i="1" s="1"/>
  <c r="AK147" i="1" s="1"/>
  <c r="AM147" i="1" s="1"/>
  <c r="AG157" i="1"/>
  <c r="AI157" i="1" s="1"/>
  <c r="AK157" i="1" s="1"/>
  <c r="AM157" i="1" s="1"/>
  <c r="K138" i="1"/>
  <c r="M138" i="1" s="1"/>
  <c r="O138" i="1" s="1"/>
  <c r="Q138" i="1" s="1"/>
  <c r="S138" i="1" s="1"/>
  <c r="U138" i="1" s="1"/>
  <c r="W138" i="1" s="1"/>
  <c r="Y138" i="1" s="1"/>
  <c r="AA138" i="1" s="1"/>
  <c r="AC138" i="1" s="1"/>
  <c r="AE138" i="1" s="1"/>
  <c r="AG138" i="1" s="1"/>
  <c r="AI138" i="1" s="1"/>
  <c r="AK138" i="1" s="1"/>
  <c r="AM138" i="1" s="1"/>
  <c r="K176" i="1"/>
  <c r="I208" i="1"/>
  <c r="K177" i="1"/>
  <c r="M177" i="1" s="1"/>
  <c r="O177" i="1" s="1"/>
  <c r="Q177" i="1" s="1"/>
  <c r="S177" i="1" s="1"/>
  <c r="U177" i="1" s="1"/>
  <c r="W177" i="1" s="1"/>
  <c r="Y177" i="1" s="1"/>
  <c r="AA177" i="1" s="1"/>
  <c r="AC177" i="1" s="1"/>
  <c r="AE177" i="1" s="1"/>
  <c r="AG177" i="1" s="1"/>
  <c r="AI177" i="1" s="1"/>
  <c r="AK177" i="1" s="1"/>
  <c r="AM177" i="1" s="1"/>
  <c r="Q186" i="1"/>
  <c r="S186" i="1" s="1"/>
  <c r="U186" i="1" s="1"/>
  <c r="W186" i="1" s="1"/>
  <c r="Y186" i="1" s="1"/>
  <c r="AA186" i="1" s="1"/>
  <c r="AC186" i="1" s="1"/>
  <c r="AE186" i="1" s="1"/>
  <c r="AG186" i="1" s="1"/>
  <c r="AI186" i="1" s="1"/>
  <c r="AK186" i="1" s="1"/>
  <c r="AM186" i="1" s="1"/>
  <c r="AP200" i="1"/>
  <c r="AS200" i="1" s="1"/>
  <c r="AT200" i="1" s="1"/>
  <c r="AN200" i="1"/>
  <c r="AQ200" i="1" s="1"/>
  <c r="L176" i="1"/>
  <c r="W192" i="1"/>
  <c r="Y192" i="1" s="1"/>
  <c r="AA192" i="1" s="1"/>
  <c r="AC192" i="1" s="1"/>
  <c r="AE192" i="1" s="1"/>
  <c r="AG192" i="1" s="1"/>
  <c r="AI192" i="1" s="1"/>
  <c r="AK192" i="1" s="1"/>
  <c r="AM192" i="1" s="1"/>
  <c r="AP249" i="1"/>
  <c r="AS249" i="1" s="1"/>
  <c r="AT249" i="1" s="1"/>
  <c r="AN249" i="1"/>
  <c r="AQ249" i="1" s="1"/>
  <c r="AP248" i="1"/>
  <c r="AS248" i="1" s="1"/>
  <c r="AT248" i="1" s="1"/>
  <c r="AN248" i="1"/>
  <c r="AQ248" i="1" s="1"/>
  <c r="AP194" i="1"/>
  <c r="AS194" i="1" s="1"/>
  <c r="AT194" i="1" s="1"/>
  <c r="AN194" i="1"/>
  <c r="AQ194" i="1" s="1"/>
  <c r="AP163" i="1"/>
  <c r="AS163" i="1" s="1"/>
  <c r="AT163" i="1" s="1"/>
  <c r="R208" i="1"/>
  <c r="T176" i="1"/>
  <c r="M185" i="1"/>
  <c r="O185" i="1" s="1"/>
  <c r="Q185" i="1" s="1"/>
  <c r="S185" i="1" s="1"/>
  <c r="U185" i="1" s="1"/>
  <c r="W185" i="1" s="1"/>
  <c r="Y185" i="1" s="1"/>
  <c r="AA185" i="1" s="1"/>
  <c r="AC185" i="1" s="1"/>
  <c r="AE185" i="1" s="1"/>
  <c r="AG185" i="1" s="1"/>
  <c r="AI185" i="1" s="1"/>
  <c r="AK185" i="1" s="1"/>
  <c r="AM185" i="1" s="1"/>
  <c r="AP189" i="1"/>
  <c r="AS189" i="1" s="1"/>
  <c r="AT189" i="1" s="1"/>
  <c r="AN189" i="1"/>
  <c r="AQ189" i="1" s="1"/>
  <c r="AN250" i="1"/>
  <c r="AQ250" i="1" s="1"/>
  <c r="AP250" i="1"/>
  <c r="AS250" i="1" s="1"/>
  <c r="AT250" i="1" s="1"/>
  <c r="AD158" i="1"/>
  <c r="AF158" i="1" s="1"/>
  <c r="AH158" i="1" s="1"/>
  <c r="AJ158" i="1" s="1"/>
  <c r="AL158" i="1" s="1"/>
  <c r="AO158" i="1" s="1"/>
  <c r="AR158" i="1" s="1"/>
  <c r="AC158" i="1"/>
  <c r="AE158" i="1" s="1"/>
  <c r="AG158" i="1" s="1"/>
  <c r="AI158" i="1" s="1"/>
  <c r="AK158" i="1" s="1"/>
  <c r="AM158" i="1" s="1"/>
  <c r="AP166" i="1"/>
  <c r="AS166" i="1" s="1"/>
  <c r="AT166" i="1" s="1"/>
  <c r="AN166" i="1"/>
  <c r="AQ166" i="1" s="1"/>
  <c r="AG187" i="1"/>
  <c r="AI187" i="1" s="1"/>
  <c r="AK187" i="1" s="1"/>
  <c r="AM187" i="1" s="1"/>
  <c r="U188" i="1"/>
  <c r="W188" i="1" s="1"/>
  <c r="Y188" i="1" s="1"/>
  <c r="AA188" i="1" s="1"/>
  <c r="AC188" i="1" s="1"/>
  <c r="AE188" i="1" s="1"/>
  <c r="AG188" i="1" s="1"/>
  <c r="AI188" i="1" s="1"/>
  <c r="AK188" i="1" s="1"/>
  <c r="AM188" i="1" s="1"/>
  <c r="AP196" i="1"/>
  <c r="AS196" i="1" s="1"/>
  <c r="AT196" i="1" s="1"/>
  <c r="AN196" i="1"/>
  <c r="AQ196" i="1" s="1"/>
  <c r="AD198" i="1"/>
  <c r="AF198" i="1" s="1"/>
  <c r="AH198" i="1" s="1"/>
  <c r="AJ198" i="1" s="1"/>
  <c r="AL198" i="1" s="1"/>
  <c r="AO198" i="1" s="1"/>
  <c r="AR198" i="1" s="1"/>
  <c r="AC198" i="1"/>
  <c r="AE198" i="1" s="1"/>
  <c r="AG198" i="1" s="1"/>
  <c r="AI198" i="1" s="1"/>
  <c r="AK198" i="1" s="1"/>
  <c r="AM198" i="1" s="1"/>
  <c r="AI199" i="1"/>
  <c r="AK199" i="1" s="1"/>
  <c r="AM199" i="1" s="1"/>
  <c r="AI201" i="1"/>
  <c r="AK201" i="1" s="1"/>
  <c r="AM201" i="1" s="1"/>
  <c r="AP204" i="1"/>
  <c r="AS204" i="1" s="1"/>
  <c r="AT204" i="1" s="1"/>
  <c r="AN204" i="1"/>
  <c r="AQ204" i="1" s="1"/>
  <c r="S232" i="1"/>
  <c r="AI261" i="1"/>
  <c r="AK261" i="1" s="1"/>
  <c r="AM261" i="1" s="1"/>
  <c r="U232" i="1"/>
  <c r="W211" i="1"/>
  <c r="AC213" i="1"/>
  <c r="AE213" i="1" s="1"/>
  <c r="AG213" i="1" s="1"/>
  <c r="AI213" i="1" s="1"/>
  <c r="AK213" i="1" s="1"/>
  <c r="AM213" i="1" s="1"/>
  <c r="AG215" i="1"/>
  <c r="AI215" i="1" s="1"/>
  <c r="AK215" i="1" s="1"/>
  <c r="AM215" i="1" s="1"/>
  <c r="AS223" i="1"/>
  <c r="AT223" i="1" s="1"/>
  <c r="AQ228" i="1"/>
  <c r="J273" i="1"/>
  <c r="AE254" i="1"/>
  <c r="AG254" i="1" s="1"/>
  <c r="AI254" i="1" s="1"/>
  <c r="AK254" i="1" s="1"/>
  <c r="AM254" i="1" s="1"/>
  <c r="AK255" i="1"/>
  <c r="AM255" i="1" s="1"/>
  <c r="AN256" i="1"/>
  <c r="AQ256" i="1" s="1"/>
  <c r="AP256" i="1"/>
  <c r="AS256" i="1" s="1"/>
  <c r="AT256" i="1" s="1"/>
  <c r="Z260" i="1"/>
  <c r="AB260" i="1" s="1"/>
  <c r="AD260" i="1" s="1"/>
  <c r="AF260" i="1" s="1"/>
  <c r="AH260" i="1" s="1"/>
  <c r="AJ260" i="1" s="1"/>
  <c r="AL260" i="1" s="1"/>
  <c r="AO260" i="1" s="1"/>
  <c r="AR260" i="1" s="1"/>
  <c r="Y260" i="1"/>
  <c r="V278" i="1"/>
  <c r="T285" i="1"/>
  <c r="AN297" i="1"/>
  <c r="AQ297" i="1" s="1"/>
  <c r="AT297" i="1" s="1"/>
  <c r="AP297" i="1"/>
  <c r="AS297" i="1" s="1"/>
  <c r="S191" i="1"/>
  <c r="U191" i="1" s="1"/>
  <c r="W191" i="1" s="1"/>
  <c r="Y191" i="1" s="1"/>
  <c r="AA191" i="1" s="1"/>
  <c r="AC191" i="1" s="1"/>
  <c r="AE191" i="1" s="1"/>
  <c r="AG191" i="1" s="1"/>
  <c r="AI191" i="1" s="1"/>
  <c r="AK191" i="1" s="1"/>
  <c r="AM191" i="1" s="1"/>
  <c r="AO203" i="1"/>
  <c r="AR203" i="1" s="1"/>
  <c r="AM203" i="1"/>
  <c r="V232" i="1"/>
  <c r="X211" i="1"/>
  <c r="AN216" i="1"/>
  <c r="AQ216" i="1" s="1"/>
  <c r="AP217" i="1"/>
  <c r="AS217" i="1" s="1"/>
  <c r="AT217" i="1" s="1"/>
  <c r="AN217" i="1"/>
  <c r="AQ217" i="1" s="1"/>
  <c r="AM220" i="1"/>
  <c r="AP228" i="1"/>
  <c r="AS228" i="1" s="1"/>
  <c r="AT228" i="1" s="1"/>
  <c r="M244" i="1"/>
  <c r="O244" i="1" s="1"/>
  <c r="Q244" i="1" s="1"/>
  <c r="S244" i="1" s="1"/>
  <c r="U244" i="1" s="1"/>
  <c r="W244" i="1" s="1"/>
  <c r="Y244" i="1" s="1"/>
  <c r="AA244" i="1" s="1"/>
  <c r="AC244" i="1" s="1"/>
  <c r="AE244" i="1" s="1"/>
  <c r="AG244" i="1" s="1"/>
  <c r="AI244" i="1" s="1"/>
  <c r="AK244" i="1" s="1"/>
  <c r="AM244" i="1" s="1"/>
  <c r="Y257" i="1"/>
  <c r="AA257" i="1" s="1"/>
  <c r="AC257" i="1" s="1"/>
  <c r="AE257" i="1" s="1"/>
  <c r="AG257" i="1" s="1"/>
  <c r="AI257" i="1" s="1"/>
  <c r="AK257" i="1" s="1"/>
  <c r="AM257" i="1" s="1"/>
  <c r="AP265" i="1"/>
  <c r="AS265" i="1" s="1"/>
  <c r="AT265" i="1" s="1"/>
  <c r="AN265" i="1"/>
  <c r="AQ265" i="1" s="1"/>
  <c r="W277" i="1"/>
  <c r="AQ205" i="1"/>
  <c r="AP205" i="1"/>
  <c r="AS205" i="1" s="1"/>
  <c r="AT205" i="1" s="1"/>
  <c r="AS225" i="1"/>
  <c r="AT225" i="1" s="1"/>
  <c r="AO227" i="1"/>
  <c r="AR227" i="1" s="1"/>
  <c r="AS227" i="1" s="1"/>
  <c r="AT227" i="1" s="1"/>
  <c r="AM227" i="1"/>
  <c r="AN227" i="1" s="1"/>
  <c r="AQ227" i="1" s="1"/>
  <c r="K243" i="1"/>
  <c r="M243" i="1" s="1"/>
  <c r="O243" i="1" s="1"/>
  <c r="Q243" i="1" s="1"/>
  <c r="S243" i="1" s="1"/>
  <c r="U243" i="1" s="1"/>
  <c r="W243" i="1" s="1"/>
  <c r="Y243" i="1" s="1"/>
  <c r="AA243" i="1" s="1"/>
  <c r="AC243" i="1" s="1"/>
  <c r="AE243" i="1" s="1"/>
  <c r="AG243" i="1" s="1"/>
  <c r="AI243" i="1" s="1"/>
  <c r="AK243" i="1" s="1"/>
  <c r="AM243" i="1" s="1"/>
  <c r="S247" i="1"/>
  <c r="U247" i="1" s="1"/>
  <c r="W247" i="1" s="1"/>
  <c r="Y247" i="1" s="1"/>
  <c r="AA247" i="1" s="1"/>
  <c r="AC247" i="1" s="1"/>
  <c r="AE247" i="1" s="1"/>
  <c r="AG247" i="1" s="1"/>
  <c r="AI247" i="1" s="1"/>
  <c r="AK247" i="1" s="1"/>
  <c r="AM247" i="1" s="1"/>
  <c r="AN262" i="1"/>
  <c r="AQ262" i="1" s="1"/>
  <c r="AP262" i="1"/>
  <c r="AS262" i="1" s="1"/>
  <c r="AT262" i="1" s="1"/>
  <c r="W193" i="1"/>
  <c r="Y193" i="1" s="1"/>
  <c r="AA193" i="1" s="1"/>
  <c r="AC193" i="1" s="1"/>
  <c r="AE193" i="1" s="1"/>
  <c r="AG193" i="1" s="1"/>
  <c r="AI193" i="1" s="1"/>
  <c r="AK193" i="1" s="1"/>
  <c r="AM193" i="1" s="1"/>
  <c r="W212" i="1"/>
  <c r="Y212" i="1" s="1"/>
  <c r="AA212" i="1" s="1"/>
  <c r="AC212" i="1" s="1"/>
  <c r="AE212" i="1" s="1"/>
  <c r="AG212" i="1" s="1"/>
  <c r="AI212" i="1" s="1"/>
  <c r="AK212" i="1" s="1"/>
  <c r="AP218" i="1"/>
  <c r="AS218" i="1" s="1"/>
  <c r="AT218" i="1" s="1"/>
  <c r="AN218" i="1"/>
  <c r="AQ218" i="1" s="1"/>
  <c r="AP229" i="1"/>
  <c r="AS229" i="1" s="1"/>
  <c r="AT229" i="1" s="1"/>
  <c r="AN229" i="1"/>
  <c r="AQ229" i="1" s="1"/>
  <c r="AP232" i="1"/>
  <c r="AS232" i="1" s="1"/>
  <c r="AR232" i="1"/>
  <c r="AQ232" i="1"/>
  <c r="AT232" i="1" s="1"/>
  <c r="K242" i="1"/>
  <c r="M242" i="1" s="1"/>
  <c r="O242" i="1" s="1"/>
  <c r="Q242" i="1" s="1"/>
  <c r="S242" i="1" s="1"/>
  <c r="U242" i="1" s="1"/>
  <c r="W242" i="1" s="1"/>
  <c r="Y242" i="1" s="1"/>
  <c r="AA242" i="1" s="1"/>
  <c r="AC242" i="1" s="1"/>
  <c r="AE242" i="1" s="1"/>
  <c r="AG242" i="1" s="1"/>
  <c r="AI242" i="1" s="1"/>
  <c r="AK242" i="1" s="1"/>
  <c r="AM242" i="1" s="1"/>
  <c r="I273" i="1"/>
  <c r="AA245" i="1"/>
  <c r="AC245" i="1" s="1"/>
  <c r="AE245" i="1" s="1"/>
  <c r="AG245" i="1" s="1"/>
  <c r="AI245" i="1" s="1"/>
  <c r="AK245" i="1" s="1"/>
  <c r="AM245" i="1" s="1"/>
  <c r="AP202" i="1"/>
  <c r="AS202" i="1" s="1"/>
  <c r="AT202" i="1" s="1"/>
  <c r="AN202" i="1"/>
  <c r="AQ202" i="1" s="1"/>
  <c r="AP219" i="1"/>
  <c r="AS219" i="1" s="1"/>
  <c r="AT219" i="1" s="1"/>
  <c r="AN219" i="1"/>
  <c r="AQ219" i="1" s="1"/>
  <c r="AP251" i="1"/>
  <c r="AS251" i="1" s="1"/>
  <c r="AT251" i="1" s="1"/>
  <c r="AN251" i="1"/>
  <c r="AQ251" i="1" s="1"/>
  <c r="AJ264" i="1"/>
  <c r="AL264" i="1" s="1"/>
  <c r="AO264" i="1" s="1"/>
  <c r="AR264" i="1" s="1"/>
  <c r="AI264" i="1"/>
  <c r="AM222" i="1"/>
  <c r="AM224" i="1"/>
  <c r="AM226" i="1"/>
  <c r="AN226" i="1" s="1"/>
  <c r="AQ226" i="1" s="1"/>
  <c r="L241" i="1"/>
  <c r="W258" i="1"/>
  <c r="Y258" i="1" s="1"/>
  <c r="AA258" i="1" s="1"/>
  <c r="AC258" i="1" s="1"/>
  <c r="AE258" i="1" s="1"/>
  <c r="AG258" i="1" s="1"/>
  <c r="AI258" i="1" s="1"/>
  <c r="AK258" i="1" s="1"/>
  <c r="AM258" i="1" s="1"/>
  <c r="AN266" i="1"/>
  <c r="AQ266" i="1" s="1"/>
  <c r="R285" i="1"/>
  <c r="S278" i="1"/>
  <c r="U278" i="1" s="1"/>
  <c r="Y279" i="1"/>
  <c r="AA279" i="1" s="1"/>
  <c r="AC279" i="1" s="1"/>
  <c r="AE279" i="1" s="1"/>
  <c r="AG279" i="1" s="1"/>
  <c r="AI279" i="1" s="1"/>
  <c r="AK279" i="1" s="1"/>
  <c r="AM279" i="1" s="1"/>
  <c r="X279" i="1"/>
  <c r="Z279" i="1" s="1"/>
  <c r="AB279" i="1" s="1"/>
  <c r="AD279" i="1" s="1"/>
  <c r="AF279" i="1" s="1"/>
  <c r="AD283" i="1"/>
  <c r="AF283" i="1" s="1"/>
  <c r="AH283" i="1" s="1"/>
  <c r="AJ283" i="1" s="1"/>
  <c r="AL283" i="1" s="1"/>
  <c r="AO283" i="1" s="1"/>
  <c r="AR283" i="1" s="1"/>
  <c r="AC283" i="1"/>
  <c r="U291" i="1"/>
  <c r="W291" i="1" s="1"/>
  <c r="Y291" i="1" s="1"/>
  <c r="AA291" i="1" s="1"/>
  <c r="AC291" i="1" s="1"/>
  <c r="AE291" i="1" s="1"/>
  <c r="AG291" i="1" s="1"/>
  <c r="AI291" i="1" s="1"/>
  <c r="AK291" i="1" s="1"/>
  <c r="AM291" i="1" s="1"/>
  <c r="AC295" i="1"/>
  <c r="AE295" i="1" s="1"/>
  <c r="AG295" i="1" s="1"/>
  <c r="AI295" i="1" s="1"/>
  <c r="AK295" i="1" s="1"/>
  <c r="AM295" i="1" s="1"/>
  <c r="AC296" i="1"/>
  <c r="AE296" i="1" s="1"/>
  <c r="AG296" i="1" s="1"/>
  <c r="AI296" i="1" s="1"/>
  <c r="AK296" i="1" s="1"/>
  <c r="AM296" i="1" s="1"/>
  <c r="P273" i="1"/>
  <c r="J285" i="1"/>
  <c r="K280" i="1"/>
  <c r="M280" i="1" s="1"/>
  <c r="O280" i="1" s="1"/>
  <c r="Q280" i="1" s="1"/>
  <c r="S280" i="1" s="1"/>
  <c r="U280" i="1" s="1"/>
  <c r="W280" i="1" s="1"/>
  <c r="Y280" i="1" s="1"/>
  <c r="AA280" i="1" s="1"/>
  <c r="AC280" i="1" s="1"/>
  <c r="AE280" i="1" s="1"/>
  <c r="AG280" i="1" s="1"/>
  <c r="AI280" i="1" s="1"/>
  <c r="AK280" i="1" s="1"/>
  <c r="AM280" i="1" s="1"/>
  <c r="AN299" i="1"/>
  <c r="AQ299" i="1" s="1"/>
  <c r="AT299" i="1" s="1"/>
  <c r="AP299" i="1"/>
  <c r="AS299" i="1" s="1"/>
  <c r="AN302" i="1"/>
  <c r="AQ302" i="1" s="1"/>
  <c r="AT302" i="1" s="1"/>
  <c r="AP302" i="1"/>
  <c r="AS302" i="1" s="1"/>
  <c r="AN303" i="1"/>
  <c r="AQ303" i="1" s="1"/>
  <c r="AT303" i="1" s="1"/>
  <c r="AP303" i="1"/>
  <c r="AS303" i="1" s="1"/>
  <c r="M253" i="1"/>
  <c r="O253" i="1" s="1"/>
  <c r="Q253" i="1" s="1"/>
  <c r="S253" i="1" s="1"/>
  <c r="U253" i="1" s="1"/>
  <c r="W253" i="1" s="1"/>
  <c r="Y253" i="1" s="1"/>
  <c r="AA253" i="1" s="1"/>
  <c r="AC253" i="1" s="1"/>
  <c r="AE253" i="1" s="1"/>
  <c r="AG253" i="1" s="1"/>
  <c r="AI253" i="1" s="1"/>
  <c r="AK253" i="1" s="1"/>
  <c r="AM253" i="1" s="1"/>
  <c r="W259" i="1"/>
  <c r="Y259" i="1" s="1"/>
  <c r="AA259" i="1" s="1"/>
  <c r="AC259" i="1" s="1"/>
  <c r="AE259" i="1" s="1"/>
  <c r="AG259" i="1" s="1"/>
  <c r="AI259" i="1" s="1"/>
  <c r="AK259" i="1" s="1"/>
  <c r="AM259" i="1" s="1"/>
  <c r="N285" i="1"/>
  <c r="R273" i="1"/>
  <c r="T241" i="1"/>
  <c r="K252" i="1"/>
  <c r="M252" i="1" s="1"/>
  <c r="O252" i="1" s="1"/>
  <c r="Q252" i="1" s="1"/>
  <c r="S252" i="1" s="1"/>
  <c r="U252" i="1" s="1"/>
  <c r="W252" i="1" s="1"/>
  <c r="Y252" i="1" s="1"/>
  <c r="AA252" i="1" s="1"/>
  <c r="AC252" i="1" s="1"/>
  <c r="AE252" i="1" s="1"/>
  <c r="AG252" i="1" s="1"/>
  <c r="AI252" i="1" s="1"/>
  <c r="AK252" i="1" s="1"/>
  <c r="AM252" i="1" s="1"/>
  <c r="AE263" i="1"/>
  <c r="AG263" i="1" s="1"/>
  <c r="AI263" i="1" s="1"/>
  <c r="AK263" i="1" s="1"/>
  <c r="AM263" i="1" s="1"/>
  <c r="AF285" i="1"/>
  <c r="Q281" i="1"/>
  <c r="S281" i="1" s="1"/>
  <c r="U281" i="1" s="1"/>
  <c r="W281" i="1" s="1"/>
  <c r="Y281" i="1" s="1"/>
  <c r="AA281" i="1" s="1"/>
  <c r="AC281" i="1" s="1"/>
  <c r="AE281" i="1" s="1"/>
  <c r="AG281" i="1" s="1"/>
  <c r="AI281" i="1" s="1"/>
  <c r="AK281" i="1" s="1"/>
  <c r="AM281" i="1" s="1"/>
  <c r="K273" i="1"/>
  <c r="AP268" i="1"/>
  <c r="AS268" i="1" s="1"/>
  <c r="AT268" i="1" s="1"/>
  <c r="AN268" i="1"/>
  <c r="AQ268" i="1" s="1"/>
  <c r="AH285" i="1"/>
  <c r="AJ277" i="1"/>
  <c r="AP294" i="1"/>
  <c r="AS294" i="1" s="1"/>
  <c r="AN294" i="1"/>
  <c r="AQ294" i="1" s="1"/>
  <c r="AT294" i="1" s="1"/>
  <c r="AN304" i="1"/>
  <c r="AQ304" i="1" s="1"/>
  <c r="AT304" i="1" s="1"/>
  <c r="AP304" i="1"/>
  <c r="AS304" i="1" s="1"/>
  <c r="V290" i="1"/>
  <c r="Z285" i="1"/>
  <c r="AQ269" i="1"/>
  <c r="N279" i="1"/>
  <c r="M279" i="1"/>
  <c r="O279" i="1" s="1"/>
  <c r="Q279" i="1" s="1"/>
  <c r="S279" i="1" s="1"/>
  <c r="U279" i="1" s="1"/>
  <c r="U285" i="1" s="1"/>
  <c r="I315" i="1"/>
  <c r="K290" i="1"/>
  <c r="R315" i="1"/>
  <c r="T291" i="1"/>
  <c r="V291" i="1" s="1"/>
  <c r="X291" i="1" s="1"/>
  <c r="Z291" i="1" s="1"/>
  <c r="AB291" i="1" s="1"/>
  <c r="AD291" i="1" s="1"/>
  <c r="AF291" i="1" s="1"/>
  <c r="AH291" i="1" s="1"/>
  <c r="AJ291" i="1" s="1"/>
  <c r="AL291" i="1" s="1"/>
  <c r="AO291" i="1" s="1"/>
  <c r="AR291" i="1" s="1"/>
  <c r="O292" i="1"/>
  <c r="Q292" i="1" s="1"/>
  <c r="S292" i="1" s="1"/>
  <c r="U292" i="1" s="1"/>
  <c r="W292" i="1" s="1"/>
  <c r="Y292" i="1" s="1"/>
  <c r="AA292" i="1" s="1"/>
  <c r="AC292" i="1" s="1"/>
  <c r="AE292" i="1" s="1"/>
  <c r="AG292" i="1" s="1"/>
  <c r="AI292" i="1" s="1"/>
  <c r="AK292" i="1" s="1"/>
  <c r="AM292" i="1" s="1"/>
  <c r="M293" i="1"/>
  <c r="O293" i="1" s="1"/>
  <c r="Q293" i="1" s="1"/>
  <c r="S293" i="1" s="1"/>
  <c r="U293" i="1" s="1"/>
  <c r="W293" i="1" s="1"/>
  <c r="Y293" i="1" s="1"/>
  <c r="AA293" i="1" s="1"/>
  <c r="AC293" i="1" s="1"/>
  <c r="AE293" i="1" s="1"/>
  <c r="AG293" i="1" s="1"/>
  <c r="AI293" i="1" s="1"/>
  <c r="AK293" i="1" s="1"/>
  <c r="AM293" i="1" s="1"/>
  <c r="AP267" i="1"/>
  <c r="AS267" i="1" s="1"/>
  <c r="AT267" i="1" s="1"/>
  <c r="AP270" i="1"/>
  <c r="AS270" i="1" s="1"/>
  <c r="AQ270" i="1"/>
  <c r="AT270" i="1" s="1"/>
  <c r="M298" i="1"/>
  <c r="O298" i="1" s="1"/>
  <c r="Q298" i="1" s="1"/>
  <c r="S298" i="1" s="1"/>
  <c r="U298" i="1" s="1"/>
  <c r="W298" i="1" s="1"/>
  <c r="Y298" i="1" s="1"/>
  <c r="AA298" i="1" s="1"/>
  <c r="AC298" i="1" s="1"/>
  <c r="AE298" i="1" s="1"/>
  <c r="AG298" i="1" s="1"/>
  <c r="AI298" i="1" s="1"/>
  <c r="AK298" i="1" s="1"/>
  <c r="AM298" i="1" s="1"/>
  <c r="S323" i="1"/>
  <c r="U323" i="1" s="1"/>
  <c r="W323" i="1" s="1"/>
  <c r="Y323" i="1" s="1"/>
  <c r="AA323" i="1" s="1"/>
  <c r="AC323" i="1" s="1"/>
  <c r="AE323" i="1" s="1"/>
  <c r="AG323" i="1" s="1"/>
  <c r="AI323" i="1" s="1"/>
  <c r="AK323" i="1" s="1"/>
  <c r="AM323" i="1" s="1"/>
  <c r="AP326" i="1"/>
  <c r="AS326" i="1" s="1"/>
  <c r="AN326" i="1"/>
  <c r="AQ326" i="1" s="1"/>
  <c r="AT326" i="1" s="1"/>
  <c r="AD282" i="1"/>
  <c r="AF282" i="1" s="1"/>
  <c r="AH282" i="1" s="1"/>
  <c r="AJ282" i="1" s="1"/>
  <c r="AL282" i="1" s="1"/>
  <c r="AO282" i="1" s="1"/>
  <c r="AR282" i="1" s="1"/>
  <c r="AC282" i="1"/>
  <c r="AE282" i="1" s="1"/>
  <c r="AG282" i="1" s="1"/>
  <c r="AI282" i="1" s="1"/>
  <c r="AK282" i="1" s="1"/>
  <c r="AM282" i="1" s="1"/>
  <c r="U300" i="1"/>
  <c r="W300" i="1" s="1"/>
  <c r="Y300" i="1" s="1"/>
  <c r="AA300" i="1" s="1"/>
  <c r="AC300" i="1" s="1"/>
  <c r="AE300" i="1" s="1"/>
  <c r="AG300" i="1" s="1"/>
  <c r="AI300" i="1" s="1"/>
  <c r="AK300" i="1" s="1"/>
  <c r="AM300" i="1" s="1"/>
  <c r="AN328" i="1"/>
  <c r="AQ328" i="1" s="1"/>
  <c r="AT328" i="1" s="1"/>
  <c r="AP328" i="1"/>
  <c r="AS328" i="1" s="1"/>
  <c r="AN365" i="1"/>
  <c r="AQ365" i="1" s="1"/>
  <c r="AT365" i="1" s="1"/>
  <c r="AP365" i="1"/>
  <c r="AS365" i="1" s="1"/>
  <c r="AP367" i="1"/>
  <c r="AS367" i="1" s="1"/>
  <c r="AN367" i="1"/>
  <c r="AQ367" i="1" s="1"/>
  <c r="AT367" i="1" s="1"/>
  <c r="AN369" i="1"/>
  <c r="AP305" i="1"/>
  <c r="AS305" i="1" s="1"/>
  <c r="AN305" i="1"/>
  <c r="AQ305" i="1" s="1"/>
  <c r="AT305" i="1" s="1"/>
  <c r="AN307" i="1"/>
  <c r="AQ307" i="1" s="1"/>
  <c r="AT307" i="1" s="1"/>
  <c r="AP307" i="1"/>
  <c r="AS307" i="1" s="1"/>
  <c r="AP308" i="1"/>
  <c r="AS308" i="1" s="1"/>
  <c r="AN308" i="1"/>
  <c r="AQ308" i="1" s="1"/>
  <c r="AT308" i="1" s="1"/>
  <c r="AP311" i="1"/>
  <c r="AS311" i="1" s="1"/>
  <c r="AN311" i="1"/>
  <c r="AQ311" i="1" s="1"/>
  <c r="AT311" i="1" s="1"/>
  <c r="AN327" i="1"/>
  <c r="AQ327" i="1" s="1"/>
  <c r="AT327" i="1" s="1"/>
  <c r="AP327" i="1"/>
  <c r="AS327" i="1" s="1"/>
  <c r="Y372" i="1"/>
  <c r="AA372" i="1" s="1"/>
  <c r="AC372" i="1" s="1"/>
  <c r="AE372" i="1" s="1"/>
  <c r="AG372" i="1" s="1"/>
  <c r="AI372" i="1" s="1"/>
  <c r="AK372" i="1" s="1"/>
  <c r="AM372" i="1" s="1"/>
  <c r="Z372" i="1"/>
  <c r="AB372" i="1" s="1"/>
  <c r="AD372" i="1" s="1"/>
  <c r="AN375" i="1"/>
  <c r="AQ375" i="1" s="1"/>
  <c r="AT375" i="1" s="1"/>
  <c r="AP375" i="1"/>
  <c r="AS375" i="1" s="1"/>
  <c r="J315" i="1"/>
  <c r="L290" i="1"/>
  <c r="O301" i="1"/>
  <c r="Q301" i="1" s="1"/>
  <c r="S301" i="1" s="1"/>
  <c r="U301" i="1" s="1"/>
  <c r="W301" i="1" s="1"/>
  <c r="Y301" i="1" s="1"/>
  <c r="AA301" i="1" s="1"/>
  <c r="AC301" i="1" s="1"/>
  <c r="AE301" i="1" s="1"/>
  <c r="AG301" i="1" s="1"/>
  <c r="AI301" i="1" s="1"/>
  <c r="AK301" i="1" s="1"/>
  <c r="AM301" i="1" s="1"/>
  <c r="AK322" i="1"/>
  <c r="AM322" i="1" s="1"/>
  <c r="AD350" i="1"/>
  <c r="AF330" i="1"/>
  <c r="AH330" i="1" s="1"/>
  <c r="AJ330" i="1" s="1"/>
  <c r="AL330" i="1" s="1"/>
  <c r="AO330" i="1" s="1"/>
  <c r="AR330" i="1" s="1"/>
  <c r="AN331" i="1"/>
  <c r="AQ331" i="1" s="1"/>
  <c r="AT331" i="1" s="1"/>
  <c r="AP331" i="1"/>
  <c r="AS331" i="1" s="1"/>
  <c r="AP338" i="1"/>
  <c r="AS338" i="1" s="1"/>
  <c r="AN338" i="1"/>
  <c r="AQ338" i="1" s="1"/>
  <c r="AN388" i="1"/>
  <c r="AQ388" i="1" s="1"/>
  <c r="AP388" i="1"/>
  <c r="K285" i="1"/>
  <c r="AP333" i="1"/>
  <c r="AS333" i="1" s="1"/>
  <c r="AN333" i="1"/>
  <c r="AQ333" i="1" s="1"/>
  <c r="AT333" i="1" s="1"/>
  <c r="AN368" i="1"/>
  <c r="AQ368" i="1" s="1"/>
  <c r="AT368" i="1" s="1"/>
  <c r="AP368" i="1"/>
  <c r="AS368" i="1" s="1"/>
  <c r="AP371" i="1"/>
  <c r="AS371" i="1" s="1"/>
  <c r="AN371" i="1"/>
  <c r="AQ371" i="1" s="1"/>
  <c r="AT371" i="1" s="1"/>
  <c r="AN377" i="1"/>
  <c r="AQ377" i="1" s="1"/>
  <c r="AT377" i="1" s="1"/>
  <c r="AP377" i="1"/>
  <c r="AS377" i="1" s="1"/>
  <c r="AP378" i="1"/>
  <c r="AS378" i="1" s="1"/>
  <c r="AN378" i="1"/>
  <c r="AQ378" i="1" s="1"/>
  <c r="AT378" i="1" s="1"/>
  <c r="AE309" i="1"/>
  <c r="AG309" i="1" s="1"/>
  <c r="AI309" i="1" s="1"/>
  <c r="AK309" i="1" s="1"/>
  <c r="AM309" i="1" s="1"/>
  <c r="AP310" i="1"/>
  <c r="AS310" i="1" s="1"/>
  <c r="AQ310" i="1"/>
  <c r="AT310" i="1" s="1"/>
  <c r="N350" i="1"/>
  <c r="P321" i="1"/>
  <c r="AP340" i="1"/>
  <c r="AS340" i="1" s="1"/>
  <c r="X357" i="1"/>
  <c r="AJ362" i="1"/>
  <c r="AE335" i="1"/>
  <c r="AF335" i="1"/>
  <c r="AH335" i="1" s="1"/>
  <c r="AT345" i="1"/>
  <c r="AE374" i="1"/>
  <c r="AG374" i="1" s="1"/>
  <c r="AI374" i="1" s="1"/>
  <c r="AK374" i="1" s="1"/>
  <c r="AM374" i="1" s="1"/>
  <c r="Q306" i="1"/>
  <c r="S306" i="1" s="1"/>
  <c r="U306" i="1" s="1"/>
  <c r="W306" i="1" s="1"/>
  <c r="Y306" i="1" s="1"/>
  <c r="AA306" i="1" s="1"/>
  <c r="AC306" i="1" s="1"/>
  <c r="AE306" i="1" s="1"/>
  <c r="AG306" i="1" s="1"/>
  <c r="AI306" i="1" s="1"/>
  <c r="AK306" i="1" s="1"/>
  <c r="AM306" i="1" s="1"/>
  <c r="AE334" i="1"/>
  <c r="AG334" i="1" s="1"/>
  <c r="AI334" i="1" s="1"/>
  <c r="AJ339" i="1"/>
  <c r="AL339" i="1" s="1"/>
  <c r="AO339" i="1" s="1"/>
  <c r="AI339" i="1"/>
  <c r="AK339" i="1" s="1"/>
  <c r="AM339" i="1" s="1"/>
  <c r="AQ340" i="1"/>
  <c r="AT340" i="1" s="1"/>
  <c r="AN343" i="1"/>
  <c r="AQ343" i="1" s="1"/>
  <c r="AT343" i="1" s="1"/>
  <c r="AP343" i="1"/>
  <c r="AS343" i="1" s="1"/>
  <c r="S357" i="1"/>
  <c r="U357" i="1" s="1"/>
  <c r="W357" i="1" s="1"/>
  <c r="Q359" i="1"/>
  <c r="S359" i="1" s="1"/>
  <c r="AI312" i="1"/>
  <c r="AK312" i="1" s="1"/>
  <c r="AM312" i="1" s="1"/>
  <c r="W310" i="1"/>
  <c r="Y310" i="1" s="1"/>
  <c r="AA310" i="1" s="1"/>
  <c r="AC310" i="1" s="1"/>
  <c r="AE310" i="1" s="1"/>
  <c r="AG310" i="1" s="1"/>
  <c r="AI310" i="1" s="1"/>
  <c r="AK310" i="1" s="1"/>
  <c r="K321" i="1"/>
  <c r="AC330" i="1"/>
  <c r="AE330" i="1" s="1"/>
  <c r="AG330" i="1" s="1"/>
  <c r="AI330" i="1" s="1"/>
  <c r="AK330" i="1" s="1"/>
  <c r="AM330" i="1" s="1"/>
  <c r="AT332" i="1"/>
  <c r="AN336" i="1"/>
  <c r="AQ336" i="1" s="1"/>
  <c r="AT336" i="1" s="1"/>
  <c r="AG337" i="1"/>
  <c r="AI337" i="1" s="1"/>
  <c r="AK337" i="1" s="1"/>
  <c r="AM337" i="1" s="1"/>
  <c r="AH337" i="1"/>
  <c r="AM344" i="1"/>
  <c r="AN344" i="1" s="1"/>
  <c r="AQ344" i="1" s="1"/>
  <c r="AT344" i="1" s="1"/>
  <c r="P386" i="1"/>
  <c r="U370" i="1"/>
  <c r="W370" i="1" s="1"/>
  <c r="Y370" i="1" s="1"/>
  <c r="AA370" i="1" s="1"/>
  <c r="AC370" i="1" s="1"/>
  <c r="AE370" i="1" s="1"/>
  <c r="AG370" i="1" s="1"/>
  <c r="AI370" i="1" s="1"/>
  <c r="AK370" i="1" s="1"/>
  <c r="AM370" i="1" s="1"/>
  <c r="AN341" i="1"/>
  <c r="AQ341" i="1" s="1"/>
  <c r="AT341" i="1" s="1"/>
  <c r="AP341" i="1"/>
  <c r="AS341" i="1" s="1"/>
  <c r="V362" i="1"/>
  <c r="T386" i="1"/>
  <c r="Y373" i="1"/>
  <c r="Z373" i="1"/>
  <c r="AB373" i="1" s="1"/>
  <c r="AD373" i="1" s="1"/>
  <c r="AF373" i="1" s="1"/>
  <c r="AH373" i="1" s="1"/>
  <c r="AJ373" i="1" s="1"/>
  <c r="R386" i="1"/>
  <c r="N355" i="1"/>
  <c r="P353" i="1"/>
  <c r="P355" i="1" s="1"/>
  <c r="T359" i="1"/>
  <c r="AL384" i="1"/>
  <c r="AO384" i="1" s="1"/>
  <c r="AP384" i="1" s="1"/>
  <c r="AS384" i="1" s="1"/>
  <c r="AO369" i="1"/>
  <c r="AR369" i="1" s="1"/>
  <c r="AC380" i="1"/>
  <c r="AE380" i="1" s="1"/>
  <c r="AG380" i="1" s="1"/>
  <c r="AI380" i="1" s="1"/>
  <c r="AK380" i="1" s="1"/>
  <c r="AM380" i="1" s="1"/>
  <c r="AP382" i="1"/>
  <c r="AS382" i="1" s="1"/>
  <c r="AS347" i="1"/>
  <c r="AT347" i="1"/>
  <c r="AC381" i="1"/>
  <c r="AE381" i="1" s="1"/>
  <c r="AG381" i="1" s="1"/>
  <c r="AI381" i="1" s="1"/>
  <c r="AK381" i="1" s="1"/>
  <c r="AM381" i="1" s="1"/>
  <c r="AR388" i="1"/>
  <c r="AT342" i="1"/>
  <c r="I386" i="1"/>
  <c r="K362" i="1"/>
  <c r="AA376" i="1"/>
  <c r="AC376" i="1" s="1"/>
  <c r="AE376" i="1" s="1"/>
  <c r="AG376" i="1" s="1"/>
  <c r="AI376" i="1" s="1"/>
  <c r="AQ353" i="1"/>
  <c r="AT353" i="1" s="1"/>
  <c r="T355" i="1"/>
  <c r="AB386" i="1"/>
  <c r="AA379" i="1"/>
  <c r="AC379" i="1" s="1"/>
  <c r="AE379" i="1" s="1"/>
  <c r="AG379" i="1" s="1"/>
  <c r="AI379" i="1" s="1"/>
  <c r="AK379" i="1" s="1"/>
  <c r="AM379" i="1" s="1"/>
  <c r="C405" i="1"/>
  <c r="AQ409" i="1"/>
  <c r="AT409" i="1" s="1"/>
  <c r="AN337" i="1" l="1"/>
  <c r="AQ337" i="1" s="1"/>
  <c r="AT337" i="1" s="1"/>
  <c r="AP337" i="1"/>
  <c r="AS337" i="1" s="1"/>
  <c r="AS388" i="1"/>
  <c r="AN296" i="1"/>
  <c r="AQ296" i="1" s="1"/>
  <c r="AT296" i="1" s="1"/>
  <c r="AP296" i="1"/>
  <c r="AS296" i="1" s="1"/>
  <c r="AP177" i="1"/>
  <c r="AS177" i="1" s="1"/>
  <c r="AT177" i="1" s="1"/>
  <c r="AN177" i="1"/>
  <c r="AQ177" i="1" s="1"/>
  <c r="AP183" i="1"/>
  <c r="AS183" i="1" s="1"/>
  <c r="AT183" i="1" s="1"/>
  <c r="AN183" i="1"/>
  <c r="AQ183" i="1" s="1"/>
  <c r="AP119" i="1"/>
  <c r="AS119" i="1" s="1"/>
  <c r="AT119" i="1" s="1"/>
  <c r="AN119" i="1"/>
  <c r="AQ119" i="1" s="1"/>
  <c r="AP39" i="1"/>
  <c r="AS39" i="1" s="1"/>
  <c r="AT39" i="1" s="1"/>
  <c r="AN39" i="1"/>
  <c r="AQ39" i="1" s="1"/>
  <c r="AP31" i="1"/>
  <c r="AS31" i="1" s="1"/>
  <c r="AT31" i="1" s="1"/>
  <c r="AN31" i="1"/>
  <c r="AQ31" i="1" s="1"/>
  <c r="AP380" i="1"/>
  <c r="AS380" i="1" s="1"/>
  <c r="AN380" i="1"/>
  <c r="AQ380" i="1" s="1"/>
  <c r="AT380" i="1" s="1"/>
  <c r="AT386" i="1" s="1"/>
  <c r="U359" i="1"/>
  <c r="AG335" i="1"/>
  <c r="AI335" i="1" s="1"/>
  <c r="AK335" i="1" s="1"/>
  <c r="AM335" i="1" s="1"/>
  <c r="P350" i="1"/>
  <c r="R321" i="1"/>
  <c r="AT388" i="1"/>
  <c r="T315" i="1"/>
  <c r="AL277" i="1"/>
  <c r="AJ285" i="1"/>
  <c r="AP281" i="1"/>
  <c r="AS281" i="1" s="1"/>
  <c r="AN281" i="1"/>
  <c r="AQ281" i="1" s="1"/>
  <c r="AT281" i="1" s="1"/>
  <c r="AB285" i="1"/>
  <c r="AD285" i="1" s="1"/>
  <c r="AN295" i="1"/>
  <c r="AQ295" i="1" s="1"/>
  <c r="AT295" i="1" s="1"/>
  <c r="AP295" i="1"/>
  <c r="AS295" i="1" s="1"/>
  <c r="W278" i="1"/>
  <c r="Y278" i="1" s="1"/>
  <c r="AP224" i="1"/>
  <c r="AS224" i="1" s="1"/>
  <c r="AT224" i="1" s="1"/>
  <c r="AN224" i="1"/>
  <c r="AQ224" i="1" s="1"/>
  <c r="AN242" i="1"/>
  <c r="AQ242" i="1" s="1"/>
  <c r="AP242" i="1"/>
  <c r="AS242" i="1" s="1"/>
  <c r="AT242" i="1" s="1"/>
  <c r="AN247" i="1"/>
  <c r="AQ247" i="1" s="1"/>
  <c r="AP247" i="1"/>
  <c r="AS247" i="1" s="1"/>
  <c r="AT247" i="1" s="1"/>
  <c r="AP257" i="1"/>
  <c r="AS257" i="1" s="1"/>
  <c r="AT257" i="1" s="1"/>
  <c r="AN257" i="1"/>
  <c r="AQ257" i="1" s="1"/>
  <c r="AP199" i="1"/>
  <c r="AS199" i="1" s="1"/>
  <c r="AT199" i="1" s="1"/>
  <c r="AN199" i="1"/>
  <c r="AQ199" i="1" s="1"/>
  <c r="AP187" i="1"/>
  <c r="AS187" i="1" s="1"/>
  <c r="AT187" i="1" s="1"/>
  <c r="AN187" i="1"/>
  <c r="AQ187" i="1" s="1"/>
  <c r="L208" i="1"/>
  <c r="N176" i="1"/>
  <c r="N208" i="1" s="1"/>
  <c r="AN157" i="1"/>
  <c r="AQ157" i="1" s="1"/>
  <c r="AP157" i="1"/>
  <c r="AS157" i="1" s="1"/>
  <c r="AT157" i="1" s="1"/>
  <c r="AP132" i="1"/>
  <c r="AS132" i="1" s="1"/>
  <c r="AT132" i="1" s="1"/>
  <c r="AN132" i="1"/>
  <c r="AQ132" i="1" s="1"/>
  <c r="Y148" i="1"/>
  <c r="AA148" i="1" s="1"/>
  <c r="AC148" i="1" s="1"/>
  <c r="AE148" i="1" s="1"/>
  <c r="AG148" i="1" s="1"/>
  <c r="AI148" i="1" s="1"/>
  <c r="AK148" i="1" s="1"/>
  <c r="AM148" i="1" s="1"/>
  <c r="AN181" i="1"/>
  <c r="AQ181" i="1" s="1"/>
  <c r="AP181" i="1"/>
  <c r="AS181" i="1" s="1"/>
  <c r="AT181" i="1" s="1"/>
  <c r="L121" i="1"/>
  <c r="L405" i="1" s="1"/>
  <c r="AP80" i="1"/>
  <c r="AS80" i="1" s="1"/>
  <c r="AT80" i="1" s="1"/>
  <c r="AN80" i="1"/>
  <c r="AQ80" i="1" s="1"/>
  <c r="O115" i="1"/>
  <c r="Q115" i="1" s="1"/>
  <c r="S115" i="1" s="1"/>
  <c r="U115" i="1" s="1"/>
  <c r="W115" i="1" s="1"/>
  <c r="Y115" i="1" s="1"/>
  <c r="AA115" i="1" s="1"/>
  <c r="AC115" i="1" s="1"/>
  <c r="AE115" i="1" s="1"/>
  <c r="AG115" i="1" s="1"/>
  <c r="AI115" i="1" s="1"/>
  <c r="AK115" i="1" s="1"/>
  <c r="AM115" i="1" s="1"/>
  <c r="Q64" i="1"/>
  <c r="S62" i="1"/>
  <c r="L170" i="1"/>
  <c r="V89" i="1"/>
  <c r="X77" i="1"/>
  <c r="AB59" i="1"/>
  <c r="AD26" i="1"/>
  <c r="AQ78" i="1"/>
  <c r="AP312" i="1"/>
  <c r="AS312" i="1" s="1"/>
  <c r="AN312" i="1"/>
  <c r="AQ312" i="1" s="1"/>
  <c r="AT312" i="1" s="1"/>
  <c r="AN191" i="1"/>
  <c r="AQ191" i="1" s="1"/>
  <c r="AP191" i="1"/>
  <c r="AS191" i="1" s="1"/>
  <c r="AT191" i="1" s="1"/>
  <c r="AN138" i="1"/>
  <c r="AQ138" i="1" s="1"/>
  <c r="AP138" i="1"/>
  <c r="AS138" i="1" s="1"/>
  <c r="AT138" i="1" s="1"/>
  <c r="AF105" i="1"/>
  <c r="AH95" i="1"/>
  <c r="AP96" i="1"/>
  <c r="AS96" i="1" s="1"/>
  <c r="AT96" i="1" s="1"/>
  <c r="AN96" i="1"/>
  <c r="AQ96" i="1" s="1"/>
  <c r="AN36" i="1"/>
  <c r="AQ36" i="1" s="1"/>
  <c r="AP36" i="1"/>
  <c r="AS36" i="1" s="1"/>
  <c r="AT36" i="1" s="1"/>
  <c r="AN370" i="1"/>
  <c r="AQ370" i="1" s="1"/>
  <c r="AT370" i="1" s="1"/>
  <c r="AP370" i="1"/>
  <c r="AS370" i="1" s="1"/>
  <c r="Y357" i="1"/>
  <c r="AA357" i="1" s="1"/>
  <c r="AC357" i="1" s="1"/>
  <c r="AE357" i="1" s="1"/>
  <c r="AG357" i="1" s="1"/>
  <c r="W359" i="1"/>
  <c r="Y359" i="1" s="1"/>
  <c r="AJ386" i="1"/>
  <c r="AL362" i="1"/>
  <c r="Q285" i="1"/>
  <c r="S285" i="1" s="1"/>
  <c r="M285" i="1"/>
  <c r="AP291" i="1"/>
  <c r="AS291" i="1" s="1"/>
  <c r="AN291" i="1"/>
  <c r="AQ291" i="1" s="1"/>
  <c r="AT291" i="1" s="1"/>
  <c r="AP222" i="1"/>
  <c r="AS222" i="1" s="1"/>
  <c r="AT222" i="1" s="1"/>
  <c r="AN222" i="1"/>
  <c r="AQ222" i="1" s="1"/>
  <c r="AP243" i="1"/>
  <c r="AS243" i="1" s="1"/>
  <c r="AT243" i="1" s="1"/>
  <c r="AN243" i="1"/>
  <c r="AQ243" i="1" s="1"/>
  <c r="AP244" i="1"/>
  <c r="AS244" i="1" s="1"/>
  <c r="AT244" i="1" s="1"/>
  <c r="AN244" i="1"/>
  <c r="AQ244" i="1" s="1"/>
  <c r="X232" i="1"/>
  <c r="Z211" i="1"/>
  <c r="AP215" i="1"/>
  <c r="AS215" i="1" s="1"/>
  <c r="AT215" i="1" s="1"/>
  <c r="AN215" i="1"/>
  <c r="AQ215" i="1" s="1"/>
  <c r="AP261" i="1"/>
  <c r="AS261" i="1" s="1"/>
  <c r="AT261" i="1" s="1"/>
  <c r="AN261" i="1"/>
  <c r="AQ261" i="1" s="1"/>
  <c r="AP198" i="1"/>
  <c r="AS198" i="1" s="1"/>
  <c r="AT198" i="1" s="1"/>
  <c r="AN198" i="1"/>
  <c r="AQ198" i="1" s="1"/>
  <c r="K208" i="1"/>
  <c r="M176" i="1"/>
  <c r="AN133" i="1"/>
  <c r="AQ133" i="1" s="1"/>
  <c r="AP133" i="1"/>
  <c r="AS133" i="1" s="1"/>
  <c r="AT133" i="1" s="1"/>
  <c r="AN160" i="1"/>
  <c r="AQ160" i="1" s="1"/>
  <c r="AP160" i="1"/>
  <c r="AS160" i="1" s="1"/>
  <c r="AT160" i="1" s="1"/>
  <c r="AN134" i="1"/>
  <c r="AQ134" i="1" s="1"/>
  <c r="AP134" i="1"/>
  <c r="AS134" i="1" s="1"/>
  <c r="AT134" i="1" s="1"/>
  <c r="AP180" i="1"/>
  <c r="AS180" i="1" s="1"/>
  <c r="AT180" i="1" s="1"/>
  <c r="AN180" i="1"/>
  <c r="AQ180" i="1" s="1"/>
  <c r="AP131" i="1"/>
  <c r="AS131" i="1" s="1"/>
  <c r="AT131" i="1" s="1"/>
  <c r="AN131" i="1"/>
  <c r="AQ131" i="1" s="1"/>
  <c r="AP98" i="1"/>
  <c r="AS98" i="1" s="1"/>
  <c r="AT98" i="1" s="1"/>
  <c r="AN98" i="1"/>
  <c r="AQ98" i="1" s="1"/>
  <c r="AP112" i="1"/>
  <c r="AS112" i="1" s="1"/>
  <c r="AT112" i="1" s="1"/>
  <c r="AN112" i="1"/>
  <c r="AQ112" i="1" s="1"/>
  <c r="AP102" i="1"/>
  <c r="AS102" i="1" s="1"/>
  <c r="AT102" i="1" s="1"/>
  <c r="AN102" i="1"/>
  <c r="AQ102" i="1" s="1"/>
  <c r="AP81" i="1"/>
  <c r="AS81" i="1" s="1"/>
  <c r="AT81" i="1" s="1"/>
  <c r="AN81" i="1"/>
  <c r="AQ81" i="1" s="1"/>
  <c r="AP29" i="1"/>
  <c r="AS29" i="1" s="1"/>
  <c r="AT29" i="1" s="1"/>
  <c r="AN29" i="1"/>
  <c r="AQ29" i="1" s="1"/>
  <c r="AP78" i="1"/>
  <c r="AS78" i="1" s="1"/>
  <c r="AT78" i="1" s="1"/>
  <c r="AC59" i="1"/>
  <c r="AL24" i="1"/>
  <c r="AN292" i="1"/>
  <c r="AQ292" i="1" s="1"/>
  <c r="AT292" i="1" s="1"/>
  <c r="AP292" i="1"/>
  <c r="AS292" i="1" s="1"/>
  <c r="V315" i="1"/>
  <c r="X315" i="1" s="1"/>
  <c r="X290" i="1"/>
  <c r="Z290" i="1" s="1"/>
  <c r="AB290" i="1" s="1"/>
  <c r="AP188" i="1"/>
  <c r="AS188" i="1" s="1"/>
  <c r="AT188" i="1" s="1"/>
  <c r="AN188" i="1"/>
  <c r="AQ188" i="1" s="1"/>
  <c r="AN128" i="1"/>
  <c r="AQ128" i="1" s="1"/>
  <c r="AP128" i="1"/>
  <c r="AS128" i="1" s="1"/>
  <c r="AT128" i="1" s="1"/>
  <c r="N170" i="1"/>
  <c r="AD386" i="1"/>
  <c r="AF386" i="1" s="1"/>
  <c r="AP381" i="1"/>
  <c r="AS381" i="1" s="1"/>
  <c r="AN381" i="1"/>
  <c r="AQ381" i="1" s="1"/>
  <c r="AT381" i="1" s="1"/>
  <c r="AA373" i="1"/>
  <c r="AC373" i="1" s="1"/>
  <c r="AE373" i="1" s="1"/>
  <c r="AG373" i="1" s="1"/>
  <c r="AI373" i="1" s="1"/>
  <c r="AK373" i="1" s="1"/>
  <c r="AM373" i="1" s="1"/>
  <c r="AP330" i="1"/>
  <c r="AS330" i="1" s="1"/>
  <c r="AN330" i="1"/>
  <c r="AQ330" i="1" s="1"/>
  <c r="AT330" i="1" s="1"/>
  <c r="AP306" i="1"/>
  <c r="AS306" i="1" s="1"/>
  <c r="AN306" i="1"/>
  <c r="AQ306" i="1" s="1"/>
  <c r="AT306" i="1" s="1"/>
  <c r="AH386" i="1"/>
  <c r="AP322" i="1"/>
  <c r="AS322" i="1" s="1"/>
  <c r="AN322" i="1"/>
  <c r="AQ322" i="1" s="1"/>
  <c r="AT322" i="1" s="1"/>
  <c r="AP369" i="1"/>
  <c r="AS369" i="1" s="1"/>
  <c r="K315" i="1"/>
  <c r="M290" i="1"/>
  <c r="AP263" i="1"/>
  <c r="AS263" i="1" s="1"/>
  <c r="AT263" i="1" s="1"/>
  <c r="AN263" i="1"/>
  <c r="AQ263" i="1" s="1"/>
  <c r="AP280" i="1"/>
  <c r="AS280" i="1" s="1"/>
  <c r="AN280" i="1"/>
  <c r="AQ280" i="1" s="1"/>
  <c r="AT280" i="1" s="1"/>
  <c r="AE283" i="1"/>
  <c r="AG283" i="1" s="1"/>
  <c r="AI283" i="1" s="1"/>
  <c r="AK283" i="1" s="1"/>
  <c r="AM283" i="1" s="1"/>
  <c r="AK264" i="1"/>
  <c r="AM264" i="1" s="1"/>
  <c r="AK232" i="1"/>
  <c r="AM212" i="1"/>
  <c r="AN255" i="1"/>
  <c r="AQ255" i="1" s="1"/>
  <c r="AP255" i="1"/>
  <c r="AS255" i="1" s="1"/>
  <c r="AT255" i="1" s="1"/>
  <c r="AP213" i="1"/>
  <c r="AS213" i="1" s="1"/>
  <c r="AT213" i="1" s="1"/>
  <c r="AN213" i="1"/>
  <c r="AQ213" i="1" s="1"/>
  <c r="AN147" i="1"/>
  <c r="AQ147" i="1" s="1"/>
  <c r="AP147" i="1"/>
  <c r="AS147" i="1" s="1"/>
  <c r="AT147" i="1" s="1"/>
  <c r="AN129" i="1"/>
  <c r="AQ129" i="1" s="1"/>
  <c r="AP129" i="1"/>
  <c r="AS129" i="1" s="1"/>
  <c r="AT129" i="1" s="1"/>
  <c r="AA137" i="1"/>
  <c r="AC137" i="1" s="1"/>
  <c r="AE137" i="1" s="1"/>
  <c r="AG137" i="1" s="1"/>
  <c r="AI137" i="1" s="1"/>
  <c r="AK137" i="1" s="1"/>
  <c r="AM137" i="1" s="1"/>
  <c r="T170" i="1"/>
  <c r="V124" i="1"/>
  <c r="AN144" i="1"/>
  <c r="AQ144" i="1" s="1"/>
  <c r="AP144" i="1"/>
  <c r="AS144" i="1" s="1"/>
  <c r="AT144" i="1" s="1"/>
  <c r="AP156" i="1"/>
  <c r="AS156" i="1" s="1"/>
  <c r="AT156" i="1" s="1"/>
  <c r="AN156" i="1"/>
  <c r="AQ156" i="1" s="1"/>
  <c r="AN100" i="1"/>
  <c r="AQ100" i="1" s="1"/>
  <c r="AP100" i="1"/>
  <c r="AS100" i="1" s="1"/>
  <c r="AT100" i="1" s="1"/>
  <c r="AN110" i="1"/>
  <c r="AQ110" i="1" s="1"/>
  <c r="V121" i="1"/>
  <c r="X108" i="1"/>
  <c r="AA130" i="1"/>
  <c r="AC130" i="1" s="1"/>
  <c r="AE130" i="1" s="1"/>
  <c r="AG130" i="1" s="1"/>
  <c r="AI130" i="1" s="1"/>
  <c r="AK130" i="1" s="1"/>
  <c r="AM130" i="1" s="1"/>
  <c r="AP118" i="1"/>
  <c r="AR118" i="1"/>
  <c r="AP48" i="1"/>
  <c r="AS48" i="1" s="1"/>
  <c r="AT48" i="1" s="1"/>
  <c r="AN48" i="1"/>
  <c r="AQ48" i="1" s="1"/>
  <c r="V64" i="1"/>
  <c r="X64" i="1" s="1"/>
  <c r="X62" i="1"/>
  <c r="Z62" i="1" s="1"/>
  <c r="Z64" i="1" s="1"/>
  <c r="AN85" i="1"/>
  <c r="AQ85" i="1" s="1"/>
  <c r="AP85" i="1"/>
  <c r="AS85" i="1" s="1"/>
  <c r="AT85" i="1" s="1"/>
  <c r="AP49" i="1"/>
  <c r="AS49" i="1" s="1"/>
  <c r="AT49" i="1" s="1"/>
  <c r="AN49" i="1"/>
  <c r="AQ49" i="1" s="1"/>
  <c r="J405" i="1"/>
  <c r="P405" i="1"/>
  <c r="AP30" i="1"/>
  <c r="AS30" i="1" s="1"/>
  <c r="AT30" i="1" s="1"/>
  <c r="AN30" i="1"/>
  <c r="AQ30" i="1" s="1"/>
  <c r="AP282" i="1"/>
  <c r="AS282" i="1" s="1"/>
  <c r="AN282" i="1"/>
  <c r="AQ282" i="1" s="1"/>
  <c r="AT282" i="1" s="1"/>
  <c r="AP279" i="1"/>
  <c r="AS279" i="1" s="1"/>
  <c r="AN279" i="1"/>
  <c r="AQ279" i="1" s="1"/>
  <c r="AT279" i="1" s="1"/>
  <c r="W232" i="1"/>
  <c r="Y211" i="1"/>
  <c r="AP192" i="1"/>
  <c r="AS192" i="1" s="1"/>
  <c r="AT192" i="1" s="1"/>
  <c r="AN192" i="1"/>
  <c r="AQ192" i="1" s="1"/>
  <c r="AP111" i="1"/>
  <c r="AS111" i="1" s="1"/>
  <c r="AT111" i="1" s="1"/>
  <c r="AN111" i="1"/>
  <c r="AQ111" i="1" s="1"/>
  <c r="AN113" i="1"/>
  <c r="AQ113" i="1" s="1"/>
  <c r="AP113" i="1"/>
  <c r="AS113" i="1" s="1"/>
  <c r="AT113" i="1" s="1"/>
  <c r="AP33" i="1"/>
  <c r="AS33" i="1" s="1"/>
  <c r="AT33" i="1" s="1"/>
  <c r="AN33" i="1"/>
  <c r="AQ33" i="1" s="1"/>
  <c r="AP34" i="1"/>
  <c r="AS34" i="1" s="1"/>
  <c r="AT34" i="1" s="1"/>
  <c r="AN34" i="1"/>
  <c r="AQ34" i="1" s="1"/>
  <c r="K59" i="1"/>
  <c r="M24" i="1"/>
  <c r="K386" i="1"/>
  <c r="M362" i="1"/>
  <c r="K350" i="1"/>
  <c r="M321" i="1"/>
  <c r="AP374" i="1"/>
  <c r="AS374" i="1" s="1"/>
  <c r="AN374" i="1"/>
  <c r="AQ374" i="1" s="1"/>
  <c r="AT374" i="1" s="1"/>
  <c r="AN301" i="1"/>
  <c r="AQ301" i="1" s="1"/>
  <c r="AT301" i="1" s="1"/>
  <c r="AP301" i="1"/>
  <c r="AS301" i="1" s="1"/>
  <c r="AN372" i="1"/>
  <c r="AQ372" i="1" s="1"/>
  <c r="AT372" i="1" s="1"/>
  <c r="AP372" i="1"/>
  <c r="AS372" i="1" s="1"/>
  <c r="AN384" i="1"/>
  <c r="AQ369" i="1"/>
  <c r="AT369" i="1" s="1"/>
  <c r="AP323" i="1"/>
  <c r="AS323" i="1" s="1"/>
  <c r="AN323" i="1"/>
  <c r="AQ323" i="1" s="1"/>
  <c r="AT323" i="1" s="1"/>
  <c r="AP252" i="1"/>
  <c r="AS252" i="1" s="1"/>
  <c r="AT252" i="1" s="1"/>
  <c r="AN252" i="1"/>
  <c r="AQ252" i="1" s="1"/>
  <c r="AN259" i="1"/>
  <c r="AQ259" i="1" s="1"/>
  <c r="AP259" i="1"/>
  <c r="AS259" i="1" s="1"/>
  <c r="AT259" i="1" s="1"/>
  <c r="AP258" i="1"/>
  <c r="AS258" i="1" s="1"/>
  <c r="AT258" i="1" s="1"/>
  <c r="AN258" i="1"/>
  <c r="AQ258" i="1" s="1"/>
  <c r="AN193" i="1"/>
  <c r="AQ193" i="1" s="1"/>
  <c r="AP193" i="1"/>
  <c r="AS193" i="1" s="1"/>
  <c r="AT193" i="1" s="1"/>
  <c r="W285" i="1"/>
  <c r="Y277" i="1"/>
  <c r="AA277" i="1" s="1"/>
  <c r="AP220" i="1"/>
  <c r="AS220" i="1" s="1"/>
  <c r="AT220" i="1" s="1"/>
  <c r="AN220" i="1"/>
  <c r="AQ220" i="1" s="1"/>
  <c r="AN203" i="1"/>
  <c r="AQ203" i="1" s="1"/>
  <c r="AP203" i="1"/>
  <c r="AS203" i="1" s="1"/>
  <c r="AT203" i="1" s="1"/>
  <c r="X278" i="1"/>
  <c r="V285" i="1"/>
  <c r="X285" i="1" s="1"/>
  <c r="AP254" i="1"/>
  <c r="AS254" i="1" s="1"/>
  <c r="AT254" i="1" s="1"/>
  <c r="AN254" i="1"/>
  <c r="AQ254" i="1" s="1"/>
  <c r="AP158" i="1"/>
  <c r="AS158" i="1" s="1"/>
  <c r="AT158" i="1" s="1"/>
  <c r="AN158" i="1"/>
  <c r="AQ158" i="1" s="1"/>
  <c r="K170" i="1"/>
  <c r="M124" i="1"/>
  <c r="AP155" i="1"/>
  <c r="AS155" i="1" s="1"/>
  <c r="AT155" i="1" s="1"/>
  <c r="AN155" i="1"/>
  <c r="AQ155" i="1" s="1"/>
  <c r="AN140" i="1"/>
  <c r="AQ140" i="1" s="1"/>
  <c r="AP140" i="1"/>
  <c r="AS140" i="1" s="1"/>
  <c r="AT140" i="1" s="1"/>
  <c r="AP154" i="1"/>
  <c r="AS154" i="1" s="1"/>
  <c r="AT154" i="1" s="1"/>
  <c r="AN154" i="1"/>
  <c r="AQ154" i="1" s="1"/>
  <c r="AN142" i="1"/>
  <c r="AQ142" i="1" s="1"/>
  <c r="AP142" i="1"/>
  <c r="AS142" i="1" s="1"/>
  <c r="AT142" i="1" s="1"/>
  <c r="AN114" i="1"/>
  <c r="AQ114" i="1" s="1"/>
  <c r="AP114" i="1"/>
  <c r="AS114" i="1" s="1"/>
  <c r="AT114" i="1" s="1"/>
  <c r="AN97" i="1"/>
  <c r="AQ97" i="1" s="1"/>
  <c r="AP97" i="1"/>
  <c r="AS97" i="1" s="1"/>
  <c r="AT97" i="1" s="1"/>
  <c r="AP109" i="1"/>
  <c r="AS109" i="1" s="1"/>
  <c r="AT109" i="1" s="1"/>
  <c r="AN109" i="1"/>
  <c r="AQ109" i="1" s="1"/>
  <c r="AN141" i="1"/>
  <c r="AQ141" i="1" s="1"/>
  <c r="AP141" i="1"/>
  <c r="AS141" i="1" s="1"/>
  <c r="AT141" i="1" s="1"/>
  <c r="AP127" i="1"/>
  <c r="AS127" i="1" s="1"/>
  <c r="AT127" i="1" s="1"/>
  <c r="AN127" i="1"/>
  <c r="AQ127" i="1" s="1"/>
  <c r="AN46" i="1"/>
  <c r="AQ46" i="1" s="1"/>
  <c r="AP46" i="1"/>
  <c r="AS46" i="1" s="1"/>
  <c r="AT46" i="1" s="1"/>
  <c r="AP40" i="1"/>
  <c r="AS40" i="1" s="1"/>
  <c r="AT40" i="1" s="1"/>
  <c r="AN40" i="1"/>
  <c r="AQ40" i="1" s="1"/>
  <c r="AG24" i="1"/>
  <c r="I405" i="1"/>
  <c r="AN63" i="1"/>
  <c r="AQ63" i="1" s="1"/>
  <c r="AQ64" i="1" s="1"/>
  <c r="AM64" i="1"/>
  <c r="AN64" i="1" s="1"/>
  <c r="AP63" i="1"/>
  <c r="AP339" i="1"/>
  <c r="AS339" i="1" s="1"/>
  <c r="AN339" i="1"/>
  <c r="AQ339" i="1" s="1"/>
  <c r="AT339" i="1" s="1"/>
  <c r="AN253" i="1"/>
  <c r="AQ253" i="1" s="1"/>
  <c r="AP253" i="1"/>
  <c r="AS253" i="1" s="1"/>
  <c r="AT253" i="1" s="1"/>
  <c r="AP201" i="1"/>
  <c r="AS201" i="1" s="1"/>
  <c r="AT201" i="1" s="1"/>
  <c r="AN201" i="1"/>
  <c r="AQ201" i="1" s="1"/>
  <c r="T208" i="1"/>
  <c r="V176" i="1"/>
  <c r="AN182" i="1"/>
  <c r="AQ182" i="1" s="1"/>
  <c r="AP182" i="1"/>
  <c r="AS182" i="1" s="1"/>
  <c r="AT182" i="1" s="1"/>
  <c r="AP101" i="1"/>
  <c r="AS101" i="1" s="1"/>
  <c r="AT101" i="1" s="1"/>
  <c r="AN101" i="1"/>
  <c r="AQ101" i="1" s="1"/>
  <c r="AP86" i="1"/>
  <c r="AS86" i="1" s="1"/>
  <c r="AT86" i="1" s="1"/>
  <c r="AN86" i="1"/>
  <c r="AQ86" i="1" s="1"/>
  <c r="AN28" i="1"/>
  <c r="AQ28" i="1" s="1"/>
  <c r="AP28" i="1"/>
  <c r="AS28" i="1" s="1"/>
  <c r="AT28" i="1" s="1"/>
  <c r="AP379" i="1"/>
  <c r="AS379" i="1" s="1"/>
  <c r="AN379" i="1"/>
  <c r="AQ379" i="1" s="1"/>
  <c r="V386" i="1"/>
  <c r="X362" i="1"/>
  <c r="X386" i="1" s="1"/>
  <c r="Q353" i="1"/>
  <c r="AP309" i="1"/>
  <c r="AS309" i="1" s="1"/>
  <c r="AN309" i="1"/>
  <c r="AQ309" i="1" s="1"/>
  <c r="AT309" i="1" s="1"/>
  <c r="L315" i="1"/>
  <c r="N290" i="1"/>
  <c r="N315" i="1" s="1"/>
  <c r="AN300" i="1"/>
  <c r="AQ300" i="1" s="1"/>
  <c r="AT300" i="1" s="1"/>
  <c r="AP300" i="1"/>
  <c r="AS300" i="1" s="1"/>
  <c r="AN298" i="1"/>
  <c r="AQ298" i="1" s="1"/>
  <c r="AT298" i="1" s="1"/>
  <c r="AP298" i="1"/>
  <c r="AS298" i="1" s="1"/>
  <c r="AN293" i="1"/>
  <c r="AQ293" i="1" s="1"/>
  <c r="AT293" i="1" s="1"/>
  <c r="AP293" i="1"/>
  <c r="AS293" i="1" s="1"/>
  <c r="O285" i="1"/>
  <c r="T273" i="1"/>
  <c r="V241" i="1"/>
  <c r="L273" i="1"/>
  <c r="N241" i="1"/>
  <c r="N273" i="1" s="1"/>
  <c r="M241" i="1"/>
  <c r="AP245" i="1"/>
  <c r="AS245" i="1" s="1"/>
  <c r="AT245" i="1" s="1"/>
  <c r="AN245" i="1"/>
  <c r="AQ245" i="1" s="1"/>
  <c r="AA260" i="1"/>
  <c r="AC260" i="1" s="1"/>
  <c r="AE260" i="1" s="1"/>
  <c r="AG260" i="1" s="1"/>
  <c r="AI260" i="1" s="1"/>
  <c r="AK260" i="1" s="1"/>
  <c r="AM260" i="1" s="1"/>
  <c r="AN185" i="1"/>
  <c r="AQ185" i="1" s="1"/>
  <c r="AP185" i="1"/>
  <c r="AS185" i="1" s="1"/>
  <c r="AT185" i="1" s="1"/>
  <c r="AP186" i="1"/>
  <c r="AS186" i="1" s="1"/>
  <c r="AT186" i="1" s="1"/>
  <c r="AN186" i="1"/>
  <c r="AQ186" i="1" s="1"/>
  <c r="AN178" i="1"/>
  <c r="AQ178" i="1" s="1"/>
  <c r="AP178" i="1"/>
  <c r="AS178" i="1" s="1"/>
  <c r="AT178" i="1" s="1"/>
  <c r="AN146" i="1"/>
  <c r="AQ146" i="1" s="1"/>
  <c r="AP146" i="1"/>
  <c r="AS146" i="1" s="1"/>
  <c r="AT146" i="1" s="1"/>
  <c r="M135" i="1"/>
  <c r="O135" i="1" s="1"/>
  <c r="Q135" i="1" s="1"/>
  <c r="S135" i="1" s="1"/>
  <c r="U135" i="1" s="1"/>
  <c r="W135" i="1" s="1"/>
  <c r="Y135" i="1" s="1"/>
  <c r="AA135" i="1" s="1"/>
  <c r="AC135" i="1" s="1"/>
  <c r="AE135" i="1" s="1"/>
  <c r="AG135" i="1" s="1"/>
  <c r="AI135" i="1" s="1"/>
  <c r="AK135" i="1" s="1"/>
  <c r="AM135" i="1" s="1"/>
  <c r="AE153" i="1"/>
  <c r="AG153" i="1" s="1"/>
  <c r="AI153" i="1" s="1"/>
  <c r="AK153" i="1" s="1"/>
  <c r="AM153" i="1" s="1"/>
  <c r="AA139" i="1"/>
  <c r="AC139" i="1" s="1"/>
  <c r="AE139" i="1" s="1"/>
  <c r="AG139" i="1" s="1"/>
  <c r="AI139" i="1" s="1"/>
  <c r="AK139" i="1" s="1"/>
  <c r="AM139" i="1" s="1"/>
  <c r="M108" i="1"/>
  <c r="K121" i="1"/>
  <c r="O95" i="1"/>
  <c r="M105" i="1"/>
  <c r="N105" i="1"/>
  <c r="N405" i="1" s="1"/>
  <c r="AP126" i="1"/>
  <c r="AS126" i="1" s="1"/>
  <c r="AT126" i="1" s="1"/>
  <c r="AN126" i="1"/>
  <c r="AQ126" i="1" s="1"/>
  <c r="AC117" i="1"/>
  <c r="AE117" i="1" s="1"/>
  <c r="AG117" i="1" s="1"/>
  <c r="AI117" i="1" s="1"/>
  <c r="AK117" i="1" s="1"/>
  <c r="AM117" i="1" s="1"/>
  <c r="AP44" i="1"/>
  <c r="AS44" i="1" s="1"/>
  <c r="AT44" i="1" s="1"/>
  <c r="AN44" i="1"/>
  <c r="AQ44" i="1" s="1"/>
  <c r="AN41" i="1"/>
  <c r="AQ41" i="1" s="1"/>
  <c r="AP41" i="1"/>
  <c r="AS41" i="1" s="1"/>
  <c r="AT41" i="1" s="1"/>
  <c r="Q77" i="1"/>
  <c r="O89" i="1"/>
  <c r="AP38" i="1"/>
  <c r="AS38" i="1" s="1"/>
  <c r="AT38" i="1" s="1"/>
  <c r="AN38" i="1"/>
  <c r="AQ38" i="1" s="1"/>
  <c r="AP42" i="1"/>
  <c r="AS42" i="1" s="1"/>
  <c r="AT42" i="1" s="1"/>
  <c r="AN42" i="1"/>
  <c r="AQ42" i="1" s="1"/>
  <c r="V24" i="1"/>
  <c r="T59" i="1"/>
  <c r="AP45" i="1"/>
  <c r="AS45" i="1" s="1"/>
  <c r="AT45" i="1" s="1"/>
  <c r="AN45" i="1"/>
  <c r="AQ45" i="1" s="1"/>
  <c r="AN43" i="1"/>
  <c r="AQ43" i="1" s="1"/>
  <c r="AP43" i="1"/>
  <c r="AS43" i="1" s="1"/>
  <c r="AT43" i="1" s="1"/>
  <c r="AL121" i="1"/>
  <c r="AO110" i="1"/>
  <c r="AP110" i="1" s="1"/>
  <c r="AS110" i="1" l="1"/>
  <c r="AT110" i="1" s="1"/>
  <c r="V208" i="1"/>
  <c r="X176" i="1"/>
  <c r="AP135" i="1"/>
  <c r="AS135" i="1" s="1"/>
  <c r="AT135" i="1" s="1"/>
  <c r="AN135" i="1"/>
  <c r="AQ135" i="1" s="1"/>
  <c r="M273" i="1"/>
  <c r="O241" i="1"/>
  <c r="AI24" i="1"/>
  <c r="M170" i="1"/>
  <c r="O124" i="1"/>
  <c r="AC277" i="1"/>
  <c r="AA285" i="1"/>
  <c r="M59" i="1"/>
  <c r="O24" i="1"/>
  <c r="Y232" i="1"/>
  <c r="AA211" i="1"/>
  <c r="AP212" i="1"/>
  <c r="AS212" i="1" s="1"/>
  <c r="AT212" i="1" s="1"/>
  <c r="AM237" i="1"/>
  <c r="AN212" i="1"/>
  <c r="AN373" i="1"/>
  <c r="AQ373" i="1" s="1"/>
  <c r="AT373" i="1" s="1"/>
  <c r="AP373" i="1"/>
  <c r="AS373" i="1" s="1"/>
  <c r="S64" i="1"/>
  <c r="U62" i="1"/>
  <c r="O105" i="1"/>
  <c r="Q95" i="1"/>
  <c r="AP64" i="1"/>
  <c r="AS63" i="1"/>
  <c r="Y285" i="1"/>
  <c r="K405" i="1"/>
  <c r="AS118" i="1"/>
  <c r="AT118" i="1" s="1"/>
  <c r="V170" i="1"/>
  <c r="X124" i="1"/>
  <c r="W124" i="1"/>
  <c r="Y124" i="1" s="1"/>
  <c r="AF26" i="1"/>
  <c r="AE26" i="1"/>
  <c r="AD59" i="1"/>
  <c r="R350" i="1"/>
  <c r="R405" i="1" s="1"/>
  <c r="T321" i="1"/>
  <c r="V321" i="1" s="1"/>
  <c r="X321" i="1" s="1"/>
  <c r="AP153" i="1"/>
  <c r="AS153" i="1" s="1"/>
  <c r="AT153" i="1" s="1"/>
  <c r="AN153" i="1"/>
  <c r="AQ153" i="1" s="1"/>
  <c r="AR110" i="1"/>
  <c r="AR121" i="1" s="1"/>
  <c r="AO121" i="1"/>
  <c r="T405" i="1"/>
  <c r="AP117" i="1"/>
  <c r="AS117" i="1" s="1"/>
  <c r="AT117" i="1" s="1"/>
  <c r="AN117" i="1"/>
  <c r="AQ117" i="1" s="1"/>
  <c r="M350" i="1"/>
  <c r="O321" i="1"/>
  <c r="AP130" i="1"/>
  <c r="AS130" i="1" s="1"/>
  <c r="AT130" i="1" s="1"/>
  <c r="AN130" i="1"/>
  <c r="AQ130" i="1" s="1"/>
  <c r="AN264" i="1"/>
  <c r="AQ264" i="1" s="1"/>
  <c r="AP264" i="1"/>
  <c r="AS264" i="1" s="1"/>
  <c r="AT264" i="1" s="1"/>
  <c r="M315" i="1"/>
  <c r="O290" i="1"/>
  <c r="AO24" i="1"/>
  <c r="M208" i="1"/>
  <c r="O176" i="1"/>
  <c r="AJ95" i="1"/>
  <c r="AH105" i="1"/>
  <c r="AP115" i="1"/>
  <c r="AS115" i="1" s="1"/>
  <c r="AT115" i="1" s="1"/>
  <c r="AN115" i="1"/>
  <c r="AQ115" i="1" s="1"/>
  <c r="AP148" i="1"/>
  <c r="AS148" i="1" s="1"/>
  <c r="AT148" i="1" s="1"/>
  <c r="AN148" i="1"/>
  <c r="AQ148" i="1" s="1"/>
  <c r="V59" i="1"/>
  <c r="X24" i="1"/>
  <c r="S77" i="1"/>
  <c r="Q89" i="1"/>
  <c r="O108" i="1"/>
  <c r="M121" i="1"/>
  <c r="AP260" i="1"/>
  <c r="AS260" i="1" s="1"/>
  <c r="AT260" i="1" s="1"/>
  <c r="AN260" i="1"/>
  <c r="AQ260" i="1" s="1"/>
  <c r="V273" i="1"/>
  <c r="X241" i="1"/>
  <c r="Z108" i="1"/>
  <c r="X121" i="1"/>
  <c r="AP137" i="1"/>
  <c r="AS137" i="1" s="1"/>
  <c r="AT137" i="1" s="1"/>
  <c r="AN137" i="1"/>
  <c r="AQ137" i="1" s="1"/>
  <c r="AP283" i="1"/>
  <c r="AS283" i="1" s="1"/>
  <c r="AN283" i="1"/>
  <c r="AQ283" i="1" s="1"/>
  <c r="AT283" i="1" s="1"/>
  <c r="X89" i="1"/>
  <c r="Z77" i="1"/>
  <c r="AP335" i="1"/>
  <c r="AS335" i="1" s="1"/>
  <c r="AN335" i="1"/>
  <c r="AQ335" i="1" s="1"/>
  <c r="AT335" i="1" s="1"/>
  <c r="AP139" i="1"/>
  <c r="AS139" i="1" s="1"/>
  <c r="AT139" i="1" s="1"/>
  <c r="AN139" i="1"/>
  <c r="AQ139" i="1" s="1"/>
  <c r="Q355" i="1"/>
  <c r="S355" i="1" s="1"/>
  <c r="S353" i="1"/>
  <c r="U353" i="1" s="1"/>
  <c r="M386" i="1"/>
  <c r="O362" i="1"/>
  <c r="AB315" i="1"/>
  <c r="AD290" i="1"/>
  <c r="AB211" i="1"/>
  <c r="Z232" i="1"/>
  <c r="AL383" i="1"/>
  <c r="AO383" i="1" s="1"/>
  <c r="AP383" i="1" s="1"/>
  <c r="AS383" i="1" s="1"/>
  <c r="AL386" i="1"/>
  <c r="AO362" i="1"/>
  <c r="AO277" i="1"/>
  <c r="AL285" i="1"/>
  <c r="AL95" i="1" l="1"/>
  <c r="AJ105" i="1"/>
  <c r="AR24" i="1"/>
  <c r="O273" i="1"/>
  <c r="Q241" i="1"/>
  <c r="V405" i="1"/>
  <c r="X59" i="1"/>
  <c r="O315" i="1"/>
  <c r="Q290" i="1"/>
  <c r="O350" i="1"/>
  <c r="Q321" i="1"/>
  <c r="AG26" i="1"/>
  <c r="AE59" i="1"/>
  <c r="U64" i="1"/>
  <c r="W62" i="1"/>
  <c r="AC285" i="1"/>
  <c r="AE285" i="1" s="1"/>
  <c r="AE277" i="1"/>
  <c r="AG277" i="1" s="1"/>
  <c r="AA232" i="1"/>
  <c r="AC211" i="1"/>
  <c r="O170" i="1"/>
  <c r="Q124" i="1"/>
  <c r="AO285" i="1"/>
  <c r="AR277" i="1"/>
  <c r="AR285" i="1" s="1"/>
  <c r="Z121" i="1"/>
  <c r="AB108" i="1"/>
  <c r="O208" i="1"/>
  <c r="Q176" i="1"/>
  <c r="Y170" i="1"/>
  <c r="AT63" i="1"/>
  <c r="AT64" i="1" s="1"/>
  <c r="AS64" i="1"/>
  <c r="AB232" i="1"/>
  <c r="AD211" i="1"/>
  <c r="W353" i="1"/>
  <c r="U355" i="1"/>
  <c r="AB77" i="1"/>
  <c r="Z89" i="1"/>
  <c r="AH26" i="1"/>
  <c r="AF59" i="1"/>
  <c r="O121" i="1"/>
  <c r="Q108" i="1"/>
  <c r="AO386" i="1"/>
  <c r="AR362" i="1"/>
  <c r="AR386" i="1" s="1"/>
  <c r="AD315" i="1"/>
  <c r="AF290" i="1"/>
  <c r="X273" i="1"/>
  <c r="Z241" i="1"/>
  <c r="X350" i="1"/>
  <c r="Z321" i="1"/>
  <c r="X170" i="1"/>
  <c r="Z124" i="1"/>
  <c r="O59" i="1"/>
  <c r="Q24" i="1"/>
  <c r="X208" i="1"/>
  <c r="Z176" i="1"/>
  <c r="S89" i="1"/>
  <c r="U77" i="1"/>
  <c r="Q105" i="1"/>
  <c r="S105" i="1" s="1"/>
  <c r="S95" i="1"/>
  <c r="U95" i="1" s="1"/>
  <c r="AQ212" i="1"/>
  <c r="AN237" i="1"/>
  <c r="M405" i="1"/>
  <c r="AK24" i="1"/>
  <c r="O386" i="1"/>
  <c r="Q362" i="1"/>
  <c r="U89" i="1" l="1"/>
  <c r="W77" i="1"/>
  <c r="Z170" i="1"/>
  <c r="AB124" i="1"/>
  <c r="AF315" i="1"/>
  <c r="AH290" i="1"/>
  <c r="W64" i="1"/>
  <c r="Y64" i="1" s="1"/>
  <c r="Y62" i="1"/>
  <c r="AA62" i="1" s="1"/>
  <c r="U105" i="1"/>
  <c r="W95" i="1"/>
  <c r="Q59" i="1"/>
  <c r="Q405" i="1" s="1"/>
  <c r="S24" i="1"/>
  <c r="Z273" i="1"/>
  <c r="AB241" i="1"/>
  <c r="Q121" i="1"/>
  <c r="S121" i="1" s="1"/>
  <c r="S108" i="1"/>
  <c r="U108" i="1" s="1"/>
  <c r="AA124" i="1"/>
  <c r="AI277" i="1"/>
  <c r="AG285" i="1"/>
  <c r="S321" i="1"/>
  <c r="U321" i="1" s="1"/>
  <c r="Q350" i="1"/>
  <c r="Q273" i="1"/>
  <c r="S273" i="1" s="1"/>
  <c r="S241" i="1"/>
  <c r="U241" i="1" s="1"/>
  <c r="AM24" i="1"/>
  <c r="O405" i="1"/>
  <c r="W355" i="1"/>
  <c r="Y353" i="1"/>
  <c r="Y355" i="1" s="1"/>
  <c r="AD232" i="1"/>
  <c r="AF211" i="1"/>
  <c r="Q208" i="1"/>
  <c r="S176" i="1"/>
  <c r="Q170" i="1"/>
  <c r="S170" i="1" s="1"/>
  <c r="U170" i="1" s="1"/>
  <c r="S124" i="1"/>
  <c r="Q315" i="1"/>
  <c r="S315" i="1" s="1"/>
  <c r="S290" i="1"/>
  <c r="U290" i="1" s="1"/>
  <c r="AS24" i="1"/>
  <c r="AJ26" i="1"/>
  <c r="AH59" i="1"/>
  <c r="Z208" i="1"/>
  <c r="AB176" i="1"/>
  <c r="Z350" i="1"/>
  <c r="AB321" i="1"/>
  <c r="Z405" i="1"/>
  <c r="AB121" i="1"/>
  <c r="AD108" i="1"/>
  <c r="AC232" i="1"/>
  <c r="AE211" i="1"/>
  <c r="X405" i="1"/>
  <c r="Q386" i="1"/>
  <c r="S386" i="1" s="1"/>
  <c r="S362" i="1"/>
  <c r="U362" i="1" s="1"/>
  <c r="AB89" i="1"/>
  <c r="AD77" i="1"/>
  <c r="AI26" i="1"/>
  <c r="AG59" i="1"/>
  <c r="AL105" i="1"/>
  <c r="AO95" i="1"/>
  <c r="U386" i="1" l="1"/>
  <c r="W362" i="1"/>
  <c r="AL26" i="1"/>
  <c r="AJ59" i="1"/>
  <c r="AB170" i="1"/>
  <c r="AD124" i="1"/>
  <c r="AO105" i="1"/>
  <c r="AR95" i="1"/>
  <c r="AR105" i="1" s="1"/>
  <c r="AD121" i="1"/>
  <c r="AF108" i="1"/>
  <c r="AF121" i="1" s="1"/>
  <c r="AI285" i="1"/>
  <c r="AK277" i="1"/>
  <c r="S59" i="1"/>
  <c r="S405" i="1" s="1"/>
  <c r="U24" i="1"/>
  <c r="AH315" i="1"/>
  <c r="AJ315" i="1" s="1"/>
  <c r="AJ290" i="1"/>
  <c r="AL290" i="1" s="1"/>
  <c r="AB350" i="1"/>
  <c r="AD321" i="1"/>
  <c r="AF321" i="1" s="1"/>
  <c r="AT24" i="1"/>
  <c r="U176" i="1"/>
  <c r="S208" i="1"/>
  <c r="U273" i="1"/>
  <c r="W241" i="1"/>
  <c r="AA170" i="1"/>
  <c r="AC170" i="1" s="1"/>
  <c r="AC124" i="1"/>
  <c r="AE124" i="1" s="1"/>
  <c r="U121" i="1"/>
  <c r="W108" i="1"/>
  <c r="W105" i="1"/>
  <c r="Y105" i="1" s="1"/>
  <c r="Y95" i="1"/>
  <c r="AA95" i="1" s="1"/>
  <c r="AK26" i="1"/>
  <c r="AI59" i="1"/>
  <c r="AD89" i="1"/>
  <c r="AF77" i="1"/>
  <c r="AE232" i="1"/>
  <c r="AG211" i="1"/>
  <c r="W321" i="1"/>
  <c r="U350" i="1"/>
  <c r="AD241" i="1"/>
  <c r="AB273" i="1"/>
  <c r="AA64" i="1"/>
  <c r="AC64" i="1" s="1"/>
  <c r="AC62" i="1"/>
  <c r="AE62" i="1" s="1"/>
  <c r="AG62" i="1" s="1"/>
  <c r="Y77" i="1"/>
  <c r="W89" i="1"/>
  <c r="AB405" i="1"/>
  <c r="AB208" i="1"/>
  <c r="AD176" i="1"/>
  <c r="U315" i="1"/>
  <c r="W290" i="1"/>
  <c r="AF232" i="1"/>
  <c r="AH211" i="1"/>
  <c r="AN24" i="1"/>
  <c r="AG232" i="1" l="1"/>
  <c r="AI211" i="1"/>
  <c r="AI232" i="1" s="1"/>
  <c r="U59" i="1"/>
  <c r="W24" i="1"/>
  <c r="W386" i="1"/>
  <c r="Y362" i="1"/>
  <c r="AQ24" i="1"/>
  <c r="AE64" i="1"/>
  <c r="W273" i="1"/>
  <c r="Y241" i="1"/>
  <c r="AF89" i="1"/>
  <c r="AH77" i="1"/>
  <c r="AH89" i="1" s="1"/>
  <c r="W121" i="1"/>
  <c r="Y108" i="1"/>
  <c r="AF350" i="1"/>
  <c r="AH321" i="1"/>
  <c r="AM277" i="1"/>
  <c r="AK285" i="1"/>
  <c r="AD170" i="1"/>
  <c r="AD405" i="1" s="1"/>
  <c r="AF124" i="1"/>
  <c r="AD273" i="1"/>
  <c r="AF241" i="1"/>
  <c r="AL315" i="1"/>
  <c r="AO290" i="1"/>
  <c r="AH232" i="1"/>
  <c r="AJ211" i="1"/>
  <c r="W315" i="1"/>
  <c r="Y315" i="1" s="1"/>
  <c r="Y290" i="1"/>
  <c r="AA290" i="1" s="1"/>
  <c r="Y89" i="1"/>
  <c r="AA77" i="1"/>
  <c r="W350" i="1"/>
  <c r="Y321" i="1"/>
  <c r="AM26" i="1"/>
  <c r="AK59" i="1"/>
  <c r="AE170" i="1"/>
  <c r="AG124" i="1"/>
  <c r="U208" i="1"/>
  <c r="W176" i="1"/>
  <c r="AO26" i="1"/>
  <c r="AL59" i="1"/>
  <c r="AG64" i="1"/>
  <c r="AI62" i="1"/>
  <c r="AI64" i="1" s="1"/>
  <c r="AA105" i="1"/>
  <c r="AC95" i="1"/>
  <c r="AD208" i="1"/>
  <c r="AF176" i="1"/>
  <c r="U405" i="1" l="1"/>
  <c r="Y121" i="1"/>
  <c r="AA108" i="1"/>
  <c r="AO315" i="1"/>
  <c r="AR290" i="1"/>
  <c r="AR315" i="1" s="1"/>
  <c r="AF208" i="1"/>
  <c r="AH176" i="1"/>
  <c r="AA89" i="1"/>
  <c r="AC89" i="1" s="1"/>
  <c r="AC77" i="1"/>
  <c r="AE77" i="1" s="1"/>
  <c r="AG77" i="1" s="1"/>
  <c r="AF170" i="1"/>
  <c r="AH124" i="1"/>
  <c r="W59" i="1"/>
  <c r="Y24" i="1"/>
  <c r="AA24" i="1" s="1"/>
  <c r="AA59" i="1" s="1"/>
  <c r="AP26" i="1"/>
  <c r="AN26" i="1"/>
  <c r="AM59" i="1"/>
  <c r="AN277" i="1"/>
  <c r="AM285" i="1"/>
  <c r="AP277" i="1"/>
  <c r="AG170" i="1"/>
  <c r="AI124" i="1"/>
  <c r="AA315" i="1"/>
  <c r="AC315" i="1" s="1"/>
  <c r="AC290" i="1"/>
  <c r="AE290" i="1" s="1"/>
  <c r="AR26" i="1"/>
  <c r="AR59" i="1" s="1"/>
  <c r="AO59" i="1"/>
  <c r="AC105" i="1"/>
  <c r="AE105" i="1" s="1"/>
  <c r="AE95" i="1"/>
  <c r="AG95" i="1" s="1"/>
  <c r="W208" i="1"/>
  <c r="Y176" i="1"/>
  <c r="Y350" i="1"/>
  <c r="AA321" i="1"/>
  <c r="AJ232" i="1"/>
  <c r="AL211" i="1"/>
  <c r="AF273" i="1"/>
  <c r="AF405" i="1" s="1"/>
  <c r="AH241" i="1"/>
  <c r="AJ321" i="1"/>
  <c r="AH350" i="1"/>
  <c r="Y273" i="1"/>
  <c r="AA241" i="1"/>
  <c r="Y386" i="1"/>
  <c r="AA362" i="1"/>
  <c r="AL237" i="1" l="1"/>
  <c r="AO211" i="1"/>
  <c r="W405" i="1"/>
  <c r="Y59" i="1"/>
  <c r="AP59" i="1"/>
  <c r="AS26" i="1"/>
  <c r="AG89" i="1"/>
  <c r="AI77" i="1"/>
  <c r="AK77" i="1" s="1"/>
  <c r="AG105" i="1"/>
  <c r="AI95" i="1"/>
  <c r="AN285" i="1"/>
  <c r="AQ277" i="1"/>
  <c r="AA121" i="1"/>
  <c r="AC108" i="1"/>
  <c r="AJ350" i="1"/>
  <c r="AL321" i="1"/>
  <c r="AA386" i="1"/>
  <c r="AC386" i="1" s="1"/>
  <c r="AE386" i="1" s="1"/>
  <c r="AC362" i="1"/>
  <c r="AE362" i="1" s="1"/>
  <c r="AG362" i="1" s="1"/>
  <c r="AH273" i="1"/>
  <c r="AJ241" i="1"/>
  <c r="Y208" i="1"/>
  <c r="AA176" i="1"/>
  <c r="AE315" i="1"/>
  <c r="AG290" i="1"/>
  <c r="AP285" i="1"/>
  <c r="AS277" i="1"/>
  <c r="AS285" i="1" s="1"/>
  <c r="AE89" i="1"/>
  <c r="AA273" i="1"/>
  <c r="AC241" i="1"/>
  <c r="AI170" i="1"/>
  <c r="AH170" i="1"/>
  <c r="AH405" i="1" s="1"/>
  <c r="AJ124" i="1"/>
  <c r="AH208" i="1"/>
  <c r="AJ176" i="1"/>
  <c r="AA350" i="1"/>
  <c r="AC321" i="1"/>
  <c r="AQ26" i="1"/>
  <c r="AQ59" i="1" s="1"/>
  <c r="AN59" i="1"/>
  <c r="AA208" i="1" l="1"/>
  <c r="AA405" i="1" s="1"/>
  <c r="AC176" i="1"/>
  <c r="AL350" i="1"/>
  <c r="AO321" i="1"/>
  <c r="AI105" i="1"/>
  <c r="AK95" i="1"/>
  <c r="AJ170" i="1"/>
  <c r="AJ405" i="1" s="1"/>
  <c r="AL124" i="1"/>
  <c r="AE321" i="1"/>
  <c r="AG321" i="1" s="1"/>
  <c r="AC350" i="1"/>
  <c r="AE350" i="1" s="1"/>
  <c r="AK124" i="1"/>
  <c r="Y405" i="1"/>
  <c r="AK89" i="1"/>
  <c r="AM77" i="1"/>
  <c r="AJ273" i="1"/>
  <c r="AL241" i="1"/>
  <c r="AE108" i="1"/>
  <c r="AG108" i="1" s="1"/>
  <c r="AC121" i="1"/>
  <c r="AJ208" i="1"/>
  <c r="AL176" i="1"/>
  <c r="AC273" i="1"/>
  <c r="AE241" i="1"/>
  <c r="AO237" i="1"/>
  <c r="AR211" i="1"/>
  <c r="AR237" i="1" s="1"/>
  <c r="AP211" i="1"/>
  <c r="AQ211" i="1"/>
  <c r="AQ237" i="1" s="1"/>
  <c r="AG315" i="1"/>
  <c r="AI290" i="1"/>
  <c r="AG386" i="1"/>
  <c r="AI362" i="1"/>
  <c r="AT277" i="1"/>
  <c r="AT285" i="1" s="1"/>
  <c r="AQ285" i="1"/>
  <c r="AT26" i="1"/>
  <c r="AT59" i="1" s="1"/>
  <c r="AS59" i="1"/>
  <c r="AG241" i="1" l="1"/>
  <c r="AE273" i="1"/>
  <c r="AL273" i="1"/>
  <c r="AO241" i="1"/>
  <c r="AK170" i="1"/>
  <c r="AM124" i="1"/>
  <c r="AM95" i="1"/>
  <c r="AK105" i="1"/>
  <c r="AP237" i="1"/>
  <c r="AS211" i="1"/>
  <c r="AL208" i="1"/>
  <c r="AO176" i="1"/>
  <c r="AN77" i="1"/>
  <c r="AQ77" i="1" s="1"/>
  <c r="AP77" i="1"/>
  <c r="AM89" i="1"/>
  <c r="AN89" i="1" s="1"/>
  <c r="AG350" i="1"/>
  <c r="AI321" i="1"/>
  <c r="AR321" i="1"/>
  <c r="AR350" i="1" s="1"/>
  <c r="AO350" i="1"/>
  <c r="AG121" i="1"/>
  <c r="AI108" i="1"/>
  <c r="AK108" i="1" s="1"/>
  <c r="AK362" i="1"/>
  <c r="AI386" i="1"/>
  <c r="AE121" i="1"/>
  <c r="AL170" i="1"/>
  <c r="AL405" i="1" s="1"/>
  <c r="AO124" i="1"/>
  <c r="AC208" i="1"/>
  <c r="AC405" i="1" s="1"/>
  <c r="AE405" i="1" s="1"/>
  <c r="AE176" i="1"/>
  <c r="AI315" i="1"/>
  <c r="AK315" i="1" s="1"/>
  <c r="AK290" i="1"/>
  <c r="AM290" i="1" s="1"/>
  <c r="AO208" i="1" l="1"/>
  <c r="AR176" i="1"/>
  <c r="AR208" i="1" s="1"/>
  <c r="AM170" i="1"/>
  <c r="AP124" i="1"/>
  <c r="AN124" i="1"/>
  <c r="AO170" i="1"/>
  <c r="AR124" i="1"/>
  <c r="AK386" i="1"/>
  <c r="AM362" i="1"/>
  <c r="AI350" i="1"/>
  <c r="AK321" i="1"/>
  <c r="AM108" i="1"/>
  <c r="AK121" i="1"/>
  <c r="AS237" i="1"/>
  <c r="AT211" i="1"/>
  <c r="AT237" i="1" s="1"/>
  <c r="AQ89" i="1"/>
  <c r="AO273" i="1"/>
  <c r="AR241" i="1"/>
  <c r="AM315" i="1"/>
  <c r="AP290" i="1"/>
  <c r="AN290" i="1"/>
  <c r="AP89" i="1"/>
  <c r="AS77" i="1"/>
  <c r="AE208" i="1"/>
  <c r="AG176" i="1"/>
  <c r="AO405" i="1"/>
  <c r="AM105" i="1"/>
  <c r="AN105" i="1" s="1"/>
  <c r="AP95" i="1"/>
  <c r="AN95" i="1"/>
  <c r="AQ95" i="1" s="1"/>
  <c r="AQ105" i="1" s="1"/>
  <c r="AG273" i="1"/>
  <c r="AI241" i="1"/>
  <c r="AM121" i="1" l="1"/>
  <c r="AP108" i="1"/>
  <c r="AN108" i="1"/>
  <c r="AP315" i="1"/>
  <c r="AS290" i="1"/>
  <c r="AS315" i="1" s="1"/>
  <c r="AP170" i="1"/>
  <c r="AS124" i="1"/>
  <c r="AS95" i="1"/>
  <c r="AP105" i="1"/>
  <c r="AN315" i="1"/>
  <c r="AQ290" i="1"/>
  <c r="AK350" i="1"/>
  <c r="AM321" i="1"/>
  <c r="AI273" i="1"/>
  <c r="AK241" i="1"/>
  <c r="AG208" i="1"/>
  <c r="AG405" i="1" s="1"/>
  <c r="AI405" i="1" s="1"/>
  <c r="AI176" i="1"/>
  <c r="AP362" i="1"/>
  <c r="AM386" i="1"/>
  <c r="AN362" i="1"/>
  <c r="AT89" i="1"/>
  <c r="AN170" i="1"/>
  <c r="AQ124" i="1"/>
  <c r="AQ170" i="1" s="1"/>
  <c r="AR273" i="1"/>
  <c r="AT77" i="1"/>
  <c r="AS89" i="1"/>
  <c r="AR170" i="1"/>
  <c r="AR405" i="1" s="1"/>
  <c r="AI208" i="1" l="1"/>
  <c r="AK176" i="1"/>
  <c r="AQ315" i="1"/>
  <c r="AT290" i="1"/>
  <c r="AT315" i="1" s="1"/>
  <c r="AK273" i="1"/>
  <c r="AM241" i="1"/>
  <c r="AN121" i="1"/>
  <c r="AQ108" i="1"/>
  <c r="AQ121" i="1" s="1"/>
  <c r="AN383" i="1"/>
  <c r="AN386" i="1" s="1"/>
  <c r="AQ362" i="1"/>
  <c r="AS105" i="1"/>
  <c r="AT95" i="1"/>
  <c r="AT105" i="1" s="1"/>
  <c r="AP121" i="1"/>
  <c r="AS108" i="1"/>
  <c r="AP386" i="1"/>
  <c r="AS362" i="1"/>
  <c r="AS386" i="1" s="1"/>
  <c r="AM350" i="1"/>
  <c r="AN321" i="1"/>
  <c r="AP321" i="1"/>
  <c r="AS170" i="1"/>
  <c r="AT124" i="1"/>
  <c r="AT170" i="1" s="1"/>
  <c r="AQ386" i="1" l="1"/>
  <c r="AT362" i="1"/>
  <c r="AN350" i="1"/>
  <c r="AQ321" i="1"/>
  <c r="AS121" i="1"/>
  <c r="AT108" i="1"/>
  <c r="AT121" i="1" s="1"/>
  <c r="AS321" i="1"/>
  <c r="AS350" i="1" s="1"/>
  <c r="AP350" i="1"/>
  <c r="AM176" i="1"/>
  <c r="AK208" i="1"/>
  <c r="AK405" i="1" s="1"/>
  <c r="AM273" i="1"/>
  <c r="AP241" i="1"/>
  <c r="AN241" i="1"/>
  <c r="AT321" i="1" l="1"/>
  <c r="AT350" i="1" s="1"/>
  <c r="AQ350" i="1"/>
  <c r="AP273" i="1"/>
  <c r="AS241" i="1"/>
  <c r="AN273" i="1"/>
  <c r="AQ241" i="1"/>
  <c r="AQ273" i="1" s="1"/>
  <c r="AM208" i="1"/>
  <c r="AM405" i="1" s="1"/>
  <c r="AP176" i="1"/>
  <c r="AN176" i="1"/>
  <c r="AN208" i="1" l="1"/>
  <c r="AN405" i="1" s="1"/>
  <c r="AQ176" i="1"/>
  <c r="AQ208" i="1" s="1"/>
  <c r="AQ405" i="1" s="1"/>
  <c r="AP208" i="1"/>
  <c r="AP405" i="1" s="1"/>
  <c r="AS176" i="1"/>
  <c r="AS273" i="1"/>
  <c r="AT241" i="1"/>
  <c r="AT273" i="1" s="1"/>
  <c r="AS208" i="1" l="1"/>
  <c r="AS405" i="1" s="1"/>
  <c r="AT176" i="1"/>
  <c r="AT208" i="1" s="1"/>
  <c r="AT405" i="1" s="1"/>
</calcChain>
</file>

<file path=xl/sharedStrings.xml><?xml version="1.0" encoding="utf-8"?>
<sst xmlns="http://schemas.openxmlformats.org/spreadsheetml/2006/main" count="942" uniqueCount="391">
  <si>
    <t>MCCREARY COUNTY WATER</t>
  </si>
  <si>
    <t>DEPRECIATION SHEET</t>
  </si>
  <si>
    <t>Total</t>
  </si>
  <si>
    <t>Remaining</t>
  </si>
  <si>
    <t xml:space="preserve">Total </t>
  </si>
  <si>
    <t xml:space="preserve">Remaining </t>
  </si>
  <si>
    <t>ACCOUNT</t>
  </si>
  <si>
    <t>Date</t>
  </si>
  <si>
    <t>Item Cost</t>
  </si>
  <si>
    <t>Method</t>
  </si>
  <si>
    <t>Life</t>
  </si>
  <si>
    <t>ACCUM. DEPRECIATION</t>
  </si>
  <si>
    <t>12.31.03</t>
  </si>
  <si>
    <t>TOTALS</t>
  </si>
  <si>
    <t>12.31.04</t>
  </si>
  <si>
    <t>12.31.05</t>
  </si>
  <si>
    <t>12.31.06</t>
  </si>
  <si>
    <t>12.31.07</t>
  </si>
  <si>
    <t>12.31.08</t>
  </si>
  <si>
    <t>12.31.09</t>
  </si>
  <si>
    <t>12.31.10</t>
  </si>
  <si>
    <t>12.31.11</t>
  </si>
  <si>
    <t>12.31.12</t>
  </si>
  <si>
    <t>12.31.13</t>
  </si>
  <si>
    <t>12.31.14</t>
  </si>
  <si>
    <t>12.31.15</t>
  </si>
  <si>
    <t>12.31.16</t>
  </si>
  <si>
    <t>12.31.17</t>
  </si>
  <si>
    <t>12.31.18</t>
  </si>
  <si>
    <t>AD</t>
  </si>
  <si>
    <t>Balance</t>
  </si>
  <si>
    <t>12.31.19</t>
  </si>
  <si>
    <t>A/D</t>
  </si>
  <si>
    <t>12.31.20</t>
  </si>
  <si>
    <t>303 Land</t>
  </si>
  <si>
    <t>Land</t>
  </si>
  <si>
    <t>12.31.94</t>
  </si>
  <si>
    <t>Office Land</t>
  </si>
  <si>
    <t>6.30.94</t>
  </si>
  <si>
    <t>Plant #2 Land</t>
  </si>
  <si>
    <t>6.30.00</t>
  </si>
  <si>
    <t>Plant #1 Land</t>
  </si>
  <si>
    <t>8.28.01</t>
  </si>
  <si>
    <t>9.3.04</t>
  </si>
  <si>
    <t>Marshes Track</t>
  </si>
  <si>
    <t>11.6.09</t>
  </si>
  <si>
    <t>Pine Knot Tank Site</t>
  </si>
  <si>
    <t>11.24.10</t>
  </si>
  <si>
    <t>Crit King Property New shop land</t>
  </si>
  <si>
    <t>3.1.11</t>
  </si>
  <si>
    <t>Beaty Property</t>
  </si>
  <si>
    <t>12.13.11</t>
  </si>
  <si>
    <t>Property Next to Water Plant 1</t>
  </si>
  <si>
    <t>1.7.13</t>
  </si>
  <si>
    <t>Land for Booster Pump</t>
  </si>
  <si>
    <t>2.25.16</t>
  </si>
  <si>
    <t xml:space="preserve">Land Donated </t>
  </si>
  <si>
    <t>Land New Office Bldg</t>
  </si>
  <si>
    <t>304 Structures &amp; Improvements</t>
  </si>
  <si>
    <t>Buildings</t>
  </si>
  <si>
    <t>12.31.91</t>
  </si>
  <si>
    <t>S/L</t>
  </si>
  <si>
    <t>Glass/Mirror</t>
  </si>
  <si>
    <t>Office Project</t>
  </si>
  <si>
    <t>6.30.95</t>
  </si>
  <si>
    <t>6.30.96</t>
  </si>
  <si>
    <t>6.30.97</t>
  </si>
  <si>
    <t>6.30.98</t>
  </si>
  <si>
    <t>Improvements</t>
  </si>
  <si>
    <t>6.30.99</t>
  </si>
  <si>
    <t>Dry Storage Bldg-Plant</t>
  </si>
  <si>
    <t>2.4.00</t>
  </si>
  <si>
    <t>Chlorine Bldg-Lake</t>
  </si>
  <si>
    <t>12.20.00</t>
  </si>
  <si>
    <t>Metal Roof Shop</t>
  </si>
  <si>
    <t>9.7.01</t>
  </si>
  <si>
    <t>Carpet</t>
  </si>
  <si>
    <t>2.13.04</t>
  </si>
  <si>
    <t>Counters</t>
  </si>
  <si>
    <t>Water Treatment Plant 2</t>
  </si>
  <si>
    <t>6.30.04</t>
  </si>
  <si>
    <t>Raw &amp; Fiished Water Transmission</t>
  </si>
  <si>
    <t>Water Treatment Plant 2 Expansion</t>
  </si>
  <si>
    <t>Water Treatment Plant</t>
  </si>
  <si>
    <t>3.28.05</t>
  </si>
  <si>
    <t>Prison Project Phase II</t>
  </si>
  <si>
    <t>5.2.05</t>
  </si>
  <si>
    <t>Storage Building</t>
  </si>
  <si>
    <t>12.15.07</t>
  </si>
  <si>
    <t>Building 1 material Storage Bldg</t>
  </si>
  <si>
    <t>4.5.12</t>
  </si>
  <si>
    <t>Building 2 Bew 24x50 Heated Bldg</t>
  </si>
  <si>
    <t>5.4.12</t>
  </si>
  <si>
    <t>Building 2 Meter Test Addition</t>
  </si>
  <si>
    <t>8.4.12</t>
  </si>
  <si>
    <t>Building 2 Bathroom Addition</t>
  </si>
  <si>
    <t>7.1.12</t>
  </si>
  <si>
    <t>Sidewalk</t>
  </si>
  <si>
    <t>10.3.12</t>
  </si>
  <si>
    <t>Building 3 Maintenance</t>
  </si>
  <si>
    <t>4.1.13</t>
  </si>
  <si>
    <t>Water Plant Upgrade</t>
  </si>
  <si>
    <t>6.30.14</t>
  </si>
  <si>
    <t>24x30 Metal Bldg at shop</t>
  </si>
  <si>
    <t>1.28.16</t>
  </si>
  <si>
    <t>24x40 slanted Roof Built Service Gar</t>
  </si>
  <si>
    <t>24x41 Shed</t>
  </si>
  <si>
    <t>9.2.16</t>
  </si>
  <si>
    <t>10.01.18</t>
  </si>
  <si>
    <t>New Office Bldg</t>
  </si>
  <si>
    <t>Paving</t>
  </si>
  <si>
    <t>Office Bldg Improvements</t>
  </si>
  <si>
    <t>2.28.19</t>
  </si>
  <si>
    <t>305 Collecting Reservoir</t>
  </si>
  <si>
    <t>Collecting</t>
  </si>
  <si>
    <t>Sludge Pond</t>
  </si>
  <si>
    <t>306 Lake</t>
  </si>
  <si>
    <t>309 Supply Mains</t>
  </si>
  <si>
    <t>Supply Main Line</t>
  </si>
  <si>
    <t>310 Power Generator Equipment</t>
  </si>
  <si>
    <t>12.22.10</t>
  </si>
  <si>
    <t>311 Plumbing Equipment</t>
  </si>
  <si>
    <t>Pumping Equipment</t>
  </si>
  <si>
    <t>Improvement</t>
  </si>
  <si>
    <t>4.23.93</t>
  </si>
  <si>
    <t>Pump</t>
  </si>
  <si>
    <t>8.15.95</t>
  </si>
  <si>
    <t>10.10.97</t>
  </si>
  <si>
    <t>Rebuilt Lake Pump</t>
  </si>
  <si>
    <t>12.2.02</t>
  </si>
  <si>
    <t>06.30.04</t>
  </si>
  <si>
    <t>Raw &amp; Finished Water Transmission</t>
  </si>
  <si>
    <t>Water Transmission Main Phase 1</t>
  </si>
  <si>
    <t>Pump Truck</t>
  </si>
  <si>
    <t>4.3.2006</t>
  </si>
  <si>
    <t>Pump Station</t>
  </si>
  <si>
    <t>10.14.10</t>
  </si>
  <si>
    <t xml:space="preserve">Scada Pump station </t>
  </si>
  <si>
    <t>11.03.11</t>
  </si>
  <si>
    <t>313 Lake, River and Other Intake</t>
  </si>
  <si>
    <t>Lake Input</t>
  </si>
  <si>
    <t>1.11.10</t>
  </si>
  <si>
    <t>320 Water Treatment</t>
  </si>
  <si>
    <t>Plant</t>
  </si>
  <si>
    <t>92 Plant</t>
  </si>
  <si>
    <t>6.30.92</t>
  </si>
  <si>
    <t>94 Plant</t>
  </si>
  <si>
    <t>Equipment</t>
  </si>
  <si>
    <t>12.3.97</t>
  </si>
  <si>
    <t>12.9.98</t>
  </si>
  <si>
    <t>99 Plant</t>
  </si>
  <si>
    <t>1.31.99</t>
  </si>
  <si>
    <t>3000 Gallon Tank</t>
  </si>
  <si>
    <t>3.9.00</t>
  </si>
  <si>
    <t>Water Treatment  Plant 2</t>
  </si>
  <si>
    <t>330 Standpipes</t>
  </si>
  <si>
    <t>Water Tanks</t>
  </si>
  <si>
    <t>12.31.76</t>
  </si>
  <si>
    <t>Fence</t>
  </si>
  <si>
    <t>Water Tank</t>
  </si>
  <si>
    <t>Paint Tank</t>
  </si>
  <si>
    <t>500000 Gal Elevated  Storage Tank</t>
  </si>
  <si>
    <t>1M Gallon Elevated Compsit Water Storage Tank</t>
  </si>
  <si>
    <t>New Liberty</t>
  </si>
  <si>
    <t>1.26.10</t>
  </si>
  <si>
    <t>Scada Pump Station</t>
  </si>
  <si>
    <t>Storage Tank</t>
  </si>
  <si>
    <t>7.27.12</t>
  </si>
  <si>
    <t>331 Transmissions &amp; Distribution Mains</t>
  </si>
  <si>
    <t>Main Lines</t>
  </si>
  <si>
    <t>Extend Lines</t>
  </si>
  <si>
    <t>6.30.93</t>
  </si>
  <si>
    <t>6.30.01</t>
  </si>
  <si>
    <t>6.30.02</t>
  </si>
  <si>
    <t>6.30.03</t>
  </si>
  <si>
    <t>Raw and Finished Water Transmission</t>
  </si>
  <si>
    <t>Water Transmission Main Phase 2</t>
  </si>
  <si>
    <t>2004 Line Extension</t>
  </si>
  <si>
    <t>2005 Line Extension</t>
  </si>
  <si>
    <t>6.30.05</t>
  </si>
  <si>
    <t>2006 Line Ext Countywide &amp; Housebill 267</t>
  </si>
  <si>
    <t>9.30.06</t>
  </si>
  <si>
    <t>2006 Line Extension</t>
  </si>
  <si>
    <t>6.30.06</t>
  </si>
  <si>
    <t>2007 Line Extension</t>
  </si>
  <si>
    <t>6.30.07</t>
  </si>
  <si>
    <t>2008 Line Extension</t>
  </si>
  <si>
    <t>6.30.08</t>
  </si>
  <si>
    <t>2009 Line Extension</t>
  </si>
  <si>
    <t>6.30.09</t>
  </si>
  <si>
    <t>2010 Line Extension</t>
  </si>
  <si>
    <t>6.30.10</t>
  </si>
  <si>
    <t>Distribution Study 319 Watershed</t>
  </si>
  <si>
    <t>11.16.10</t>
  </si>
  <si>
    <t>New Liberty Lines</t>
  </si>
  <si>
    <t>County Water Extension</t>
  </si>
  <si>
    <t>6.17.10</t>
  </si>
  <si>
    <t>Trans Main Upgrade Stearns to Pine Knot</t>
  </si>
  <si>
    <t>2.4.10</t>
  </si>
  <si>
    <t>Cumberland Falls State Park</t>
  </si>
  <si>
    <t>11.29.10</t>
  </si>
  <si>
    <t>Ky 92 Relocation</t>
  </si>
  <si>
    <t>Impairment</t>
  </si>
  <si>
    <t>2011 Line Extension</t>
  </si>
  <si>
    <t>6.30.11</t>
  </si>
  <si>
    <t>2012 Line Extension</t>
  </si>
  <si>
    <t>6.30.12</t>
  </si>
  <si>
    <t>2013 Line Extension</t>
  </si>
  <si>
    <t>6.30.13</t>
  </si>
  <si>
    <t>2014 Line Extension</t>
  </si>
  <si>
    <t>3.31.14</t>
  </si>
  <si>
    <t>2015 Line Extension</t>
  </si>
  <si>
    <t>6.30.15</t>
  </si>
  <si>
    <t>2016 Line Extension</t>
  </si>
  <si>
    <t>6.30.16</t>
  </si>
  <si>
    <t>2007 Abandoned Line 15.75%</t>
  </si>
  <si>
    <t>9.30.17</t>
  </si>
  <si>
    <t>2017 Line Extension</t>
  </si>
  <si>
    <t>6.30.17</t>
  </si>
  <si>
    <t>KY 92 Line Relocation</t>
  </si>
  <si>
    <t>2018 Line Extension</t>
  </si>
  <si>
    <t>6.30.18</t>
  </si>
  <si>
    <t>2019 Line Extension</t>
  </si>
  <si>
    <t>6.30.19</t>
  </si>
  <si>
    <t>2020 Line Extension</t>
  </si>
  <si>
    <t>6.30.20</t>
  </si>
  <si>
    <t>333 Services</t>
  </si>
  <si>
    <t>Services</t>
  </si>
  <si>
    <t>Services Countywide</t>
  </si>
  <si>
    <t>334 Meter Installation</t>
  </si>
  <si>
    <t>Meters</t>
  </si>
  <si>
    <t>Radio Read Water Meters</t>
  </si>
  <si>
    <t>New Radio Read Meters 3/4   212</t>
  </si>
  <si>
    <t>7.15.18</t>
  </si>
  <si>
    <t>New Radio Read Meters 3/4   499</t>
  </si>
  <si>
    <t>8.15.18</t>
  </si>
  <si>
    <t>New Radio Read Meters 3/4   720</t>
  </si>
  <si>
    <t>9.15.18</t>
  </si>
  <si>
    <t>New Radio Read Meters 3/4   907</t>
  </si>
  <si>
    <t>10.15.18</t>
  </si>
  <si>
    <t>New Radio Read Meters 3/4   406</t>
  </si>
  <si>
    <t>11.15.18</t>
  </si>
  <si>
    <t>New Radio Read Meters 3/4   269</t>
  </si>
  <si>
    <t>12.15.18</t>
  </si>
  <si>
    <t>New Radio Read Meters 1          6</t>
  </si>
  <si>
    <t>New Radio Read Meters 1          7</t>
  </si>
  <si>
    <t>Radio Meters</t>
  </si>
  <si>
    <t>1.1.19</t>
  </si>
  <si>
    <t>7.29.19</t>
  </si>
  <si>
    <t>8.16.19</t>
  </si>
  <si>
    <t>12.24.19</t>
  </si>
  <si>
    <t>335 Hydrants</t>
  </si>
  <si>
    <t>Hydrants</t>
  </si>
  <si>
    <t>Less Impaired Hydrants</t>
  </si>
  <si>
    <t>339 Other Equipment</t>
  </si>
  <si>
    <t>Computer</t>
  </si>
  <si>
    <t>3.6.98</t>
  </si>
  <si>
    <t>Flag &amp; Pole</t>
  </si>
  <si>
    <t>10.24.02</t>
  </si>
  <si>
    <t>Cdr Repeater</t>
  </si>
  <si>
    <t>10.12.04</t>
  </si>
  <si>
    <t>Utility Trailer</t>
  </si>
  <si>
    <t>4.1.05</t>
  </si>
  <si>
    <t>Digital Video &amp; Camera New Shop</t>
  </si>
  <si>
    <t>6.12.12</t>
  </si>
  <si>
    <t>Digital Video &amp; Camera Plant 2</t>
  </si>
  <si>
    <t>8.17.13</t>
  </si>
  <si>
    <t>340 Office Furniture Equipment</t>
  </si>
  <si>
    <t>Misc.</t>
  </si>
  <si>
    <t>12.31.95</t>
  </si>
  <si>
    <t>Desk &amp; Chair</t>
  </si>
  <si>
    <t>6.30.88</t>
  </si>
  <si>
    <t>Cabinet</t>
  </si>
  <si>
    <t>6.30.90</t>
  </si>
  <si>
    <t>Lyrix Word</t>
  </si>
  <si>
    <t>6.30.91</t>
  </si>
  <si>
    <t>Desk</t>
  </si>
  <si>
    <t>Software</t>
  </si>
  <si>
    <t>Computer Resources</t>
  </si>
  <si>
    <t>Furnishings</t>
  </si>
  <si>
    <t>Furniture</t>
  </si>
  <si>
    <t>Printer Strands</t>
  </si>
  <si>
    <t>Plant Computer</t>
  </si>
  <si>
    <t>5.16.97</t>
  </si>
  <si>
    <t>Modern Security System</t>
  </si>
  <si>
    <t>3.21.01</t>
  </si>
  <si>
    <t>Weddle Surveillance System</t>
  </si>
  <si>
    <t>Laser Printer</t>
  </si>
  <si>
    <t>12.12.02</t>
  </si>
  <si>
    <t>2.14.03</t>
  </si>
  <si>
    <t>CD Burner</t>
  </si>
  <si>
    <t>7.9.04</t>
  </si>
  <si>
    <t>17" Moniter</t>
  </si>
  <si>
    <t>2.18.05</t>
  </si>
  <si>
    <t>Night Deposit Drawer&amp;Envelope Disp</t>
  </si>
  <si>
    <t>9.28.06</t>
  </si>
  <si>
    <t xml:space="preserve">Computer System </t>
  </si>
  <si>
    <t>4.4.08</t>
  </si>
  <si>
    <t>FD Advanced 2 Machine for folding/ins/sealing</t>
  </si>
  <si>
    <t>4.30.09</t>
  </si>
  <si>
    <t>RicohCopier MPC4000</t>
  </si>
  <si>
    <t>7.16.09</t>
  </si>
  <si>
    <t>Copier</t>
  </si>
  <si>
    <t>12.30.13</t>
  </si>
  <si>
    <t>341 Transportation</t>
  </si>
  <si>
    <t>86 GMC Dump-yellow</t>
  </si>
  <si>
    <t>Tool Boxes</t>
  </si>
  <si>
    <t>Ford F150</t>
  </si>
  <si>
    <t>8.22.03</t>
  </si>
  <si>
    <t>10 Ton Trailer</t>
  </si>
  <si>
    <t>1.7.05</t>
  </si>
  <si>
    <t>94 Ford F-700</t>
  </si>
  <si>
    <t>2007 Dodge Ram 1500</t>
  </si>
  <si>
    <t>7.25.06</t>
  </si>
  <si>
    <t>2009 Ford Pick up Truck</t>
  </si>
  <si>
    <t>5.7.09</t>
  </si>
  <si>
    <t>2013 Chev</t>
  </si>
  <si>
    <t>12.26.19</t>
  </si>
  <si>
    <t>2011 F350 Pickup</t>
  </si>
  <si>
    <t>12.8.2010</t>
  </si>
  <si>
    <t>Utility Bed for F450 Truck</t>
  </si>
  <si>
    <t>11.1.11</t>
  </si>
  <si>
    <t>Trailer 16x4</t>
  </si>
  <si>
    <t>8.24.12</t>
  </si>
  <si>
    <t>07 Ford F-150</t>
  </si>
  <si>
    <t>9.21.12</t>
  </si>
  <si>
    <t>Truck</t>
  </si>
  <si>
    <t>7.15.14</t>
  </si>
  <si>
    <t>transferred from Sewer</t>
  </si>
  <si>
    <t>Ford F-550 Truck</t>
  </si>
  <si>
    <t>8.12.15</t>
  </si>
  <si>
    <t>Trailer</t>
  </si>
  <si>
    <t>9.10.15</t>
  </si>
  <si>
    <t>3.17.16</t>
  </si>
  <si>
    <t>GMC Terrain</t>
  </si>
  <si>
    <t>12.22.16</t>
  </si>
  <si>
    <t>Dump Truck</t>
  </si>
  <si>
    <t>12.4.17</t>
  </si>
  <si>
    <t>12.14.17</t>
  </si>
  <si>
    <t>2011 Ford Ranger</t>
  </si>
  <si>
    <t>03.08.18</t>
  </si>
  <si>
    <t>10.19.18</t>
  </si>
  <si>
    <t>2014 Chevrolet</t>
  </si>
  <si>
    <t>3.2.2020</t>
  </si>
  <si>
    <t>343 Shop Equipment</t>
  </si>
  <si>
    <t>Various</t>
  </si>
  <si>
    <t>12.31.79</t>
  </si>
  <si>
    <t>344 Lab Equipment</t>
  </si>
  <si>
    <t>Water Treatment Plant No 2</t>
  </si>
  <si>
    <t>345 Power Oriented Equipment</t>
  </si>
  <si>
    <t>580 M Case Backhoe</t>
  </si>
  <si>
    <t>5.10.02</t>
  </si>
  <si>
    <t>Bore Machine</t>
  </si>
  <si>
    <t>D-3 Dozer</t>
  </si>
  <si>
    <t>Vermeer Trencher</t>
  </si>
  <si>
    <t>3.21.00</t>
  </si>
  <si>
    <t>1/2 1850 Mower</t>
  </si>
  <si>
    <t>7.18.03</t>
  </si>
  <si>
    <t>Gas Generator</t>
  </si>
  <si>
    <t>Emergency Generator</t>
  </si>
  <si>
    <t>5.6.05</t>
  </si>
  <si>
    <t>Bor It Machine</t>
  </si>
  <si>
    <t>12.18.08</t>
  </si>
  <si>
    <t>Vermeer</t>
  </si>
  <si>
    <t>9.1.06</t>
  </si>
  <si>
    <t>Dixie Chopper</t>
  </si>
  <si>
    <t>7.25.07</t>
  </si>
  <si>
    <t>Jack Hammer Air Compressor</t>
  </si>
  <si>
    <t>12.29.08</t>
  </si>
  <si>
    <t>Case Excavator and bucket</t>
  </si>
  <si>
    <t>12.1.09</t>
  </si>
  <si>
    <t>Diesel and Gas Generator used</t>
  </si>
  <si>
    <t>6.4.10</t>
  </si>
  <si>
    <t>Hammer for Equipment</t>
  </si>
  <si>
    <t>7.8.10</t>
  </si>
  <si>
    <t>Takeuchi TB153 Excavator</t>
  </si>
  <si>
    <t>6.15.11</t>
  </si>
  <si>
    <t>185 CFM Sullair Air Compressor</t>
  </si>
  <si>
    <t>12.13.12</t>
  </si>
  <si>
    <t>Straw blower</t>
  </si>
  <si>
    <t>4.7.16</t>
  </si>
  <si>
    <t>100 KW Kohler Mobile Generator</t>
  </si>
  <si>
    <t>8.27.20</t>
  </si>
  <si>
    <t>Takeuchi Trac Hoe</t>
  </si>
  <si>
    <t>10.15.20</t>
  </si>
  <si>
    <t>Telemetry Equipment</t>
  </si>
  <si>
    <t>1.16.08</t>
  </si>
  <si>
    <t>346 Communication Equipment</t>
  </si>
  <si>
    <t>Grand Totals</t>
  </si>
  <si>
    <t>Audit adjustment</t>
  </si>
  <si>
    <t>Meters Changed Out Remaing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</si>
</sst>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44" fontId="0" fillId="0" borderId="0" xfId="1" applyFont="1" applyFill="1"/>
    <xf numFmtId="2" fontId="0" fillId="0" borderId="0" xfId="0" applyNumberFormat="1" applyFill="1"/>
    <xf numFmtId="0" fontId="5" fillId="0" borderId="0" xfId="0" applyFont="1" applyFill="1" applyAlignment="1"/>
    <xf numFmtId="0" fontId="6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94AD-4B23-42B1-81E4-A92761C5C0B9}">
  <sheetPr>
    <pageSetUpPr fitToPage="1"/>
  </sheetPr>
  <dimension ref="A1:AV409"/>
  <sheetViews>
    <sheetView tabSelected="1" workbookViewId="0">
      <selection activeCell="B1" sqref="B1"/>
    </sheetView>
  </sheetViews>
  <sheetFormatPr defaultColWidth="11.5703125" defaultRowHeight="12.75" x14ac:dyDescent="0.2"/>
  <cols>
    <col min="1" max="1" width="41.85546875" style="2" customWidth="1"/>
    <col min="2" max="2" width="9.7109375" style="2" customWidth="1"/>
    <col min="3" max="3" width="12.5703125" style="2" customWidth="1"/>
    <col min="4" max="4" width="20" style="2" customWidth="1"/>
    <col min="5" max="5" width="4.42578125" style="2" customWidth="1"/>
    <col min="6" max="6" width="11.5703125" style="2" customWidth="1"/>
    <col min="7" max="7" width="22.85546875" style="2" customWidth="1"/>
    <col min="8" max="8" width="8.7109375" style="2" customWidth="1"/>
    <col min="9" max="9" width="8.5703125" style="2" customWidth="1"/>
    <col min="10" max="13" width="17" style="2" customWidth="1"/>
    <col min="14" max="14" width="13" style="2" customWidth="1"/>
    <col min="15" max="25" width="17" style="2" customWidth="1"/>
    <col min="26" max="26" width="15" style="2" customWidth="1"/>
    <col min="27" max="46" width="17" style="2" customWidth="1"/>
    <col min="47" max="256" width="11.5703125" style="2"/>
    <col min="257" max="257" width="41.85546875" style="2" customWidth="1"/>
    <col min="258" max="258" width="9.7109375" style="2" customWidth="1"/>
    <col min="259" max="259" width="12.5703125" style="2" customWidth="1"/>
    <col min="260" max="260" width="20" style="2" customWidth="1"/>
    <col min="261" max="261" width="4.42578125" style="2" customWidth="1"/>
    <col min="262" max="262" width="11.5703125" style="2"/>
    <col min="263" max="263" width="22.85546875" style="2" customWidth="1"/>
    <col min="264" max="264" width="8.7109375" style="2" customWidth="1"/>
    <col min="265" max="265" width="8.5703125" style="2" customWidth="1"/>
    <col min="266" max="269" width="17" style="2" customWidth="1"/>
    <col min="270" max="270" width="13" style="2" customWidth="1"/>
    <col min="271" max="281" width="17" style="2" customWidth="1"/>
    <col min="282" max="282" width="15" style="2" customWidth="1"/>
    <col min="283" max="302" width="17" style="2" customWidth="1"/>
    <col min="303" max="512" width="11.5703125" style="2"/>
    <col min="513" max="513" width="41.85546875" style="2" customWidth="1"/>
    <col min="514" max="514" width="9.7109375" style="2" customWidth="1"/>
    <col min="515" max="515" width="12.5703125" style="2" customWidth="1"/>
    <col min="516" max="516" width="20" style="2" customWidth="1"/>
    <col min="517" max="517" width="4.42578125" style="2" customWidth="1"/>
    <col min="518" max="518" width="11.5703125" style="2"/>
    <col min="519" max="519" width="22.85546875" style="2" customWidth="1"/>
    <col min="520" max="520" width="8.7109375" style="2" customWidth="1"/>
    <col min="521" max="521" width="8.5703125" style="2" customWidth="1"/>
    <col min="522" max="525" width="17" style="2" customWidth="1"/>
    <col min="526" max="526" width="13" style="2" customWidth="1"/>
    <col min="527" max="537" width="17" style="2" customWidth="1"/>
    <col min="538" max="538" width="15" style="2" customWidth="1"/>
    <col min="539" max="558" width="17" style="2" customWidth="1"/>
    <col min="559" max="768" width="11.5703125" style="2"/>
    <col min="769" max="769" width="41.85546875" style="2" customWidth="1"/>
    <col min="770" max="770" width="9.7109375" style="2" customWidth="1"/>
    <col min="771" max="771" width="12.5703125" style="2" customWidth="1"/>
    <col min="772" max="772" width="20" style="2" customWidth="1"/>
    <col min="773" max="773" width="4.42578125" style="2" customWidth="1"/>
    <col min="774" max="774" width="11.5703125" style="2"/>
    <col min="775" max="775" width="22.85546875" style="2" customWidth="1"/>
    <col min="776" max="776" width="8.7109375" style="2" customWidth="1"/>
    <col min="777" max="777" width="8.5703125" style="2" customWidth="1"/>
    <col min="778" max="781" width="17" style="2" customWidth="1"/>
    <col min="782" max="782" width="13" style="2" customWidth="1"/>
    <col min="783" max="793" width="17" style="2" customWidth="1"/>
    <col min="794" max="794" width="15" style="2" customWidth="1"/>
    <col min="795" max="814" width="17" style="2" customWidth="1"/>
    <col min="815" max="1024" width="11.5703125" style="2"/>
    <col min="1025" max="1025" width="41.85546875" style="2" customWidth="1"/>
    <col min="1026" max="1026" width="9.7109375" style="2" customWidth="1"/>
    <col min="1027" max="1027" width="12.5703125" style="2" customWidth="1"/>
    <col min="1028" max="1028" width="20" style="2" customWidth="1"/>
    <col min="1029" max="1029" width="4.42578125" style="2" customWidth="1"/>
    <col min="1030" max="1030" width="11.5703125" style="2"/>
    <col min="1031" max="1031" width="22.85546875" style="2" customWidth="1"/>
    <col min="1032" max="1032" width="8.7109375" style="2" customWidth="1"/>
    <col min="1033" max="1033" width="8.5703125" style="2" customWidth="1"/>
    <col min="1034" max="1037" width="17" style="2" customWidth="1"/>
    <col min="1038" max="1038" width="13" style="2" customWidth="1"/>
    <col min="1039" max="1049" width="17" style="2" customWidth="1"/>
    <col min="1050" max="1050" width="15" style="2" customWidth="1"/>
    <col min="1051" max="1070" width="17" style="2" customWidth="1"/>
    <col min="1071" max="1280" width="11.5703125" style="2"/>
    <col min="1281" max="1281" width="41.85546875" style="2" customWidth="1"/>
    <col min="1282" max="1282" width="9.7109375" style="2" customWidth="1"/>
    <col min="1283" max="1283" width="12.5703125" style="2" customWidth="1"/>
    <col min="1284" max="1284" width="20" style="2" customWidth="1"/>
    <col min="1285" max="1285" width="4.42578125" style="2" customWidth="1"/>
    <col min="1286" max="1286" width="11.5703125" style="2"/>
    <col min="1287" max="1287" width="22.85546875" style="2" customWidth="1"/>
    <col min="1288" max="1288" width="8.7109375" style="2" customWidth="1"/>
    <col min="1289" max="1289" width="8.5703125" style="2" customWidth="1"/>
    <col min="1290" max="1293" width="17" style="2" customWidth="1"/>
    <col min="1294" max="1294" width="13" style="2" customWidth="1"/>
    <col min="1295" max="1305" width="17" style="2" customWidth="1"/>
    <col min="1306" max="1306" width="15" style="2" customWidth="1"/>
    <col min="1307" max="1326" width="17" style="2" customWidth="1"/>
    <col min="1327" max="1536" width="11.5703125" style="2"/>
    <col min="1537" max="1537" width="41.85546875" style="2" customWidth="1"/>
    <col min="1538" max="1538" width="9.7109375" style="2" customWidth="1"/>
    <col min="1539" max="1539" width="12.5703125" style="2" customWidth="1"/>
    <col min="1540" max="1540" width="20" style="2" customWidth="1"/>
    <col min="1541" max="1541" width="4.42578125" style="2" customWidth="1"/>
    <col min="1542" max="1542" width="11.5703125" style="2"/>
    <col min="1543" max="1543" width="22.85546875" style="2" customWidth="1"/>
    <col min="1544" max="1544" width="8.7109375" style="2" customWidth="1"/>
    <col min="1545" max="1545" width="8.5703125" style="2" customWidth="1"/>
    <col min="1546" max="1549" width="17" style="2" customWidth="1"/>
    <col min="1550" max="1550" width="13" style="2" customWidth="1"/>
    <col min="1551" max="1561" width="17" style="2" customWidth="1"/>
    <col min="1562" max="1562" width="15" style="2" customWidth="1"/>
    <col min="1563" max="1582" width="17" style="2" customWidth="1"/>
    <col min="1583" max="1792" width="11.5703125" style="2"/>
    <col min="1793" max="1793" width="41.85546875" style="2" customWidth="1"/>
    <col min="1794" max="1794" width="9.7109375" style="2" customWidth="1"/>
    <col min="1795" max="1795" width="12.5703125" style="2" customWidth="1"/>
    <col min="1796" max="1796" width="20" style="2" customWidth="1"/>
    <col min="1797" max="1797" width="4.42578125" style="2" customWidth="1"/>
    <col min="1798" max="1798" width="11.5703125" style="2"/>
    <col min="1799" max="1799" width="22.85546875" style="2" customWidth="1"/>
    <col min="1800" max="1800" width="8.7109375" style="2" customWidth="1"/>
    <col min="1801" max="1801" width="8.5703125" style="2" customWidth="1"/>
    <col min="1802" max="1805" width="17" style="2" customWidth="1"/>
    <col min="1806" max="1806" width="13" style="2" customWidth="1"/>
    <col min="1807" max="1817" width="17" style="2" customWidth="1"/>
    <col min="1818" max="1818" width="15" style="2" customWidth="1"/>
    <col min="1819" max="1838" width="17" style="2" customWidth="1"/>
    <col min="1839" max="2048" width="11.5703125" style="2"/>
    <col min="2049" max="2049" width="41.85546875" style="2" customWidth="1"/>
    <col min="2050" max="2050" width="9.7109375" style="2" customWidth="1"/>
    <col min="2051" max="2051" width="12.5703125" style="2" customWidth="1"/>
    <col min="2052" max="2052" width="20" style="2" customWidth="1"/>
    <col min="2053" max="2053" width="4.42578125" style="2" customWidth="1"/>
    <col min="2054" max="2054" width="11.5703125" style="2"/>
    <col min="2055" max="2055" width="22.85546875" style="2" customWidth="1"/>
    <col min="2056" max="2056" width="8.7109375" style="2" customWidth="1"/>
    <col min="2057" max="2057" width="8.5703125" style="2" customWidth="1"/>
    <col min="2058" max="2061" width="17" style="2" customWidth="1"/>
    <col min="2062" max="2062" width="13" style="2" customWidth="1"/>
    <col min="2063" max="2073" width="17" style="2" customWidth="1"/>
    <col min="2074" max="2074" width="15" style="2" customWidth="1"/>
    <col min="2075" max="2094" width="17" style="2" customWidth="1"/>
    <col min="2095" max="2304" width="11.5703125" style="2"/>
    <col min="2305" max="2305" width="41.85546875" style="2" customWidth="1"/>
    <col min="2306" max="2306" width="9.7109375" style="2" customWidth="1"/>
    <col min="2307" max="2307" width="12.5703125" style="2" customWidth="1"/>
    <col min="2308" max="2308" width="20" style="2" customWidth="1"/>
    <col min="2309" max="2309" width="4.42578125" style="2" customWidth="1"/>
    <col min="2310" max="2310" width="11.5703125" style="2"/>
    <col min="2311" max="2311" width="22.85546875" style="2" customWidth="1"/>
    <col min="2312" max="2312" width="8.7109375" style="2" customWidth="1"/>
    <col min="2313" max="2313" width="8.5703125" style="2" customWidth="1"/>
    <col min="2314" max="2317" width="17" style="2" customWidth="1"/>
    <col min="2318" max="2318" width="13" style="2" customWidth="1"/>
    <col min="2319" max="2329" width="17" style="2" customWidth="1"/>
    <col min="2330" max="2330" width="15" style="2" customWidth="1"/>
    <col min="2331" max="2350" width="17" style="2" customWidth="1"/>
    <col min="2351" max="2560" width="11.5703125" style="2"/>
    <col min="2561" max="2561" width="41.85546875" style="2" customWidth="1"/>
    <col min="2562" max="2562" width="9.7109375" style="2" customWidth="1"/>
    <col min="2563" max="2563" width="12.5703125" style="2" customWidth="1"/>
    <col min="2564" max="2564" width="20" style="2" customWidth="1"/>
    <col min="2565" max="2565" width="4.42578125" style="2" customWidth="1"/>
    <col min="2566" max="2566" width="11.5703125" style="2"/>
    <col min="2567" max="2567" width="22.85546875" style="2" customWidth="1"/>
    <col min="2568" max="2568" width="8.7109375" style="2" customWidth="1"/>
    <col min="2569" max="2569" width="8.5703125" style="2" customWidth="1"/>
    <col min="2570" max="2573" width="17" style="2" customWidth="1"/>
    <col min="2574" max="2574" width="13" style="2" customWidth="1"/>
    <col min="2575" max="2585" width="17" style="2" customWidth="1"/>
    <col min="2586" max="2586" width="15" style="2" customWidth="1"/>
    <col min="2587" max="2606" width="17" style="2" customWidth="1"/>
    <col min="2607" max="2816" width="11.5703125" style="2"/>
    <col min="2817" max="2817" width="41.85546875" style="2" customWidth="1"/>
    <col min="2818" max="2818" width="9.7109375" style="2" customWidth="1"/>
    <col min="2819" max="2819" width="12.5703125" style="2" customWidth="1"/>
    <col min="2820" max="2820" width="20" style="2" customWidth="1"/>
    <col min="2821" max="2821" width="4.42578125" style="2" customWidth="1"/>
    <col min="2822" max="2822" width="11.5703125" style="2"/>
    <col min="2823" max="2823" width="22.85546875" style="2" customWidth="1"/>
    <col min="2824" max="2824" width="8.7109375" style="2" customWidth="1"/>
    <col min="2825" max="2825" width="8.5703125" style="2" customWidth="1"/>
    <col min="2826" max="2829" width="17" style="2" customWidth="1"/>
    <col min="2830" max="2830" width="13" style="2" customWidth="1"/>
    <col min="2831" max="2841" width="17" style="2" customWidth="1"/>
    <col min="2842" max="2842" width="15" style="2" customWidth="1"/>
    <col min="2843" max="2862" width="17" style="2" customWidth="1"/>
    <col min="2863" max="3072" width="11.5703125" style="2"/>
    <col min="3073" max="3073" width="41.85546875" style="2" customWidth="1"/>
    <col min="3074" max="3074" width="9.7109375" style="2" customWidth="1"/>
    <col min="3075" max="3075" width="12.5703125" style="2" customWidth="1"/>
    <col min="3076" max="3076" width="20" style="2" customWidth="1"/>
    <col min="3077" max="3077" width="4.42578125" style="2" customWidth="1"/>
    <col min="3078" max="3078" width="11.5703125" style="2"/>
    <col min="3079" max="3079" width="22.85546875" style="2" customWidth="1"/>
    <col min="3080" max="3080" width="8.7109375" style="2" customWidth="1"/>
    <col min="3081" max="3081" width="8.5703125" style="2" customWidth="1"/>
    <col min="3082" max="3085" width="17" style="2" customWidth="1"/>
    <col min="3086" max="3086" width="13" style="2" customWidth="1"/>
    <col min="3087" max="3097" width="17" style="2" customWidth="1"/>
    <col min="3098" max="3098" width="15" style="2" customWidth="1"/>
    <col min="3099" max="3118" width="17" style="2" customWidth="1"/>
    <col min="3119" max="3328" width="11.5703125" style="2"/>
    <col min="3329" max="3329" width="41.85546875" style="2" customWidth="1"/>
    <col min="3330" max="3330" width="9.7109375" style="2" customWidth="1"/>
    <col min="3331" max="3331" width="12.5703125" style="2" customWidth="1"/>
    <col min="3332" max="3332" width="20" style="2" customWidth="1"/>
    <col min="3333" max="3333" width="4.42578125" style="2" customWidth="1"/>
    <col min="3334" max="3334" width="11.5703125" style="2"/>
    <col min="3335" max="3335" width="22.85546875" style="2" customWidth="1"/>
    <col min="3336" max="3336" width="8.7109375" style="2" customWidth="1"/>
    <col min="3337" max="3337" width="8.5703125" style="2" customWidth="1"/>
    <col min="3338" max="3341" width="17" style="2" customWidth="1"/>
    <col min="3342" max="3342" width="13" style="2" customWidth="1"/>
    <col min="3343" max="3353" width="17" style="2" customWidth="1"/>
    <col min="3354" max="3354" width="15" style="2" customWidth="1"/>
    <col min="3355" max="3374" width="17" style="2" customWidth="1"/>
    <col min="3375" max="3584" width="11.5703125" style="2"/>
    <col min="3585" max="3585" width="41.85546875" style="2" customWidth="1"/>
    <col min="3586" max="3586" width="9.7109375" style="2" customWidth="1"/>
    <col min="3587" max="3587" width="12.5703125" style="2" customWidth="1"/>
    <col min="3588" max="3588" width="20" style="2" customWidth="1"/>
    <col min="3589" max="3589" width="4.42578125" style="2" customWidth="1"/>
    <col min="3590" max="3590" width="11.5703125" style="2"/>
    <col min="3591" max="3591" width="22.85546875" style="2" customWidth="1"/>
    <col min="3592" max="3592" width="8.7109375" style="2" customWidth="1"/>
    <col min="3593" max="3593" width="8.5703125" style="2" customWidth="1"/>
    <col min="3594" max="3597" width="17" style="2" customWidth="1"/>
    <col min="3598" max="3598" width="13" style="2" customWidth="1"/>
    <col min="3599" max="3609" width="17" style="2" customWidth="1"/>
    <col min="3610" max="3610" width="15" style="2" customWidth="1"/>
    <col min="3611" max="3630" width="17" style="2" customWidth="1"/>
    <col min="3631" max="3840" width="11.5703125" style="2"/>
    <col min="3841" max="3841" width="41.85546875" style="2" customWidth="1"/>
    <col min="3842" max="3842" width="9.7109375" style="2" customWidth="1"/>
    <col min="3843" max="3843" width="12.5703125" style="2" customWidth="1"/>
    <col min="3844" max="3844" width="20" style="2" customWidth="1"/>
    <col min="3845" max="3845" width="4.42578125" style="2" customWidth="1"/>
    <col min="3846" max="3846" width="11.5703125" style="2"/>
    <col min="3847" max="3847" width="22.85546875" style="2" customWidth="1"/>
    <col min="3848" max="3848" width="8.7109375" style="2" customWidth="1"/>
    <col min="3849" max="3849" width="8.5703125" style="2" customWidth="1"/>
    <col min="3850" max="3853" width="17" style="2" customWidth="1"/>
    <col min="3854" max="3854" width="13" style="2" customWidth="1"/>
    <col min="3855" max="3865" width="17" style="2" customWidth="1"/>
    <col min="3866" max="3866" width="15" style="2" customWidth="1"/>
    <col min="3867" max="3886" width="17" style="2" customWidth="1"/>
    <col min="3887" max="4096" width="11.5703125" style="2"/>
    <col min="4097" max="4097" width="41.85546875" style="2" customWidth="1"/>
    <col min="4098" max="4098" width="9.7109375" style="2" customWidth="1"/>
    <col min="4099" max="4099" width="12.5703125" style="2" customWidth="1"/>
    <col min="4100" max="4100" width="20" style="2" customWidth="1"/>
    <col min="4101" max="4101" width="4.42578125" style="2" customWidth="1"/>
    <col min="4102" max="4102" width="11.5703125" style="2"/>
    <col min="4103" max="4103" width="22.85546875" style="2" customWidth="1"/>
    <col min="4104" max="4104" width="8.7109375" style="2" customWidth="1"/>
    <col min="4105" max="4105" width="8.5703125" style="2" customWidth="1"/>
    <col min="4106" max="4109" width="17" style="2" customWidth="1"/>
    <col min="4110" max="4110" width="13" style="2" customWidth="1"/>
    <col min="4111" max="4121" width="17" style="2" customWidth="1"/>
    <col min="4122" max="4122" width="15" style="2" customWidth="1"/>
    <col min="4123" max="4142" width="17" style="2" customWidth="1"/>
    <col min="4143" max="4352" width="11.5703125" style="2"/>
    <col min="4353" max="4353" width="41.85546875" style="2" customWidth="1"/>
    <col min="4354" max="4354" width="9.7109375" style="2" customWidth="1"/>
    <col min="4355" max="4355" width="12.5703125" style="2" customWidth="1"/>
    <col min="4356" max="4356" width="20" style="2" customWidth="1"/>
    <col min="4357" max="4357" width="4.42578125" style="2" customWidth="1"/>
    <col min="4358" max="4358" width="11.5703125" style="2"/>
    <col min="4359" max="4359" width="22.85546875" style="2" customWidth="1"/>
    <col min="4360" max="4360" width="8.7109375" style="2" customWidth="1"/>
    <col min="4361" max="4361" width="8.5703125" style="2" customWidth="1"/>
    <col min="4362" max="4365" width="17" style="2" customWidth="1"/>
    <col min="4366" max="4366" width="13" style="2" customWidth="1"/>
    <col min="4367" max="4377" width="17" style="2" customWidth="1"/>
    <col min="4378" max="4378" width="15" style="2" customWidth="1"/>
    <col min="4379" max="4398" width="17" style="2" customWidth="1"/>
    <col min="4399" max="4608" width="11.5703125" style="2"/>
    <col min="4609" max="4609" width="41.85546875" style="2" customWidth="1"/>
    <col min="4610" max="4610" width="9.7109375" style="2" customWidth="1"/>
    <col min="4611" max="4611" width="12.5703125" style="2" customWidth="1"/>
    <col min="4612" max="4612" width="20" style="2" customWidth="1"/>
    <col min="4613" max="4613" width="4.42578125" style="2" customWidth="1"/>
    <col min="4614" max="4614" width="11.5703125" style="2"/>
    <col min="4615" max="4615" width="22.85546875" style="2" customWidth="1"/>
    <col min="4616" max="4616" width="8.7109375" style="2" customWidth="1"/>
    <col min="4617" max="4617" width="8.5703125" style="2" customWidth="1"/>
    <col min="4618" max="4621" width="17" style="2" customWidth="1"/>
    <col min="4622" max="4622" width="13" style="2" customWidth="1"/>
    <col min="4623" max="4633" width="17" style="2" customWidth="1"/>
    <col min="4634" max="4634" width="15" style="2" customWidth="1"/>
    <col min="4635" max="4654" width="17" style="2" customWidth="1"/>
    <col min="4655" max="4864" width="11.5703125" style="2"/>
    <col min="4865" max="4865" width="41.85546875" style="2" customWidth="1"/>
    <col min="4866" max="4866" width="9.7109375" style="2" customWidth="1"/>
    <col min="4867" max="4867" width="12.5703125" style="2" customWidth="1"/>
    <col min="4868" max="4868" width="20" style="2" customWidth="1"/>
    <col min="4869" max="4869" width="4.42578125" style="2" customWidth="1"/>
    <col min="4870" max="4870" width="11.5703125" style="2"/>
    <col min="4871" max="4871" width="22.85546875" style="2" customWidth="1"/>
    <col min="4872" max="4872" width="8.7109375" style="2" customWidth="1"/>
    <col min="4873" max="4873" width="8.5703125" style="2" customWidth="1"/>
    <col min="4874" max="4877" width="17" style="2" customWidth="1"/>
    <col min="4878" max="4878" width="13" style="2" customWidth="1"/>
    <col min="4879" max="4889" width="17" style="2" customWidth="1"/>
    <col min="4890" max="4890" width="15" style="2" customWidth="1"/>
    <col min="4891" max="4910" width="17" style="2" customWidth="1"/>
    <col min="4911" max="5120" width="11.5703125" style="2"/>
    <col min="5121" max="5121" width="41.85546875" style="2" customWidth="1"/>
    <col min="5122" max="5122" width="9.7109375" style="2" customWidth="1"/>
    <col min="5123" max="5123" width="12.5703125" style="2" customWidth="1"/>
    <col min="5124" max="5124" width="20" style="2" customWidth="1"/>
    <col min="5125" max="5125" width="4.42578125" style="2" customWidth="1"/>
    <col min="5126" max="5126" width="11.5703125" style="2"/>
    <col min="5127" max="5127" width="22.85546875" style="2" customWidth="1"/>
    <col min="5128" max="5128" width="8.7109375" style="2" customWidth="1"/>
    <col min="5129" max="5129" width="8.5703125" style="2" customWidth="1"/>
    <col min="5130" max="5133" width="17" style="2" customWidth="1"/>
    <col min="5134" max="5134" width="13" style="2" customWidth="1"/>
    <col min="5135" max="5145" width="17" style="2" customWidth="1"/>
    <col min="5146" max="5146" width="15" style="2" customWidth="1"/>
    <col min="5147" max="5166" width="17" style="2" customWidth="1"/>
    <col min="5167" max="5376" width="11.5703125" style="2"/>
    <col min="5377" max="5377" width="41.85546875" style="2" customWidth="1"/>
    <col min="5378" max="5378" width="9.7109375" style="2" customWidth="1"/>
    <col min="5379" max="5379" width="12.5703125" style="2" customWidth="1"/>
    <col min="5380" max="5380" width="20" style="2" customWidth="1"/>
    <col min="5381" max="5381" width="4.42578125" style="2" customWidth="1"/>
    <col min="5382" max="5382" width="11.5703125" style="2"/>
    <col min="5383" max="5383" width="22.85546875" style="2" customWidth="1"/>
    <col min="5384" max="5384" width="8.7109375" style="2" customWidth="1"/>
    <col min="5385" max="5385" width="8.5703125" style="2" customWidth="1"/>
    <col min="5386" max="5389" width="17" style="2" customWidth="1"/>
    <col min="5390" max="5390" width="13" style="2" customWidth="1"/>
    <col min="5391" max="5401" width="17" style="2" customWidth="1"/>
    <col min="5402" max="5402" width="15" style="2" customWidth="1"/>
    <col min="5403" max="5422" width="17" style="2" customWidth="1"/>
    <col min="5423" max="5632" width="11.5703125" style="2"/>
    <col min="5633" max="5633" width="41.85546875" style="2" customWidth="1"/>
    <col min="5634" max="5634" width="9.7109375" style="2" customWidth="1"/>
    <col min="5635" max="5635" width="12.5703125" style="2" customWidth="1"/>
    <col min="5636" max="5636" width="20" style="2" customWidth="1"/>
    <col min="5637" max="5637" width="4.42578125" style="2" customWidth="1"/>
    <col min="5638" max="5638" width="11.5703125" style="2"/>
    <col min="5639" max="5639" width="22.85546875" style="2" customWidth="1"/>
    <col min="5640" max="5640" width="8.7109375" style="2" customWidth="1"/>
    <col min="5641" max="5641" width="8.5703125" style="2" customWidth="1"/>
    <col min="5642" max="5645" width="17" style="2" customWidth="1"/>
    <col min="5646" max="5646" width="13" style="2" customWidth="1"/>
    <col min="5647" max="5657" width="17" style="2" customWidth="1"/>
    <col min="5658" max="5658" width="15" style="2" customWidth="1"/>
    <col min="5659" max="5678" width="17" style="2" customWidth="1"/>
    <col min="5679" max="5888" width="11.5703125" style="2"/>
    <col min="5889" max="5889" width="41.85546875" style="2" customWidth="1"/>
    <col min="5890" max="5890" width="9.7109375" style="2" customWidth="1"/>
    <col min="5891" max="5891" width="12.5703125" style="2" customWidth="1"/>
    <col min="5892" max="5892" width="20" style="2" customWidth="1"/>
    <col min="5893" max="5893" width="4.42578125" style="2" customWidth="1"/>
    <col min="5894" max="5894" width="11.5703125" style="2"/>
    <col min="5895" max="5895" width="22.85546875" style="2" customWidth="1"/>
    <col min="5896" max="5896" width="8.7109375" style="2" customWidth="1"/>
    <col min="5897" max="5897" width="8.5703125" style="2" customWidth="1"/>
    <col min="5898" max="5901" width="17" style="2" customWidth="1"/>
    <col min="5902" max="5902" width="13" style="2" customWidth="1"/>
    <col min="5903" max="5913" width="17" style="2" customWidth="1"/>
    <col min="5914" max="5914" width="15" style="2" customWidth="1"/>
    <col min="5915" max="5934" width="17" style="2" customWidth="1"/>
    <col min="5935" max="6144" width="11.5703125" style="2"/>
    <col min="6145" max="6145" width="41.85546875" style="2" customWidth="1"/>
    <col min="6146" max="6146" width="9.7109375" style="2" customWidth="1"/>
    <col min="6147" max="6147" width="12.5703125" style="2" customWidth="1"/>
    <col min="6148" max="6148" width="20" style="2" customWidth="1"/>
    <col min="6149" max="6149" width="4.42578125" style="2" customWidth="1"/>
    <col min="6150" max="6150" width="11.5703125" style="2"/>
    <col min="6151" max="6151" width="22.85546875" style="2" customWidth="1"/>
    <col min="6152" max="6152" width="8.7109375" style="2" customWidth="1"/>
    <col min="6153" max="6153" width="8.5703125" style="2" customWidth="1"/>
    <col min="6154" max="6157" width="17" style="2" customWidth="1"/>
    <col min="6158" max="6158" width="13" style="2" customWidth="1"/>
    <col min="6159" max="6169" width="17" style="2" customWidth="1"/>
    <col min="6170" max="6170" width="15" style="2" customWidth="1"/>
    <col min="6171" max="6190" width="17" style="2" customWidth="1"/>
    <col min="6191" max="6400" width="11.5703125" style="2"/>
    <col min="6401" max="6401" width="41.85546875" style="2" customWidth="1"/>
    <col min="6402" max="6402" width="9.7109375" style="2" customWidth="1"/>
    <col min="6403" max="6403" width="12.5703125" style="2" customWidth="1"/>
    <col min="6404" max="6404" width="20" style="2" customWidth="1"/>
    <col min="6405" max="6405" width="4.42578125" style="2" customWidth="1"/>
    <col min="6406" max="6406" width="11.5703125" style="2"/>
    <col min="6407" max="6407" width="22.85546875" style="2" customWidth="1"/>
    <col min="6408" max="6408" width="8.7109375" style="2" customWidth="1"/>
    <col min="6409" max="6409" width="8.5703125" style="2" customWidth="1"/>
    <col min="6410" max="6413" width="17" style="2" customWidth="1"/>
    <col min="6414" max="6414" width="13" style="2" customWidth="1"/>
    <col min="6415" max="6425" width="17" style="2" customWidth="1"/>
    <col min="6426" max="6426" width="15" style="2" customWidth="1"/>
    <col min="6427" max="6446" width="17" style="2" customWidth="1"/>
    <col min="6447" max="6656" width="11.5703125" style="2"/>
    <col min="6657" max="6657" width="41.85546875" style="2" customWidth="1"/>
    <col min="6658" max="6658" width="9.7109375" style="2" customWidth="1"/>
    <col min="6659" max="6659" width="12.5703125" style="2" customWidth="1"/>
    <col min="6660" max="6660" width="20" style="2" customWidth="1"/>
    <col min="6661" max="6661" width="4.42578125" style="2" customWidth="1"/>
    <col min="6662" max="6662" width="11.5703125" style="2"/>
    <col min="6663" max="6663" width="22.85546875" style="2" customWidth="1"/>
    <col min="6664" max="6664" width="8.7109375" style="2" customWidth="1"/>
    <col min="6665" max="6665" width="8.5703125" style="2" customWidth="1"/>
    <col min="6666" max="6669" width="17" style="2" customWidth="1"/>
    <col min="6670" max="6670" width="13" style="2" customWidth="1"/>
    <col min="6671" max="6681" width="17" style="2" customWidth="1"/>
    <col min="6682" max="6682" width="15" style="2" customWidth="1"/>
    <col min="6683" max="6702" width="17" style="2" customWidth="1"/>
    <col min="6703" max="6912" width="11.5703125" style="2"/>
    <col min="6913" max="6913" width="41.85546875" style="2" customWidth="1"/>
    <col min="6914" max="6914" width="9.7109375" style="2" customWidth="1"/>
    <col min="6915" max="6915" width="12.5703125" style="2" customWidth="1"/>
    <col min="6916" max="6916" width="20" style="2" customWidth="1"/>
    <col min="6917" max="6917" width="4.42578125" style="2" customWidth="1"/>
    <col min="6918" max="6918" width="11.5703125" style="2"/>
    <col min="6919" max="6919" width="22.85546875" style="2" customWidth="1"/>
    <col min="6920" max="6920" width="8.7109375" style="2" customWidth="1"/>
    <col min="6921" max="6921" width="8.5703125" style="2" customWidth="1"/>
    <col min="6922" max="6925" width="17" style="2" customWidth="1"/>
    <col min="6926" max="6926" width="13" style="2" customWidth="1"/>
    <col min="6927" max="6937" width="17" style="2" customWidth="1"/>
    <col min="6938" max="6938" width="15" style="2" customWidth="1"/>
    <col min="6939" max="6958" width="17" style="2" customWidth="1"/>
    <col min="6959" max="7168" width="11.5703125" style="2"/>
    <col min="7169" max="7169" width="41.85546875" style="2" customWidth="1"/>
    <col min="7170" max="7170" width="9.7109375" style="2" customWidth="1"/>
    <col min="7171" max="7171" width="12.5703125" style="2" customWidth="1"/>
    <col min="7172" max="7172" width="20" style="2" customWidth="1"/>
    <col min="7173" max="7173" width="4.42578125" style="2" customWidth="1"/>
    <col min="7174" max="7174" width="11.5703125" style="2"/>
    <col min="7175" max="7175" width="22.85546875" style="2" customWidth="1"/>
    <col min="7176" max="7176" width="8.7109375" style="2" customWidth="1"/>
    <col min="7177" max="7177" width="8.5703125" style="2" customWidth="1"/>
    <col min="7178" max="7181" width="17" style="2" customWidth="1"/>
    <col min="7182" max="7182" width="13" style="2" customWidth="1"/>
    <col min="7183" max="7193" width="17" style="2" customWidth="1"/>
    <col min="7194" max="7194" width="15" style="2" customWidth="1"/>
    <col min="7195" max="7214" width="17" style="2" customWidth="1"/>
    <col min="7215" max="7424" width="11.5703125" style="2"/>
    <col min="7425" max="7425" width="41.85546875" style="2" customWidth="1"/>
    <col min="7426" max="7426" width="9.7109375" style="2" customWidth="1"/>
    <col min="7427" max="7427" width="12.5703125" style="2" customWidth="1"/>
    <col min="7428" max="7428" width="20" style="2" customWidth="1"/>
    <col min="7429" max="7429" width="4.42578125" style="2" customWidth="1"/>
    <col min="7430" max="7430" width="11.5703125" style="2"/>
    <col min="7431" max="7431" width="22.85546875" style="2" customWidth="1"/>
    <col min="7432" max="7432" width="8.7109375" style="2" customWidth="1"/>
    <col min="7433" max="7433" width="8.5703125" style="2" customWidth="1"/>
    <col min="7434" max="7437" width="17" style="2" customWidth="1"/>
    <col min="7438" max="7438" width="13" style="2" customWidth="1"/>
    <col min="7439" max="7449" width="17" style="2" customWidth="1"/>
    <col min="7450" max="7450" width="15" style="2" customWidth="1"/>
    <col min="7451" max="7470" width="17" style="2" customWidth="1"/>
    <col min="7471" max="7680" width="11.5703125" style="2"/>
    <col min="7681" max="7681" width="41.85546875" style="2" customWidth="1"/>
    <col min="7682" max="7682" width="9.7109375" style="2" customWidth="1"/>
    <col min="7683" max="7683" width="12.5703125" style="2" customWidth="1"/>
    <col min="7684" max="7684" width="20" style="2" customWidth="1"/>
    <col min="7685" max="7685" width="4.42578125" style="2" customWidth="1"/>
    <col min="7686" max="7686" width="11.5703125" style="2"/>
    <col min="7687" max="7687" width="22.85546875" style="2" customWidth="1"/>
    <col min="7688" max="7688" width="8.7109375" style="2" customWidth="1"/>
    <col min="7689" max="7689" width="8.5703125" style="2" customWidth="1"/>
    <col min="7690" max="7693" width="17" style="2" customWidth="1"/>
    <col min="7694" max="7694" width="13" style="2" customWidth="1"/>
    <col min="7695" max="7705" width="17" style="2" customWidth="1"/>
    <col min="7706" max="7706" width="15" style="2" customWidth="1"/>
    <col min="7707" max="7726" width="17" style="2" customWidth="1"/>
    <col min="7727" max="7936" width="11.5703125" style="2"/>
    <col min="7937" max="7937" width="41.85546875" style="2" customWidth="1"/>
    <col min="7938" max="7938" width="9.7109375" style="2" customWidth="1"/>
    <col min="7939" max="7939" width="12.5703125" style="2" customWidth="1"/>
    <col min="7940" max="7940" width="20" style="2" customWidth="1"/>
    <col min="7941" max="7941" width="4.42578125" style="2" customWidth="1"/>
    <col min="7942" max="7942" width="11.5703125" style="2"/>
    <col min="7943" max="7943" width="22.85546875" style="2" customWidth="1"/>
    <col min="7944" max="7944" width="8.7109375" style="2" customWidth="1"/>
    <col min="7945" max="7945" width="8.5703125" style="2" customWidth="1"/>
    <col min="7946" max="7949" width="17" style="2" customWidth="1"/>
    <col min="7950" max="7950" width="13" style="2" customWidth="1"/>
    <col min="7951" max="7961" width="17" style="2" customWidth="1"/>
    <col min="7962" max="7962" width="15" style="2" customWidth="1"/>
    <col min="7963" max="7982" width="17" style="2" customWidth="1"/>
    <col min="7983" max="8192" width="11.5703125" style="2"/>
    <col min="8193" max="8193" width="41.85546875" style="2" customWidth="1"/>
    <col min="8194" max="8194" width="9.7109375" style="2" customWidth="1"/>
    <col min="8195" max="8195" width="12.5703125" style="2" customWidth="1"/>
    <col min="8196" max="8196" width="20" style="2" customWidth="1"/>
    <col min="8197" max="8197" width="4.42578125" style="2" customWidth="1"/>
    <col min="8198" max="8198" width="11.5703125" style="2"/>
    <col min="8199" max="8199" width="22.85546875" style="2" customWidth="1"/>
    <col min="8200" max="8200" width="8.7109375" style="2" customWidth="1"/>
    <col min="8201" max="8201" width="8.5703125" style="2" customWidth="1"/>
    <col min="8202" max="8205" width="17" style="2" customWidth="1"/>
    <col min="8206" max="8206" width="13" style="2" customWidth="1"/>
    <col min="8207" max="8217" width="17" style="2" customWidth="1"/>
    <col min="8218" max="8218" width="15" style="2" customWidth="1"/>
    <col min="8219" max="8238" width="17" style="2" customWidth="1"/>
    <col min="8239" max="8448" width="11.5703125" style="2"/>
    <col min="8449" max="8449" width="41.85546875" style="2" customWidth="1"/>
    <col min="8450" max="8450" width="9.7109375" style="2" customWidth="1"/>
    <col min="8451" max="8451" width="12.5703125" style="2" customWidth="1"/>
    <col min="8452" max="8452" width="20" style="2" customWidth="1"/>
    <col min="8453" max="8453" width="4.42578125" style="2" customWidth="1"/>
    <col min="8454" max="8454" width="11.5703125" style="2"/>
    <col min="8455" max="8455" width="22.85546875" style="2" customWidth="1"/>
    <col min="8456" max="8456" width="8.7109375" style="2" customWidth="1"/>
    <col min="8457" max="8457" width="8.5703125" style="2" customWidth="1"/>
    <col min="8458" max="8461" width="17" style="2" customWidth="1"/>
    <col min="8462" max="8462" width="13" style="2" customWidth="1"/>
    <col min="8463" max="8473" width="17" style="2" customWidth="1"/>
    <col min="8474" max="8474" width="15" style="2" customWidth="1"/>
    <col min="8475" max="8494" width="17" style="2" customWidth="1"/>
    <col min="8495" max="8704" width="11.5703125" style="2"/>
    <col min="8705" max="8705" width="41.85546875" style="2" customWidth="1"/>
    <col min="8706" max="8706" width="9.7109375" style="2" customWidth="1"/>
    <col min="8707" max="8707" width="12.5703125" style="2" customWidth="1"/>
    <col min="8708" max="8708" width="20" style="2" customWidth="1"/>
    <col min="8709" max="8709" width="4.42578125" style="2" customWidth="1"/>
    <col min="8710" max="8710" width="11.5703125" style="2"/>
    <col min="8711" max="8711" width="22.85546875" style="2" customWidth="1"/>
    <col min="8712" max="8712" width="8.7109375" style="2" customWidth="1"/>
    <col min="8713" max="8713" width="8.5703125" style="2" customWidth="1"/>
    <col min="8714" max="8717" width="17" style="2" customWidth="1"/>
    <col min="8718" max="8718" width="13" style="2" customWidth="1"/>
    <col min="8719" max="8729" width="17" style="2" customWidth="1"/>
    <col min="8730" max="8730" width="15" style="2" customWidth="1"/>
    <col min="8731" max="8750" width="17" style="2" customWidth="1"/>
    <col min="8751" max="8960" width="11.5703125" style="2"/>
    <col min="8961" max="8961" width="41.85546875" style="2" customWidth="1"/>
    <col min="8962" max="8962" width="9.7109375" style="2" customWidth="1"/>
    <col min="8963" max="8963" width="12.5703125" style="2" customWidth="1"/>
    <col min="8964" max="8964" width="20" style="2" customWidth="1"/>
    <col min="8965" max="8965" width="4.42578125" style="2" customWidth="1"/>
    <col min="8966" max="8966" width="11.5703125" style="2"/>
    <col min="8967" max="8967" width="22.85546875" style="2" customWidth="1"/>
    <col min="8968" max="8968" width="8.7109375" style="2" customWidth="1"/>
    <col min="8969" max="8969" width="8.5703125" style="2" customWidth="1"/>
    <col min="8970" max="8973" width="17" style="2" customWidth="1"/>
    <col min="8974" max="8974" width="13" style="2" customWidth="1"/>
    <col min="8975" max="8985" width="17" style="2" customWidth="1"/>
    <col min="8986" max="8986" width="15" style="2" customWidth="1"/>
    <col min="8987" max="9006" width="17" style="2" customWidth="1"/>
    <col min="9007" max="9216" width="11.5703125" style="2"/>
    <col min="9217" max="9217" width="41.85546875" style="2" customWidth="1"/>
    <col min="9218" max="9218" width="9.7109375" style="2" customWidth="1"/>
    <col min="9219" max="9219" width="12.5703125" style="2" customWidth="1"/>
    <col min="9220" max="9220" width="20" style="2" customWidth="1"/>
    <col min="9221" max="9221" width="4.42578125" style="2" customWidth="1"/>
    <col min="9222" max="9222" width="11.5703125" style="2"/>
    <col min="9223" max="9223" width="22.85546875" style="2" customWidth="1"/>
    <col min="9224" max="9224" width="8.7109375" style="2" customWidth="1"/>
    <col min="9225" max="9225" width="8.5703125" style="2" customWidth="1"/>
    <col min="9226" max="9229" width="17" style="2" customWidth="1"/>
    <col min="9230" max="9230" width="13" style="2" customWidth="1"/>
    <col min="9231" max="9241" width="17" style="2" customWidth="1"/>
    <col min="9242" max="9242" width="15" style="2" customWidth="1"/>
    <col min="9243" max="9262" width="17" style="2" customWidth="1"/>
    <col min="9263" max="9472" width="11.5703125" style="2"/>
    <col min="9473" max="9473" width="41.85546875" style="2" customWidth="1"/>
    <col min="9474" max="9474" width="9.7109375" style="2" customWidth="1"/>
    <col min="9475" max="9475" width="12.5703125" style="2" customWidth="1"/>
    <col min="9476" max="9476" width="20" style="2" customWidth="1"/>
    <col min="9477" max="9477" width="4.42578125" style="2" customWidth="1"/>
    <col min="9478" max="9478" width="11.5703125" style="2"/>
    <col min="9479" max="9479" width="22.85546875" style="2" customWidth="1"/>
    <col min="9480" max="9480" width="8.7109375" style="2" customWidth="1"/>
    <col min="9481" max="9481" width="8.5703125" style="2" customWidth="1"/>
    <col min="9482" max="9485" width="17" style="2" customWidth="1"/>
    <col min="9486" max="9486" width="13" style="2" customWidth="1"/>
    <col min="9487" max="9497" width="17" style="2" customWidth="1"/>
    <col min="9498" max="9498" width="15" style="2" customWidth="1"/>
    <col min="9499" max="9518" width="17" style="2" customWidth="1"/>
    <col min="9519" max="9728" width="11.5703125" style="2"/>
    <col min="9729" max="9729" width="41.85546875" style="2" customWidth="1"/>
    <col min="9730" max="9730" width="9.7109375" style="2" customWidth="1"/>
    <col min="9731" max="9731" width="12.5703125" style="2" customWidth="1"/>
    <col min="9732" max="9732" width="20" style="2" customWidth="1"/>
    <col min="9733" max="9733" width="4.42578125" style="2" customWidth="1"/>
    <col min="9734" max="9734" width="11.5703125" style="2"/>
    <col min="9735" max="9735" width="22.85546875" style="2" customWidth="1"/>
    <col min="9736" max="9736" width="8.7109375" style="2" customWidth="1"/>
    <col min="9737" max="9737" width="8.5703125" style="2" customWidth="1"/>
    <col min="9738" max="9741" width="17" style="2" customWidth="1"/>
    <col min="9742" max="9742" width="13" style="2" customWidth="1"/>
    <col min="9743" max="9753" width="17" style="2" customWidth="1"/>
    <col min="9754" max="9754" width="15" style="2" customWidth="1"/>
    <col min="9755" max="9774" width="17" style="2" customWidth="1"/>
    <col min="9775" max="9984" width="11.5703125" style="2"/>
    <col min="9985" max="9985" width="41.85546875" style="2" customWidth="1"/>
    <col min="9986" max="9986" width="9.7109375" style="2" customWidth="1"/>
    <col min="9987" max="9987" width="12.5703125" style="2" customWidth="1"/>
    <col min="9988" max="9988" width="20" style="2" customWidth="1"/>
    <col min="9989" max="9989" width="4.42578125" style="2" customWidth="1"/>
    <col min="9990" max="9990" width="11.5703125" style="2"/>
    <col min="9991" max="9991" width="22.85546875" style="2" customWidth="1"/>
    <col min="9992" max="9992" width="8.7109375" style="2" customWidth="1"/>
    <col min="9993" max="9993" width="8.5703125" style="2" customWidth="1"/>
    <col min="9994" max="9997" width="17" style="2" customWidth="1"/>
    <col min="9998" max="9998" width="13" style="2" customWidth="1"/>
    <col min="9999" max="10009" width="17" style="2" customWidth="1"/>
    <col min="10010" max="10010" width="15" style="2" customWidth="1"/>
    <col min="10011" max="10030" width="17" style="2" customWidth="1"/>
    <col min="10031" max="10240" width="11.5703125" style="2"/>
    <col min="10241" max="10241" width="41.85546875" style="2" customWidth="1"/>
    <col min="10242" max="10242" width="9.7109375" style="2" customWidth="1"/>
    <col min="10243" max="10243" width="12.5703125" style="2" customWidth="1"/>
    <col min="10244" max="10244" width="20" style="2" customWidth="1"/>
    <col min="10245" max="10245" width="4.42578125" style="2" customWidth="1"/>
    <col min="10246" max="10246" width="11.5703125" style="2"/>
    <col min="10247" max="10247" width="22.85546875" style="2" customWidth="1"/>
    <col min="10248" max="10248" width="8.7109375" style="2" customWidth="1"/>
    <col min="10249" max="10249" width="8.5703125" style="2" customWidth="1"/>
    <col min="10250" max="10253" width="17" style="2" customWidth="1"/>
    <col min="10254" max="10254" width="13" style="2" customWidth="1"/>
    <col min="10255" max="10265" width="17" style="2" customWidth="1"/>
    <col min="10266" max="10266" width="15" style="2" customWidth="1"/>
    <col min="10267" max="10286" width="17" style="2" customWidth="1"/>
    <col min="10287" max="10496" width="11.5703125" style="2"/>
    <col min="10497" max="10497" width="41.85546875" style="2" customWidth="1"/>
    <col min="10498" max="10498" width="9.7109375" style="2" customWidth="1"/>
    <col min="10499" max="10499" width="12.5703125" style="2" customWidth="1"/>
    <col min="10500" max="10500" width="20" style="2" customWidth="1"/>
    <col min="10501" max="10501" width="4.42578125" style="2" customWidth="1"/>
    <col min="10502" max="10502" width="11.5703125" style="2"/>
    <col min="10503" max="10503" width="22.85546875" style="2" customWidth="1"/>
    <col min="10504" max="10504" width="8.7109375" style="2" customWidth="1"/>
    <col min="10505" max="10505" width="8.5703125" style="2" customWidth="1"/>
    <col min="10506" max="10509" width="17" style="2" customWidth="1"/>
    <col min="10510" max="10510" width="13" style="2" customWidth="1"/>
    <col min="10511" max="10521" width="17" style="2" customWidth="1"/>
    <col min="10522" max="10522" width="15" style="2" customWidth="1"/>
    <col min="10523" max="10542" width="17" style="2" customWidth="1"/>
    <col min="10543" max="10752" width="11.5703125" style="2"/>
    <col min="10753" max="10753" width="41.85546875" style="2" customWidth="1"/>
    <col min="10754" max="10754" width="9.7109375" style="2" customWidth="1"/>
    <col min="10755" max="10755" width="12.5703125" style="2" customWidth="1"/>
    <col min="10756" max="10756" width="20" style="2" customWidth="1"/>
    <col min="10757" max="10757" width="4.42578125" style="2" customWidth="1"/>
    <col min="10758" max="10758" width="11.5703125" style="2"/>
    <col min="10759" max="10759" width="22.85546875" style="2" customWidth="1"/>
    <col min="10760" max="10760" width="8.7109375" style="2" customWidth="1"/>
    <col min="10761" max="10761" width="8.5703125" style="2" customWidth="1"/>
    <col min="10762" max="10765" width="17" style="2" customWidth="1"/>
    <col min="10766" max="10766" width="13" style="2" customWidth="1"/>
    <col min="10767" max="10777" width="17" style="2" customWidth="1"/>
    <col min="10778" max="10778" width="15" style="2" customWidth="1"/>
    <col min="10779" max="10798" width="17" style="2" customWidth="1"/>
    <col min="10799" max="11008" width="11.5703125" style="2"/>
    <col min="11009" max="11009" width="41.85546875" style="2" customWidth="1"/>
    <col min="11010" max="11010" width="9.7109375" style="2" customWidth="1"/>
    <col min="11011" max="11011" width="12.5703125" style="2" customWidth="1"/>
    <col min="11012" max="11012" width="20" style="2" customWidth="1"/>
    <col min="11013" max="11013" width="4.42578125" style="2" customWidth="1"/>
    <col min="11014" max="11014" width="11.5703125" style="2"/>
    <col min="11015" max="11015" width="22.85546875" style="2" customWidth="1"/>
    <col min="11016" max="11016" width="8.7109375" style="2" customWidth="1"/>
    <col min="11017" max="11017" width="8.5703125" style="2" customWidth="1"/>
    <col min="11018" max="11021" width="17" style="2" customWidth="1"/>
    <col min="11022" max="11022" width="13" style="2" customWidth="1"/>
    <col min="11023" max="11033" width="17" style="2" customWidth="1"/>
    <col min="11034" max="11034" width="15" style="2" customWidth="1"/>
    <col min="11035" max="11054" width="17" style="2" customWidth="1"/>
    <col min="11055" max="11264" width="11.5703125" style="2"/>
    <col min="11265" max="11265" width="41.85546875" style="2" customWidth="1"/>
    <col min="11266" max="11266" width="9.7109375" style="2" customWidth="1"/>
    <col min="11267" max="11267" width="12.5703125" style="2" customWidth="1"/>
    <col min="11268" max="11268" width="20" style="2" customWidth="1"/>
    <col min="11269" max="11269" width="4.42578125" style="2" customWidth="1"/>
    <col min="11270" max="11270" width="11.5703125" style="2"/>
    <col min="11271" max="11271" width="22.85546875" style="2" customWidth="1"/>
    <col min="11272" max="11272" width="8.7109375" style="2" customWidth="1"/>
    <col min="11273" max="11273" width="8.5703125" style="2" customWidth="1"/>
    <col min="11274" max="11277" width="17" style="2" customWidth="1"/>
    <col min="11278" max="11278" width="13" style="2" customWidth="1"/>
    <col min="11279" max="11289" width="17" style="2" customWidth="1"/>
    <col min="11290" max="11290" width="15" style="2" customWidth="1"/>
    <col min="11291" max="11310" width="17" style="2" customWidth="1"/>
    <col min="11311" max="11520" width="11.5703125" style="2"/>
    <col min="11521" max="11521" width="41.85546875" style="2" customWidth="1"/>
    <col min="11522" max="11522" width="9.7109375" style="2" customWidth="1"/>
    <col min="11523" max="11523" width="12.5703125" style="2" customWidth="1"/>
    <col min="11524" max="11524" width="20" style="2" customWidth="1"/>
    <col min="11525" max="11525" width="4.42578125" style="2" customWidth="1"/>
    <col min="11526" max="11526" width="11.5703125" style="2"/>
    <col min="11527" max="11527" width="22.85546875" style="2" customWidth="1"/>
    <col min="11528" max="11528" width="8.7109375" style="2" customWidth="1"/>
    <col min="11529" max="11529" width="8.5703125" style="2" customWidth="1"/>
    <col min="11530" max="11533" width="17" style="2" customWidth="1"/>
    <col min="11534" max="11534" width="13" style="2" customWidth="1"/>
    <col min="11535" max="11545" width="17" style="2" customWidth="1"/>
    <col min="11546" max="11546" width="15" style="2" customWidth="1"/>
    <col min="11547" max="11566" width="17" style="2" customWidth="1"/>
    <col min="11567" max="11776" width="11.5703125" style="2"/>
    <col min="11777" max="11777" width="41.85546875" style="2" customWidth="1"/>
    <col min="11778" max="11778" width="9.7109375" style="2" customWidth="1"/>
    <col min="11779" max="11779" width="12.5703125" style="2" customWidth="1"/>
    <col min="11780" max="11780" width="20" style="2" customWidth="1"/>
    <col min="11781" max="11781" width="4.42578125" style="2" customWidth="1"/>
    <col min="11782" max="11782" width="11.5703125" style="2"/>
    <col min="11783" max="11783" width="22.85546875" style="2" customWidth="1"/>
    <col min="11784" max="11784" width="8.7109375" style="2" customWidth="1"/>
    <col min="11785" max="11785" width="8.5703125" style="2" customWidth="1"/>
    <col min="11786" max="11789" width="17" style="2" customWidth="1"/>
    <col min="11790" max="11790" width="13" style="2" customWidth="1"/>
    <col min="11791" max="11801" width="17" style="2" customWidth="1"/>
    <col min="11802" max="11802" width="15" style="2" customWidth="1"/>
    <col min="11803" max="11822" width="17" style="2" customWidth="1"/>
    <col min="11823" max="12032" width="11.5703125" style="2"/>
    <col min="12033" max="12033" width="41.85546875" style="2" customWidth="1"/>
    <col min="12034" max="12034" width="9.7109375" style="2" customWidth="1"/>
    <col min="12035" max="12035" width="12.5703125" style="2" customWidth="1"/>
    <col min="12036" max="12036" width="20" style="2" customWidth="1"/>
    <col min="12037" max="12037" width="4.42578125" style="2" customWidth="1"/>
    <col min="12038" max="12038" width="11.5703125" style="2"/>
    <col min="12039" max="12039" width="22.85546875" style="2" customWidth="1"/>
    <col min="12040" max="12040" width="8.7109375" style="2" customWidth="1"/>
    <col min="12041" max="12041" width="8.5703125" style="2" customWidth="1"/>
    <col min="12042" max="12045" width="17" style="2" customWidth="1"/>
    <col min="12046" max="12046" width="13" style="2" customWidth="1"/>
    <col min="12047" max="12057" width="17" style="2" customWidth="1"/>
    <col min="12058" max="12058" width="15" style="2" customWidth="1"/>
    <col min="12059" max="12078" width="17" style="2" customWidth="1"/>
    <col min="12079" max="12288" width="11.5703125" style="2"/>
    <col min="12289" max="12289" width="41.85546875" style="2" customWidth="1"/>
    <col min="12290" max="12290" width="9.7109375" style="2" customWidth="1"/>
    <col min="12291" max="12291" width="12.5703125" style="2" customWidth="1"/>
    <col min="12292" max="12292" width="20" style="2" customWidth="1"/>
    <col min="12293" max="12293" width="4.42578125" style="2" customWidth="1"/>
    <col min="12294" max="12294" width="11.5703125" style="2"/>
    <col min="12295" max="12295" width="22.85546875" style="2" customWidth="1"/>
    <col min="12296" max="12296" width="8.7109375" style="2" customWidth="1"/>
    <col min="12297" max="12297" width="8.5703125" style="2" customWidth="1"/>
    <col min="12298" max="12301" width="17" style="2" customWidth="1"/>
    <col min="12302" max="12302" width="13" style="2" customWidth="1"/>
    <col min="12303" max="12313" width="17" style="2" customWidth="1"/>
    <col min="12314" max="12314" width="15" style="2" customWidth="1"/>
    <col min="12315" max="12334" width="17" style="2" customWidth="1"/>
    <col min="12335" max="12544" width="11.5703125" style="2"/>
    <col min="12545" max="12545" width="41.85546875" style="2" customWidth="1"/>
    <col min="12546" max="12546" width="9.7109375" style="2" customWidth="1"/>
    <col min="12547" max="12547" width="12.5703125" style="2" customWidth="1"/>
    <col min="12548" max="12548" width="20" style="2" customWidth="1"/>
    <col min="12549" max="12549" width="4.42578125" style="2" customWidth="1"/>
    <col min="12550" max="12550" width="11.5703125" style="2"/>
    <col min="12551" max="12551" width="22.85546875" style="2" customWidth="1"/>
    <col min="12552" max="12552" width="8.7109375" style="2" customWidth="1"/>
    <col min="12553" max="12553" width="8.5703125" style="2" customWidth="1"/>
    <col min="12554" max="12557" width="17" style="2" customWidth="1"/>
    <col min="12558" max="12558" width="13" style="2" customWidth="1"/>
    <col min="12559" max="12569" width="17" style="2" customWidth="1"/>
    <col min="12570" max="12570" width="15" style="2" customWidth="1"/>
    <col min="12571" max="12590" width="17" style="2" customWidth="1"/>
    <col min="12591" max="12800" width="11.5703125" style="2"/>
    <col min="12801" max="12801" width="41.85546875" style="2" customWidth="1"/>
    <col min="12802" max="12802" width="9.7109375" style="2" customWidth="1"/>
    <col min="12803" max="12803" width="12.5703125" style="2" customWidth="1"/>
    <col min="12804" max="12804" width="20" style="2" customWidth="1"/>
    <col min="12805" max="12805" width="4.42578125" style="2" customWidth="1"/>
    <col min="12806" max="12806" width="11.5703125" style="2"/>
    <col min="12807" max="12807" width="22.85546875" style="2" customWidth="1"/>
    <col min="12808" max="12808" width="8.7109375" style="2" customWidth="1"/>
    <col min="12809" max="12809" width="8.5703125" style="2" customWidth="1"/>
    <col min="12810" max="12813" width="17" style="2" customWidth="1"/>
    <col min="12814" max="12814" width="13" style="2" customWidth="1"/>
    <col min="12815" max="12825" width="17" style="2" customWidth="1"/>
    <col min="12826" max="12826" width="15" style="2" customWidth="1"/>
    <col min="12827" max="12846" width="17" style="2" customWidth="1"/>
    <col min="12847" max="13056" width="11.5703125" style="2"/>
    <col min="13057" max="13057" width="41.85546875" style="2" customWidth="1"/>
    <col min="13058" max="13058" width="9.7109375" style="2" customWidth="1"/>
    <col min="13059" max="13059" width="12.5703125" style="2" customWidth="1"/>
    <col min="13060" max="13060" width="20" style="2" customWidth="1"/>
    <col min="13061" max="13061" width="4.42578125" style="2" customWidth="1"/>
    <col min="13062" max="13062" width="11.5703125" style="2"/>
    <col min="13063" max="13063" width="22.85546875" style="2" customWidth="1"/>
    <col min="13064" max="13064" width="8.7109375" style="2" customWidth="1"/>
    <col min="13065" max="13065" width="8.5703125" style="2" customWidth="1"/>
    <col min="13066" max="13069" width="17" style="2" customWidth="1"/>
    <col min="13070" max="13070" width="13" style="2" customWidth="1"/>
    <col min="13071" max="13081" width="17" style="2" customWidth="1"/>
    <col min="13082" max="13082" width="15" style="2" customWidth="1"/>
    <col min="13083" max="13102" width="17" style="2" customWidth="1"/>
    <col min="13103" max="13312" width="11.5703125" style="2"/>
    <col min="13313" max="13313" width="41.85546875" style="2" customWidth="1"/>
    <col min="13314" max="13314" width="9.7109375" style="2" customWidth="1"/>
    <col min="13315" max="13315" width="12.5703125" style="2" customWidth="1"/>
    <col min="13316" max="13316" width="20" style="2" customWidth="1"/>
    <col min="13317" max="13317" width="4.42578125" style="2" customWidth="1"/>
    <col min="13318" max="13318" width="11.5703125" style="2"/>
    <col min="13319" max="13319" width="22.85546875" style="2" customWidth="1"/>
    <col min="13320" max="13320" width="8.7109375" style="2" customWidth="1"/>
    <col min="13321" max="13321" width="8.5703125" style="2" customWidth="1"/>
    <col min="13322" max="13325" width="17" style="2" customWidth="1"/>
    <col min="13326" max="13326" width="13" style="2" customWidth="1"/>
    <col min="13327" max="13337" width="17" style="2" customWidth="1"/>
    <col min="13338" max="13338" width="15" style="2" customWidth="1"/>
    <col min="13339" max="13358" width="17" style="2" customWidth="1"/>
    <col min="13359" max="13568" width="11.5703125" style="2"/>
    <col min="13569" max="13569" width="41.85546875" style="2" customWidth="1"/>
    <col min="13570" max="13570" width="9.7109375" style="2" customWidth="1"/>
    <col min="13571" max="13571" width="12.5703125" style="2" customWidth="1"/>
    <col min="13572" max="13572" width="20" style="2" customWidth="1"/>
    <col min="13573" max="13573" width="4.42578125" style="2" customWidth="1"/>
    <col min="13574" max="13574" width="11.5703125" style="2"/>
    <col min="13575" max="13575" width="22.85546875" style="2" customWidth="1"/>
    <col min="13576" max="13576" width="8.7109375" style="2" customWidth="1"/>
    <col min="13577" max="13577" width="8.5703125" style="2" customWidth="1"/>
    <col min="13578" max="13581" width="17" style="2" customWidth="1"/>
    <col min="13582" max="13582" width="13" style="2" customWidth="1"/>
    <col min="13583" max="13593" width="17" style="2" customWidth="1"/>
    <col min="13594" max="13594" width="15" style="2" customWidth="1"/>
    <col min="13595" max="13614" width="17" style="2" customWidth="1"/>
    <col min="13615" max="13824" width="11.5703125" style="2"/>
    <col min="13825" max="13825" width="41.85546875" style="2" customWidth="1"/>
    <col min="13826" max="13826" width="9.7109375" style="2" customWidth="1"/>
    <col min="13827" max="13827" width="12.5703125" style="2" customWidth="1"/>
    <col min="13828" max="13828" width="20" style="2" customWidth="1"/>
    <col min="13829" max="13829" width="4.42578125" style="2" customWidth="1"/>
    <col min="13830" max="13830" width="11.5703125" style="2"/>
    <col min="13831" max="13831" width="22.85546875" style="2" customWidth="1"/>
    <col min="13832" max="13832" width="8.7109375" style="2" customWidth="1"/>
    <col min="13833" max="13833" width="8.5703125" style="2" customWidth="1"/>
    <col min="13834" max="13837" width="17" style="2" customWidth="1"/>
    <col min="13838" max="13838" width="13" style="2" customWidth="1"/>
    <col min="13839" max="13849" width="17" style="2" customWidth="1"/>
    <col min="13850" max="13850" width="15" style="2" customWidth="1"/>
    <col min="13851" max="13870" width="17" style="2" customWidth="1"/>
    <col min="13871" max="14080" width="11.5703125" style="2"/>
    <col min="14081" max="14081" width="41.85546875" style="2" customWidth="1"/>
    <col min="14082" max="14082" width="9.7109375" style="2" customWidth="1"/>
    <col min="14083" max="14083" width="12.5703125" style="2" customWidth="1"/>
    <col min="14084" max="14084" width="20" style="2" customWidth="1"/>
    <col min="14085" max="14085" width="4.42578125" style="2" customWidth="1"/>
    <col min="14086" max="14086" width="11.5703125" style="2"/>
    <col min="14087" max="14087" width="22.85546875" style="2" customWidth="1"/>
    <col min="14088" max="14088" width="8.7109375" style="2" customWidth="1"/>
    <col min="14089" max="14089" width="8.5703125" style="2" customWidth="1"/>
    <col min="14090" max="14093" width="17" style="2" customWidth="1"/>
    <col min="14094" max="14094" width="13" style="2" customWidth="1"/>
    <col min="14095" max="14105" width="17" style="2" customWidth="1"/>
    <col min="14106" max="14106" width="15" style="2" customWidth="1"/>
    <col min="14107" max="14126" width="17" style="2" customWidth="1"/>
    <col min="14127" max="14336" width="11.5703125" style="2"/>
    <col min="14337" max="14337" width="41.85546875" style="2" customWidth="1"/>
    <col min="14338" max="14338" width="9.7109375" style="2" customWidth="1"/>
    <col min="14339" max="14339" width="12.5703125" style="2" customWidth="1"/>
    <col min="14340" max="14340" width="20" style="2" customWidth="1"/>
    <col min="14341" max="14341" width="4.42578125" style="2" customWidth="1"/>
    <col min="14342" max="14342" width="11.5703125" style="2"/>
    <col min="14343" max="14343" width="22.85546875" style="2" customWidth="1"/>
    <col min="14344" max="14344" width="8.7109375" style="2" customWidth="1"/>
    <col min="14345" max="14345" width="8.5703125" style="2" customWidth="1"/>
    <col min="14346" max="14349" width="17" style="2" customWidth="1"/>
    <col min="14350" max="14350" width="13" style="2" customWidth="1"/>
    <col min="14351" max="14361" width="17" style="2" customWidth="1"/>
    <col min="14362" max="14362" width="15" style="2" customWidth="1"/>
    <col min="14363" max="14382" width="17" style="2" customWidth="1"/>
    <col min="14383" max="14592" width="11.5703125" style="2"/>
    <col min="14593" max="14593" width="41.85546875" style="2" customWidth="1"/>
    <col min="14594" max="14594" width="9.7109375" style="2" customWidth="1"/>
    <col min="14595" max="14595" width="12.5703125" style="2" customWidth="1"/>
    <col min="14596" max="14596" width="20" style="2" customWidth="1"/>
    <col min="14597" max="14597" width="4.42578125" style="2" customWidth="1"/>
    <col min="14598" max="14598" width="11.5703125" style="2"/>
    <col min="14599" max="14599" width="22.85546875" style="2" customWidth="1"/>
    <col min="14600" max="14600" width="8.7109375" style="2" customWidth="1"/>
    <col min="14601" max="14601" width="8.5703125" style="2" customWidth="1"/>
    <col min="14602" max="14605" width="17" style="2" customWidth="1"/>
    <col min="14606" max="14606" width="13" style="2" customWidth="1"/>
    <col min="14607" max="14617" width="17" style="2" customWidth="1"/>
    <col min="14618" max="14618" width="15" style="2" customWidth="1"/>
    <col min="14619" max="14638" width="17" style="2" customWidth="1"/>
    <col min="14639" max="14848" width="11.5703125" style="2"/>
    <col min="14849" max="14849" width="41.85546875" style="2" customWidth="1"/>
    <col min="14850" max="14850" width="9.7109375" style="2" customWidth="1"/>
    <col min="14851" max="14851" width="12.5703125" style="2" customWidth="1"/>
    <col min="14852" max="14852" width="20" style="2" customWidth="1"/>
    <col min="14853" max="14853" width="4.42578125" style="2" customWidth="1"/>
    <col min="14854" max="14854" width="11.5703125" style="2"/>
    <col min="14855" max="14855" width="22.85546875" style="2" customWidth="1"/>
    <col min="14856" max="14856" width="8.7109375" style="2" customWidth="1"/>
    <col min="14857" max="14857" width="8.5703125" style="2" customWidth="1"/>
    <col min="14858" max="14861" width="17" style="2" customWidth="1"/>
    <col min="14862" max="14862" width="13" style="2" customWidth="1"/>
    <col min="14863" max="14873" width="17" style="2" customWidth="1"/>
    <col min="14874" max="14874" width="15" style="2" customWidth="1"/>
    <col min="14875" max="14894" width="17" style="2" customWidth="1"/>
    <col min="14895" max="15104" width="11.5703125" style="2"/>
    <col min="15105" max="15105" width="41.85546875" style="2" customWidth="1"/>
    <col min="15106" max="15106" width="9.7109375" style="2" customWidth="1"/>
    <col min="15107" max="15107" width="12.5703125" style="2" customWidth="1"/>
    <col min="15108" max="15108" width="20" style="2" customWidth="1"/>
    <col min="15109" max="15109" width="4.42578125" style="2" customWidth="1"/>
    <col min="15110" max="15110" width="11.5703125" style="2"/>
    <col min="15111" max="15111" width="22.85546875" style="2" customWidth="1"/>
    <col min="15112" max="15112" width="8.7109375" style="2" customWidth="1"/>
    <col min="15113" max="15113" width="8.5703125" style="2" customWidth="1"/>
    <col min="15114" max="15117" width="17" style="2" customWidth="1"/>
    <col min="15118" max="15118" width="13" style="2" customWidth="1"/>
    <col min="15119" max="15129" width="17" style="2" customWidth="1"/>
    <col min="15130" max="15130" width="15" style="2" customWidth="1"/>
    <col min="15131" max="15150" width="17" style="2" customWidth="1"/>
    <col min="15151" max="15360" width="11.5703125" style="2"/>
    <col min="15361" max="15361" width="41.85546875" style="2" customWidth="1"/>
    <col min="15362" max="15362" width="9.7109375" style="2" customWidth="1"/>
    <col min="15363" max="15363" width="12.5703125" style="2" customWidth="1"/>
    <col min="15364" max="15364" width="20" style="2" customWidth="1"/>
    <col min="15365" max="15365" width="4.42578125" style="2" customWidth="1"/>
    <col min="15366" max="15366" width="11.5703125" style="2"/>
    <col min="15367" max="15367" width="22.85546875" style="2" customWidth="1"/>
    <col min="15368" max="15368" width="8.7109375" style="2" customWidth="1"/>
    <col min="15369" max="15369" width="8.5703125" style="2" customWidth="1"/>
    <col min="15370" max="15373" width="17" style="2" customWidth="1"/>
    <col min="15374" max="15374" width="13" style="2" customWidth="1"/>
    <col min="15375" max="15385" width="17" style="2" customWidth="1"/>
    <col min="15386" max="15386" width="15" style="2" customWidth="1"/>
    <col min="15387" max="15406" width="17" style="2" customWidth="1"/>
    <col min="15407" max="15616" width="11.5703125" style="2"/>
    <col min="15617" max="15617" width="41.85546875" style="2" customWidth="1"/>
    <col min="15618" max="15618" width="9.7109375" style="2" customWidth="1"/>
    <col min="15619" max="15619" width="12.5703125" style="2" customWidth="1"/>
    <col min="15620" max="15620" width="20" style="2" customWidth="1"/>
    <col min="15621" max="15621" width="4.42578125" style="2" customWidth="1"/>
    <col min="15622" max="15622" width="11.5703125" style="2"/>
    <col min="15623" max="15623" width="22.85546875" style="2" customWidth="1"/>
    <col min="15624" max="15624" width="8.7109375" style="2" customWidth="1"/>
    <col min="15625" max="15625" width="8.5703125" style="2" customWidth="1"/>
    <col min="15626" max="15629" width="17" style="2" customWidth="1"/>
    <col min="15630" max="15630" width="13" style="2" customWidth="1"/>
    <col min="15631" max="15641" width="17" style="2" customWidth="1"/>
    <col min="15642" max="15642" width="15" style="2" customWidth="1"/>
    <col min="15643" max="15662" width="17" style="2" customWidth="1"/>
    <col min="15663" max="15872" width="11.5703125" style="2"/>
    <col min="15873" max="15873" width="41.85546875" style="2" customWidth="1"/>
    <col min="15874" max="15874" width="9.7109375" style="2" customWidth="1"/>
    <col min="15875" max="15875" width="12.5703125" style="2" customWidth="1"/>
    <col min="15876" max="15876" width="20" style="2" customWidth="1"/>
    <col min="15877" max="15877" width="4.42578125" style="2" customWidth="1"/>
    <col min="15878" max="15878" width="11.5703125" style="2"/>
    <col min="15879" max="15879" width="22.85546875" style="2" customWidth="1"/>
    <col min="15880" max="15880" width="8.7109375" style="2" customWidth="1"/>
    <col min="15881" max="15881" width="8.5703125" style="2" customWidth="1"/>
    <col min="15882" max="15885" width="17" style="2" customWidth="1"/>
    <col min="15886" max="15886" width="13" style="2" customWidth="1"/>
    <col min="15887" max="15897" width="17" style="2" customWidth="1"/>
    <col min="15898" max="15898" width="15" style="2" customWidth="1"/>
    <col min="15899" max="15918" width="17" style="2" customWidth="1"/>
    <col min="15919" max="16128" width="11.5703125" style="2"/>
    <col min="16129" max="16129" width="41.85546875" style="2" customWidth="1"/>
    <col min="16130" max="16130" width="9.7109375" style="2" customWidth="1"/>
    <col min="16131" max="16131" width="12.5703125" style="2" customWidth="1"/>
    <col min="16132" max="16132" width="20" style="2" customWidth="1"/>
    <col min="16133" max="16133" width="4.42578125" style="2" customWidth="1"/>
    <col min="16134" max="16134" width="11.5703125" style="2"/>
    <col min="16135" max="16135" width="22.85546875" style="2" customWidth="1"/>
    <col min="16136" max="16136" width="8.7109375" style="2" customWidth="1"/>
    <col min="16137" max="16137" width="8.5703125" style="2" customWidth="1"/>
    <col min="16138" max="16141" width="17" style="2" customWidth="1"/>
    <col min="16142" max="16142" width="13" style="2" customWidth="1"/>
    <col min="16143" max="16153" width="17" style="2" customWidth="1"/>
    <col min="16154" max="16154" width="15" style="2" customWidth="1"/>
    <col min="16155" max="16174" width="17" style="2" customWidth="1"/>
    <col min="16175" max="16384" width="11.5703125" style="2"/>
  </cols>
  <sheetData>
    <row r="1" spans="1:46" x14ac:dyDescent="0.2">
      <c r="A1" s="5" t="s">
        <v>0</v>
      </c>
      <c r="B1" s="5"/>
      <c r="C1" s="5"/>
      <c r="D1" s="5"/>
      <c r="E1" s="5"/>
      <c r="F1" s="5"/>
      <c r="G1" s="5"/>
      <c r="AM1" s="3"/>
      <c r="AO1" s="4"/>
      <c r="AR1" s="4"/>
      <c r="AS1" s="5"/>
    </row>
    <row r="2" spans="1:46" x14ac:dyDescent="0.2">
      <c r="A2" s="5" t="s">
        <v>1</v>
      </c>
      <c r="B2" s="5"/>
      <c r="C2" s="5"/>
      <c r="D2" s="5"/>
      <c r="E2" s="5"/>
      <c r="F2" s="5"/>
      <c r="G2" s="5"/>
      <c r="AM2" s="3"/>
      <c r="AO2" s="4"/>
      <c r="AR2" s="4"/>
      <c r="AS2" s="5"/>
    </row>
    <row r="3" spans="1:46" x14ac:dyDescent="0.2">
      <c r="AM3" s="3" t="s">
        <v>2</v>
      </c>
      <c r="AN3" s="1" t="s">
        <v>3</v>
      </c>
      <c r="AO3" s="4"/>
      <c r="AP3" s="1" t="s">
        <v>4</v>
      </c>
      <c r="AQ3" s="1" t="s">
        <v>3</v>
      </c>
      <c r="AR3" s="4"/>
      <c r="AS3" s="5" t="s">
        <v>2</v>
      </c>
      <c r="AT3" s="1" t="s">
        <v>5</v>
      </c>
    </row>
    <row r="4" spans="1:46" x14ac:dyDescent="0.2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G4" s="3" t="s">
        <v>11</v>
      </c>
      <c r="H4" s="1" t="s">
        <v>12</v>
      </c>
      <c r="I4" s="1" t="s">
        <v>13</v>
      </c>
      <c r="J4" s="1" t="s">
        <v>14</v>
      </c>
      <c r="K4" s="1" t="s">
        <v>13</v>
      </c>
      <c r="L4" s="1" t="s">
        <v>15</v>
      </c>
      <c r="M4" s="1" t="s">
        <v>2</v>
      </c>
      <c r="N4" s="1" t="s">
        <v>16</v>
      </c>
      <c r="O4" s="1" t="s">
        <v>2</v>
      </c>
      <c r="P4" s="1" t="s">
        <v>17</v>
      </c>
      <c r="Q4" s="1" t="s">
        <v>2</v>
      </c>
      <c r="R4" s="1" t="s">
        <v>18</v>
      </c>
      <c r="S4" s="1" t="s">
        <v>2</v>
      </c>
      <c r="T4" s="1" t="s">
        <v>19</v>
      </c>
      <c r="U4" s="1" t="s">
        <v>2</v>
      </c>
      <c r="V4" s="1" t="s">
        <v>20</v>
      </c>
      <c r="W4" s="1" t="s">
        <v>2</v>
      </c>
      <c r="X4" s="1" t="s">
        <v>21</v>
      </c>
      <c r="Y4" s="1" t="s">
        <v>2</v>
      </c>
      <c r="Z4" s="1" t="s">
        <v>22</v>
      </c>
      <c r="AA4" s="1" t="s">
        <v>2</v>
      </c>
      <c r="AB4" s="1" t="s">
        <v>23</v>
      </c>
      <c r="AC4" s="1" t="s">
        <v>2</v>
      </c>
      <c r="AD4" s="1" t="s">
        <v>24</v>
      </c>
      <c r="AE4" s="1" t="s">
        <v>2</v>
      </c>
      <c r="AF4" s="1" t="s">
        <v>25</v>
      </c>
      <c r="AG4" s="1" t="s">
        <v>2</v>
      </c>
      <c r="AH4" s="1" t="s">
        <v>26</v>
      </c>
      <c r="AI4" s="1" t="s">
        <v>2</v>
      </c>
      <c r="AJ4" s="1" t="s">
        <v>27</v>
      </c>
      <c r="AK4" s="1" t="s">
        <v>2</v>
      </c>
      <c r="AL4" s="1" t="s">
        <v>28</v>
      </c>
      <c r="AM4" s="3" t="s">
        <v>29</v>
      </c>
      <c r="AN4" s="1" t="s">
        <v>30</v>
      </c>
      <c r="AO4" s="4" t="s">
        <v>31</v>
      </c>
      <c r="AP4" s="1" t="s">
        <v>32</v>
      </c>
      <c r="AQ4" s="1" t="s">
        <v>30</v>
      </c>
      <c r="AR4" s="4" t="s">
        <v>33</v>
      </c>
      <c r="AS4" s="5" t="s">
        <v>32</v>
      </c>
      <c r="AT4" s="1" t="s">
        <v>30</v>
      </c>
    </row>
    <row r="5" spans="1:46" x14ac:dyDescent="0.2">
      <c r="G5" s="3"/>
      <c r="AM5" s="3"/>
      <c r="AO5" s="4"/>
      <c r="AR5" s="4"/>
      <c r="AS5" s="5"/>
    </row>
    <row r="6" spans="1:46" x14ac:dyDescent="0.2">
      <c r="A6" s="1" t="s">
        <v>34</v>
      </c>
      <c r="G6" s="3"/>
      <c r="AM6" s="3"/>
      <c r="AO6" s="4"/>
      <c r="AR6" s="4"/>
      <c r="AS6" s="5"/>
    </row>
    <row r="7" spans="1:46" x14ac:dyDescent="0.2">
      <c r="G7" s="3"/>
      <c r="AM7" s="3"/>
      <c r="AO7" s="4"/>
      <c r="AR7" s="4"/>
      <c r="AS7" s="5"/>
    </row>
    <row r="8" spans="1:46" x14ac:dyDescent="0.2">
      <c r="A8" s="1" t="s">
        <v>35</v>
      </c>
      <c r="B8" s="1" t="s">
        <v>36</v>
      </c>
      <c r="C8" s="2">
        <v>18790</v>
      </c>
      <c r="G8" s="3"/>
      <c r="AM8" s="3"/>
      <c r="AN8" s="2">
        <f t="shared" ref="AN8:AN20" si="0">C8-AM8</f>
        <v>18790</v>
      </c>
      <c r="AO8" s="4"/>
      <c r="AQ8" s="2">
        <f t="shared" ref="AQ8:AQ20" si="1">AN8-AO8</f>
        <v>18790</v>
      </c>
      <c r="AR8" s="4"/>
      <c r="AS8" s="5"/>
      <c r="AT8" s="2">
        <f t="shared" ref="AT8:AT20" si="2">AQ8-AR8</f>
        <v>18790</v>
      </c>
    </row>
    <row r="9" spans="1:46" x14ac:dyDescent="0.2">
      <c r="A9" s="1" t="s">
        <v>37</v>
      </c>
      <c r="B9" s="1" t="s">
        <v>38</v>
      </c>
      <c r="C9" s="2">
        <v>30000</v>
      </c>
      <c r="G9" s="3"/>
      <c r="AM9" s="3"/>
      <c r="AN9" s="2">
        <f t="shared" si="0"/>
        <v>30000</v>
      </c>
      <c r="AO9" s="4"/>
      <c r="AQ9" s="2">
        <f t="shared" si="1"/>
        <v>30000</v>
      </c>
      <c r="AR9" s="4"/>
      <c r="AS9" s="5"/>
      <c r="AT9" s="2">
        <f t="shared" si="2"/>
        <v>30000</v>
      </c>
    </row>
    <row r="10" spans="1:46" x14ac:dyDescent="0.2">
      <c r="A10" s="1" t="s">
        <v>39</v>
      </c>
      <c r="B10" s="1" t="s">
        <v>40</v>
      </c>
      <c r="C10" s="2">
        <v>68083</v>
      </c>
      <c r="G10" s="3"/>
      <c r="AM10" s="3"/>
      <c r="AN10" s="2">
        <f t="shared" si="0"/>
        <v>68083</v>
      </c>
      <c r="AO10" s="4"/>
      <c r="AQ10" s="2">
        <f t="shared" si="1"/>
        <v>68083</v>
      </c>
      <c r="AR10" s="4"/>
      <c r="AS10" s="5"/>
      <c r="AT10" s="2">
        <f t="shared" si="2"/>
        <v>68083</v>
      </c>
    </row>
    <row r="11" spans="1:46" x14ac:dyDescent="0.2">
      <c r="A11" s="1" t="s">
        <v>41</v>
      </c>
      <c r="B11" s="1" t="s">
        <v>42</v>
      </c>
      <c r="C11" s="2">
        <v>3450</v>
      </c>
      <c r="G11" s="3"/>
      <c r="AM11" s="3"/>
      <c r="AN11" s="2">
        <f t="shared" si="0"/>
        <v>3450</v>
      </c>
      <c r="AO11" s="4"/>
      <c r="AQ11" s="2">
        <f t="shared" si="1"/>
        <v>3450</v>
      </c>
      <c r="AR11" s="4"/>
      <c r="AS11" s="5"/>
      <c r="AT11" s="2">
        <f t="shared" si="2"/>
        <v>3450</v>
      </c>
    </row>
    <row r="12" spans="1:46" x14ac:dyDescent="0.2">
      <c r="A12" s="1" t="s">
        <v>35</v>
      </c>
      <c r="B12" s="1" t="s">
        <v>43</v>
      </c>
      <c r="C12" s="2">
        <f>650+625</f>
        <v>1275</v>
      </c>
      <c r="G12" s="3"/>
      <c r="AM12" s="3"/>
      <c r="AN12" s="2">
        <f t="shared" si="0"/>
        <v>1275</v>
      </c>
      <c r="AO12" s="4"/>
      <c r="AQ12" s="2">
        <f t="shared" si="1"/>
        <v>1275</v>
      </c>
      <c r="AR12" s="4"/>
      <c r="AS12" s="5"/>
      <c r="AT12" s="2">
        <f t="shared" si="2"/>
        <v>1275</v>
      </c>
    </row>
    <row r="13" spans="1:46" x14ac:dyDescent="0.2">
      <c r="A13" s="1" t="s">
        <v>44</v>
      </c>
      <c r="B13" s="1" t="s">
        <v>45</v>
      </c>
      <c r="C13" s="2">
        <v>26201</v>
      </c>
      <c r="G13" s="3"/>
      <c r="AM13" s="3"/>
      <c r="AN13" s="2">
        <f t="shared" si="0"/>
        <v>26201</v>
      </c>
      <c r="AO13" s="4"/>
      <c r="AQ13" s="2">
        <f t="shared" si="1"/>
        <v>26201</v>
      </c>
      <c r="AR13" s="4"/>
      <c r="AS13" s="5"/>
      <c r="AT13" s="2">
        <f t="shared" si="2"/>
        <v>26201</v>
      </c>
    </row>
    <row r="14" spans="1:46" x14ac:dyDescent="0.2">
      <c r="A14" s="1" t="s">
        <v>46</v>
      </c>
      <c r="B14" s="1" t="s">
        <v>47</v>
      </c>
      <c r="C14" s="2">
        <v>20000</v>
      </c>
      <c r="G14" s="3"/>
      <c r="AM14" s="3"/>
      <c r="AN14" s="2">
        <f t="shared" si="0"/>
        <v>20000</v>
      </c>
      <c r="AO14" s="4"/>
      <c r="AQ14" s="2">
        <f t="shared" si="1"/>
        <v>20000</v>
      </c>
      <c r="AR14" s="4"/>
      <c r="AS14" s="5"/>
      <c r="AT14" s="2">
        <f t="shared" si="2"/>
        <v>20000</v>
      </c>
    </row>
    <row r="15" spans="1:46" x14ac:dyDescent="0.2">
      <c r="A15" s="3" t="s">
        <v>48</v>
      </c>
      <c r="B15" s="1" t="s">
        <v>49</v>
      </c>
      <c r="C15" s="2">
        <v>55426</v>
      </c>
      <c r="G15" s="3"/>
      <c r="AM15" s="3"/>
      <c r="AN15" s="2">
        <f t="shared" si="0"/>
        <v>55426</v>
      </c>
      <c r="AO15" s="4"/>
      <c r="AQ15" s="2">
        <f t="shared" si="1"/>
        <v>55426</v>
      </c>
      <c r="AR15" s="4"/>
      <c r="AS15" s="5"/>
      <c r="AT15" s="2">
        <f t="shared" si="2"/>
        <v>55426</v>
      </c>
    </row>
    <row r="16" spans="1:46" x14ac:dyDescent="0.2">
      <c r="A16" s="1" t="s">
        <v>50</v>
      </c>
      <c r="B16" s="1" t="s">
        <v>51</v>
      </c>
      <c r="C16" s="2">
        <v>32544</v>
      </c>
      <c r="G16" s="3"/>
      <c r="AM16" s="3"/>
      <c r="AN16" s="2">
        <f t="shared" si="0"/>
        <v>32544</v>
      </c>
      <c r="AO16" s="4"/>
      <c r="AQ16" s="2">
        <f t="shared" si="1"/>
        <v>32544</v>
      </c>
      <c r="AR16" s="4"/>
      <c r="AS16" s="5"/>
      <c r="AT16" s="2">
        <f t="shared" si="2"/>
        <v>32544</v>
      </c>
    </row>
    <row r="17" spans="1:46" x14ac:dyDescent="0.2">
      <c r="A17" s="1" t="s">
        <v>52</v>
      </c>
      <c r="B17" s="1" t="s">
        <v>53</v>
      </c>
      <c r="C17" s="2">
        <v>2500</v>
      </c>
      <c r="G17" s="3"/>
      <c r="AM17" s="3"/>
      <c r="AN17" s="2">
        <f t="shared" si="0"/>
        <v>2500</v>
      </c>
      <c r="AO17" s="4"/>
      <c r="AQ17" s="2">
        <f t="shared" si="1"/>
        <v>2500</v>
      </c>
      <c r="AR17" s="4"/>
      <c r="AS17" s="5"/>
      <c r="AT17" s="2">
        <f t="shared" si="2"/>
        <v>2500</v>
      </c>
    </row>
    <row r="18" spans="1:46" x14ac:dyDescent="0.2">
      <c r="A18" s="1" t="s">
        <v>54</v>
      </c>
      <c r="B18" s="1" t="s">
        <v>55</v>
      </c>
      <c r="C18" s="2">
        <v>2000</v>
      </c>
      <c r="G18" s="3"/>
      <c r="AM18" s="3"/>
      <c r="AN18" s="2">
        <f t="shared" si="0"/>
        <v>2000</v>
      </c>
      <c r="AO18" s="4"/>
      <c r="AQ18" s="2">
        <f t="shared" si="1"/>
        <v>2000</v>
      </c>
      <c r="AR18" s="4"/>
      <c r="AS18" s="5"/>
      <c r="AT18" s="2">
        <f t="shared" si="2"/>
        <v>2000</v>
      </c>
    </row>
    <row r="19" spans="1:46" x14ac:dyDescent="0.2">
      <c r="A19" s="1" t="s">
        <v>56</v>
      </c>
      <c r="B19" s="1" t="s">
        <v>28</v>
      </c>
      <c r="C19" s="2">
        <v>70000</v>
      </c>
      <c r="G19" s="3"/>
      <c r="AM19" s="3"/>
      <c r="AN19" s="2">
        <f t="shared" si="0"/>
        <v>70000</v>
      </c>
      <c r="AO19" s="4"/>
      <c r="AQ19" s="2">
        <f t="shared" si="1"/>
        <v>70000</v>
      </c>
      <c r="AR19" s="4"/>
      <c r="AS19" s="5"/>
      <c r="AT19" s="2">
        <f t="shared" si="2"/>
        <v>70000</v>
      </c>
    </row>
    <row r="20" spans="1:46" x14ac:dyDescent="0.2">
      <c r="A20" s="1" t="s">
        <v>57</v>
      </c>
      <c r="B20" s="1" t="s">
        <v>28</v>
      </c>
      <c r="C20" s="2">
        <v>100000</v>
      </c>
      <c r="G20" s="3"/>
      <c r="AM20" s="3"/>
      <c r="AN20" s="2">
        <f t="shared" si="0"/>
        <v>100000</v>
      </c>
      <c r="AO20" s="4"/>
      <c r="AQ20" s="2">
        <f t="shared" si="1"/>
        <v>100000</v>
      </c>
      <c r="AR20" s="4"/>
      <c r="AS20" s="5"/>
      <c r="AT20" s="2">
        <f t="shared" si="2"/>
        <v>100000</v>
      </c>
    </row>
    <row r="21" spans="1:46" x14ac:dyDescent="0.2">
      <c r="G21" s="3"/>
      <c r="AM21" s="3"/>
      <c r="AO21" s="4"/>
      <c r="AR21" s="4"/>
      <c r="AS21" s="5"/>
    </row>
    <row r="22" spans="1:46" x14ac:dyDescent="0.2">
      <c r="A22" s="1" t="s">
        <v>58</v>
      </c>
      <c r="C22" s="5">
        <f>SUM(C8:C20)</f>
        <v>430269</v>
      </c>
      <c r="AM22" s="3"/>
      <c r="AO22" s="4"/>
      <c r="AR22" s="4"/>
      <c r="AS22" s="5"/>
    </row>
    <row r="23" spans="1:46" x14ac:dyDescent="0.2">
      <c r="AM23" s="3"/>
      <c r="AO23" s="4"/>
      <c r="AR23" s="4"/>
      <c r="AS23" s="5"/>
    </row>
    <row r="24" spans="1:46" x14ac:dyDescent="0.2">
      <c r="A24" s="1" t="s">
        <v>59</v>
      </c>
      <c r="B24" s="1" t="s">
        <v>60</v>
      </c>
      <c r="C24" s="2">
        <v>457163</v>
      </c>
      <c r="D24" s="3" t="s">
        <v>61</v>
      </c>
      <c r="E24" s="2">
        <v>40</v>
      </c>
      <c r="G24" s="2">
        <v>353649</v>
      </c>
      <c r="H24" s="2">
        <v>11429</v>
      </c>
      <c r="I24" s="2">
        <f t="shared" ref="I24:I34" si="3">G24+H24</f>
        <v>365078</v>
      </c>
      <c r="J24" s="2">
        <f t="shared" ref="J24:J34" si="4">C24/E24</f>
        <v>11429.075000000001</v>
      </c>
      <c r="K24" s="2">
        <f t="shared" ref="K24:K39" si="5">I24+J24</f>
        <v>376507.07500000001</v>
      </c>
      <c r="L24" s="2">
        <f>J24</f>
        <v>11429.075000000001</v>
      </c>
      <c r="M24" s="2">
        <f t="shared" ref="M24:M42" si="6">K24+L24</f>
        <v>387936.15</v>
      </c>
      <c r="N24" s="2">
        <f>L24</f>
        <v>11429.075000000001</v>
      </c>
      <c r="O24" s="2">
        <f t="shared" ref="O24:O42" si="7">M24+N24</f>
        <v>399365.22500000003</v>
      </c>
      <c r="P24" s="2">
        <f>C24/E24</f>
        <v>11429.075000000001</v>
      </c>
      <c r="Q24" s="2">
        <f t="shared" ref="Q24:Q42" si="8">O24+P24</f>
        <v>410794.30000000005</v>
      </c>
      <c r="R24" s="2">
        <f>SUM(C24/E24)</f>
        <v>11429.075000000001</v>
      </c>
      <c r="S24" s="2">
        <f t="shared" ref="S24:S42" si="9">Q24+R24</f>
        <v>422223.37500000006</v>
      </c>
      <c r="T24" s="2">
        <f t="shared" ref="T24:T42" si="10">R24</f>
        <v>11429.075000000001</v>
      </c>
      <c r="U24" s="2">
        <f t="shared" ref="U24:U42" si="11">S24+R24</f>
        <v>433652.45000000007</v>
      </c>
      <c r="V24" s="2">
        <f t="shared" ref="V24:V42" si="12">T24</f>
        <v>11429.075000000001</v>
      </c>
      <c r="W24" s="2">
        <f t="shared" ref="W24:W42" si="13">U24+V24</f>
        <v>445081.52500000008</v>
      </c>
      <c r="X24" s="2">
        <f>V24</f>
        <v>11429.075000000001</v>
      </c>
      <c r="Y24" s="2">
        <f t="shared" ref="Y24:Y42" si="14">W24+V24</f>
        <v>456510.60000000009</v>
      </c>
      <c r="Z24" s="2">
        <f>457163-456511</f>
        <v>652</v>
      </c>
      <c r="AA24" s="2">
        <f t="shared" ref="AA24:AA46" si="15">SUM(Y24:Z24)</f>
        <v>457162.60000000009</v>
      </c>
      <c r="AC24" s="2">
        <v>457163</v>
      </c>
      <c r="AD24" s="2">
        <f t="shared" ref="AD24:AD47" si="16">AB24</f>
        <v>0</v>
      </c>
      <c r="AE24" s="2">
        <f t="shared" ref="AE24:AE49" si="17">AC24+AD24</f>
        <v>457163</v>
      </c>
      <c r="AF24" s="2">
        <f t="shared" ref="AF24:AF48" si="18">AD24</f>
        <v>0</v>
      </c>
      <c r="AG24" s="2">
        <f t="shared" ref="AG24:AG49" si="19">AE24+AF24</f>
        <v>457163</v>
      </c>
      <c r="AH24" s="2">
        <f t="shared" ref="AH24:AH49" si="20">AF24</f>
        <v>0</v>
      </c>
      <c r="AI24" s="2">
        <f t="shared" ref="AI24:AI49" si="21">SUM(AG24:AH24)</f>
        <v>457163</v>
      </c>
      <c r="AJ24" s="2">
        <f t="shared" ref="AJ24:AJ49" si="22">AH24</f>
        <v>0</v>
      </c>
      <c r="AK24" s="2">
        <f t="shared" ref="AK24:AK52" si="23">AI24+AJ24</f>
        <v>457163</v>
      </c>
      <c r="AL24" s="2">
        <f t="shared" ref="AL24:AL49" si="24">AJ24</f>
        <v>0</v>
      </c>
      <c r="AM24" s="3">
        <f t="shared" ref="AM24:AM56" si="25">AK24+AL24</f>
        <v>457163</v>
      </c>
      <c r="AN24" s="2">
        <f t="shared" ref="AN24:AN56" si="26">C24-AM24</f>
        <v>0</v>
      </c>
      <c r="AO24" s="4">
        <f t="shared" ref="AO24:AO52" si="27">AL24</f>
        <v>0</v>
      </c>
      <c r="AP24" s="2">
        <v>457163</v>
      </c>
      <c r="AQ24" s="2">
        <f t="shared" ref="AQ24:AQ58" si="28">AN24-AO24</f>
        <v>0</v>
      </c>
      <c r="AR24" s="4">
        <f t="shared" ref="AR24:AR53" si="29">AO24</f>
        <v>0</v>
      </c>
      <c r="AS24" s="5">
        <f t="shared" ref="AS24:AS58" si="30">AP24+AR24</f>
        <v>457163</v>
      </c>
      <c r="AT24" s="2">
        <f t="shared" ref="AT24:AT57" si="31">C24-AS24</f>
        <v>0</v>
      </c>
    </row>
    <row r="25" spans="1:46" x14ac:dyDescent="0.2">
      <c r="A25" s="1" t="s">
        <v>62</v>
      </c>
      <c r="B25" s="1" t="s">
        <v>38</v>
      </c>
      <c r="C25" s="2">
        <v>750</v>
      </c>
      <c r="D25" s="3" t="s">
        <v>61</v>
      </c>
      <c r="E25" s="2">
        <v>10</v>
      </c>
      <c r="G25" s="2">
        <v>656</v>
      </c>
      <c r="H25" s="2">
        <v>75</v>
      </c>
      <c r="I25" s="2">
        <f t="shared" si="3"/>
        <v>731</v>
      </c>
      <c r="J25" s="2">
        <f t="shared" si="4"/>
        <v>75</v>
      </c>
      <c r="K25" s="2">
        <f t="shared" si="5"/>
        <v>806</v>
      </c>
      <c r="L25" s="2">
        <f>750-806</f>
        <v>-56</v>
      </c>
      <c r="M25" s="2">
        <f t="shared" si="6"/>
        <v>750</v>
      </c>
      <c r="O25" s="2">
        <f t="shared" si="7"/>
        <v>750</v>
      </c>
      <c r="Q25" s="2">
        <f t="shared" si="8"/>
        <v>750</v>
      </c>
      <c r="R25" s="2">
        <v>0</v>
      </c>
      <c r="S25" s="2">
        <f t="shared" si="9"/>
        <v>750</v>
      </c>
      <c r="T25" s="2">
        <f t="shared" si="10"/>
        <v>0</v>
      </c>
      <c r="U25" s="2">
        <f t="shared" si="11"/>
        <v>750</v>
      </c>
      <c r="V25" s="2">
        <f t="shared" si="12"/>
        <v>0</v>
      </c>
      <c r="W25" s="2">
        <f t="shared" si="13"/>
        <v>750</v>
      </c>
      <c r="X25" s="2">
        <v>0</v>
      </c>
      <c r="Y25" s="2">
        <f t="shared" si="14"/>
        <v>750</v>
      </c>
      <c r="Z25" s="2">
        <f t="shared" ref="Z25:Z42" si="32">X25</f>
        <v>0</v>
      </c>
      <c r="AA25" s="2">
        <f t="shared" si="15"/>
        <v>750</v>
      </c>
      <c r="AC25" s="2">
        <f>SUM(AA25:AB25)</f>
        <v>750</v>
      </c>
      <c r="AD25" s="2">
        <f t="shared" si="16"/>
        <v>0</v>
      </c>
      <c r="AE25" s="2">
        <f t="shared" si="17"/>
        <v>750</v>
      </c>
      <c r="AF25" s="2">
        <f t="shared" si="18"/>
        <v>0</v>
      </c>
      <c r="AG25" s="2">
        <f t="shared" si="19"/>
        <v>750</v>
      </c>
      <c r="AH25" s="2">
        <f t="shared" si="20"/>
        <v>0</v>
      </c>
      <c r="AI25" s="2">
        <f t="shared" si="21"/>
        <v>750</v>
      </c>
      <c r="AJ25" s="2">
        <f t="shared" si="22"/>
        <v>0</v>
      </c>
      <c r="AK25" s="2">
        <f t="shared" si="23"/>
        <v>750</v>
      </c>
      <c r="AL25" s="2">
        <f t="shared" si="24"/>
        <v>0</v>
      </c>
      <c r="AM25" s="3">
        <f t="shared" si="25"/>
        <v>750</v>
      </c>
      <c r="AN25" s="2">
        <f t="shared" si="26"/>
        <v>0</v>
      </c>
      <c r="AO25" s="4">
        <f t="shared" si="27"/>
        <v>0</v>
      </c>
      <c r="AP25" s="2">
        <v>750</v>
      </c>
      <c r="AQ25" s="2">
        <f t="shared" si="28"/>
        <v>0</v>
      </c>
      <c r="AR25" s="4">
        <f t="shared" si="29"/>
        <v>0</v>
      </c>
      <c r="AS25" s="5">
        <f t="shared" si="30"/>
        <v>750</v>
      </c>
      <c r="AT25" s="2">
        <f t="shared" si="31"/>
        <v>0</v>
      </c>
    </row>
    <row r="26" spans="1:46" x14ac:dyDescent="0.2">
      <c r="A26" s="1" t="s">
        <v>63</v>
      </c>
      <c r="B26" s="1" t="s">
        <v>38</v>
      </c>
      <c r="C26" s="2">
        <v>114538</v>
      </c>
      <c r="D26" s="3" t="s">
        <v>61</v>
      </c>
      <c r="E26" s="2">
        <v>40</v>
      </c>
      <c r="G26" s="2">
        <v>25502</v>
      </c>
      <c r="H26" s="2">
        <v>2863</v>
      </c>
      <c r="I26" s="2">
        <f t="shared" si="3"/>
        <v>28365</v>
      </c>
      <c r="J26" s="2">
        <f t="shared" si="4"/>
        <v>2863.45</v>
      </c>
      <c r="K26" s="2">
        <f t="shared" si="5"/>
        <v>31228.45</v>
      </c>
      <c r="L26" s="2">
        <f t="shared" ref="L26:L34" si="33">J26</f>
        <v>2863.45</v>
      </c>
      <c r="M26" s="2">
        <f t="shared" si="6"/>
        <v>34091.9</v>
      </c>
      <c r="N26" s="2">
        <f t="shared" ref="N26:N39" si="34">L26</f>
        <v>2863.45</v>
      </c>
      <c r="O26" s="2">
        <f t="shared" si="7"/>
        <v>36955.35</v>
      </c>
      <c r="P26" s="2">
        <f t="shared" ref="P26:P41" si="35">C26/E26</f>
        <v>2863.45</v>
      </c>
      <c r="Q26" s="2">
        <f t="shared" si="8"/>
        <v>39818.799999999996</v>
      </c>
      <c r="R26" s="2">
        <f t="shared" ref="R26:R42" si="36">SUM(C26/E26)</f>
        <v>2863.45</v>
      </c>
      <c r="S26" s="2">
        <f t="shared" si="9"/>
        <v>42682.249999999993</v>
      </c>
      <c r="T26" s="2">
        <f t="shared" si="10"/>
        <v>2863.45</v>
      </c>
      <c r="U26" s="2">
        <f t="shared" si="11"/>
        <v>45545.69999999999</v>
      </c>
      <c r="V26" s="2">
        <f t="shared" si="12"/>
        <v>2863.45</v>
      </c>
      <c r="W26" s="2">
        <f t="shared" si="13"/>
        <v>48409.149999999987</v>
      </c>
      <c r="X26" s="2">
        <f t="shared" ref="X26:X42" si="37">V26</f>
        <v>2863.45</v>
      </c>
      <c r="Y26" s="2">
        <f t="shared" si="14"/>
        <v>51272.599999999984</v>
      </c>
      <c r="Z26" s="2">
        <f t="shared" si="32"/>
        <v>2863.45</v>
      </c>
      <c r="AA26" s="2">
        <f t="shared" si="15"/>
        <v>54136.049999999981</v>
      </c>
      <c r="AB26" s="2">
        <f t="shared" ref="AB26:AB42" si="38">Z26</f>
        <v>2863.45</v>
      </c>
      <c r="AC26" s="2">
        <v>56999</v>
      </c>
      <c r="AD26" s="2">
        <f t="shared" si="16"/>
        <v>2863.45</v>
      </c>
      <c r="AE26" s="2">
        <f t="shared" si="17"/>
        <v>59862.45</v>
      </c>
      <c r="AF26" s="2">
        <f t="shared" si="18"/>
        <v>2863.45</v>
      </c>
      <c r="AG26" s="2">
        <f t="shared" si="19"/>
        <v>62725.899999999994</v>
      </c>
      <c r="AH26" s="2">
        <f t="shared" si="20"/>
        <v>2863.45</v>
      </c>
      <c r="AI26" s="2">
        <f t="shared" si="21"/>
        <v>65589.349999999991</v>
      </c>
      <c r="AJ26" s="2">
        <f t="shared" si="22"/>
        <v>2863.45</v>
      </c>
      <c r="AK26" s="2">
        <f t="shared" si="23"/>
        <v>68452.799999999988</v>
      </c>
      <c r="AL26" s="2">
        <f t="shared" si="24"/>
        <v>2863.45</v>
      </c>
      <c r="AM26" s="3">
        <f t="shared" si="25"/>
        <v>71316.249999999985</v>
      </c>
      <c r="AN26" s="2">
        <f t="shared" si="26"/>
        <v>43221.750000000015</v>
      </c>
      <c r="AO26" s="4">
        <f t="shared" si="27"/>
        <v>2863.45</v>
      </c>
      <c r="AP26" s="2">
        <f t="shared" ref="AP26:AP58" si="39">AM26+AO26</f>
        <v>74179.699999999983</v>
      </c>
      <c r="AQ26" s="2">
        <f t="shared" si="28"/>
        <v>40358.300000000017</v>
      </c>
      <c r="AR26" s="4">
        <f t="shared" si="29"/>
        <v>2863.45</v>
      </c>
      <c r="AS26" s="5">
        <f t="shared" si="30"/>
        <v>77043.14999999998</v>
      </c>
      <c r="AT26" s="2">
        <f t="shared" si="31"/>
        <v>37494.85000000002</v>
      </c>
    </row>
    <row r="27" spans="1:46" x14ac:dyDescent="0.2">
      <c r="A27" s="1" t="s">
        <v>63</v>
      </c>
      <c r="B27" s="1" t="s">
        <v>64</v>
      </c>
      <c r="C27" s="2">
        <v>103911</v>
      </c>
      <c r="D27" s="3" t="s">
        <v>61</v>
      </c>
      <c r="E27" s="2">
        <v>40</v>
      </c>
      <c r="G27" s="2">
        <v>20784</v>
      </c>
      <c r="H27" s="2">
        <v>2598</v>
      </c>
      <c r="I27" s="2">
        <f t="shared" si="3"/>
        <v>23382</v>
      </c>
      <c r="J27" s="2">
        <f t="shared" si="4"/>
        <v>2597.7750000000001</v>
      </c>
      <c r="K27" s="2">
        <f t="shared" si="5"/>
        <v>25979.775000000001</v>
      </c>
      <c r="L27" s="2">
        <f t="shared" si="33"/>
        <v>2597.7750000000001</v>
      </c>
      <c r="M27" s="2">
        <f t="shared" si="6"/>
        <v>28577.550000000003</v>
      </c>
      <c r="N27" s="2">
        <f t="shared" si="34"/>
        <v>2597.7750000000001</v>
      </c>
      <c r="O27" s="2">
        <f t="shared" si="7"/>
        <v>31175.325000000004</v>
      </c>
      <c r="P27" s="2">
        <f t="shared" si="35"/>
        <v>2597.7750000000001</v>
      </c>
      <c r="Q27" s="2">
        <f t="shared" si="8"/>
        <v>33773.100000000006</v>
      </c>
      <c r="R27" s="2">
        <f t="shared" si="36"/>
        <v>2597.7750000000001</v>
      </c>
      <c r="S27" s="2">
        <f t="shared" si="9"/>
        <v>36370.875000000007</v>
      </c>
      <c r="T27" s="2">
        <f t="shared" si="10"/>
        <v>2597.7750000000001</v>
      </c>
      <c r="U27" s="2">
        <f t="shared" si="11"/>
        <v>38968.650000000009</v>
      </c>
      <c r="V27" s="2">
        <f t="shared" si="12"/>
        <v>2597.7750000000001</v>
      </c>
      <c r="W27" s="2">
        <f t="shared" si="13"/>
        <v>41566.42500000001</v>
      </c>
      <c r="X27" s="2">
        <f t="shared" si="37"/>
        <v>2597.7750000000001</v>
      </c>
      <c r="Y27" s="2">
        <f t="shared" si="14"/>
        <v>44164.200000000012</v>
      </c>
      <c r="Z27" s="2">
        <f t="shared" si="32"/>
        <v>2597.7750000000001</v>
      </c>
      <c r="AA27" s="2">
        <f t="shared" si="15"/>
        <v>46761.975000000013</v>
      </c>
      <c r="AB27" s="2">
        <f t="shared" si="38"/>
        <v>2597.7750000000001</v>
      </c>
      <c r="AC27" s="2">
        <f t="shared" ref="AC27:AC47" si="40">SUM(AA27:AB27)</f>
        <v>49359.750000000015</v>
      </c>
      <c r="AD27" s="2">
        <f t="shared" si="16"/>
        <v>2597.7750000000001</v>
      </c>
      <c r="AE27" s="2">
        <f t="shared" si="17"/>
        <v>51957.525000000016</v>
      </c>
      <c r="AF27" s="2">
        <f t="shared" si="18"/>
        <v>2597.7750000000001</v>
      </c>
      <c r="AG27" s="2">
        <f t="shared" si="19"/>
        <v>54555.300000000017</v>
      </c>
      <c r="AH27" s="2">
        <f t="shared" si="20"/>
        <v>2597.7750000000001</v>
      </c>
      <c r="AI27" s="2">
        <f t="shared" si="21"/>
        <v>57153.075000000019</v>
      </c>
      <c r="AJ27" s="2">
        <f t="shared" si="22"/>
        <v>2597.7750000000001</v>
      </c>
      <c r="AK27" s="2">
        <f t="shared" si="23"/>
        <v>59750.85000000002</v>
      </c>
      <c r="AL27" s="2">
        <f t="shared" si="24"/>
        <v>2597.7750000000001</v>
      </c>
      <c r="AM27" s="3">
        <f t="shared" si="25"/>
        <v>62348.625000000022</v>
      </c>
      <c r="AN27" s="2">
        <f t="shared" si="26"/>
        <v>41562.374999999978</v>
      </c>
      <c r="AO27" s="4">
        <f t="shared" si="27"/>
        <v>2597.7750000000001</v>
      </c>
      <c r="AP27" s="2">
        <f t="shared" si="39"/>
        <v>64946.400000000023</v>
      </c>
      <c r="AQ27" s="2">
        <f t="shared" si="28"/>
        <v>38964.599999999977</v>
      </c>
      <c r="AR27" s="4">
        <f t="shared" si="29"/>
        <v>2597.7750000000001</v>
      </c>
      <c r="AS27" s="5">
        <f t="shared" si="30"/>
        <v>67544.175000000017</v>
      </c>
      <c r="AT27" s="2">
        <f t="shared" si="31"/>
        <v>36366.824999999983</v>
      </c>
    </row>
    <row r="28" spans="1:46" x14ac:dyDescent="0.2">
      <c r="A28" s="1" t="s">
        <v>63</v>
      </c>
      <c r="B28" s="1" t="s">
        <v>65</v>
      </c>
      <c r="C28" s="2">
        <v>34146</v>
      </c>
      <c r="D28" s="3" t="s">
        <v>61</v>
      </c>
      <c r="E28" s="2">
        <v>40</v>
      </c>
      <c r="G28" s="2">
        <v>5551</v>
      </c>
      <c r="H28" s="2">
        <v>854</v>
      </c>
      <c r="I28" s="2">
        <f t="shared" si="3"/>
        <v>6405</v>
      </c>
      <c r="J28" s="2">
        <f t="shared" si="4"/>
        <v>853.65</v>
      </c>
      <c r="K28" s="2">
        <f t="shared" si="5"/>
        <v>7258.65</v>
      </c>
      <c r="L28" s="2">
        <f t="shared" si="33"/>
        <v>853.65</v>
      </c>
      <c r="M28" s="2">
        <f t="shared" si="6"/>
        <v>8112.2999999999993</v>
      </c>
      <c r="N28" s="2">
        <f t="shared" si="34"/>
        <v>853.65</v>
      </c>
      <c r="O28" s="2">
        <f t="shared" si="7"/>
        <v>8965.9499999999989</v>
      </c>
      <c r="P28" s="2">
        <f t="shared" si="35"/>
        <v>853.65</v>
      </c>
      <c r="Q28" s="2">
        <f t="shared" si="8"/>
        <v>9819.5999999999985</v>
      </c>
      <c r="R28" s="2">
        <f t="shared" si="36"/>
        <v>853.65</v>
      </c>
      <c r="S28" s="2">
        <f t="shared" si="9"/>
        <v>10673.249999999998</v>
      </c>
      <c r="T28" s="2">
        <f t="shared" si="10"/>
        <v>853.65</v>
      </c>
      <c r="U28" s="2">
        <f t="shared" si="11"/>
        <v>11526.899999999998</v>
      </c>
      <c r="V28" s="2">
        <f t="shared" si="12"/>
        <v>853.65</v>
      </c>
      <c r="W28" s="2">
        <f t="shared" si="13"/>
        <v>12380.549999999997</v>
      </c>
      <c r="X28" s="2">
        <f t="shared" si="37"/>
        <v>853.65</v>
      </c>
      <c r="Y28" s="2">
        <f t="shared" si="14"/>
        <v>13234.199999999997</v>
      </c>
      <c r="Z28" s="2">
        <f t="shared" si="32"/>
        <v>853.65</v>
      </c>
      <c r="AA28" s="2">
        <f t="shared" si="15"/>
        <v>14087.849999999997</v>
      </c>
      <c r="AB28" s="2">
        <f t="shared" si="38"/>
        <v>853.65</v>
      </c>
      <c r="AC28" s="2">
        <f t="shared" si="40"/>
        <v>14941.499999999996</v>
      </c>
      <c r="AD28" s="2">
        <f t="shared" si="16"/>
        <v>853.65</v>
      </c>
      <c r="AE28" s="2">
        <f t="shared" si="17"/>
        <v>15795.149999999996</v>
      </c>
      <c r="AF28" s="2">
        <f t="shared" si="18"/>
        <v>853.65</v>
      </c>
      <c r="AG28" s="2">
        <f t="shared" si="19"/>
        <v>16648.799999999996</v>
      </c>
      <c r="AH28" s="2">
        <f t="shared" si="20"/>
        <v>853.65</v>
      </c>
      <c r="AI28" s="2">
        <f t="shared" si="21"/>
        <v>17502.449999999997</v>
      </c>
      <c r="AJ28" s="2">
        <f t="shared" si="22"/>
        <v>853.65</v>
      </c>
      <c r="AK28" s="2">
        <f t="shared" si="23"/>
        <v>18356.099999999999</v>
      </c>
      <c r="AL28" s="2">
        <f t="shared" si="24"/>
        <v>853.65</v>
      </c>
      <c r="AM28" s="3">
        <f t="shared" si="25"/>
        <v>19209.75</v>
      </c>
      <c r="AN28" s="2">
        <f t="shared" si="26"/>
        <v>14936.25</v>
      </c>
      <c r="AO28" s="4">
        <f t="shared" si="27"/>
        <v>853.65</v>
      </c>
      <c r="AP28" s="2">
        <f t="shared" si="39"/>
        <v>20063.400000000001</v>
      </c>
      <c r="AQ28" s="2">
        <f t="shared" si="28"/>
        <v>14082.6</v>
      </c>
      <c r="AR28" s="4">
        <f t="shared" si="29"/>
        <v>853.65</v>
      </c>
      <c r="AS28" s="5">
        <f t="shared" si="30"/>
        <v>20917.050000000003</v>
      </c>
      <c r="AT28" s="2">
        <f t="shared" si="31"/>
        <v>13228.949999999997</v>
      </c>
    </row>
    <row r="29" spans="1:46" x14ac:dyDescent="0.2">
      <c r="A29" s="1" t="s">
        <v>63</v>
      </c>
      <c r="B29" s="1" t="s">
        <v>66</v>
      </c>
      <c r="C29" s="2">
        <v>61695</v>
      </c>
      <c r="D29" s="3" t="s">
        <v>61</v>
      </c>
      <c r="E29" s="2">
        <v>40</v>
      </c>
      <c r="G29" s="2">
        <v>8481</v>
      </c>
      <c r="H29" s="2">
        <v>1542</v>
      </c>
      <c r="I29" s="2">
        <f t="shared" si="3"/>
        <v>10023</v>
      </c>
      <c r="J29" s="2">
        <f t="shared" si="4"/>
        <v>1542.375</v>
      </c>
      <c r="K29" s="2">
        <f t="shared" si="5"/>
        <v>11565.375</v>
      </c>
      <c r="L29" s="2">
        <f t="shared" si="33"/>
        <v>1542.375</v>
      </c>
      <c r="M29" s="2">
        <f t="shared" si="6"/>
        <v>13107.75</v>
      </c>
      <c r="N29" s="2">
        <f t="shared" si="34"/>
        <v>1542.375</v>
      </c>
      <c r="O29" s="2">
        <f t="shared" si="7"/>
        <v>14650.125</v>
      </c>
      <c r="P29" s="2">
        <f t="shared" si="35"/>
        <v>1542.375</v>
      </c>
      <c r="Q29" s="2">
        <f t="shared" si="8"/>
        <v>16192.5</v>
      </c>
      <c r="R29" s="2">
        <f t="shared" si="36"/>
        <v>1542.375</v>
      </c>
      <c r="S29" s="2">
        <f t="shared" si="9"/>
        <v>17734.875</v>
      </c>
      <c r="T29" s="2">
        <f t="shared" si="10"/>
        <v>1542.375</v>
      </c>
      <c r="U29" s="2">
        <f t="shared" si="11"/>
        <v>19277.25</v>
      </c>
      <c r="V29" s="2">
        <f t="shared" si="12"/>
        <v>1542.375</v>
      </c>
      <c r="W29" s="2">
        <f t="shared" si="13"/>
        <v>20819.625</v>
      </c>
      <c r="X29" s="2">
        <f t="shared" si="37"/>
        <v>1542.375</v>
      </c>
      <c r="Y29" s="2">
        <f t="shared" si="14"/>
        <v>22362</v>
      </c>
      <c r="Z29" s="2">
        <f t="shared" si="32"/>
        <v>1542.375</v>
      </c>
      <c r="AA29" s="2">
        <f t="shared" si="15"/>
        <v>23904.375</v>
      </c>
      <c r="AB29" s="2">
        <f t="shared" si="38"/>
        <v>1542.375</v>
      </c>
      <c r="AC29" s="2">
        <f t="shared" si="40"/>
        <v>25446.75</v>
      </c>
      <c r="AD29" s="2">
        <f t="shared" si="16"/>
        <v>1542.375</v>
      </c>
      <c r="AE29" s="2">
        <f t="shared" si="17"/>
        <v>26989.125</v>
      </c>
      <c r="AF29" s="2">
        <f t="shared" si="18"/>
        <v>1542.375</v>
      </c>
      <c r="AG29" s="2">
        <f t="shared" si="19"/>
        <v>28531.5</v>
      </c>
      <c r="AH29" s="2">
        <f t="shared" si="20"/>
        <v>1542.375</v>
      </c>
      <c r="AI29" s="2">
        <f t="shared" si="21"/>
        <v>30073.875</v>
      </c>
      <c r="AJ29" s="2">
        <f t="shared" si="22"/>
        <v>1542.375</v>
      </c>
      <c r="AK29" s="2">
        <f t="shared" si="23"/>
        <v>31616.25</v>
      </c>
      <c r="AL29" s="2">
        <f t="shared" si="24"/>
        <v>1542.375</v>
      </c>
      <c r="AM29" s="3">
        <f t="shared" si="25"/>
        <v>33158.625</v>
      </c>
      <c r="AN29" s="2">
        <f t="shared" si="26"/>
        <v>28536.375</v>
      </c>
      <c r="AO29" s="4">
        <f t="shared" si="27"/>
        <v>1542.375</v>
      </c>
      <c r="AP29" s="2">
        <f t="shared" si="39"/>
        <v>34701</v>
      </c>
      <c r="AQ29" s="2">
        <f t="shared" si="28"/>
        <v>26994</v>
      </c>
      <c r="AR29" s="4">
        <f t="shared" si="29"/>
        <v>1542.375</v>
      </c>
      <c r="AS29" s="5">
        <f t="shared" si="30"/>
        <v>36243.375</v>
      </c>
      <c r="AT29" s="2">
        <f t="shared" si="31"/>
        <v>25451.625</v>
      </c>
    </row>
    <row r="30" spans="1:46" x14ac:dyDescent="0.2">
      <c r="A30" s="1" t="s">
        <v>63</v>
      </c>
      <c r="B30" s="1" t="s">
        <v>67</v>
      </c>
      <c r="C30" s="2">
        <v>1550</v>
      </c>
      <c r="D30" s="3" t="s">
        <v>61</v>
      </c>
      <c r="E30" s="2">
        <v>40</v>
      </c>
      <c r="G30" s="2">
        <v>175</v>
      </c>
      <c r="H30" s="2">
        <v>39</v>
      </c>
      <c r="I30" s="2">
        <f t="shared" si="3"/>
        <v>214</v>
      </c>
      <c r="J30" s="2">
        <f t="shared" si="4"/>
        <v>38.75</v>
      </c>
      <c r="K30" s="2">
        <f t="shared" si="5"/>
        <v>252.75</v>
      </c>
      <c r="L30" s="2">
        <f t="shared" si="33"/>
        <v>38.75</v>
      </c>
      <c r="M30" s="2">
        <f t="shared" si="6"/>
        <v>291.5</v>
      </c>
      <c r="N30" s="2">
        <f t="shared" si="34"/>
        <v>38.75</v>
      </c>
      <c r="O30" s="2">
        <f t="shared" si="7"/>
        <v>330.25</v>
      </c>
      <c r="P30" s="2">
        <f t="shared" si="35"/>
        <v>38.75</v>
      </c>
      <c r="Q30" s="2">
        <f t="shared" si="8"/>
        <v>369</v>
      </c>
      <c r="R30" s="2">
        <f t="shared" si="36"/>
        <v>38.75</v>
      </c>
      <c r="S30" s="2">
        <f t="shared" si="9"/>
        <v>407.75</v>
      </c>
      <c r="T30" s="2">
        <f t="shared" si="10"/>
        <v>38.75</v>
      </c>
      <c r="U30" s="2">
        <f t="shared" si="11"/>
        <v>446.5</v>
      </c>
      <c r="V30" s="2">
        <f t="shared" si="12"/>
        <v>38.75</v>
      </c>
      <c r="W30" s="2">
        <f t="shared" si="13"/>
        <v>485.25</v>
      </c>
      <c r="X30" s="2">
        <f t="shared" si="37"/>
        <v>38.75</v>
      </c>
      <c r="Y30" s="2">
        <f t="shared" si="14"/>
        <v>524</v>
      </c>
      <c r="Z30" s="2">
        <f t="shared" si="32"/>
        <v>38.75</v>
      </c>
      <c r="AA30" s="2">
        <f t="shared" si="15"/>
        <v>562.75</v>
      </c>
      <c r="AB30" s="2">
        <f t="shared" si="38"/>
        <v>38.75</v>
      </c>
      <c r="AC30" s="2">
        <f t="shared" si="40"/>
        <v>601.5</v>
      </c>
      <c r="AD30" s="2">
        <f t="shared" si="16"/>
        <v>38.75</v>
      </c>
      <c r="AE30" s="2">
        <f t="shared" si="17"/>
        <v>640.25</v>
      </c>
      <c r="AF30" s="2">
        <f t="shared" si="18"/>
        <v>38.75</v>
      </c>
      <c r="AG30" s="2">
        <f t="shared" si="19"/>
        <v>679</v>
      </c>
      <c r="AH30" s="2">
        <f t="shared" si="20"/>
        <v>38.75</v>
      </c>
      <c r="AI30" s="2">
        <f t="shared" si="21"/>
        <v>717.75</v>
      </c>
      <c r="AJ30" s="2">
        <f t="shared" si="22"/>
        <v>38.75</v>
      </c>
      <c r="AK30" s="2">
        <f t="shared" si="23"/>
        <v>756.5</v>
      </c>
      <c r="AL30" s="2">
        <f t="shared" si="24"/>
        <v>38.75</v>
      </c>
      <c r="AM30" s="3">
        <f t="shared" si="25"/>
        <v>795.25</v>
      </c>
      <c r="AN30" s="2">
        <f t="shared" si="26"/>
        <v>754.75</v>
      </c>
      <c r="AO30" s="4">
        <f t="shared" si="27"/>
        <v>38.75</v>
      </c>
      <c r="AP30" s="2">
        <f t="shared" si="39"/>
        <v>834</v>
      </c>
      <c r="AQ30" s="2">
        <f t="shared" si="28"/>
        <v>716</v>
      </c>
      <c r="AR30" s="4">
        <f t="shared" si="29"/>
        <v>38.75</v>
      </c>
      <c r="AS30" s="5">
        <f t="shared" si="30"/>
        <v>872.75</v>
      </c>
      <c r="AT30" s="2">
        <f t="shared" si="31"/>
        <v>677.25</v>
      </c>
    </row>
    <row r="31" spans="1:46" x14ac:dyDescent="0.2">
      <c r="A31" s="1" t="s">
        <v>68</v>
      </c>
      <c r="B31" s="1" t="s">
        <v>69</v>
      </c>
      <c r="C31" s="2">
        <v>49162</v>
      </c>
      <c r="D31" s="3" t="s">
        <v>61</v>
      </c>
      <c r="E31" s="2">
        <v>40</v>
      </c>
      <c r="G31" s="2">
        <v>4302</v>
      </c>
      <c r="H31" s="2">
        <v>1229</v>
      </c>
      <c r="I31" s="2">
        <f t="shared" si="3"/>
        <v>5531</v>
      </c>
      <c r="J31" s="2">
        <f t="shared" si="4"/>
        <v>1229.05</v>
      </c>
      <c r="K31" s="2">
        <f t="shared" si="5"/>
        <v>6760.05</v>
      </c>
      <c r="L31" s="2">
        <f t="shared" si="33"/>
        <v>1229.05</v>
      </c>
      <c r="M31" s="2">
        <f t="shared" si="6"/>
        <v>7989.1</v>
      </c>
      <c r="N31" s="2">
        <f t="shared" si="34"/>
        <v>1229.05</v>
      </c>
      <c r="O31" s="2">
        <f t="shared" si="7"/>
        <v>9218.15</v>
      </c>
      <c r="P31" s="2">
        <f t="shared" si="35"/>
        <v>1229.05</v>
      </c>
      <c r="Q31" s="2">
        <f t="shared" si="8"/>
        <v>10447.199999999999</v>
      </c>
      <c r="R31" s="2">
        <f t="shared" si="36"/>
        <v>1229.05</v>
      </c>
      <c r="S31" s="2">
        <f t="shared" si="9"/>
        <v>11676.249999999998</v>
      </c>
      <c r="T31" s="2">
        <f t="shared" si="10"/>
        <v>1229.05</v>
      </c>
      <c r="U31" s="2">
        <f t="shared" si="11"/>
        <v>12905.299999999997</v>
      </c>
      <c r="V31" s="2">
        <f t="shared" si="12"/>
        <v>1229.05</v>
      </c>
      <c r="W31" s="2">
        <f t="shared" si="13"/>
        <v>14134.349999999997</v>
      </c>
      <c r="X31" s="2">
        <f t="shared" si="37"/>
        <v>1229.05</v>
      </c>
      <c r="Y31" s="2">
        <f t="shared" si="14"/>
        <v>15363.399999999996</v>
      </c>
      <c r="Z31" s="2">
        <f t="shared" si="32"/>
        <v>1229.05</v>
      </c>
      <c r="AA31" s="2">
        <f t="shared" si="15"/>
        <v>16592.449999999997</v>
      </c>
      <c r="AB31" s="2">
        <f t="shared" si="38"/>
        <v>1229.05</v>
      </c>
      <c r="AC31" s="2">
        <f t="shared" si="40"/>
        <v>17821.499999999996</v>
      </c>
      <c r="AD31" s="2">
        <f t="shared" si="16"/>
        <v>1229.05</v>
      </c>
      <c r="AE31" s="2">
        <f t="shared" si="17"/>
        <v>19050.549999999996</v>
      </c>
      <c r="AF31" s="2">
        <f t="shared" si="18"/>
        <v>1229.05</v>
      </c>
      <c r="AG31" s="2">
        <f t="shared" si="19"/>
        <v>20279.599999999995</v>
      </c>
      <c r="AH31" s="2">
        <f t="shared" si="20"/>
        <v>1229.05</v>
      </c>
      <c r="AI31" s="2">
        <f t="shared" si="21"/>
        <v>21508.649999999994</v>
      </c>
      <c r="AJ31" s="2">
        <f t="shared" si="22"/>
        <v>1229.05</v>
      </c>
      <c r="AK31" s="2">
        <f t="shared" si="23"/>
        <v>22737.699999999993</v>
      </c>
      <c r="AL31" s="2">
        <f t="shared" si="24"/>
        <v>1229.05</v>
      </c>
      <c r="AM31" s="3">
        <f t="shared" si="25"/>
        <v>23966.749999999993</v>
      </c>
      <c r="AN31" s="2">
        <f t="shared" si="26"/>
        <v>25195.250000000007</v>
      </c>
      <c r="AO31" s="4">
        <f t="shared" si="27"/>
        <v>1229.05</v>
      </c>
      <c r="AP31" s="2">
        <f t="shared" si="39"/>
        <v>25195.799999999992</v>
      </c>
      <c r="AQ31" s="2">
        <f t="shared" si="28"/>
        <v>23966.200000000008</v>
      </c>
      <c r="AR31" s="4">
        <f t="shared" si="29"/>
        <v>1229.05</v>
      </c>
      <c r="AS31" s="5">
        <f t="shared" si="30"/>
        <v>26424.849999999991</v>
      </c>
      <c r="AT31" s="2">
        <f t="shared" si="31"/>
        <v>22737.150000000009</v>
      </c>
    </row>
    <row r="32" spans="1:46" x14ac:dyDescent="0.2">
      <c r="A32" s="1" t="s">
        <v>70</v>
      </c>
      <c r="B32" s="1" t="s">
        <v>71</v>
      </c>
      <c r="C32" s="2">
        <v>9231</v>
      </c>
      <c r="D32" s="3" t="s">
        <v>61</v>
      </c>
      <c r="E32" s="2">
        <v>40</v>
      </c>
      <c r="G32" s="2">
        <v>674</v>
      </c>
      <c r="H32" s="2">
        <v>231</v>
      </c>
      <c r="I32" s="2">
        <f t="shared" si="3"/>
        <v>905</v>
      </c>
      <c r="J32" s="2">
        <f t="shared" si="4"/>
        <v>230.77500000000001</v>
      </c>
      <c r="K32" s="2">
        <f t="shared" si="5"/>
        <v>1135.7750000000001</v>
      </c>
      <c r="L32" s="2">
        <f t="shared" si="33"/>
        <v>230.77500000000001</v>
      </c>
      <c r="M32" s="2">
        <f t="shared" si="6"/>
        <v>1366.5500000000002</v>
      </c>
      <c r="N32" s="2">
        <f t="shared" si="34"/>
        <v>230.77500000000001</v>
      </c>
      <c r="O32" s="2">
        <f t="shared" si="7"/>
        <v>1597.3250000000003</v>
      </c>
      <c r="P32" s="2">
        <f t="shared" si="35"/>
        <v>230.77500000000001</v>
      </c>
      <c r="Q32" s="2">
        <f t="shared" si="8"/>
        <v>1828.1000000000004</v>
      </c>
      <c r="R32" s="2">
        <f t="shared" si="36"/>
        <v>230.77500000000001</v>
      </c>
      <c r="S32" s="2">
        <f t="shared" si="9"/>
        <v>2058.8750000000005</v>
      </c>
      <c r="T32" s="2">
        <f t="shared" si="10"/>
        <v>230.77500000000001</v>
      </c>
      <c r="U32" s="2">
        <f t="shared" si="11"/>
        <v>2289.6500000000005</v>
      </c>
      <c r="V32" s="2">
        <f t="shared" si="12"/>
        <v>230.77500000000001</v>
      </c>
      <c r="W32" s="2">
        <f t="shared" si="13"/>
        <v>2520.4250000000006</v>
      </c>
      <c r="X32" s="2">
        <f t="shared" si="37"/>
        <v>230.77500000000001</v>
      </c>
      <c r="Y32" s="2">
        <f t="shared" si="14"/>
        <v>2751.2000000000007</v>
      </c>
      <c r="Z32" s="2">
        <f t="shared" si="32"/>
        <v>230.77500000000001</v>
      </c>
      <c r="AA32" s="2">
        <f t="shared" si="15"/>
        <v>2981.9750000000008</v>
      </c>
      <c r="AB32" s="2">
        <f t="shared" si="38"/>
        <v>230.77500000000001</v>
      </c>
      <c r="AC32" s="2">
        <f t="shared" si="40"/>
        <v>3212.7500000000009</v>
      </c>
      <c r="AD32" s="2">
        <f t="shared" si="16"/>
        <v>230.77500000000001</v>
      </c>
      <c r="AE32" s="2">
        <f t="shared" si="17"/>
        <v>3443.525000000001</v>
      </c>
      <c r="AF32" s="2">
        <f t="shared" si="18"/>
        <v>230.77500000000001</v>
      </c>
      <c r="AG32" s="2">
        <f t="shared" si="19"/>
        <v>3674.3000000000011</v>
      </c>
      <c r="AH32" s="2">
        <f t="shared" si="20"/>
        <v>230.77500000000001</v>
      </c>
      <c r="AI32" s="2">
        <f t="shared" si="21"/>
        <v>3905.0750000000012</v>
      </c>
      <c r="AJ32" s="2">
        <f t="shared" si="22"/>
        <v>230.77500000000001</v>
      </c>
      <c r="AK32" s="2">
        <f t="shared" si="23"/>
        <v>4135.8500000000013</v>
      </c>
      <c r="AL32" s="2">
        <f t="shared" si="24"/>
        <v>230.77500000000001</v>
      </c>
      <c r="AM32" s="3">
        <f t="shared" si="25"/>
        <v>4366.6250000000009</v>
      </c>
      <c r="AN32" s="2">
        <f t="shared" si="26"/>
        <v>4864.3749999999991</v>
      </c>
      <c r="AO32" s="4">
        <f t="shared" si="27"/>
        <v>230.77500000000001</v>
      </c>
      <c r="AP32" s="2">
        <f t="shared" si="39"/>
        <v>4597.4000000000005</v>
      </c>
      <c r="AQ32" s="2">
        <f t="shared" si="28"/>
        <v>4633.5999999999995</v>
      </c>
      <c r="AR32" s="4">
        <f t="shared" si="29"/>
        <v>230.77500000000001</v>
      </c>
      <c r="AS32" s="5">
        <f t="shared" si="30"/>
        <v>4828.1750000000002</v>
      </c>
      <c r="AT32" s="2">
        <f t="shared" si="31"/>
        <v>4402.8249999999998</v>
      </c>
    </row>
    <row r="33" spans="1:46" x14ac:dyDescent="0.2">
      <c r="A33" s="1" t="s">
        <v>72</v>
      </c>
      <c r="B33" s="1" t="s">
        <v>73</v>
      </c>
      <c r="C33" s="2">
        <v>3359</v>
      </c>
      <c r="D33" s="3" t="s">
        <v>61</v>
      </c>
      <c r="E33" s="2">
        <v>40</v>
      </c>
      <c r="G33" s="2">
        <v>168</v>
      </c>
      <c r="H33" s="2">
        <v>84</v>
      </c>
      <c r="I33" s="2">
        <f t="shared" si="3"/>
        <v>252</v>
      </c>
      <c r="J33" s="2">
        <f t="shared" si="4"/>
        <v>83.974999999999994</v>
      </c>
      <c r="K33" s="2">
        <f t="shared" si="5"/>
        <v>335.97500000000002</v>
      </c>
      <c r="L33" s="2">
        <f t="shared" si="33"/>
        <v>83.974999999999994</v>
      </c>
      <c r="M33" s="2">
        <f t="shared" si="6"/>
        <v>419.95000000000005</v>
      </c>
      <c r="N33" s="2">
        <f t="shared" si="34"/>
        <v>83.974999999999994</v>
      </c>
      <c r="O33" s="2">
        <f t="shared" si="7"/>
        <v>503.92500000000007</v>
      </c>
      <c r="P33" s="2">
        <f t="shared" si="35"/>
        <v>83.974999999999994</v>
      </c>
      <c r="Q33" s="2">
        <f t="shared" si="8"/>
        <v>587.90000000000009</v>
      </c>
      <c r="R33" s="2">
        <f t="shared" si="36"/>
        <v>83.974999999999994</v>
      </c>
      <c r="S33" s="2">
        <f t="shared" si="9"/>
        <v>671.87500000000011</v>
      </c>
      <c r="T33" s="2">
        <f t="shared" si="10"/>
        <v>83.974999999999994</v>
      </c>
      <c r="U33" s="2">
        <f t="shared" si="11"/>
        <v>755.85000000000014</v>
      </c>
      <c r="V33" s="2">
        <f t="shared" si="12"/>
        <v>83.974999999999994</v>
      </c>
      <c r="W33" s="2">
        <f t="shared" si="13"/>
        <v>839.82500000000016</v>
      </c>
      <c r="X33" s="2">
        <f t="shared" si="37"/>
        <v>83.974999999999994</v>
      </c>
      <c r="Y33" s="2">
        <f t="shared" si="14"/>
        <v>923.80000000000018</v>
      </c>
      <c r="Z33" s="2">
        <f t="shared" si="32"/>
        <v>83.974999999999994</v>
      </c>
      <c r="AA33" s="2">
        <f t="shared" si="15"/>
        <v>1007.7750000000002</v>
      </c>
      <c r="AB33" s="2">
        <f t="shared" si="38"/>
        <v>83.974999999999994</v>
      </c>
      <c r="AC33" s="2">
        <f t="shared" si="40"/>
        <v>1091.7500000000002</v>
      </c>
      <c r="AD33" s="2">
        <f t="shared" si="16"/>
        <v>83.974999999999994</v>
      </c>
      <c r="AE33" s="2">
        <f t="shared" si="17"/>
        <v>1175.7250000000001</v>
      </c>
      <c r="AF33" s="2">
        <f t="shared" si="18"/>
        <v>83.974999999999994</v>
      </c>
      <c r="AG33" s="2">
        <f t="shared" si="19"/>
        <v>1259.7</v>
      </c>
      <c r="AH33" s="2">
        <f t="shared" si="20"/>
        <v>83.974999999999994</v>
      </c>
      <c r="AI33" s="2">
        <f t="shared" si="21"/>
        <v>1343.675</v>
      </c>
      <c r="AJ33" s="2">
        <f t="shared" si="22"/>
        <v>83.974999999999994</v>
      </c>
      <c r="AK33" s="2">
        <f t="shared" si="23"/>
        <v>1427.6499999999999</v>
      </c>
      <c r="AL33" s="2">
        <f t="shared" si="24"/>
        <v>83.974999999999994</v>
      </c>
      <c r="AM33" s="3">
        <f t="shared" si="25"/>
        <v>1511.6249999999998</v>
      </c>
      <c r="AN33" s="2">
        <f t="shared" si="26"/>
        <v>1847.3750000000002</v>
      </c>
      <c r="AO33" s="4">
        <f t="shared" si="27"/>
        <v>83.974999999999994</v>
      </c>
      <c r="AP33" s="2">
        <f t="shared" si="39"/>
        <v>1595.5999999999997</v>
      </c>
      <c r="AQ33" s="2">
        <f t="shared" si="28"/>
        <v>1763.4000000000003</v>
      </c>
      <c r="AR33" s="4">
        <f t="shared" si="29"/>
        <v>83.974999999999994</v>
      </c>
      <c r="AS33" s="5">
        <f t="shared" si="30"/>
        <v>1679.5749999999996</v>
      </c>
      <c r="AT33" s="2">
        <f t="shared" si="31"/>
        <v>1679.4250000000004</v>
      </c>
    </row>
    <row r="34" spans="1:46" x14ac:dyDescent="0.2">
      <c r="A34" s="1" t="s">
        <v>74</v>
      </c>
      <c r="B34" s="1" t="s">
        <v>75</v>
      </c>
      <c r="C34" s="2">
        <v>2760</v>
      </c>
      <c r="D34" s="3" t="s">
        <v>61</v>
      </c>
      <c r="E34" s="2">
        <v>40</v>
      </c>
      <c r="G34" s="2">
        <v>86</v>
      </c>
      <c r="H34" s="2">
        <v>69</v>
      </c>
      <c r="I34" s="2">
        <f t="shared" si="3"/>
        <v>155</v>
      </c>
      <c r="J34" s="2">
        <f t="shared" si="4"/>
        <v>69</v>
      </c>
      <c r="K34" s="2">
        <f t="shared" si="5"/>
        <v>224</v>
      </c>
      <c r="L34" s="2">
        <f t="shared" si="33"/>
        <v>69</v>
      </c>
      <c r="M34" s="2">
        <f t="shared" si="6"/>
        <v>293</v>
      </c>
      <c r="N34" s="2">
        <f t="shared" si="34"/>
        <v>69</v>
      </c>
      <c r="O34" s="2">
        <f t="shared" si="7"/>
        <v>362</v>
      </c>
      <c r="P34" s="2">
        <f t="shared" si="35"/>
        <v>69</v>
      </c>
      <c r="Q34" s="2">
        <f t="shared" si="8"/>
        <v>431</v>
      </c>
      <c r="R34" s="2">
        <f t="shared" si="36"/>
        <v>69</v>
      </c>
      <c r="S34" s="2">
        <f t="shared" si="9"/>
        <v>500</v>
      </c>
      <c r="T34" s="2">
        <f t="shared" si="10"/>
        <v>69</v>
      </c>
      <c r="U34" s="2">
        <f t="shared" si="11"/>
        <v>569</v>
      </c>
      <c r="V34" s="2">
        <f t="shared" si="12"/>
        <v>69</v>
      </c>
      <c r="W34" s="2">
        <f t="shared" si="13"/>
        <v>638</v>
      </c>
      <c r="X34" s="2">
        <f t="shared" si="37"/>
        <v>69</v>
      </c>
      <c r="Y34" s="2">
        <f t="shared" si="14"/>
        <v>707</v>
      </c>
      <c r="Z34" s="2">
        <f t="shared" si="32"/>
        <v>69</v>
      </c>
      <c r="AA34" s="2">
        <f t="shared" si="15"/>
        <v>776</v>
      </c>
      <c r="AB34" s="2">
        <f t="shared" si="38"/>
        <v>69</v>
      </c>
      <c r="AC34" s="2">
        <f t="shared" si="40"/>
        <v>845</v>
      </c>
      <c r="AD34" s="2">
        <f t="shared" si="16"/>
        <v>69</v>
      </c>
      <c r="AE34" s="2">
        <f t="shared" si="17"/>
        <v>914</v>
      </c>
      <c r="AF34" s="2">
        <f t="shared" si="18"/>
        <v>69</v>
      </c>
      <c r="AG34" s="2">
        <f t="shared" si="19"/>
        <v>983</v>
      </c>
      <c r="AH34" s="2">
        <f t="shared" si="20"/>
        <v>69</v>
      </c>
      <c r="AI34" s="2">
        <f t="shared" si="21"/>
        <v>1052</v>
      </c>
      <c r="AJ34" s="2">
        <f t="shared" si="22"/>
        <v>69</v>
      </c>
      <c r="AK34" s="2">
        <f t="shared" si="23"/>
        <v>1121</v>
      </c>
      <c r="AL34" s="2">
        <f t="shared" si="24"/>
        <v>69</v>
      </c>
      <c r="AM34" s="3">
        <f t="shared" si="25"/>
        <v>1190</v>
      </c>
      <c r="AN34" s="2">
        <f t="shared" si="26"/>
        <v>1570</v>
      </c>
      <c r="AO34" s="4">
        <f t="shared" si="27"/>
        <v>69</v>
      </c>
      <c r="AP34" s="2">
        <f t="shared" si="39"/>
        <v>1259</v>
      </c>
      <c r="AQ34" s="2">
        <f t="shared" si="28"/>
        <v>1501</v>
      </c>
      <c r="AR34" s="4">
        <f t="shared" si="29"/>
        <v>69</v>
      </c>
      <c r="AS34" s="5">
        <f t="shared" si="30"/>
        <v>1328</v>
      </c>
      <c r="AT34" s="2">
        <f t="shared" si="31"/>
        <v>1432</v>
      </c>
    </row>
    <row r="35" spans="1:46" x14ac:dyDescent="0.2">
      <c r="A35" s="1" t="s">
        <v>76</v>
      </c>
      <c r="B35" s="1" t="s">
        <v>77</v>
      </c>
      <c r="C35" s="2">
        <v>799</v>
      </c>
      <c r="D35" s="3" t="s">
        <v>61</v>
      </c>
      <c r="E35" s="2">
        <v>40</v>
      </c>
      <c r="G35" s="2">
        <v>0</v>
      </c>
      <c r="I35" s="2">
        <v>0</v>
      </c>
      <c r="J35" s="2">
        <f>C35/E35/12*11</f>
        <v>18.310416666666669</v>
      </c>
      <c r="K35" s="2">
        <f t="shared" si="5"/>
        <v>18.310416666666669</v>
      </c>
      <c r="L35" s="2">
        <f>C35/E35</f>
        <v>19.975000000000001</v>
      </c>
      <c r="M35" s="2">
        <f t="shared" si="6"/>
        <v>38.28541666666667</v>
      </c>
      <c r="N35" s="2">
        <f t="shared" si="34"/>
        <v>19.975000000000001</v>
      </c>
      <c r="O35" s="2">
        <f t="shared" si="7"/>
        <v>58.260416666666671</v>
      </c>
      <c r="P35" s="2">
        <f t="shared" si="35"/>
        <v>19.975000000000001</v>
      </c>
      <c r="Q35" s="2">
        <f t="shared" si="8"/>
        <v>78.23541666666668</v>
      </c>
      <c r="R35" s="2">
        <f t="shared" si="36"/>
        <v>19.975000000000001</v>
      </c>
      <c r="S35" s="2">
        <f t="shared" si="9"/>
        <v>98.210416666666674</v>
      </c>
      <c r="T35" s="2">
        <f t="shared" si="10"/>
        <v>19.975000000000001</v>
      </c>
      <c r="U35" s="2">
        <f t="shared" si="11"/>
        <v>118.18541666666667</v>
      </c>
      <c r="V35" s="2">
        <f t="shared" si="12"/>
        <v>19.975000000000001</v>
      </c>
      <c r="W35" s="2">
        <f t="shared" si="13"/>
        <v>138.16041666666666</v>
      </c>
      <c r="X35" s="2">
        <f t="shared" si="37"/>
        <v>19.975000000000001</v>
      </c>
      <c r="Y35" s="2">
        <f t="shared" si="14"/>
        <v>158.13541666666666</v>
      </c>
      <c r="Z35" s="2">
        <f t="shared" si="32"/>
        <v>19.975000000000001</v>
      </c>
      <c r="AA35" s="2">
        <f t="shared" si="15"/>
        <v>178.11041666666665</v>
      </c>
      <c r="AB35" s="2">
        <f t="shared" si="38"/>
        <v>19.975000000000001</v>
      </c>
      <c r="AC35" s="2">
        <f t="shared" si="40"/>
        <v>198.08541666666665</v>
      </c>
      <c r="AD35" s="2">
        <f t="shared" si="16"/>
        <v>19.975000000000001</v>
      </c>
      <c r="AE35" s="2">
        <f t="shared" si="17"/>
        <v>218.06041666666664</v>
      </c>
      <c r="AF35" s="2">
        <f t="shared" si="18"/>
        <v>19.975000000000001</v>
      </c>
      <c r="AG35" s="2">
        <f t="shared" si="19"/>
        <v>238.03541666666663</v>
      </c>
      <c r="AH35" s="2">
        <f t="shared" si="20"/>
        <v>19.975000000000001</v>
      </c>
      <c r="AI35" s="2">
        <f t="shared" si="21"/>
        <v>258.01041666666663</v>
      </c>
      <c r="AJ35" s="2">
        <f t="shared" si="22"/>
        <v>19.975000000000001</v>
      </c>
      <c r="AK35" s="2">
        <f t="shared" si="23"/>
        <v>277.98541666666665</v>
      </c>
      <c r="AL35" s="2">
        <f t="shared" si="24"/>
        <v>19.975000000000001</v>
      </c>
      <c r="AM35" s="3">
        <f t="shared" si="25"/>
        <v>297.96041666666667</v>
      </c>
      <c r="AN35" s="2">
        <f t="shared" si="26"/>
        <v>501.03958333333333</v>
      </c>
      <c r="AO35" s="4">
        <f t="shared" si="27"/>
        <v>19.975000000000001</v>
      </c>
      <c r="AP35" s="2">
        <f t="shared" si="39"/>
        <v>317.9354166666667</v>
      </c>
      <c r="AQ35" s="2">
        <f t="shared" si="28"/>
        <v>481.0645833333333</v>
      </c>
      <c r="AR35" s="4">
        <f t="shared" si="29"/>
        <v>19.975000000000001</v>
      </c>
      <c r="AS35" s="5">
        <f t="shared" si="30"/>
        <v>337.91041666666672</v>
      </c>
      <c r="AT35" s="2">
        <f t="shared" si="31"/>
        <v>461.08958333333328</v>
      </c>
    </row>
    <row r="36" spans="1:46" x14ac:dyDescent="0.2">
      <c r="A36" s="1" t="s">
        <v>78</v>
      </c>
      <c r="B36" s="1" t="s">
        <v>77</v>
      </c>
      <c r="C36" s="2">
        <v>6244</v>
      </c>
      <c r="D36" s="3" t="s">
        <v>61</v>
      </c>
      <c r="E36" s="2">
        <v>40</v>
      </c>
      <c r="G36" s="2">
        <v>0</v>
      </c>
      <c r="I36" s="2">
        <v>0</v>
      </c>
      <c r="J36" s="2">
        <f>C36/E36/12*11</f>
        <v>143.09166666666667</v>
      </c>
      <c r="K36" s="2">
        <f t="shared" si="5"/>
        <v>143.09166666666667</v>
      </c>
      <c r="L36" s="2">
        <f>C36/E36</f>
        <v>156.1</v>
      </c>
      <c r="M36" s="2">
        <f t="shared" si="6"/>
        <v>299.19166666666666</v>
      </c>
      <c r="N36" s="2">
        <f t="shared" si="34"/>
        <v>156.1</v>
      </c>
      <c r="O36" s="2">
        <f t="shared" si="7"/>
        <v>455.29166666666663</v>
      </c>
      <c r="P36" s="2">
        <f t="shared" si="35"/>
        <v>156.1</v>
      </c>
      <c r="Q36" s="2">
        <f t="shared" si="8"/>
        <v>611.39166666666665</v>
      </c>
      <c r="R36" s="2">
        <f t="shared" si="36"/>
        <v>156.1</v>
      </c>
      <c r="S36" s="2">
        <f t="shared" si="9"/>
        <v>767.49166666666667</v>
      </c>
      <c r="T36" s="2">
        <f t="shared" si="10"/>
        <v>156.1</v>
      </c>
      <c r="U36" s="2">
        <f t="shared" si="11"/>
        <v>923.5916666666667</v>
      </c>
      <c r="V36" s="2">
        <f t="shared" si="12"/>
        <v>156.1</v>
      </c>
      <c r="W36" s="2">
        <f t="shared" si="13"/>
        <v>1079.6916666666666</v>
      </c>
      <c r="X36" s="2">
        <f t="shared" si="37"/>
        <v>156.1</v>
      </c>
      <c r="Y36" s="2">
        <f t="shared" si="14"/>
        <v>1235.7916666666665</v>
      </c>
      <c r="Z36" s="2">
        <f t="shared" si="32"/>
        <v>156.1</v>
      </c>
      <c r="AA36" s="2">
        <f t="shared" si="15"/>
        <v>1391.8916666666664</v>
      </c>
      <c r="AB36" s="2">
        <f t="shared" si="38"/>
        <v>156.1</v>
      </c>
      <c r="AC36" s="2">
        <f t="shared" si="40"/>
        <v>1547.9916666666663</v>
      </c>
      <c r="AD36" s="2">
        <f t="shared" si="16"/>
        <v>156.1</v>
      </c>
      <c r="AE36" s="2">
        <f t="shared" si="17"/>
        <v>1704.0916666666662</v>
      </c>
      <c r="AF36" s="2">
        <f t="shared" si="18"/>
        <v>156.1</v>
      </c>
      <c r="AG36" s="2">
        <f t="shared" si="19"/>
        <v>1860.1916666666662</v>
      </c>
      <c r="AH36" s="2">
        <f t="shared" si="20"/>
        <v>156.1</v>
      </c>
      <c r="AI36" s="2">
        <f t="shared" si="21"/>
        <v>2016.2916666666661</v>
      </c>
      <c r="AJ36" s="2">
        <f t="shared" si="22"/>
        <v>156.1</v>
      </c>
      <c r="AK36" s="2">
        <f t="shared" si="23"/>
        <v>2172.391666666666</v>
      </c>
      <c r="AL36" s="2">
        <f t="shared" si="24"/>
        <v>156.1</v>
      </c>
      <c r="AM36" s="3">
        <f t="shared" si="25"/>
        <v>2328.4916666666659</v>
      </c>
      <c r="AN36" s="2">
        <f t="shared" si="26"/>
        <v>3915.5083333333341</v>
      </c>
      <c r="AO36" s="4">
        <f t="shared" si="27"/>
        <v>156.1</v>
      </c>
      <c r="AP36" s="2">
        <f t="shared" si="39"/>
        <v>2484.5916666666658</v>
      </c>
      <c r="AQ36" s="2">
        <f t="shared" si="28"/>
        <v>3759.4083333333342</v>
      </c>
      <c r="AR36" s="4">
        <f t="shared" si="29"/>
        <v>156.1</v>
      </c>
      <c r="AS36" s="5">
        <f t="shared" si="30"/>
        <v>2640.6916666666657</v>
      </c>
      <c r="AT36" s="2">
        <f t="shared" si="31"/>
        <v>3603.3083333333343</v>
      </c>
    </row>
    <row r="37" spans="1:46" x14ac:dyDescent="0.2">
      <c r="A37" s="1" t="s">
        <v>79</v>
      </c>
      <c r="B37" s="1" t="s">
        <v>80</v>
      </c>
      <c r="C37" s="2">
        <v>2976152</v>
      </c>
      <c r="D37" s="3" t="s">
        <v>61</v>
      </c>
      <c r="E37" s="2">
        <v>40</v>
      </c>
      <c r="G37" s="2">
        <v>0</v>
      </c>
      <c r="I37" s="2">
        <v>0</v>
      </c>
      <c r="J37" s="2">
        <f>C37/E37*0.5</f>
        <v>37201.9</v>
      </c>
      <c r="K37" s="2">
        <f t="shared" si="5"/>
        <v>37201.9</v>
      </c>
      <c r="L37" s="2">
        <f>C37/E37</f>
        <v>74403.8</v>
      </c>
      <c r="M37" s="2">
        <f t="shared" si="6"/>
        <v>111605.70000000001</v>
      </c>
      <c r="N37" s="2">
        <f t="shared" si="34"/>
        <v>74403.8</v>
      </c>
      <c r="O37" s="2">
        <f t="shared" si="7"/>
        <v>186009.5</v>
      </c>
      <c r="P37" s="2">
        <f t="shared" si="35"/>
        <v>74403.8</v>
      </c>
      <c r="Q37" s="2">
        <f t="shared" si="8"/>
        <v>260413.3</v>
      </c>
      <c r="R37" s="2">
        <f t="shared" si="36"/>
        <v>74403.8</v>
      </c>
      <c r="S37" s="2">
        <f t="shared" si="9"/>
        <v>334817.09999999998</v>
      </c>
      <c r="T37" s="2">
        <f t="shared" si="10"/>
        <v>74403.8</v>
      </c>
      <c r="U37" s="2">
        <f t="shared" si="11"/>
        <v>409220.89999999997</v>
      </c>
      <c r="V37" s="2">
        <f t="shared" si="12"/>
        <v>74403.8</v>
      </c>
      <c r="W37" s="2">
        <f t="shared" si="13"/>
        <v>483624.69999999995</v>
      </c>
      <c r="X37" s="2">
        <f t="shared" si="37"/>
        <v>74403.8</v>
      </c>
      <c r="Y37" s="2">
        <f t="shared" si="14"/>
        <v>558028.5</v>
      </c>
      <c r="Z37" s="2">
        <f t="shared" si="32"/>
        <v>74403.8</v>
      </c>
      <c r="AA37" s="2">
        <f t="shared" si="15"/>
        <v>632432.30000000005</v>
      </c>
      <c r="AB37" s="2">
        <f t="shared" si="38"/>
        <v>74403.8</v>
      </c>
      <c r="AC37" s="2">
        <f t="shared" si="40"/>
        <v>706836.10000000009</v>
      </c>
      <c r="AD37" s="2">
        <f t="shared" si="16"/>
        <v>74403.8</v>
      </c>
      <c r="AE37" s="2">
        <f t="shared" si="17"/>
        <v>781239.90000000014</v>
      </c>
      <c r="AF37" s="2">
        <f t="shared" si="18"/>
        <v>74403.8</v>
      </c>
      <c r="AG37" s="2">
        <f t="shared" si="19"/>
        <v>855643.70000000019</v>
      </c>
      <c r="AH37" s="2">
        <f t="shared" si="20"/>
        <v>74403.8</v>
      </c>
      <c r="AI37" s="2">
        <f t="shared" si="21"/>
        <v>930047.50000000023</v>
      </c>
      <c r="AJ37" s="2">
        <f t="shared" si="22"/>
        <v>74403.8</v>
      </c>
      <c r="AK37" s="2">
        <f t="shared" si="23"/>
        <v>1004451.3000000003</v>
      </c>
      <c r="AL37" s="2">
        <f t="shared" si="24"/>
        <v>74403.8</v>
      </c>
      <c r="AM37" s="3">
        <f t="shared" si="25"/>
        <v>1078855.1000000003</v>
      </c>
      <c r="AN37" s="2">
        <f t="shared" si="26"/>
        <v>1897296.8999999997</v>
      </c>
      <c r="AO37" s="4">
        <f t="shared" si="27"/>
        <v>74403.8</v>
      </c>
      <c r="AP37" s="2">
        <f t="shared" si="39"/>
        <v>1153258.9000000004</v>
      </c>
      <c r="AQ37" s="2">
        <f t="shared" si="28"/>
        <v>1822893.0999999996</v>
      </c>
      <c r="AR37" s="4">
        <f t="shared" si="29"/>
        <v>74403.8</v>
      </c>
      <c r="AS37" s="5">
        <f t="shared" si="30"/>
        <v>1227662.7000000004</v>
      </c>
      <c r="AT37" s="2">
        <f t="shared" si="31"/>
        <v>1748489.2999999996</v>
      </c>
    </row>
    <row r="38" spans="1:46" x14ac:dyDescent="0.2">
      <c r="A38" s="1" t="s">
        <v>81</v>
      </c>
      <c r="B38" s="1" t="s">
        <v>80</v>
      </c>
      <c r="C38" s="2">
        <v>516742</v>
      </c>
      <c r="D38" s="3" t="s">
        <v>61</v>
      </c>
      <c r="E38" s="2">
        <v>40</v>
      </c>
      <c r="G38" s="2">
        <v>0</v>
      </c>
      <c r="I38" s="2">
        <v>0</v>
      </c>
      <c r="J38" s="2">
        <f>C38/E38/2</f>
        <v>6459.2749999999996</v>
      </c>
      <c r="K38" s="2">
        <f t="shared" si="5"/>
        <v>6459.2749999999996</v>
      </c>
      <c r="L38" s="2">
        <f>C38/E38</f>
        <v>12918.55</v>
      </c>
      <c r="M38" s="2">
        <f t="shared" si="6"/>
        <v>19377.824999999997</v>
      </c>
      <c r="N38" s="2">
        <f t="shared" si="34"/>
        <v>12918.55</v>
      </c>
      <c r="O38" s="2">
        <f t="shared" si="7"/>
        <v>32296.374999999996</v>
      </c>
      <c r="P38" s="2">
        <f t="shared" si="35"/>
        <v>12918.55</v>
      </c>
      <c r="Q38" s="2">
        <f t="shared" si="8"/>
        <v>45214.924999999996</v>
      </c>
      <c r="R38" s="2">
        <f t="shared" si="36"/>
        <v>12918.55</v>
      </c>
      <c r="S38" s="2">
        <f t="shared" si="9"/>
        <v>58133.474999999991</v>
      </c>
      <c r="T38" s="2">
        <f t="shared" si="10"/>
        <v>12918.55</v>
      </c>
      <c r="U38" s="2">
        <f t="shared" si="11"/>
        <v>71052.024999999994</v>
      </c>
      <c r="V38" s="2">
        <f t="shared" si="12"/>
        <v>12918.55</v>
      </c>
      <c r="W38" s="2">
        <f t="shared" si="13"/>
        <v>83970.574999999997</v>
      </c>
      <c r="X38" s="2">
        <f t="shared" si="37"/>
        <v>12918.55</v>
      </c>
      <c r="Y38" s="2">
        <f t="shared" si="14"/>
        <v>96889.125</v>
      </c>
      <c r="Z38" s="2">
        <f t="shared" si="32"/>
        <v>12918.55</v>
      </c>
      <c r="AA38" s="2">
        <f t="shared" si="15"/>
        <v>109807.675</v>
      </c>
      <c r="AB38" s="2">
        <f t="shared" si="38"/>
        <v>12918.55</v>
      </c>
      <c r="AC38" s="2">
        <f t="shared" si="40"/>
        <v>122726.22500000001</v>
      </c>
      <c r="AD38" s="2">
        <f t="shared" si="16"/>
        <v>12918.55</v>
      </c>
      <c r="AE38" s="2">
        <f t="shared" si="17"/>
        <v>135644.77499999999</v>
      </c>
      <c r="AF38" s="2">
        <f t="shared" si="18"/>
        <v>12918.55</v>
      </c>
      <c r="AG38" s="2">
        <f t="shared" si="19"/>
        <v>148563.32499999998</v>
      </c>
      <c r="AH38" s="2">
        <f t="shared" si="20"/>
        <v>12918.55</v>
      </c>
      <c r="AI38" s="2">
        <f t="shared" si="21"/>
        <v>161481.87499999997</v>
      </c>
      <c r="AJ38" s="2">
        <f t="shared" si="22"/>
        <v>12918.55</v>
      </c>
      <c r="AK38" s="2">
        <f t="shared" si="23"/>
        <v>174400.42499999996</v>
      </c>
      <c r="AL38" s="2">
        <f t="shared" si="24"/>
        <v>12918.55</v>
      </c>
      <c r="AM38" s="3">
        <f t="shared" si="25"/>
        <v>187318.97499999995</v>
      </c>
      <c r="AN38" s="2">
        <f t="shared" si="26"/>
        <v>329423.02500000002</v>
      </c>
      <c r="AO38" s="4">
        <f t="shared" si="27"/>
        <v>12918.55</v>
      </c>
      <c r="AP38" s="2">
        <f t="shared" si="39"/>
        <v>200237.52499999994</v>
      </c>
      <c r="AQ38" s="2">
        <f t="shared" si="28"/>
        <v>316504.47500000003</v>
      </c>
      <c r="AR38" s="4">
        <f t="shared" si="29"/>
        <v>12918.55</v>
      </c>
      <c r="AS38" s="5">
        <f t="shared" si="30"/>
        <v>213156.07499999992</v>
      </c>
      <c r="AT38" s="2">
        <f t="shared" si="31"/>
        <v>303585.92500000005</v>
      </c>
    </row>
    <row r="39" spans="1:46" x14ac:dyDescent="0.2">
      <c r="A39" s="1" t="s">
        <v>82</v>
      </c>
      <c r="B39" s="1" t="s">
        <v>80</v>
      </c>
      <c r="C39" s="2">
        <v>2492311</v>
      </c>
      <c r="D39" s="3" t="s">
        <v>61</v>
      </c>
      <c r="E39" s="2">
        <v>40</v>
      </c>
      <c r="G39" s="2">
        <v>0</v>
      </c>
      <c r="I39" s="2">
        <v>0</v>
      </c>
      <c r="J39" s="2">
        <f>C39/E39/2</f>
        <v>31153.887500000001</v>
      </c>
      <c r="K39" s="2">
        <f t="shared" si="5"/>
        <v>31153.887500000001</v>
      </c>
      <c r="L39" s="2">
        <f>C39/E39</f>
        <v>62307.775000000001</v>
      </c>
      <c r="M39" s="2">
        <f t="shared" si="6"/>
        <v>93461.662500000006</v>
      </c>
      <c r="N39" s="2">
        <f t="shared" si="34"/>
        <v>62307.775000000001</v>
      </c>
      <c r="O39" s="2">
        <f t="shared" si="7"/>
        <v>155769.4375</v>
      </c>
      <c r="P39" s="2">
        <f t="shared" si="35"/>
        <v>62307.775000000001</v>
      </c>
      <c r="Q39" s="2">
        <f t="shared" si="8"/>
        <v>218077.21249999999</v>
      </c>
      <c r="R39" s="2">
        <f t="shared" si="36"/>
        <v>62307.775000000001</v>
      </c>
      <c r="S39" s="2">
        <f t="shared" si="9"/>
        <v>280384.98749999999</v>
      </c>
      <c r="T39" s="2">
        <f t="shared" si="10"/>
        <v>62307.775000000001</v>
      </c>
      <c r="U39" s="2">
        <f t="shared" si="11"/>
        <v>342692.76250000001</v>
      </c>
      <c r="V39" s="2">
        <f t="shared" si="12"/>
        <v>62307.775000000001</v>
      </c>
      <c r="W39" s="2">
        <f t="shared" si="13"/>
        <v>405000.53750000003</v>
      </c>
      <c r="X39" s="2">
        <f t="shared" si="37"/>
        <v>62307.775000000001</v>
      </c>
      <c r="Y39" s="2">
        <f t="shared" si="14"/>
        <v>467308.31250000006</v>
      </c>
      <c r="Z39" s="2">
        <f t="shared" si="32"/>
        <v>62307.775000000001</v>
      </c>
      <c r="AA39" s="2">
        <f t="shared" si="15"/>
        <v>529616.08750000002</v>
      </c>
      <c r="AB39" s="2">
        <f t="shared" si="38"/>
        <v>62307.775000000001</v>
      </c>
      <c r="AC39" s="2">
        <f t="shared" si="40"/>
        <v>591923.86250000005</v>
      </c>
      <c r="AD39" s="2">
        <f t="shared" si="16"/>
        <v>62307.775000000001</v>
      </c>
      <c r="AE39" s="2">
        <f t="shared" si="17"/>
        <v>654231.63750000007</v>
      </c>
      <c r="AF39" s="2">
        <f t="shared" si="18"/>
        <v>62307.775000000001</v>
      </c>
      <c r="AG39" s="2">
        <f t="shared" si="19"/>
        <v>716539.41250000009</v>
      </c>
      <c r="AH39" s="2">
        <f t="shared" si="20"/>
        <v>62307.775000000001</v>
      </c>
      <c r="AI39" s="2">
        <f t="shared" si="21"/>
        <v>778847.18750000012</v>
      </c>
      <c r="AJ39" s="2">
        <f t="shared" si="22"/>
        <v>62307.775000000001</v>
      </c>
      <c r="AK39" s="2">
        <f t="shared" si="23"/>
        <v>841154.96250000014</v>
      </c>
      <c r="AL39" s="2">
        <f t="shared" si="24"/>
        <v>62307.775000000001</v>
      </c>
      <c r="AM39" s="3">
        <f t="shared" si="25"/>
        <v>903462.73750000016</v>
      </c>
      <c r="AN39" s="2">
        <f t="shared" si="26"/>
        <v>1588848.2624999997</v>
      </c>
      <c r="AO39" s="4">
        <f t="shared" si="27"/>
        <v>62307.775000000001</v>
      </c>
      <c r="AP39" s="2">
        <f t="shared" si="39"/>
        <v>965770.51250000019</v>
      </c>
      <c r="AQ39" s="2">
        <f t="shared" si="28"/>
        <v>1526540.4874999998</v>
      </c>
      <c r="AR39" s="4">
        <f t="shared" si="29"/>
        <v>62307.775000000001</v>
      </c>
      <c r="AS39" s="5">
        <f t="shared" si="30"/>
        <v>1028078.2875000002</v>
      </c>
      <c r="AT39" s="2">
        <f t="shared" si="31"/>
        <v>1464232.7124999999</v>
      </c>
    </row>
    <row r="40" spans="1:46" x14ac:dyDescent="0.2">
      <c r="A40" s="1" t="s">
        <v>83</v>
      </c>
      <c r="B40" s="1" t="s">
        <v>84</v>
      </c>
      <c r="C40" s="2">
        <v>25000</v>
      </c>
      <c r="D40" s="3" t="s">
        <v>61</v>
      </c>
      <c r="E40" s="2">
        <v>40</v>
      </c>
      <c r="L40" s="2">
        <f>25000/40</f>
        <v>625</v>
      </c>
      <c r="M40" s="2">
        <f t="shared" si="6"/>
        <v>625</v>
      </c>
      <c r="N40" s="2">
        <f>25000/40</f>
        <v>625</v>
      </c>
      <c r="O40" s="2">
        <f t="shared" si="7"/>
        <v>1250</v>
      </c>
      <c r="P40" s="2">
        <f t="shared" si="35"/>
        <v>625</v>
      </c>
      <c r="Q40" s="2">
        <f t="shared" si="8"/>
        <v>1875</v>
      </c>
      <c r="R40" s="2">
        <f t="shared" si="36"/>
        <v>625</v>
      </c>
      <c r="S40" s="2">
        <f t="shared" si="9"/>
        <v>2500</v>
      </c>
      <c r="T40" s="2">
        <f t="shared" si="10"/>
        <v>625</v>
      </c>
      <c r="U40" s="2">
        <f t="shared" si="11"/>
        <v>3125</v>
      </c>
      <c r="V40" s="2">
        <f t="shared" si="12"/>
        <v>625</v>
      </c>
      <c r="W40" s="2">
        <f t="shared" si="13"/>
        <v>3750</v>
      </c>
      <c r="X40" s="2">
        <f t="shared" si="37"/>
        <v>625</v>
      </c>
      <c r="Y40" s="2">
        <f t="shared" si="14"/>
        <v>4375</v>
      </c>
      <c r="Z40" s="2">
        <f t="shared" si="32"/>
        <v>625</v>
      </c>
      <c r="AA40" s="2">
        <f t="shared" si="15"/>
        <v>5000</v>
      </c>
      <c r="AB40" s="2">
        <f t="shared" si="38"/>
        <v>625</v>
      </c>
      <c r="AC40" s="2">
        <f t="shared" si="40"/>
        <v>5625</v>
      </c>
      <c r="AD40" s="2">
        <f t="shared" si="16"/>
        <v>625</v>
      </c>
      <c r="AE40" s="2">
        <f t="shared" si="17"/>
        <v>6250</v>
      </c>
      <c r="AF40" s="2">
        <f t="shared" si="18"/>
        <v>625</v>
      </c>
      <c r="AG40" s="2">
        <f t="shared" si="19"/>
        <v>6875</v>
      </c>
      <c r="AH40" s="2">
        <f t="shared" si="20"/>
        <v>625</v>
      </c>
      <c r="AI40" s="2">
        <f t="shared" si="21"/>
        <v>7500</v>
      </c>
      <c r="AJ40" s="2">
        <f t="shared" si="22"/>
        <v>625</v>
      </c>
      <c r="AK40" s="2">
        <f t="shared" si="23"/>
        <v>8125</v>
      </c>
      <c r="AL40" s="2">
        <f t="shared" si="24"/>
        <v>625</v>
      </c>
      <c r="AM40" s="3">
        <f t="shared" si="25"/>
        <v>8750</v>
      </c>
      <c r="AN40" s="2">
        <f t="shared" si="26"/>
        <v>16250</v>
      </c>
      <c r="AO40" s="4">
        <f t="shared" si="27"/>
        <v>625</v>
      </c>
      <c r="AP40" s="2">
        <f t="shared" si="39"/>
        <v>9375</v>
      </c>
      <c r="AQ40" s="2">
        <f t="shared" si="28"/>
        <v>15625</v>
      </c>
      <c r="AR40" s="4">
        <f t="shared" si="29"/>
        <v>625</v>
      </c>
      <c r="AS40" s="5">
        <f t="shared" si="30"/>
        <v>10000</v>
      </c>
      <c r="AT40" s="2">
        <f t="shared" si="31"/>
        <v>15000</v>
      </c>
    </row>
    <row r="41" spans="1:46" x14ac:dyDescent="0.2">
      <c r="A41" s="1" t="s">
        <v>85</v>
      </c>
      <c r="B41" s="1" t="s">
        <v>86</v>
      </c>
      <c r="C41" s="2">
        <v>33314</v>
      </c>
      <c r="D41" s="3" t="s">
        <v>61</v>
      </c>
      <c r="E41" s="2">
        <v>40</v>
      </c>
      <c r="L41" s="2">
        <f>33314/40/12*8</f>
        <v>555.23333333333335</v>
      </c>
      <c r="M41" s="2">
        <f t="shared" si="6"/>
        <v>555.23333333333335</v>
      </c>
      <c r="N41" s="2">
        <f>33314/40</f>
        <v>832.85</v>
      </c>
      <c r="O41" s="2">
        <f t="shared" si="7"/>
        <v>1388.0833333333335</v>
      </c>
      <c r="P41" s="2">
        <f t="shared" si="35"/>
        <v>832.85</v>
      </c>
      <c r="Q41" s="2">
        <f t="shared" si="8"/>
        <v>2220.9333333333334</v>
      </c>
      <c r="R41" s="2">
        <f t="shared" si="36"/>
        <v>832.85</v>
      </c>
      <c r="S41" s="2">
        <f t="shared" si="9"/>
        <v>3053.7833333333333</v>
      </c>
      <c r="T41" s="2">
        <f t="shared" si="10"/>
        <v>832.85</v>
      </c>
      <c r="U41" s="2">
        <f t="shared" si="11"/>
        <v>3886.6333333333332</v>
      </c>
      <c r="V41" s="2">
        <f t="shared" si="12"/>
        <v>832.85</v>
      </c>
      <c r="W41" s="2">
        <f t="shared" si="13"/>
        <v>4719.4833333333336</v>
      </c>
      <c r="X41" s="2">
        <f t="shared" si="37"/>
        <v>832.85</v>
      </c>
      <c r="Y41" s="2">
        <f t="shared" si="14"/>
        <v>5552.3333333333339</v>
      </c>
      <c r="Z41" s="2">
        <f t="shared" si="32"/>
        <v>832.85</v>
      </c>
      <c r="AA41" s="2">
        <f t="shared" si="15"/>
        <v>6385.1833333333343</v>
      </c>
      <c r="AB41" s="2">
        <f t="shared" si="38"/>
        <v>832.85</v>
      </c>
      <c r="AC41" s="2">
        <f t="shared" si="40"/>
        <v>7218.0333333333347</v>
      </c>
      <c r="AD41" s="2">
        <f t="shared" si="16"/>
        <v>832.85</v>
      </c>
      <c r="AE41" s="2">
        <f t="shared" si="17"/>
        <v>8050.883333333335</v>
      </c>
      <c r="AF41" s="2">
        <f t="shared" si="18"/>
        <v>832.85</v>
      </c>
      <c r="AG41" s="2">
        <f t="shared" si="19"/>
        <v>8883.7333333333354</v>
      </c>
      <c r="AH41" s="2">
        <f t="shared" si="20"/>
        <v>832.85</v>
      </c>
      <c r="AI41" s="2">
        <f t="shared" si="21"/>
        <v>9716.5833333333358</v>
      </c>
      <c r="AJ41" s="2">
        <f t="shared" si="22"/>
        <v>832.85</v>
      </c>
      <c r="AK41" s="2">
        <f t="shared" si="23"/>
        <v>10549.433333333336</v>
      </c>
      <c r="AL41" s="2">
        <f t="shared" si="24"/>
        <v>832.85</v>
      </c>
      <c r="AM41" s="3">
        <f t="shared" si="25"/>
        <v>11382.283333333336</v>
      </c>
      <c r="AN41" s="2">
        <f t="shared" si="26"/>
        <v>21931.716666666664</v>
      </c>
      <c r="AO41" s="4">
        <f t="shared" si="27"/>
        <v>832.85</v>
      </c>
      <c r="AP41" s="2">
        <f t="shared" si="39"/>
        <v>12215.133333333337</v>
      </c>
      <c r="AQ41" s="2">
        <f t="shared" si="28"/>
        <v>21098.866666666665</v>
      </c>
      <c r="AR41" s="4">
        <f t="shared" si="29"/>
        <v>832.85</v>
      </c>
      <c r="AS41" s="5">
        <f t="shared" si="30"/>
        <v>13047.983333333337</v>
      </c>
      <c r="AT41" s="2">
        <f t="shared" si="31"/>
        <v>20266.016666666663</v>
      </c>
    </row>
    <row r="42" spans="1:46" x14ac:dyDescent="0.2">
      <c r="A42" s="1" t="s">
        <v>87</v>
      </c>
      <c r="B42" s="1" t="s">
        <v>88</v>
      </c>
      <c r="C42" s="2">
        <v>23620</v>
      </c>
      <c r="D42" s="3" t="s">
        <v>61</v>
      </c>
      <c r="E42" s="2">
        <v>40</v>
      </c>
      <c r="M42" s="2">
        <f t="shared" si="6"/>
        <v>0</v>
      </c>
      <c r="O42" s="2">
        <f t="shared" si="7"/>
        <v>0</v>
      </c>
      <c r="P42" s="2">
        <f>C42/E42/12*0.5</f>
        <v>24.604166666666668</v>
      </c>
      <c r="Q42" s="2">
        <f t="shared" si="8"/>
        <v>24.604166666666668</v>
      </c>
      <c r="R42" s="2">
        <f t="shared" si="36"/>
        <v>590.5</v>
      </c>
      <c r="S42" s="2">
        <f t="shared" si="9"/>
        <v>615.10416666666663</v>
      </c>
      <c r="T42" s="2">
        <f t="shared" si="10"/>
        <v>590.5</v>
      </c>
      <c r="U42" s="2">
        <f t="shared" si="11"/>
        <v>1205.6041666666665</v>
      </c>
      <c r="V42" s="2">
        <f t="shared" si="12"/>
        <v>590.5</v>
      </c>
      <c r="W42" s="2">
        <f t="shared" si="13"/>
        <v>1796.1041666666665</v>
      </c>
      <c r="X42" s="2">
        <f t="shared" si="37"/>
        <v>590.5</v>
      </c>
      <c r="Y42" s="2">
        <f t="shared" si="14"/>
        <v>2386.6041666666665</v>
      </c>
      <c r="Z42" s="2">
        <f t="shared" si="32"/>
        <v>590.5</v>
      </c>
      <c r="AA42" s="2">
        <f t="shared" si="15"/>
        <v>2977.1041666666665</v>
      </c>
      <c r="AB42" s="2">
        <f t="shared" si="38"/>
        <v>590.5</v>
      </c>
      <c r="AC42" s="2">
        <f t="shared" si="40"/>
        <v>3567.6041666666665</v>
      </c>
      <c r="AD42" s="2">
        <f t="shared" si="16"/>
        <v>590.5</v>
      </c>
      <c r="AE42" s="2">
        <f t="shared" si="17"/>
        <v>4158.1041666666661</v>
      </c>
      <c r="AF42" s="2">
        <f t="shared" si="18"/>
        <v>590.5</v>
      </c>
      <c r="AG42" s="2">
        <f t="shared" si="19"/>
        <v>4748.6041666666661</v>
      </c>
      <c r="AH42" s="2">
        <f t="shared" si="20"/>
        <v>590.5</v>
      </c>
      <c r="AI42" s="2">
        <f t="shared" si="21"/>
        <v>5339.1041666666661</v>
      </c>
      <c r="AJ42" s="2">
        <f t="shared" si="22"/>
        <v>590.5</v>
      </c>
      <c r="AK42" s="2">
        <f t="shared" si="23"/>
        <v>5929.6041666666661</v>
      </c>
      <c r="AL42" s="2">
        <f t="shared" si="24"/>
        <v>590.5</v>
      </c>
      <c r="AM42" s="3">
        <f t="shared" si="25"/>
        <v>6520.1041666666661</v>
      </c>
      <c r="AN42" s="2">
        <f t="shared" si="26"/>
        <v>17099.895833333336</v>
      </c>
      <c r="AO42" s="4">
        <f t="shared" si="27"/>
        <v>590.5</v>
      </c>
      <c r="AP42" s="2">
        <f t="shared" si="39"/>
        <v>7110.6041666666661</v>
      </c>
      <c r="AQ42" s="2">
        <f t="shared" si="28"/>
        <v>16509.395833333336</v>
      </c>
      <c r="AR42" s="4">
        <f t="shared" si="29"/>
        <v>590.5</v>
      </c>
      <c r="AS42" s="5">
        <f t="shared" si="30"/>
        <v>7701.1041666666661</v>
      </c>
      <c r="AT42" s="2">
        <f t="shared" si="31"/>
        <v>15918.895833333334</v>
      </c>
    </row>
    <row r="43" spans="1:46" x14ac:dyDescent="0.2">
      <c r="A43" s="1" t="s">
        <v>89</v>
      </c>
      <c r="B43" s="1" t="s">
        <v>90</v>
      </c>
      <c r="C43" s="2">
        <v>5259</v>
      </c>
      <c r="D43" s="3" t="s">
        <v>61</v>
      </c>
      <c r="E43" s="2">
        <v>40</v>
      </c>
      <c r="Z43" s="2">
        <v>98</v>
      </c>
      <c r="AA43" s="2">
        <f t="shared" si="15"/>
        <v>98</v>
      </c>
      <c r="AB43" s="2">
        <f>5259/40</f>
        <v>131.47499999999999</v>
      </c>
      <c r="AC43" s="2">
        <f t="shared" si="40"/>
        <v>229.47499999999999</v>
      </c>
      <c r="AD43" s="2">
        <f t="shared" si="16"/>
        <v>131.47499999999999</v>
      </c>
      <c r="AE43" s="2">
        <f t="shared" si="17"/>
        <v>360.95</v>
      </c>
      <c r="AF43" s="2">
        <f t="shared" si="18"/>
        <v>131.47499999999999</v>
      </c>
      <c r="AG43" s="2">
        <f t="shared" si="19"/>
        <v>492.42499999999995</v>
      </c>
      <c r="AH43" s="2">
        <f t="shared" si="20"/>
        <v>131.47499999999999</v>
      </c>
      <c r="AI43" s="2">
        <f t="shared" si="21"/>
        <v>623.9</v>
      </c>
      <c r="AJ43" s="2">
        <f t="shared" si="22"/>
        <v>131.47499999999999</v>
      </c>
      <c r="AK43" s="2">
        <f t="shared" si="23"/>
        <v>755.375</v>
      </c>
      <c r="AL43" s="2">
        <f t="shared" si="24"/>
        <v>131.47499999999999</v>
      </c>
      <c r="AM43" s="3">
        <f t="shared" si="25"/>
        <v>886.85</v>
      </c>
      <c r="AN43" s="2">
        <f t="shared" si="26"/>
        <v>4372.1499999999996</v>
      </c>
      <c r="AO43" s="4">
        <f t="shared" si="27"/>
        <v>131.47499999999999</v>
      </c>
      <c r="AP43" s="2">
        <f t="shared" si="39"/>
        <v>1018.325</v>
      </c>
      <c r="AQ43" s="2">
        <f t="shared" si="28"/>
        <v>4240.6749999999993</v>
      </c>
      <c r="AR43" s="4">
        <f t="shared" si="29"/>
        <v>131.47499999999999</v>
      </c>
      <c r="AS43" s="5">
        <f t="shared" si="30"/>
        <v>1149.8</v>
      </c>
      <c r="AT43" s="2">
        <f t="shared" si="31"/>
        <v>4109.2</v>
      </c>
    </row>
    <row r="44" spans="1:46" x14ac:dyDescent="0.2">
      <c r="A44" s="1" t="s">
        <v>91</v>
      </c>
      <c r="B44" s="1" t="s">
        <v>92</v>
      </c>
      <c r="C44" s="2">
        <v>18507</v>
      </c>
      <c r="D44" s="3" t="s">
        <v>61</v>
      </c>
      <c r="E44" s="2">
        <v>40</v>
      </c>
      <c r="Z44" s="2">
        <v>308</v>
      </c>
      <c r="AA44" s="2">
        <f t="shared" si="15"/>
        <v>308</v>
      </c>
      <c r="AB44" s="2">
        <f>18507/40</f>
        <v>462.67500000000001</v>
      </c>
      <c r="AC44" s="2">
        <f t="shared" si="40"/>
        <v>770.67499999999995</v>
      </c>
      <c r="AD44" s="2">
        <f t="shared" si="16"/>
        <v>462.67500000000001</v>
      </c>
      <c r="AE44" s="2">
        <f t="shared" si="17"/>
        <v>1233.3499999999999</v>
      </c>
      <c r="AF44" s="2">
        <f t="shared" si="18"/>
        <v>462.67500000000001</v>
      </c>
      <c r="AG44" s="2">
        <f t="shared" si="19"/>
        <v>1696.0249999999999</v>
      </c>
      <c r="AH44" s="2">
        <f t="shared" si="20"/>
        <v>462.67500000000001</v>
      </c>
      <c r="AI44" s="2">
        <f t="shared" si="21"/>
        <v>2158.6999999999998</v>
      </c>
      <c r="AJ44" s="2">
        <f t="shared" si="22"/>
        <v>462.67500000000001</v>
      </c>
      <c r="AK44" s="2">
        <f t="shared" si="23"/>
        <v>2621.375</v>
      </c>
      <c r="AL44" s="2">
        <f t="shared" si="24"/>
        <v>462.67500000000001</v>
      </c>
      <c r="AM44" s="3">
        <f t="shared" si="25"/>
        <v>3084.05</v>
      </c>
      <c r="AN44" s="2">
        <f t="shared" si="26"/>
        <v>15422.95</v>
      </c>
      <c r="AO44" s="4">
        <f t="shared" si="27"/>
        <v>462.67500000000001</v>
      </c>
      <c r="AP44" s="2">
        <f t="shared" si="39"/>
        <v>3546.7250000000004</v>
      </c>
      <c r="AQ44" s="2">
        <f t="shared" si="28"/>
        <v>14960.275000000001</v>
      </c>
      <c r="AR44" s="4">
        <f t="shared" si="29"/>
        <v>462.67500000000001</v>
      </c>
      <c r="AS44" s="5">
        <f t="shared" si="30"/>
        <v>4009.4000000000005</v>
      </c>
      <c r="AT44" s="2">
        <f t="shared" si="31"/>
        <v>14497.599999999999</v>
      </c>
    </row>
    <row r="45" spans="1:46" x14ac:dyDescent="0.2">
      <c r="A45" s="1" t="s">
        <v>93</v>
      </c>
      <c r="B45" s="1" t="s">
        <v>94</v>
      </c>
      <c r="C45" s="2">
        <v>7421</v>
      </c>
      <c r="D45" s="3" t="s">
        <v>61</v>
      </c>
      <c r="E45" s="2">
        <v>40</v>
      </c>
      <c r="Z45" s="2">
        <v>77</v>
      </c>
      <c r="AA45" s="2">
        <f t="shared" si="15"/>
        <v>77</v>
      </c>
      <c r="AB45" s="2">
        <f>7421/40</f>
        <v>185.52500000000001</v>
      </c>
      <c r="AC45" s="2">
        <f t="shared" si="40"/>
        <v>262.52499999999998</v>
      </c>
      <c r="AD45" s="2">
        <f t="shared" si="16"/>
        <v>185.52500000000001</v>
      </c>
      <c r="AE45" s="2">
        <f t="shared" si="17"/>
        <v>448.04999999999995</v>
      </c>
      <c r="AF45" s="2">
        <f t="shared" si="18"/>
        <v>185.52500000000001</v>
      </c>
      <c r="AG45" s="2">
        <f t="shared" si="19"/>
        <v>633.57499999999993</v>
      </c>
      <c r="AH45" s="2">
        <f t="shared" si="20"/>
        <v>185.52500000000001</v>
      </c>
      <c r="AI45" s="2">
        <f t="shared" si="21"/>
        <v>819.09999999999991</v>
      </c>
      <c r="AJ45" s="2">
        <f t="shared" si="22"/>
        <v>185.52500000000001</v>
      </c>
      <c r="AK45" s="2">
        <f t="shared" si="23"/>
        <v>1004.6249999999999</v>
      </c>
      <c r="AL45" s="2">
        <f t="shared" si="24"/>
        <v>185.52500000000001</v>
      </c>
      <c r="AM45" s="3">
        <f t="shared" si="25"/>
        <v>1190.1499999999999</v>
      </c>
      <c r="AN45" s="2">
        <f t="shared" si="26"/>
        <v>6230.85</v>
      </c>
      <c r="AO45" s="4">
        <f t="shared" si="27"/>
        <v>185.52500000000001</v>
      </c>
      <c r="AP45" s="2">
        <f t="shared" si="39"/>
        <v>1375.675</v>
      </c>
      <c r="AQ45" s="2">
        <f t="shared" si="28"/>
        <v>6045.3250000000007</v>
      </c>
      <c r="AR45" s="4">
        <f t="shared" si="29"/>
        <v>185.52500000000001</v>
      </c>
      <c r="AS45" s="5">
        <f t="shared" si="30"/>
        <v>1561.2</v>
      </c>
      <c r="AT45" s="2">
        <f t="shared" si="31"/>
        <v>5859.8</v>
      </c>
    </row>
    <row r="46" spans="1:46" x14ac:dyDescent="0.2">
      <c r="A46" s="1" t="s">
        <v>95</v>
      </c>
      <c r="B46" s="1" t="s">
        <v>96</v>
      </c>
      <c r="C46" s="2">
        <v>7750</v>
      </c>
      <c r="D46" s="3" t="s">
        <v>61</v>
      </c>
      <c r="E46" s="2">
        <v>40</v>
      </c>
      <c r="Z46" s="2">
        <v>97</v>
      </c>
      <c r="AA46" s="2">
        <f t="shared" si="15"/>
        <v>97</v>
      </c>
      <c r="AB46" s="2">
        <f>7750/40</f>
        <v>193.75</v>
      </c>
      <c r="AC46" s="2">
        <f t="shared" si="40"/>
        <v>290.75</v>
      </c>
      <c r="AD46" s="2">
        <f t="shared" si="16"/>
        <v>193.75</v>
      </c>
      <c r="AE46" s="2">
        <f t="shared" si="17"/>
        <v>484.5</v>
      </c>
      <c r="AF46" s="2">
        <f t="shared" si="18"/>
        <v>193.75</v>
      </c>
      <c r="AG46" s="2">
        <f t="shared" si="19"/>
        <v>678.25</v>
      </c>
      <c r="AH46" s="2">
        <f t="shared" si="20"/>
        <v>193.75</v>
      </c>
      <c r="AI46" s="2">
        <f t="shared" si="21"/>
        <v>872</v>
      </c>
      <c r="AJ46" s="2">
        <f t="shared" si="22"/>
        <v>193.75</v>
      </c>
      <c r="AK46" s="2">
        <f t="shared" si="23"/>
        <v>1065.75</v>
      </c>
      <c r="AL46" s="2">
        <f t="shared" si="24"/>
        <v>193.75</v>
      </c>
      <c r="AM46" s="3">
        <f t="shared" si="25"/>
        <v>1259.5</v>
      </c>
      <c r="AN46" s="2">
        <f t="shared" si="26"/>
        <v>6490.5</v>
      </c>
      <c r="AO46" s="4">
        <f t="shared" si="27"/>
        <v>193.75</v>
      </c>
      <c r="AP46" s="2">
        <f t="shared" si="39"/>
        <v>1453.25</v>
      </c>
      <c r="AQ46" s="2">
        <f t="shared" si="28"/>
        <v>6296.75</v>
      </c>
      <c r="AR46" s="4">
        <f t="shared" si="29"/>
        <v>193.75</v>
      </c>
      <c r="AS46" s="5">
        <f t="shared" si="30"/>
        <v>1647</v>
      </c>
      <c r="AT46" s="2">
        <f t="shared" si="31"/>
        <v>6103</v>
      </c>
    </row>
    <row r="47" spans="1:46" x14ac:dyDescent="0.2">
      <c r="A47" s="1" t="s">
        <v>97</v>
      </c>
      <c r="B47" s="1" t="s">
        <v>98</v>
      </c>
      <c r="C47" s="2">
        <v>1256</v>
      </c>
      <c r="D47" s="3" t="s">
        <v>61</v>
      </c>
      <c r="E47" s="2">
        <v>40</v>
      </c>
      <c r="Z47" s="2">
        <v>8</v>
      </c>
      <c r="AA47" s="2">
        <v>8</v>
      </c>
      <c r="AB47" s="2">
        <f>1256/40</f>
        <v>31.4</v>
      </c>
      <c r="AC47" s="2">
        <f t="shared" si="40"/>
        <v>39.4</v>
      </c>
      <c r="AD47" s="2">
        <f t="shared" si="16"/>
        <v>31.4</v>
      </c>
      <c r="AE47" s="2">
        <f t="shared" si="17"/>
        <v>70.8</v>
      </c>
      <c r="AF47" s="2">
        <f t="shared" si="18"/>
        <v>31.4</v>
      </c>
      <c r="AG47" s="2">
        <f t="shared" si="19"/>
        <v>102.19999999999999</v>
      </c>
      <c r="AH47" s="2">
        <f t="shared" si="20"/>
        <v>31.4</v>
      </c>
      <c r="AI47" s="2">
        <f t="shared" si="21"/>
        <v>133.6</v>
      </c>
      <c r="AJ47" s="2">
        <f t="shared" si="22"/>
        <v>31.4</v>
      </c>
      <c r="AK47" s="2">
        <f t="shared" si="23"/>
        <v>165</v>
      </c>
      <c r="AL47" s="2">
        <f t="shared" si="24"/>
        <v>31.4</v>
      </c>
      <c r="AM47" s="3">
        <f t="shared" si="25"/>
        <v>196.4</v>
      </c>
      <c r="AN47" s="2">
        <f t="shared" si="26"/>
        <v>1059.5999999999999</v>
      </c>
      <c r="AO47" s="4">
        <f t="shared" si="27"/>
        <v>31.4</v>
      </c>
      <c r="AP47" s="2">
        <f t="shared" si="39"/>
        <v>227.8</v>
      </c>
      <c r="AQ47" s="2">
        <f t="shared" si="28"/>
        <v>1028.1999999999998</v>
      </c>
      <c r="AR47" s="4">
        <f t="shared" si="29"/>
        <v>31.4</v>
      </c>
      <c r="AS47" s="5">
        <f t="shared" si="30"/>
        <v>259.2</v>
      </c>
      <c r="AT47" s="2">
        <f t="shared" si="31"/>
        <v>996.8</v>
      </c>
    </row>
    <row r="48" spans="1:46" x14ac:dyDescent="0.2">
      <c r="A48" s="1" t="s">
        <v>99</v>
      </c>
      <c r="B48" s="1" t="s">
        <v>100</v>
      </c>
      <c r="C48" s="2">
        <v>134710</v>
      </c>
      <c r="D48" s="3" t="s">
        <v>61</v>
      </c>
      <c r="E48" s="2">
        <v>40</v>
      </c>
      <c r="AB48" s="2">
        <v>2523</v>
      </c>
      <c r="AC48" s="2">
        <v>2523</v>
      </c>
      <c r="AD48" s="2">
        <v>3368</v>
      </c>
      <c r="AE48" s="2">
        <f t="shared" si="17"/>
        <v>5891</v>
      </c>
      <c r="AF48" s="2">
        <f t="shared" si="18"/>
        <v>3368</v>
      </c>
      <c r="AG48" s="2">
        <f t="shared" si="19"/>
        <v>9259</v>
      </c>
      <c r="AH48" s="2">
        <f t="shared" si="20"/>
        <v>3368</v>
      </c>
      <c r="AI48" s="2">
        <f t="shared" si="21"/>
        <v>12627</v>
      </c>
      <c r="AJ48" s="2">
        <f t="shared" si="22"/>
        <v>3368</v>
      </c>
      <c r="AK48" s="2">
        <f t="shared" si="23"/>
        <v>15995</v>
      </c>
      <c r="AL48" s="2">
        <f t="shared" si="24"/>
        <v>3368</v>
      </c>
      <c r="AM48" s="3">
        <f t="shared" si="25"/>
        <v>19363</v>
      </c>
      <c r="AN48" s="2">
        <f t="shared" si="26"/>
        <v>115347</v>
      </c>
      <c r="AO48" s="4">
        <f t="shared" si="27"/>
        <v>3368</v>
      </c>
      <c r="AP48" s="2">
        <f t="shared" si="39"/>
        <v>22731</v>
      </c>
      <c r="AQ48" s="2">
        <f t="shared" si="28"/>
        <v>111979</v>
      </c>
      <c r="AR48" s="4">
        <f t="shared" si="29"/>
        <v>3368</v>
      </c>
      <c r="AS48" s="5">
        <f t="shared" si="30"/>
        <v>26099</v>
      </c>
      <c r="AT48" s="2">
        <f t="shared" si="31"/>
        <v>108611</v>
      </c>
    </row>
    <row r="49" spans="1:46" x14ac:dyDescent="0.2">
      <c r="A49" s="1" t="s">
        <v>101</v>
      </c>
      <c r="B49" s="1" t="s">
        <v>102</v>
      </c>
      <c r="C49" s="2">
        <v>2699550</v>
      </c>
      <c r="D49" s="3" t="s">
        <v>61</v>
      </c>
      <c r="E49" s="2">
        <v>40</v>
      </c>
      <c r="AD49" s="2">
        <f>C49/40/12*6</f>
        <v>33744.375</v>
      </c>
      <c r="AE49" s="2">
        <f t="shared" si="17"/>
        <v>33744.375</v>
      </c>
      <c r="AF49" s="2">
        <f>C49/E49</f>
        <v>67488.75</v>
      </c>
      <c r="AG49" s="2">
        <f t="shared" si="19"/>
        <v>101233.125</v>
      </c>
      <c r="AH49" s="2">
        <f t="shared" si="20"/>
        <v>67488.75</v>
      </c>
      <c r="AI49" s="2">
        <f t="shared" si="21"/>
        <v>168721.875</v>
      </c>
      <c r="AJ49" s="2">
        <f t="shared" si="22"/>
        <v>67488.75</v>
      </c>
      <c r="AK49" s="2">
        <f t="shared" si="23"/>
        <v>236210.625</v>
      </c>
      <c r="AL49" s="2">
        <f t="shared" si="24"/>
        <v>67488.75</v>
      </c>
      <c r="AM49" s="3">
        <f t="shared" si="25"/>
        <v>303699.375</v>
      </c>
      <c r="AN49" s="2">
        <f t="shared" si="26"/>
        <v>2395850.625</v>
      </c>
      <c r="AO49" s="4">
        <f t="shared" si="27"/>
        <v>67488.75</v>
      </c>
      <c r="AP49" s="2">
        <f t="shared" si="39"/>
        <v>371188.125</v>
      </c>
      <c r="AQ49" s="2">
        <f t="shared" si="28"/>
        <v>2328361.875</v>
      </c>
      <c r="AR49" s="4">
        <f t="shared" si="29"/>
        <v>67488.75</v>
      </c>
      <c r="AS49" s="5">
        <f t="shared" si="30"/>
        <v>438676.875</v>
      </c>
      <c r="AT49" s="2">
        <f t="shared" si="31"/>
        <v>2260873.125</v>
      </c>
    </row>
    <row r="50" spans="1:46" x14ac:dyDescent="0.2">
      <c r="A50" s="1" t="s">
        <v>103</v>
      </c>
      <c r="B50" s="1" t="s">
        <v>104</v>
      </c>
      <c r="C50" s="2">
        <v>16000</v>
      </c>
      <c r="D50" s="3" t="s">
        <v>61</v>
      </c>
      <c r="E50" s="2">
        <v>40</v>
      </c>
      <c r="AH50" s="2">
        <v>369.31</v>
      </c>
      <c r="AI50" s="2">
        <v>369.31</v>
      </c>
      <c r="AJ50" s="2">
        <f>16000/40</f>
        <v>400</v>
      </c>
      <c r="AK50" s="2">
        <f t="shared" si="23"/>
        <v>769.31</v>
      </c>
      <c r="AL50" s="2">
        <f>16000/40</f>
        <v>400</v>
      </c>
      <c r="AM50" s="3">
        <f t="shared" si="25"/>
        <v>1169.31</v>
      </c>
      <c r="AN50" s="2">
        <f t="shared" si="26"/>
        <v>14830.69</v>
      </c>
      <c r="AO50" s="4">
        <f t="shared" si="27"/>
        <v>400</v>
      </c>
      <c r="AP50" s="2">
        <f t="shared" si="39"/>
        <v>1569.31</v>
      </c>
      <c r="AQ50" s="2">
        <f t="shared" si="28"/>
        <v>14430.69</v>
      </c>
      <c r="AR50" s="4">
        <f t="shared" si="29"/>
        <v>400</v>
      </c>
      <c r="AS50" s="5">
        <f t="shared" si="30"/>
        <v>1969.31</v>
      </c>
      <c r="AT50" s="2">
        <f t="shared" si="31"/>
        <v>14030.69</v>
      </c>
    </row>
    <row r="51" spans="1:46" x14ac:dyDescent="0.2">
      <c r="A51" s="1" t="s">
        <v>105</v>
      </c>
      <c r="B51" s="1" t="s">
        <v>104</v>
      </c>
      <c r="C51" s="2">
        <v>6500</v>
      </c>
      <c r="D51" s="3" t="s">
        <v>61</v>
      </c>
      <c r="E51" s="2">
        <v>40</v>
      </c>
      <c r="AH51" s="2">
        <v>150.03</v>
      </c>
      <c r="AI51" s="2">
        <v>150.03</v>
      </c>
      <c r="AJ51" s="2">
        <f>6500/40</f>
        <v>162.5</v>
      </c>
      <c r="AK51" s="2">
        <f t="shared" si="23"/>
        <v>312.52999999999997</v>
      </c>
      <c r="AL51" s="2">
        <f>6500/40</f>
        <v>162.5</v>
      </c>
      <c r="AM51" s="3">
        <f t="shared" si="25"/>
        <v>475.03</v>
      </c>
      <c r="AN51" s="2">
        <f t="shared" si="26"/>
        <v>6024.97</v>
      </c>
      <c r="AO51" s="4">
        <f t="shared" si="27"/>
        <v>162.5</v>
      </c>
      <c r="AP51" s="2">
        <f t="shared" si="39"/>
        <v>637.53</v>
      </c>
      <c r="AQ51" s="2">
        <f t="shared" si="28"/>
        <v>5862.47</v>
      </c>
      <c r="AR51" s="4">
        <f t="shared" si="29"/>
        <v>162.5</v>
      </c>
      <c r="AS51" s="5">
        <f t="shared" si="30"/>
        <v>800.03</v>
      </c>
      <c r="AT51" s="2">
        <f t="shared" si="31"/>
        <v>5699.97</v>
      </c>
    </row>
    <row r="52" spans="1:46" x14ac:dyDescent="0.2">
      <c r="A52" s="1" t="s">
        <v>106</v>
      </c>
      <c r="B52" s="1" t="s">
        <v>107</v>
      </c>
      <c r="C52" s="2">
        <f>7000+4473.14</f>
        <v>11473.14</v>
      </c>
      <c r="D52" s="3" t="s">
        <v>61</v>
      </c>
      <c r="E52" s="2">
        <v>40</v>
      </c>
      <c r="AH52" s="2">
        <v>94.3</v>
      </c>
      <c r="AI52" s="2">
        <v>94.3</v>
      </c>
      <c r="AJ52" s="2">
        <f>11443/40</f>
        <v>286.07499999999999</v>
      </c>
      <c r="AK52" s="2">
        <f t="shared" si="23"/>
        <v>380.375</v>
      </c>
      <c r="AL52" s="2">
        <f>11443/40</f>
        <v>286.07499999999999</v>
      </c>
      <c r="AM52" s="3">
        <f t="shared" si="25"/>
        <v>666.45</v>
      </c>
      <c r="AN52" s="2">
        <f t="shared" si="26"/>
        <v>10806.689999999999</v>
      </c>
      <c r="AO52" s="4">
        <f t="shared" si="27"/>
        <v>286.07499999999999</v>
      </c>
      <c r="AP52" s="2">
        <f t="shared" si="39"/>
        <v>952.52500000000009</v>
      </c>
      <c r="AQ52" s="2">
        <f t="shared" si="28"/>
        <v>10520.614999999998</v>
      </c>
      <c r="AR52" s="4">
        <f t="shared" si="29"/>
        <v>286.07499999999999</v>
      </c>
      <c r="AS52" s="5">
        <f t="shared" si="30"/>
        <v>1238.6000000000001</v>
      </c>
      <c r="AT52" s="2">
        <f t="shared" si="31"/>
        <v>10234.539999999999</v>
      </c>
    </row>
    <row r="53" spans="1:46" x14ac:dyDescent="0.2">
      <c r="A53" s="1" t="s">
        <v>101</v>
      </c>
      <c r="B53" s="1" t="s">
        <v>108</v>
      </c>
      <c r="C53" s="2">
        <v>2079919</v>
      </c>
      <c r="D53" s="3" t="s">
        <v>61</v>
      </c>
      <c r="E53" s="2">
        <v>40</v>
      </c>
      <c r="AL53" s="2">
        <f>SUM(C53/E53/12*3)</f>
        <v>12999.49375</v>
      </c>
      <c r="AM53" s="3">
        <f t="shared" si="25"/>
        <v>12999.49375</v>
      </c>
      <c r="AN53" s="2">
        <f t="shared" si="26"/>
        <v>2066919.5062500001</v>
      </c>
      <c r="AO53" s="4">
        <f>2079919/40</f>
        <v>51997.974999999999</v>
      </c>
      <c r="AP53" s="2">
        <f t="shared" si="39"/>
        <v>64997.46875</v>
      </c>
      <c r="AQ53" s="2">
        <f t="shared" si="28"/>
        <v>2014921.53125</v>
      </c>
      <c r="AR53" s="4">
        <f t="shared" si="29"/>
        <v>51997.974999999999</v>
      </c>
      <c r="AS53" s="5">
        <f t="shared" si="30"/>
        <v>116995.44375000001</v>
      </c>
      <c r="AT53" s="2">
        <f t="shared" si="31"/>
        <v>1962923.5562499999</v>
      </c>
    </row>
    <row r="54" spans="1:46" x14ac:dyDescent="0.2">
      <c r="A54" s="1" t="s">
        <v>109</v>
      </c>
      <c r="B54" s="1" t="s">
        <v>28</v>
      </c>
      <c r="C54" s="2">
        <v>350000</v>
      </c>
      <c r="D54" s="3" t="s">
        <v>61</v>
      </c>
      <c r="E54" s="2">
        <v>40</v>
      </c>
      <c r="AL54" s="2">
        <v>0</v>
      </c>
      <c r="AM54" s="3">
        <f t="shared" si="25"/>
        <v>0</v>
      </c>
      <c r="AN54" s="2">
        <f t="shared" si="26"/>
        <v>350000</v>
      </c>
      <c r="AO54" s="4">
        <f>350000/40</f>
        <v>8750</v>
      </c>
      <c r="AP54" s="2">
        <f t="shared" si="39"/>
        <v>8750</v>
      </c>
      <c r="AQ54" s="2">
        <f t="shared" si="28"/>
        <v>341250</v>
      </c>
      <c r="AR54" s="4">
        <f>350000/40</f>
        <v>8750</v>
      </c>
      <c r="AS54" s="5">
        <f t="shared" si="30"/>
        <v>17500</v>
      </c>
      <c r="AT54" s="2">
        <f t="shared" si="31"/>
        <v>332500</v>
      </c>
    </row>
    <row r="55" spans="1:46" x14ac:dyDescent="0.2">
      <c r="A55" s="1" t="s">
        <v>110</v>
      </c>
      <c r="B55" s="1" t="s">
        <v>28</v>
      </c>
      <c r="C55" s="2">
        <v>55000</v>
      </c>
      <c r="D55" s="3" t="s">
        <v>61</v>
      </c>
      <c r="E55" s="2">
        <v>40</v>
      </c>
      <c r="AM55" s="3">
        <f t="shared" si="25"/>
        <v>0</v>
      </c>
      <c r="AN55" s="2">
        <f t="shared" si="26"/>
        <v>55000</v>
      </c>
      <c r="AO55" s="4">
        <f>55000/40</f>
        <v>1375</v>
      </c>
      <c r="AP55" s="2">
        <f t="shared" si="39"/>
        <v>1375</v>
      </c>
      <c r="AQ55" s="2">
        <f t="shared" si="28"/>
        <v>53625</v>
      </c>
      <c r="AR55" s="4">
        <f>AO55</f>
        <v>1375</v>
      </c>
      <c r="AS55" s="5">
        <f t="shared" si="30"/>
        <v>2750</v>
      </c>
      <c r="AT55" s="2">
        <f t="shared" si="31"/>
        <v>52250</v>
      </c>
    </row>
    <row r="56" spans="1:46" x14ac:dyDescent="0.2">
      <c r="A56" s="1" t="s">
        <v>111</v>
      </c>
      <c r="B56" s="1" t="s">
        <v>28</v>
      </c>
      <c r="C56" s="2">
        <v>20919</v>
      </c>
      <c r="D56" s="3" t="s">
        <v>61</v>
      </c>
      <c r="E56" s="2">
        <v>40</v>
      </c>
      <c r="AM56" s="3">
        <f t="shared" si="25"/>
        <v>0</v>
      </c>
      <c r="AN56" s="2">
        <f t="shared" si="26"/>
        <v>20919</v>
      </c>
      <c r="AO56" s="4">
        <f>20919/40</f>
        <v>522.97500000000002</v>
      </c>
      <c r="AP56" s="2">
        <f t="shared" si="39"/>
        <v>522.97500000000002</v>
      </c>
      <c r="AQ56" s="2">
        <f t="shared" si="28"/>
        <v>20396.025000000001</v>
      </c>
      <c r="AR56" s="4">
        <f>AO56</f>
        <v>522.97500000000002</v>
      </c>
      <c r="AS56" s="5">
        <f t="shared" si="30"/>
        <v>1045.95</v>
      </c>
      <c r="AT56" s="2">
        <f t="shared" si="31"/>
        <v>19873.05</v>
      </c>
    </row>
    <row r="57" spans="1:46" x14ac:dyDescent="0.2">
      <c r="A57" s="1" t="s">
        <v>111</v>
      </c>
      <c r="B57" s="1" t="s">
        <v>112</v>
      </c>
      <c r="C57" s="2">
        <v>33865</v>
      </c>
      <c r="D57" s="3" t="s">
        <v>61</v>
      </c>
      <c r="E57" s="2">
        <v>40</v>
      </c>
      <c r="AM57" s="3"/>
      <c r="AN57" s="2">
        <v>33865</v>
      </c>
      <c r="AO57" s="4">
        <f>33865/40/12*10</f>
        <v>705.52083333333326</v>
      </c>
      <c r="AP57" s="2">
        <f t="shared" si="39"/>
        <v>705.52083333333326</v>
      </c>
      <c r="AQ57" s="2">
        <f t="shared" si="28"/>
        <v>33159.479166666664</v>
      </c>
      <c r="AR57" s="4">
        <f>33865/40</f>
        <v>846.625</v>
      </c>
      <c r="AS57" s="5">
        <f t="shared" si="30"/>
        <v>1552.1458333333333</v>
      </c>
      <c r="AT57" s="2">
        <f t="shared" si="31"/>
        <v>32312.854166666668</v>
      </c>
    </row>
    <row r="58" spans="1:46" x14ac:dyDescent="0.2">
      <c r="D58" s="3"/>
      <c r="AM58" s="3"/>
      <c r="AO58" s="4">
        <f>AL58</f>
        <v>0</v>
      </c>
      <c r="AP58" s="2">
        <f t="shared" si="39"/>
        <v>0</v>
      </c>
      <c r="AQ58" s="2">
        <f t="shared" si="28"/>
        <v>0</v>
      </c>
      <c r="AR58" s="4">
        <f>AN58</f>
        <v>0</v>
      </c>
      <c r="AS58" s="5">
        <f t="shared" si="30"/>
        <v>0</v>
      </c>
      <c r="AT58" s="2">
        <f>AQ58-AR58</f>
        <v>0</v>
      </c>
    </row>
    <row r="59" spans="1:46" x14ac:dyDescent="0.2">
      <c r="C59" s="5">
        <f>SUM(C24:C57)</f>
        <v>12360576.140000001</v>
      </c>
      <c r="G59" s="5">
        <f t="shared" ref="G59:W59" si="41">SUM(G24:G42)</f>
        <v>420028</v>
      </c>
      <c r="H59" s="5">
        <f t="shared" si="41"/>
        <v>21013</v>
      </c>
      <c r="I59" s="5">
        <f t="shared" si="41"/>
        <v>441041</v>
      </c>
      <c r="J59" s="5">
        <f t="shared" si="41"/>
        <v>95989.339583333349</v>
      </c>
      <c r="K59" s="5">
        <f t="shared" si="41"/>
        <v>537030.33958333347</v>
      </c>
      <c r="L59" s="5">
        <f t="shared" si="41"/>
        <v>171868.30833333335</v>
      </c>
      <c r="M59" s="5">
        <f t="shared" si="41"/>
        <v>708898.64791666646</v>
      </c>
      <c r="N59" s="5">
        <f t="shared" si="41"/>
        <v>172201.92500000002</v>
      </c>
      <c r="O59" s="5">
        <f t="shared" si="41"/>
        <v>881100.57291666686</v>
      </c>
      <c r="P59" s="5">
        <f t="shared" si="41"/>
        <v>172226.52916666667</v>
      </c>
      <c r="Q59" s="5">
        <f t="shared" si="41"/>
        <v>1053327.1020833335</v>
      </c>
      <c r="R59" s="5">
        <f t="shared" si="41"/>
        <v>172792.42500000002</v>
      </c>
      <c r="S59" s="5">
        <f t="shared" si="41"/>
        <v>1226119.5270833336</v>
      </c>
      <c r="T59" s="5">
        <f t="shared" si="41"/>
        <v>172792.42500000002</v>
      </c>
      <c r="U59" s="5">
        <f t="shared" si="41"/>
        <v>1398911.9520833336</v>
      </c>
      <c r="V59" s="5">
        <f t="shared" si="41"/>
        <v>172792.42500000002</v>
      </c>
      <c r="W59" s="5">
        <f t="shared" si="41"/>
        <v>1571704.3770833337</v>
      </c>
      <c r="X59" s="5">
        <f>V59</f>
        <v>172792.42500000002</v>
      </c>
      <c r="Y59" s="5">
        <f>W59+V59</f>
        <v>1744496.8020833337</v>
      </c>
      <c r="Z59" s="5">
        <f>SUM(Z24:Z47)</f>
        <v>162603.35</v>
      </c>
      <c r="AA59" s="5">
        <f>SUM(AA24:AA47)</f>
        <v>1907100.1520833336</v>
      </c>
      <c r="AB59" s="5">
        <f>SUM(AB24:AB48)</f>
        <v>164891.17499999999</v>
      </c>
      <c r="AC59" s="5">
        <f>SUM(AC24:AC48)</f>
        <v>2071991.2270833338</v>
      </c>
      <c r="AD59" s="2">
        <f>SUM(AD24:AD49)</f>
        <v>199480.55</v>
      </c>
      <c r="AE59" s="2">
        <f>SUM(AE24:AE49)</f>
        <v>2271471.7770833331</v>
      </c>
      <c r="AF59" s="5">
        <f>SUM(AF24:AF57)</f>
        <v>233224.92499999999</v>
      </c>
      <c r="AG59" s="5">
        <f>SUM(AG24:AG52)</f>
        <v>2504696.7020833334</v>
      </c>
      <c r="AH59" s="5">
        <f>SUM(AH24:AH52)</f>
        <v>233838.56499999997</v>
      </c>
      <c r="AI59" s="5">
        <f>SUM(AI24:AI52)</f>
        <v>2738535.2670833333</v>
      </c>
      <c r="AJ59" s="2">
        <f>SUM(AJ24:AJ57)</f>
        <v>234073.5</v>
      </c>
      <c r="AK59" s="2">
        <f>SUM(AK24:AK57)</f>
        <v>2972608.7670833333</v>
      </c>
      <c r="AL59" s="5">
        <f>SUM(AL24:AL58)</f>
        <v>247072.99374999999</v>
      </c>
      <c r="AM59" s="5">
        <f>SUM(AM24:AM58)</f>
        <v>3219681.7608333332</v>
      </c>
      <c r="AN59" s="5">
        <f>SUM(AN24:AN58)</f>
        <v>9140894.3791666683</v>
      </c>
      <c r="AO59" s="6">
        <f>SUM(AO24:AO58)</f>
        <v>297424.97083333327</v>
      </c>
      <c r="AP59" s="5">
        <f>SUM(AP24:AP57)</f>
        <v>3517106.7316666669</v>
      </c>
      <c r="AQ59" s="5">
        <f>SUM(AQ24:AQ58)</f>
        <v>8843469.4083333332</v>
      </c>
      <c r="AR59" s="6">
        <f>SUM(AR24:AR58)</f>
        <v>297566.07499999995</v>
      </c>
      <c r="AS59" s="5">
        <f>SUM(AS24:AS58)</f>
        <v>3814672.8066666676</v>
      </c>
      <c r="AT59" s="5">
        <f>SUM(AT24:AT58)</f>
        <v>8545903.3333333321</v>
      </c>
    </row>
    <row r="60" spans="1:46" x14ac:dyDescent="0.2">
      <c r="A60" s="1" t="s">
        <v>113</v>
      </c>
      <c r="M60" s="2">
        <f>K60+L60</f>
        <v>0</v>
      </c>
      <c r="AC60" s="2">
        <f>SUM(AA60:AB60)</f>
        <v>0</v>
      </c>
      <c r="AM60" s="3"/>
      <c r="AO60" s="4"/>
      <c r="AR60" s="4"/>
      <c r="AS60" s="5"/>
    </row>
    <row r="61" spans="1:46" x14ac:dyDescent="0.2">
      <c r="M61" s="2">
        <f>K61+L61</f>
        <v>0</v>
      </c>
      <c r="AC61" s="2">
        <f>SUM(AA61:AB61)</f>
        <v>0</v>
      </c>
      <c r="AM61" s="3"/>
      <c r="AO61" s="4"/>
      <c r="AR61" s="4"/>
      <c r="AS61" s="5"/>
    </row>
    <row r="62" spans="1:46" x14ac:dyDescent="0.2">
      <c r="A62" s="1" t="s">
        <v>114</v>
      </c>
      <c r="B62" s="1" t="s">
        <v>60</v>
      </c>
      <c r="C62" s="2">
        <v>669409</v>
      </c>
      <c r="D62" s="3" t="s">
        <v>61</v>
      </c>
      <c r="E62" s="2">
        <v>40</v>
      </c>
      <c r="G62" s="2">
        <v>502050</v>
      </c>
      <c r="H62" s="2">
        <v>16735</v>
      </c>
      <c r="I62" s="2">
        <f>SUM(G62:H62)</f>
        <v>518785</v>
      </c>
      <c r="J62" s="2">
        <f>H62</f>
        <v>16735</v>
      </c>
      <c r="K62" s="2">
        <f>I62+J62</f>
        <v>535520</v>
      </c>
      <c r="L62" s="2">
        <f>J62</f>
        <v>16735</v>
      </c>
      <c r="M62" s="2">
        <f>K62+L62</f>
        <v>552255</v>
      </c>
      <c r="N62" s="2">
        <f>L62</f>
        <v>16735</v>
      </c>
      <c r="O62" s="2">
        <f>M62+N62</f>
        <v>568990</v>
      </c>
      <c r="P62" s="2">
        <f>C62/E62</f>
        <v>16735.224999999999</v>
      </c>
      <c r="Q62" s="2">
        <f>O62+P62</f>
        <v>585725.22499999998</v>
      </c>
      <c r="R62" s="2">
        <f>SUM(C62/E62)</f>
        <v>16735.224999999999</v>
      </c>
      <c r="S62" s="2">
        <f>Q62+R62</f>
        <v>602460.44999999995</v>
      </c>
      <c r="T62" s="2">
        <f>R62</f>
        <v>16735.224999999999</v>
      </c>
      <c r="U62" s="2">
        <f>S62+R62</f>
        <v>619195.67499999993</v>
      </c>
      <c r="V62" s="2">
        <f>T62</f>
        <v>16735.224999999999</v>
      </c>
      <c r="W62" s="2">
        <f>U62+V62</f>
        <v>635930.89999999991</v>
      </c>
      <c r="X62" s="2">
        <f>V62</f>
        <v>16735.224999999999</v>
      </c>
      <c r="Y62" s="2">
        <f>W62+V62</f>
        <v>652666.12499999988</v>
      </c>
      <c r="Z62" s="2">
        <f>X62</f>
        <v>16735.224999999999</v>
      </c>
      <c r="AA62" s="2">
        <f>SUM(Y62:Z62)</f>
        <v>669401.34999999986</v>
      </c>
      <c r="AB62" s="2">
        <v>8</v>
      </c>
      <c r="AC62" s="2">
        <f>SUM(AA62:AB62)</f>
        <v>669409.34999999986</v>
      </c>
      <c r="AE62" s="2">
        <f>AC62+AD62</f>
        <v>669409.34999999986</v>
      </c>
      <c r="AF62" s="2">
        <f>AD62</f>
        <v>0</v>
      </c>
      <c r="AG62" s="2">
        <f>AE62+AF62</f>
        <v>669409.34999999986</v>
      </c>
      <c r="AH62" s="2">
        <f>AF62</f>
        <v>0</v>
      </c>
      <c r="AI62" s="2">
        <f>SUM(AG62:AH62)</f>
        <v>669409.34999999986</v>
      </c>
      <c r="AJ62" s="2">
        <v>0</v>
      </c>
      <c r="AK62" s="2">
        <v>669409.35</v>
      </c>
      <c r="AL62" s="2">
        <v>0</v>
      </c>
      <c r="AM62" s="3">
        <v>669409.35</v>
      </c>
      <c r="AN62" s="2">
        <f>C62-AM62</f>
        <v>-0.34999999997671694</v>
      </c>
      <c r="AO62" s="4">
        <v>0</v>
      </c>
      <c r="AP62" s="2">
        <f>AM62+AO62</f>
        <v>669409.35</v>
      </c>
      <c r="AQ62" s="2">
        <f>AN62-AO62</f>
        <v>-0.34999999997671694</v>
      </c>
      <c r="AR62" s="4">
        <v>0</v>
      </c>
      <c r="AS62" s="5">
        <f>AP62+AR62</f>
        <v>669409.35</v>
      </c>
      <c r="AT62" s="2">
        <f>C62-AS62</f>
        <v>-0.34999999997671694</v>
      </c>
    </row>
    <row r="63" spans="1:46" x14ac:dyDescent="0.2">
      <c r="A63" s="1" t="s">
        <v>115</v>
      </c>
      <c r="B63" s="1" t="s">
        <v>65</v>
      </c>
      <c r="C63" s="2">
        <v>9225</v>
      </c>
      <c r="D63" s="3" t="s">
        <v>61</v>
      </c>
      <c r="E63" s="2">
        <v>40</v>
      </c>
      <c r="G63" s="2">
        <v>1501</v>
      </c>
      <c r="H63" s="2">
        <v>231</v>
      </c>
      <c r="I63" s="2">
        <f>SUM(G63:H63)</f>
        <v>1732</v>
      </c>
      <c r="J63" s="2">
        <f>H63</f>
        <v>231</v>
      </c>
      <c r="K63" s="2">
        <f>I63+J63</f>
        <v>1963</v>
      </c>
      <c r="L63" s="2">
        <f>J63</f>
        <v>231</v>
      </c>
      <c r="M63" s="2">
        <f>K63+L63</f>
        <v>2194</v>
      </c>
      <c r="N63" s="2">
        <f>L63</f>
        <v>231</v>
      </c>
      <c r="O63" s="2">
        <f>M63+N63</f>
        <v>2425</v>
      </c>
      <c r="P63" s="2">
        <f>C63/E63</f>
        <v>230.625</v>
      </c>
      <c r="Q63" s="2">
        <f>O63+P63</f>
        <v>2655.625</v>
      </c>
      <c r="R63" s="2">
        <f>SUM(C63/E63)</f>
        <v>230.625</v>
      </c>
      <c r="S63" s="2">
        <f>Q63+R63</f>
        <v>2886.25</v>
      </c>
      <c r="T63" s="2">
        <f>R63</f>
        <v>230.625</v>
      </c>
      <c r="U63" s="2">
        <f>S63+R63</f>
        <v>3116.875</v>
      </c>
      <c r="V63" s="2">
        <f>T63</f>
        <v>230.625</v>
      </c>
      <c r="W63" s="2">
        <f>U63+V63</f>
        <v>3347.5</v>
      </c>
      <c r="X63" s="2">
        <f>V63</f>
        <v>230.625</v>
      </c>
      <c r="Y63" s="2">
        <f>W63+V63</f>
        <v>3578.125</v>
      </c>
      <c r="Z63" s="2">
        <f>X63</f>
        <v>230.625</v>
      </c>
      <c r="AA63" s="2">
        <f>SUM(Y63:Z63)</f>
        <v>3808.75</v>
      </c>
      <c r="AB63" s="2">
        <v>231</v>
      </c>
      <c r="AC63" s="2">
        <f>SUM(AA63:AB63)</f>
        <v>4039.75</v>
      </c>
      <c r="AD63" s="2">
        <f>AB63</f>
        <v>231</v>
      </c>
      <c r="AE63" s="2">
        <f>AC63+AD63</f>
        <v>4270.75</v>
      </c>
      <c r="AF63" s="2">
        <f>AD63</f>
        <v>231</v>
      </c>
      <c r="AG63" s="2">
        <f>AE63+AF63</f>
        <v>4501.75</v>
      </c>
      <c r="AH63" s="2">
        <f>AF63</f>
        <v>231</v>
      </c>
      <c r="AI63" s="2">
        <f>SUM(AG63:AH63)</f>
        <v>4732.75</v>
      </c>
      <c r="AJ63" s="2">
        <v>231</v>
      </c>
      <c r="AK63" s="2">
        <f>SUM(AI63:AJ63)</f>
        <v>4963.75</v>
      </c>
      <c r="AL63" s="2">
        <v>231</v>
      </c>
      <c r="AM63" s="3">
        <f>SUM(AK63:AL63)</f>
        <v>5194.75</v>
      </c>
      <c r="AN63" s="2">
        <f>C63-AM63</f>
        <v>4030.25</v>
      </c>
      <c r="AO63" s="4">
        <f>9925/40</f>
        <v>248.125</v>
      </c>
      <c r="AP63" s="2">
        <f>AM63+AO63</f>
        <v>5442.875</v>
      </c>
      <c r="AQ63" s="2">
        <f>AN63-AO63</f>
        <v>3782.125</v>
      </c>
      <c r="AR63" s="4">
        <f>AO63</f>
        <v>248.125</v>
      </c>
      <c r="AS63" s="5">
        <f>AP63+AR63</f>
        <v>5691</v>
      </c>
      <c r="AT63" s="2">
        <f>C63-AS63</f>
        <v>3534</v>
      </c>
    </row>
    <row r="64" spans="1:46" x14ac:dyDescent="0.2">
      <c r="C64" s="5">
        <f>SUM(C62:C63)</f>
        <v>678634</v>
      </c>
      <c r="G64" s="5">
        <f>SUM(G62:G63)</f>
        <v>503551</v>
      </c>
      <c r="H64" s="5">
        <f>SUM(H62:H63)</f>
        <v>16966</v>
      </c>
      <c r="I64" s="5">
        <f>SUM(I62:I63)</f>
        <v>520517</v>
      </c>
      <c r="J64" s="5">
        <f>SUM(J62:J63)</f>
        <v>16966</v>
      </c>
      <c r="K64" s="5">
        <f>I64+J64</f>
        <v>537483</v>
      </c>
      <c r="L64" s="5">
        <f>SUM(L62:L63)</f>
        <v>16966</v>
      </c>
      <c r="M64" s="5">
        <f>K64+L64</f>
        <v>554449</v>
      </c>
      <c r="N64" s="5">
        <f>SUM(N62:N63)</f>
        <v>16966</v>
      </c>
      <c r="O64" s="5">
        <f>M64+N64</f>
        <v>571415</v>
      </c>
      <c r="P64" s="5">
        <f t="shared" ref="P64:W64" si="42">SUM(P62:P63)</f>
        <v>16965.849999999999</v>
      </c>
      <c r="Q64" s="5">
        <f t="shared" si="42"/>
        <v>588380.85</v>
      </c>
      <c r="R64" s="5">
        <f t="shared" si="42"/>
        <v>16965.849999999999</v>
      </c>
      <c r="S64" s="5">
        <f t="shared" si="42"/>
        <v>605346.69999999995</v>
      </c>
      <c r="T64" s="5">
        <f t="shared" si="42"/>
        <v>16965.849999999999</v>
      </c>
      <c r="U64" s="5">
        <f t="shared" si="42"/>
        <v>622312.54999999993</v>
      </c>
      <c r="V64" s="5">
        <f t="shared" si="42"/>
        <v>16965.849999999999</v>
      </c>
      <c r="W64" s="5">
        <f t="shared" si="42"/>
        <v>639278.39999999991</v>
      </c>
      <c r="X64" s="5">
        <f>V64</f>
        <v>16965.849999999999</v>
      </c>
      <c r="Y64" s="5">
        <f>W64+V64</f>
        <v>656244.24999999988</v>
      </c>
      <c r="Z64" s="5">
        <f>SUM(Z62:Z63)</f>
        <v>16965.849999999999</v>
      </c>
      <c r="AA64" s="5">
        <f>SUM(AA62:AA63)</f>
        <v>673210.09999999986</v>
      </c>
      <c r="AB64" s="5">
        <f>SUM(AB62:AB63)</f>
        <v>239</v>
      </c>
      <c r="AC64" s="5">
        <f>SUM(AA64:AB64)</f>
        <v>673449.09999999986</v>
      </c>
      <c r="AD64" s="2">
        <f>SUM(AD62:AD63)</f>
        <v>231</v>
      </c>
      <c r="AE64" s="2">
        <f>AC64+AD64</f>
        <v>673680.09999999986</v>
      </c>
      <c r="AF64" s="2">
        <f>SUM(AF62:AF63)</f>
        <v>231</v>
      </c>
      <c r="AG64" s="2">
        <f>SUM(AG62:AG63)</f>
        <v>673911.09999999986</v>
      </c>
      <c r="AH64" s="2">
        <f>SUM(AH62:AH63)</f>
        <v>231</v>
      </c>
      <c r="AI64" s="2">
        <f>SUM(AI62:AI63)</f>
        <v>674142.09999999986</v>
      </c>
      <c r="AJ64" s="2">
        <v>231</v>
      </c>
      <c r="AK64" s="2">
        <f>SUM(AK62:AK63)</f>
        <v>674373.1</v>
      </c>
      <c r="AL64" s="5">
        <v>231</v>
      </c>
      <c r="AM64" s="5">
        <f>SUM(AM62:AM63)</f>
        <v>674604.1</v>
      </c>
      <c r="AN64" s="5">
        <f>C64-AM64</f>
        <v>4029.9000000000233</v>
      </c>
      <c r="AO64" s="6">
        <f t="shared" ref="AO64:AT64" si="43">SUM(AO62:AO63)</f>
        <v>248.125</v>
      </c>
      <c r="AP64" s="5">
        <f t="shared" si="43"/>
        <v>674852.22499999998</v>
      </c>
      <c r="AQ64" s="5">
        <f t="shared" si="43"/>
        <v>3781.7750000000233</v>
      </c>
      <c r="AR64" s="6">
        <f t="shared" si="43"/>
        <v>248.125</v>
      </c>
      <c r="AS64" s="5">
        <f t="shared" si="43"/>
        <v>675100.35</v>
      </c>
      <c r="AT64" s="5">
        <f t="shared" si="43"/>
        <v>3533.6500000000233</v>
      </c>
    </row>
    <row r="65" spans="1:46" x14ac:dyDescent="0.2">
      <c r="C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L65" s="5"/>
      <c r="AM65" s="5"/>
      <c r="AN65" s="5"/>
      <c r="AO65" s="6"/>
      <c r="AP65" s="5"/>
      <c r="AQ65" s="5"/>
      <c r="AR65" s="6"/>
      <c r="AS65" s="5"/>
      <c r="AT65" s="5"/>
    </row>
    <row r="66" spans="1:46" x14ac:dyDescent="0.2">
      <c r="A66" s="1" t="s">
        <v>116</v>
      </c>
      <c r="B66" s="1" t="s">
        <v>60</v>
      </c>
      <c r="C66" s="5">
        <v>11360</v>
      </c>
      <c r="G66" s="5"/>
      <c r="H66" s="5"/>
      <c r="I66" s="5"/>
      <c r="M66" s="2">
        <f>K66+L66</f>
        <v>0</v>
      </c>
      <c r="AL66" s="5"/>
      <c r="AM66" s="5"/>
      <c r="AN66" s="5">
        <f>C66-AM66</f>
        <v>11360</v>
      </c>
      <c r="AO66" s="6"/>
      <c r="AP66" s="5"/>
      <c r="AQ66" s="5">
        <v>11360</v>
      </c>
      <c r="AR66" s="6">
        <f>AO66</f>
        <v>0</v>
      </c>
      <c r="AS66" s="5"/>
      <c r="AT66" s="5">
        <f>AQ66-AR66</f>
        <v>11360</v>
      </c>
    </row>
    <row r="67" spans="1:46" x14ac:dyDescent="0.2">
      <c r="M67" s="2">
        <f>K67+L67</f>
        <v>0</v>
      </c>
      <c r="AM67" s="3"/>
      <c r="AO67" s="4"/>
      <c r="AR67" s="4"/>
      <c r="AS67" s="5"/>
    </row>
    <row r="68" spans="1:46" x14ac:dyDescent="0.2">
      <c r="A68" s="1" t="s">
        <v>117</v>
      </c>
      <c r="M68" s="2">
        <f>K68+L68</f>
        <v>0</v>
      </c>
      <c r="AM68" s="3"/>
      <c r="AO68" s="4"/>
      <c r="AR68" s="4"/>
      <c r="AS68" s="5"/>
    </row>
    <row r="69" spans="1:46" x14ac:dyDescent="0.2">
      <c r="M69" s="2">
        <f>K69+L69</f>
        <v>0</v>
      </c>
      <c r="AM69" s="3"/>
      <c r="AO69" s="4"/>
      <c r="AR69" s="4"/>
      <c r="AS69" s="5"/>
    </row>
    <row r="70" spans="1:46" x14ac:dyDescent="0.2">
      <c r="A70" s="1" t="s">
        <v>118</v>
      </c>
      <c r="B70" s="1" t="s">
        <v>60</v>
      </c>
      <c r="C70" s="5">
        <v>86114</v>
      </c>
      <c r="D70" s="1" t="s">
        <v>61</v>
      </c>
      <c r="E70" s="2">
        <v>40</v>
      </c>
      <c r="G70" s="5">
        <v>58131</v>
      </c>
      <c r="H70" s="5">
        <v>2153</v>
      </c>
      <c r="I70" s="5">
        <f>SUM(G70:H70)</f>
        <v>60284</v>
      </c>
      <c r="J70" s="5">
        <v>2153</v>
      </c>
      <c r="K70" s="5">
        <f>I70+J70</f>
        <v>62437</v>
      </c>
      <c r="L70" s="5">
        <v>2153</v>
      </c>
      <c r="M70" s="5">
        <f>K70+L70</f>
        <v>64590</v>
      </c>
      <c r="N70" s="5">
        <v>2153</v>
      </c>
      <c r="O70" s="5">
        <f>M70+N70</f>
        <v>66743</v>
      </c>
      <c r="P70" s="5">
        <f>N70</f>
        <v>2153</v>
      </c>
      <c r="Q70" s="5">
        <f>O70+P70</f>
        <v>68896</v>
      </c>
      <c r="R70" s="5">
        <f>P70</f>
        <v>2153</v>
      </c>
      <c r="S70" s="5">
        <f>Q70+R70</f>
        <v>71049</v>
      </c>
      <c r="T70" s="5">
        <f>R70</f>
        <v>2153</v>
      </c>
      <c r="U70" s="5">
        <f>S70+R70</f>
        <v>73202</v>
      </c>
      <c r="V70" s="5">
        <f>T70</f>
        <v>2153</v>
      </c>
      <c r="W70" s="5">
        <f>U70+V70</f>
        <v>75355</v>
      </c>
      <c r="X70" s="5">
        <f>V70</f>
        <v>2153</v>
      </c>
      <c r="Y70" s="5">
        <f>W70+V70</f>
        <v>77508</v>
      </c>
      <c r="Z70" s="5">
        <v>2153</v>
      </c>
      <c r="AA70" s="5">
        <f>SUM(Y70:Z70)</f>
        <v>79661</v>
      </c>
      <c r="AB70" s="5">
        <v>2153</v>
      </c>
      <c r="AC70" s="5">
        <f>SUM(AA70:AB70)</f>
        <v>81814</v>
      </c>
      <c r="AD70" s="2">
        <f>AB70</f>
        <v>2153</v>
      </c>
      <c r="AE70" s="2">
        <f>AC70+AD70</f>
        <v>83967</v>
      </c>
      <c r="AF70" s="2">
        <f>86114-83967</f>
        <v>2147</v>
      </c>
      <c r="AG70" s="2">
        <f>AE70+AF70</f>
        <v>86114</v>
      </c>
      <c r="AH70" s="2">
        <v>0</v>
      </c>
      <c r="AI70" s="2">
        <v>86114</v>
      </c>
      <c r="AJ70" s="2">
        <v>0</v>
      </c>
      <c r="AK70" s="2">
        <v>86114</v>
      </c>
      <c r="AL70" s="5">
        <v>0</v>
      </c>
      <c r="AM70" s="5">
        <v>86114</v>
      </c>
      <c r="AN70" s="5">
        <f>C70-AM70</f>
        <v>0</v>
      </c>
      <c r="AO70" s="6">
        <f>AL70</f>
        <v>0</v>
      </c>
      <c r="AP70" s="5">
        <v>86114</v>
      </c>
      <c r="AQ70" s="5">
        <f>AN70-AO70</f>
        <v>0</v>
      </c>
      <c r="AR70" s="6">
        <f>AO70</f>
        <v>0</v>
      </c>
      <c r="AS70" s="5">
        <f>AP70+AR70</f>
        <v>86114</v>
      </c>
      <c r="AT70" s="2">
        <f>C70-AS70</f>
        <v>0</v>
      </c>
    </row>
    <row r="71" spans="1:46" x14ac:dyDescent="0.2">
      <c r="C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M71" s="3"/>
      <c r="AO71" s="4"/>
      <c r="AR71" s="4"/>
      <c r="AS71" s="5"/>
    </row>
    <row r="72" spans="1:46" x14ac:dyDescent="0.2">
      <c r="A72" s="1" t="s">
        <v>119</v>
      </c>
      <c r="B72" s="1" t="s">
        <v>120</v>
      </c>
      <c r="C72" s="5">
        <v>225000</v>
      </c>
      <c r="D72" s="5" t="s">
        <v>61</v>
      </c>
      <c r="E72" s="2">
        <v>30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v>312</v>
      </c>
      <c r="W72" s="5">
        <v>312</v>
      </c>
      <c r="X72" s="5">
        <f>225000/30</f>
        <v>7500</v>
      </c>
      <c r="Y72" s="5">
        <f>SUM(W72:X72)</f>
        <v>7812</v>
      </c>
      <c r="Z72" s="5">
        <v>7500</v>
      </c>
      <c r="AA72" s="5">
        <f>7812+7500</f>
        <v>15312</v>
      </c>
      <c r="AB72" s="5">
        <v>7500</v>
      </c>
      <c r="AC72" s="5">
        <f>SUM(AA72:AB72)</f>
        <v>22812</v>
      </c>
      <c r="AD72" s="2">
        <f>AB72</f>
        <v>7500</v>
      </c>
      <c r="AE72" s="2">
        <f>AC72+AD72</f>
        <v>30312</v>
      </c>
      <c r="AF72" s="2">
        <v>7500</v>
      </c>
      <c r="AG72" s="2">
        <f>AE72+AF72</f>
        <v>37812</v>
      </c>
      <c r="AH72" s="2">
        <v>7500</v>
      </c>
      <c r="AI72" s="2">
        <f>SUM(AG72:AH72)</f>
        <v>45312</v>
      </c>
      <c r="AJ72" s="2">
        <v>7500</v>
      </c>
      <c r="AK72" s="2">
        <f>SUM(AI72:AJ72)</f>
        <v>52812</v>
      </c>
      <c r="AL72" s="5">
        <v>7500</v>
      </c>
      <c r="AM72" s="5">
        <f>SUM(AK72:AL72)</f>
        <v>60312</v>
      </c>
      <c r="AN72" s="5">
        <f>C72-AM72</f>
        <v>164688</v>
      </c>
      <c r="AO72" s="6">
        <f>AL72</f>
        <v>7500</v>
      </c>
      <c r="AP72" s="5">
        <f>AM72+AO72</f>
        <v>67812</v>
      </c>
      <c r="AQ72" s="5">
        <f>AN72-AO72</f>
        <v>157188</v>
      </c>
      <c r="AR72" s="6">
        <f>AO72</f>
        <v>7500</v>
      </c>
      <c r="AS72" s="5">
        <f>AP72+AR72</f>
        <v>75312</v>
      </c>
      <c r="AT72" s="5">
        <f>AQ72-AR72</f>
        <v>149688</v>
      </c>
    </row>
    <row r="73" spans="1:46" x14ac:dyDescent="0.2">
      <c r="C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AM73" s="3"/>
      <c r="AO73" s="4"/>
      <c r="AR73" s="4"/>
      <c r="AS73" s="5"/>
    </row>
    <row r="74" spans="1:46" x14ac:dyDescent="0.2">
      <c r="G74" s="5"/>
      <c r="H74" s="5"/>
      <c r="I74" s="5"/>
      <c r="M74" s="2">
        <f t="shared" ref="M74:M85" si="44">K74+L74</f>
        <v>0</v>
      </c>
      <c r="AM74" s="3"/>
      <c r="AO74" s="4"/>
      <c r="AR74" s="4"/>
      <c r="AS74" s="5"/>
    </row>
    <row r="75" spans="1:46" x14ac:dyDescent="0.2">
      <c r="A75" s="1" t="s">
        <v>121</v>
      </c>
      <c r="G75" s="5"/>
      <c r="H75" s="5"/>
      <c r="I75" s="5"/>
      <c r="M75" s="2">
        <f t="shared" si="44"/>
        <v>0</v>
      </c>
      <c r="AM75" s="3"/>
      <c r="AO75" s="4"/>
      <c r="AR75" s="4"/>
      <c r="AS75" s="5"/>
    </row>
    <row r="76" spans="1:46" x14ac:dyDescent="0.2">
      <c r="G76" s="5"/>
      <c r="H76" s="5"/>
      <c r="I76" s="5"/>
      <c r="M76" s="2">
        <f t="shared" si="44"/>
        <v>0</v>
      </c>
      <c r="AM76" s="3"/>
      <c r="AO76" s="4"/>
      <c r="AR76" s="4"/>
      <c r="AS76" s="5"/>
    </row>
    <row r="77" spans="1:46" x14ac:dyDescent="0.2">
      <c r="A77" s="1" t="s">
        <v>122</v>
      </c>
      <c r="B77" s="1" t="s">
        <v>60</v>
      </c>
      <c r="C77" s="2">
        <v>55204</v>
      </c>
      <c r="D77" s="1" t="s">
        <v>61</v>
      </c>
      <c r="E77" s="2">
        <v>40</v>
      </c>
      <c r="G77" s="2">
        <v>31543</v>
      </c>
      <c r="H77" s="2">
        <v>1380</v>
      </c>
      <c r="I77" s="2">
        <f>SUM(G77:H77)</f>
        <v>32923</v>
      </c>
      <c r="J77" s="2">
        <v>1380</v>
      </c>
      <c r="K77" s="2">
        <f>I77+J77</f>
        <v>34303</v>
      </c>
      <c r="L77" s="2">
        <f t="shared" ref="L77:L82" si="45">J77</f>
        <v>1380</v>
      </c>
      <c r="M77" s="2">
        <f t="shared" si="44"/>
        <v>35683</v>
      </c>
      <c r="N77" s="2">
        <f t="shared" ref="N77:N85" si="46">L77</f>
        <v>1380</v>
      </c>
      <c r="O77" s="2">
        <f t="shared" ref="O77:O86" si="47">M77+N77</f>
        <v>37063</v>
      </c>
      <c r="P77" s="2">
        <f t="shared" ref="P77:P86" si="48">C77/E77</f>
        <v>1380.1</v>
      </c>
      <c r="Q77" s="2">
        <f t="shared" ref="Q77:Q86" si="49">O77+P77</f>
        <v>38443.1</v>
      </c>
      <c r="R77" s="2">
        <f t="shared" ref="R77:R86" si="50">SUM(C77/E77)</f>
        <v>1380.1</v>
      </c>
      <c r="S77" s="2">
        <f t="shared" ref="S77:S86" si="51">Q77+R77</f>
        <v>39823.199999999997</v>
      </c>
      <c r="T77" s="2">
        <f t="shared" ref="T77:T86" si="52">R77</f>
        <v>1380.1</v>
      </c>
      <c r="U77" s="2">
        <f t="shared" ref="U77:U86" si="53">S77+T77</f>
        <v>41203.299999999996</v>
      </c>
      <c r="V77" s="2">
        <f t="shared" ref="V77:V86" si="54">T77</f>
        <v>1380.1</v>
      </c>
      <c r="W77" s="2">
        <f t="shared" ref="W77:W86" si="55">U77+V77</f>
        <v>42583.399999999994</v>
      </c>
      <c r="X77" s="2">
        <f t="shared" ref="X77:X86" si="56">V77</f>
        <v>1380.1</v>
      </c>
      <c r="Y77" s="2">
        <f t="shared" ref="Y77:Y88" si="57">SUM(W77:X77)</f>
        <v>43963.499999999993</v>
      </c>
      <c r="Z77" s="2">
        <f t="shared" ref="Z77:Z87" si="58">X77</f>
        <v>1380.1</v>
      </c>
      <c r="AA77" s="2">
        <f t="shared" ref="AA77:AA88" si="59">SUM(Y77:Z77)</f>
        <v>45343.599999999991</v>
      </c>
      <c r="AB77" s="2">
        <f t="shared" ref="AB77:AB88" si="60">Z77</f>
        <v>1380.1</v>
      </c>
      <c r="AC77" s="2">
        <f t="shared" ref="AC77:AC89" si="61">SUM(AA77:AB77)</f>
        <v>46723.69999999999</v>
      </c>
      <c r="AD77" s="2">
        <f t="shared" ref="AD77:AD88" si="62">AB77</f>
        <v>1380.1</v>
      </c>
      <c r="AE77" s="2">
        <f t="shared" ref="AE77:AE89" si="63">AC77+AD77</f>
        <v>48103.799999999988</v>
      </c>
      <c r="AF77" s="2">
        <f t="shared" ref="AF77:AF88" si="64">AD77</f>
        <v>1380.1</v>
      </c>
      <c r="AG77" s="2">
        <f t="shared" ref="AG77:AG88" si="65">AE77+AF77</f>
        <v>49483.899999999987</v>
      </c>
      <c r="AH77" s="2">
        <f t="shared" ref="AH77:AH85" si="66">AF77</f>
        <v>1380.1</v>
      </c>
      <c r="AI77" s="2">
        <f t="shared" ref="AI77:AI88" si="67">AG77+AH77</f>
        <v>50863.999999999985</v>
      </c>
      <c r="AJ77" s="2">
        <f>55204-50864</f>
        <v>4340</v>
      </c>
      <c r="AK77" s="2">
        <f t="shared" ref="AK77:AK84" si="68">SUM(AI77:AJ77)</f>
        <v>55203.999999999985</v>
      </c>
      <c r="AL77" s="2">
        <v>0</v>
      </c>
      <c r="AM77" s="3">
        <f t="shared" ref="AM77:AM87" si="69">SUM(AK77:AL77)</f>
        <v>55203.999999999985</v>
      </c>
      <c r="AN77" s="2">
        <f t="shared" ref="AN77:AN89" si="70">C77-AM77</f>
        <v>0</v>
      </c>
      <c r="AO77" s="4">
        <f t="shared" ref="AO77:AO89" si="71">AL77</f>
        <v>0</v>
      </c>
      <c r="AP77" s="2">
        <f t="shared" ref="AP77:AP87" si="72">AM77+AO77</f>
        <v>55203.999999999985</v>
      </c>
      <c r="AQ77" s="2">
        <f t="shared" ref="AQ77:AQ89" si="73">AN77-AO77</f>
        <v>0</v>
      </c>
      <c r="AR77" s="4">
        <f t="shared" ref="AR77:AR89" si="74">AO77</f>
        <v>0</v>
      </c>
      <c r="AS77" s="5">
        <f t="shared" ref="AS77:AS88" si="75">AP77+AR77</f>
        <v>55203.999999999985</v>
      </c>
      <c r="AT77" s="2">
        <f t="shared" ref="AT77:AT88" si="76">C77-AS77</f>
        <v>0</v>
      </c>
    </row>
    <row r="78" spans="1:46" x14ac:dyDescent="0.2">
      <c r="A78" s="1" t="s">
        <v>123</v>
      </c>
      <c r="B78" s="1" t="s">
        <v>124</v>
      </c>
      <c r="C78" s="2">
        <v>3975</v>
      </c>
      <c r="D78" s="1" t="s">
        <v>61</v>
      </c>
      <c r="E78" s="2">
        <v>40</v>
      </c>
      <c r="G78" s="2">
        <v>858</v>
      </c>
      <c r="H78" s="2">
        <v>99</v>
      </c>
      <c r="I78" s="2">
        <f>SUM(G78:H78)</f>
        <v>957</v>
      </c>
      <c r="J78" s="2">
        <v>99</v>
      </c>
      <c r="K78" s="2">
        <f>I78+J78</f>
        <v>1056</v>
      </c>
      <c r="L78" s="2">
        <f t="shared" si="45"/>
        <v>99</v>
      </c>
      <c r="M78" s="2">
        <f t="shared" si="44"/>
        <v>1155</v>
      </c>
      <c r="N78" s="2">
        <f t="shared" si="46"/>
        <v>99</v>
      </c>
      <c r="O78" s="2">
        <f t="shared" si="47"/>
        <v>1254</v>
      </c>
      <c r="P78" s="2">
        <f t="shared" si="48"/>
        <v>99.375</v>
      </c>
      <c r="Q78" s="2">
        <f t="shared" si="49"/>
        <v>1353.375</v>
      </c>
      <c r="R78" s="2">
        <f t="shared" si="50"/>
        <v>99.375</v>
      </c>
      <c r="S78" s="2">
        <f t="shared" si="51"/>
        <v>1452.75</v>
      </c>
      <c r="T78" s="2">
        <f t="shared" si="52"/>
        <v>99.375</v>
      </c>
      <c r="U78" s="2">
        <f t="shared" si="53"/>
        <v>1552.125</v>
      </c>
      <c r="V78" s="2">
        <f t="shared" si="54"/>
        <v>99.375</v>
      </c>
      <c r="W78" s="2">
        <f t="shared" si="55"/>
        <v>1651.5</v>
      </c>
      <c r="X78" s="2">
        <f t="shared" si="56"/>
        <v>99.375</v>
      </c>
      <c r="Y78" s="2">
        <f t="shared" si="57"/>
        <v>1750.875</v>
      </c>
      <c r="Z78" s="2">
        <f t="shared" si="58"/>
        <v>99.375</v>
      </c>
      <c r="AA78" s="2">
        <f t="shared" si="59"/>
        <v>1850.25</v>
      </c>
      <c r="AB78" s="2">
        <f t="shared" si="60"/>
        <v>99.375</v>
      </c>
      <c r="AC78" s="2">
        <f t="shared" si="61"/>
        <v>1949.625</v>
      </c>
      <c r="AD78" s="2">
        <f t="shared" si="62"/>
        <v>99.375</v>
      </c>
      <c r="AE78" s="2">
        <f t="shared" si="63"/>
        <v>2049</v>
      </c>
      <c r="AF78" s="2">
        <f t="shared" si="64"/>
        <v>99.375</v>
      </c>
      <c r="AG78" s="2">
        <f t="shared" si="65"/>
        <v>2148.375</v>
      </c>
      <c r="AH78" s="2">
        <f t="shared" si="66"/>
        <v>99.375</v>
      </c>
      <c r="AI78" s="2">
        <f t="shared" si="67"/>
        <v>2247.75</v>
      </c>
      <c r="AJ78" s="2">
        <f t="shared" ref="AJ78:AJ85" si="77">AH78</f>
        <v>99.375</v>
      </c>
      <c r="AK78" s="2">
        <f t="shared" si="68"/>
        <v>2347.125</v>
      </c>
      <c r="AL78" s="2">
        <f t="shared" ref="AL78:AL85" si="78">AJ78</f>
        <v>99.375</v>
      </c>
      <c r="AM78" s="3">
        <f t="shared" si="69"/>
        <v>2446.5</v>
      </c>
      <c r="AN78" s="2">
        <f t="shared" si="70"/>
        <v>1528.5</v>
      </c>
      <c r="AO78" s="4">
        <f t="shared" si="71"/>
        <v>99.375</v>
      </c>
      <c r="AP78" s="2">
        <f t="shared" si="72"/>
        <v>2545.875</v>
      </c>
      <c r="AQ78" s="2">
        <f t="shared" si="73"/>
        <v>1429.125</v>
      </c>
      <c r="AR78" s="4">
        <f t="shared" si="74"/>
        <v>99.375</v>
      </c>
      <c r="AS78" s="5">
        <f t="shared" si="75"/>
        <v>2645.25</v>
      </c>
      <c r="AT78" s="2">
        <f t="shared" si="76"/>
        <v>1329.75</v>
      </c>
    </row>
    <row r="79" spans="1:46" x14ac:dyDescent="0.2">
      <c r="A79" s="1" t="s">
        <v>125</v>
      </c>
      <c r="B79" s="1" t="s">
        <v>126</v>
      </c>
      <c r="C79" s="2">
        <v>9973</v>
      </c>
      <c r="D79" s="1" t="s">
        <v>61</v>
      </c>
      <c r="E79" s="2">
        <v>40</v>
      </c>
      <c r="G79" s="2">
        <v>1829</v>
      </c>
      <c r="H79" s="2">
        <v>249</v>
      </c>
      <c r="I79" s="2">
        <f>SUM(G79:H79)</f>
        <v>2078</v>
      </c>
      <c r="J79" s="2">
        <v>249</v>
      </c>
      <c r="K79" s="2">
        <f>I79+J79</f>
        <v>2327</v>
      </c>
      <c r="L79" s="2">
        <f t="shared" si="45"/>
        <v>249</v>
      </c>
      <c r="M79" s="2">
        <f t="shared" si="44"/>
        <v>2576</v>
      </c>
      <c r="N79" s="2">
        <f t="shared" si="46"/>
        <v>249</v>
      </c>
      <c r="O79" s="2">
        <f t="shared" si="47"/>
        <v>2825</v>
      </c>
      <c r="P79" s="2">
        <f t="shared" si="48"/>
        <v>249.32499999999999</v>
      </c>
      <c r="Q79" s="2">
        <f t="shared" si="49"/>
        <v>3074.3249999999998</v>
      </c>
      <c r="R79" s="2">
        <f t="shared" si="50"/>
        <v>249.32499999999999</v>
      </c>
      <c r="S79" s="2">
        <f t="shared" si="51"/>
        <v>3323.6499999999996</v>
      </c>
      <c r="T79" s="2">
        <f t="shared" si="52"/>
        <v>249.32499999999999</v>
      </c>
      <c r="U79" s="2">
        <f t="shared" si="53"/>
        <v>3572.9749999999995</v>
      </c>
      <c r="V79" s="2">
        <f t="shared" si="54"/>
        <v>249.32499999999999</v>
      </c>
      <c r="W79" s="2">
        <f t="shared" si="55"/>
        <v>3822.2999999999993</v>
      </c>
      <c r="X79" s="2">
        <f t="shared" si="56"/>
        <v>249.32499999999999</v>
      </c>
      <c r="Y79" s="2">
        <f t="shared" si="57"/>
        <v>4071.6249999999991</v>
      </c>
      <c r="Z79" s="2">
        <f t="shared" si="58"/>
        <v>249.32499999999999</v>
      </c>
      <c r="AA79" s="2">
        <f t="shared" si="59"/>
        <v>4320.9499999999989</v>
      </c>
      <c r="AB79" s="2">
        <f t="shared" si="60"/>
        <v>249.32499999999999</v>
      </c>
      <c r="AC79" s="2">
        <f t="shared" si="61"/>
        <v>4570.2749999999987</v>
      </c>
      <c r="AD79" s="2">
        <f t="shared" si="62"/>
        <v>249.32499999999999</v>
      </c>
      <c r="AE79" s="2">
        <f t="shared" si="63"/>
        <v>4819.5999999999985</v>
      </c>
      <c r="AF79" s="2">
        <f t="shared" si="64"/>
        <v>249.32499999999999</v>
      </c>
      <c r="AG79" s="2">
        <f t="shared" si="65"/>
        <v>5068.9249999999984</v>
      </c>
      <c r="AH79" s="2">
        <f t="shared" si="66"/>
        <v>249.32499999999999</v>
      </c>
      <c r="AI79" s="2">
        <f t="shared" si="67"/>
        <v>5318.2499999999982</v>
      </c>
      <c r="AJ79" s="2">
        <f t="shared" si="77"/>
        <v>249.32499999999999</v>
      </c>
      <c r="AK79" s="2">
        <f t="shared" si="68"/>
        <v>5567.574999999998</v>
      </c>
      <c r="AL79" s="2">
        <f t="shared" si="78"/>
        <v>249.32499999999999</v>
      </c>
      <c r="AM79" s="3">
        <f t="shared" si="69"/>
        <v>5816.8999999999978</v>
      </c>
      <c r="AN79" s="2">
        <f t="shared" si="70"/>
        <v>4156.1000000000022</v>
      </c>
      <c r="AO79" s="4">
        <f t="shared" si="71"/>
        <v>249.32499999999999</v>
      </c>
      <c r="AP79" s="2">
        <f t="shared" si="72"/>
        <v>6066.2249999999976</v>
      </c>
      <c r="AQ79" s="2">
        <f t="shared" si="73"/>
        <v>3906.7750000000024</v>
      </c>
      <c r="AR79" s="4">
        <f t="shared" si="74"/>
        <v>249.32499999999999</v>
      </c>
      <c r="AS79" s="5">
        <f t="shared" si="75"/>
        <v>6315.5499999999975</v>
      </c>
      <c r="AT79" s="2">
        <f t="shared" si="76"/>
        <v>3657.4500000000025</v>
      </c>
    </row>
    <row r="80" spans="1:46" x14ac:dyDescent="0.2">
      <c r="A80" s="1" t="s">
        <v>125</v>
      </c>
      <c r="B80" s="1" t="s">
        <v>127</v>
      </c>
      <c r="C80" s="2">
        <v>2227</v>
      </c>
      <c r="D80" s="1" t="s">
        <v>61</v>
      </c>
      <c r="E80" s="2">
        <v>40</v>
      </c>
      <c r="G80" s="2">
        <v>294</v>
      </c>
      <c r="H80" s="2">
        <v>56</v>
      </c>
      <c r="I80" s="2">
        <f>294+56</f>
        <v>350</v>
      </c>
      <c r="J80" s="2">
        <v>56</v>
      </c>
      <c r="K80" s="2">
        <f>I80+J80</f>
        <v>406</v>
      </c>
      <c r="L80" s="2">
        <f t="shared" si="45"/>
        <v>56</v>
      </c>
      <c r="M80" s="2">
        <f t="shared" si="44"/>
        <v>462</v>
      </c>
      <c r="N80" s="2">
        <f t="shared" si="46"/>
        <v>56</v>
      </c>
      <c r="O80" s="2">
        <f t="shared" si="47"/>
        <v>518</v>
      </c>
      <c r="P80" s="2">
        <f t="shared" si="48"/>
        <v>55.674999999999997</v>
      </c>
      <c r="Q80" s="2">
        <f t="shared" si="49"/>
        <v>573.67499999999995</v>
      </c>
      <c r="R80" s="2">
        <f t="shared" si="50"/>
        <v>55.674999999999997</v>
      </c>
      <c r="S80" s="2">
        <f t="shared" si="51"/>
        <v>629.34999999999991</v>
      </c>
      <c r="T80" s="2">
        <f t="shared" si="52"/>
        <v>55.674999999999997</v>
      </c>
      <c r="U80" s="2">
        <f t="shared" si="53"/>
        <v>685.02499999999986</v>
      </c>
      <c r="V80" s="2">
        <f t="shared" si="54"/>
        <v>55.674999999999997</v>
      </c>
      <c r="W80" s="2">
        <f t="shared" si="55"/>
        <v>740.69999999999982</v>
      </c>
      <c r="X80" s="2">
        <f t="shared" si="56"/>
        <v>55.674999999999997</v>
      </c>
      <c r="Y80" s="2">
        <f t="shared" si="57"/>
        <v>796.37499999999977</v>
      </c>
      <c r="Z80" s="2">
        <f t="shared" si="58"/>
        <v>55.674999999999997</v>
      </c>
      <c r="AA80" s="2">
        <f t="shared" si="59"/>
        <v>852.04999999999973</v>
      </c>
      <c r="AB80" s="2">
        <f t="shared" si="60"/>
        <v>55.674999999999997</v>
      </c>
      <c r="AC80" s="2">
        <f t="shared" si="61"/>
        <v>907.72499999999968</v>
      </c>
      <c r="AD80" s="2">
        <f t="shared" si="62"/>
        <v>55.674999999999997</v>
      </c>
      <c r="AE80" s="2">
        <f t="shared" si="63"/>
        <v>963.39999999999964</v>
      </c>
      <c r="AF80" s="2">
        <f t="shared" si="64"/>
        <v>55.674999999999997</v>
      </c>
      <c r="AG80" s="2">
        <f t="shared" si="65"/>
        <v>1019.0749999999996</v>
      </c>
      <c r="AH80" s="2">
        <f t="shared" si="66"/>
        <v>55.674999999999997</v>
      </c>
      <c r="AI80" s="2">
        <f t="shared" si="67"/>
        <v>1074.7499999999995</v>
      </c>
      <c r="AJ80" s="2">
        <f t="shared" si="77"/>
        <v>55.674999999999997</v>
      </c>
      <c r="AK80" s="2">
        <f t="shared" si="68"/>
        <v>1130.4249999999995</v>
      </c>
      <c r="AL80" s="2">
        <f t="shared" si="78"/>
        <v>55.674999999999997</v>
      </c>
      <c r="AM80" s="3">
        <f t="shared" si="69"/>
        <v>1186.0999999999995</v>
      </c>
      <c r="AN80" s="2">
        <f t="shared" si="70"/>
        <v>1040.9000000000005</v>
      </c>
      <c r="AO80" s="4">
        <f t="shared" si="71"/>
        <v>55.674999999999997</v>
      </c>
      <c r="AP80" s="2">
        <f t="shared" si="72"/>
        <v>1241.7749999999994</v>
      </c>
      <c r="AQ80" s="2">
        <f t="shared" si="73"/>
        <v>985.22500000000059</v>
      </c>
      <c r="AR80" s="4">
        <f t="shared" si="74"/>
        <v>55.674999999999997</v>
      </c>
      <c r="AS80" s="5">
        <f t="shared" si="75"/>
        <v>1297.4499999999994</v>
      </c>
      <c r="AT80" s="2">
        <f t="shared" si="76"/>
        <v>929.55000000000064</v>
      </c>
    </row>
    <row r="81" spans="1:46" x14ac:dyDescent="0.2">
      <c r="A81" s="1" t="s">
        <v>128</v>
      </c>
      <c r="B81" s="1" t="s">
        <v>129</v>
      </c>
      <c r="C81" s="2">
        <v>6980</v>
      </c>
      <c r="D81" s="1" t="s">
        <v>61</v>
      </c>
      <c r="E81" s="2">
        <v>40</v>
      </c>
      <c r="G81" s="2">
        <v>15</v>
      </c>
      <c r="H81" s="2">
        <v>175</v>
      </c>
      <c r="I81" s="2">
        <f>SUM(G81:H81)</f>
        <v>190</v>
      </c>
      <c r="J81" s="2">
        <v>175</v>
      </c>
      <c r="K81" s="2">
        <f>I81+J81</f>
        <v>365</v>
      </c>
      <c r="L81" s="2">
        <f t="shared" si="45"/>
        <v>175</v>
      </c>
      <c r="M81" s="2">
        <f t="shared" si="44"/>
        <v>540</v>
      </c>
      <c r="N81" s="2">
        <f t="shared" si="46"/>
        <v>175</v>
      </c>
      <c r="O81" s="2">
        <f t="shared" si="47"/>
        <v>715</v>
      </c>
      <c r="P81" s="2">
        <f t="shared" si="48"/>
        <v>174.5</v>
      </c>
      <c r="Q81" s="2">
        <f t="shared" si="49"/>
        <v>889.5</v>
      </c>
      <c r="R81" s="2">
        <f t="shared" si="50"/>
        <v>174.5</v>
      </c>
      <c r="S81" s="2">
        <f t="shared" si="51"/>
        <v>1064</v>
      </c>
      <c r="T81" s="2">
        <f t="shared" si="52"/>
        <v>174.5</v>
      </c>
      <c r="U81" s="2">
        <f t="shared" si="53"/>
        <v>1238.5</v>
      </c>
      <c r="V81" s="2">
        <f t="shared" si="54"/>
        <v>174.5</v>
      </c>
      <c r="W81" s="2">
        <f t="shared" si="55"/>
        <v>1413</v>
      </c>
      <c r="X81" s="2">
        <f t="shared" si="56"/>
        <v>174.5</v>
      </c>
      <c r="Y81" s="2">
        <f t="shared" si="57"/>
        <v>1587.5</v>
      </c>
      <c r="Z81" s="2">
        <f t="shared" si="58"/>
        <v>174.5</v>
      </c>
      <c r="AA81" s="2">
        <f t="shared" si="59"/>
        <v>1762</v>
      </c>
      <c r="AB81" s="2">
        <f t="shared" si="60"/>
        <v>174.5</v>
      </c>
      <c r="AC81" s="2">
        <f t="shared" si="61"/>
        <v>1936.5</v>
      </c>
      <c r="AD81" s="2">
        <f t="shared" si="62"/>
        <v>174.5</v>
      </c>
      <c r="AE81" s="2">
        <f t="shared" si="63"/>
        <v>2111</v>
      </c>
      <c r="AF81" s="2">
        <f t="shared" si="64"/>
        <v>174.5</v>
      </c>
      <c r="AG81" s="2">
        <f t="shared" si="65"/>
        <v>2285.5</v>
      </c>
      <c r="AH81" s="2">
        <f t="shared" si="66"/>
        <v>174.5</v>
      </c>
      <c r="AI81" s="2">
        <f t="shared" si="67"/>
        <v>2460</v>
      </c>
      <c r="AJ81" s="2">
        <f t="shared" si="77"/>
        <v>174.5</v>
      </c>
      <c r="AK81" s="2">
        <f t="shared" si="68"/>
        <v>2634.5</v>
      </c>
      <c r="AL81" s="2">
        <f t="shared" si="78"/>
        <v>174.5</v>
      </c>
      <c r="AM81" s="3">
        <f t="shared" si="69"/>
        <v>2809</v>
      </c>
      <c r="AN81" s="2">
        <f t="shared" si="70"/>
        <v>4171</v>
      </c>
      <c r="AO81" s="4">
        <f t="shared" si="71"/>
        <v>174.5</v>
      </c>
      <c r="AP81" s="2">
        <f t="shared" si="72"/>
        <v>2983.5</v>
      </c>
      <c r="AQ81" s="2">
        <f t="shared" si="73"/>
        <v>3996.5</v>
      </c>
      <c r="AR81" s="4">
        <f t="shared" si="74"/>
        <v>174.5</v>
      </c>
      <c r="AS81" s="5">
        <f t="shared" si="75"/>
        <v>3158</v>
      </c>
      <c r="AT81" s="2">
        <f t="shared" si="76"/>
        <v>3822</v>
      </c>
    </row>
    <row r="82" spans="1:46" x14ac:dyDescent="0.2">
      <c r="A82" s="1" t="s">
        <v>79</v>
      </c>
      <c r="B82" s="1" t="s">
        <v>130</v>
      </c>
      <c r="C82" s="2">
        <v>134000</v>
      </c>
      <c r="D82" s="1" t="s">
        <v>61</v>
      </c>
      <c r="E82" s="2">
        <v>40</v>
      </c>
      <c r="J82" s="2">
        <v>1675</v>
      </c>
      <c r="K82" s="2">
        <f>C82/40/12*6</f>
        <v>1675</v>
      </c>
      <c r="L82" s="2">
        <f t="shared" si="45"/>
        <v>1675</v>
      </c>
      <c r="M82" s="2">
        <f t="shared" si="44"/>
        <v>3350</v>
      </c>
      <c r="N82" s="2">
        <f t="shared" si="46"/>
        <v>1675</v>
      </c>
      <c r="O82" s="2">
        <f t="shared" si="47"/>
        <v>5025</v>
      </c>
      <c r="P82" s="2">
        <f t="shared" si="48"/>
        <v>3350</v>
      </c>
      <c r="Q82" s="2">
        <f t="shared" si="49"/>
        <v>8375</v>
      </c>
      <c r="R82" s="2">
        <f t="shared" si="50"/>
        <v>3350</v>
      </c>
      <c r="S82" s="2">
        <f t="shared" si="51"/>
        <v>11725</v>
      </c>
      <c r="T82" s="2">
        <f t="shared" si="52"/>
        <v>3350</v>
      </c>
      <c r="U82" s="2">
        <f t="shared" si="53"/>
        <v>15075</v>
      </c>
      <c r="V82" s="2">
        <f t="shared" si="54"/>
        <v>3350</v>
      </c>
      <c r="W82" s="2">
        <f t="shared" si="55"/>
        <v>18425</v>
      </c>
      <c r="X82" s="2">
        <f t="shared" si="56"/>
        <v>3350</v>
      </c>
      <c r="Y82" s="2">
        <f t="shared" si="57"/>
        <v>21775</v>
      </c>
      <c r="Z82" s="2">
        <f t="shared" si="58"/>
        <v>3350</v>
      </c>
      <c r="AA82" s="2">
        <f t="shared" si="59"/>
        <v>25125</v>
      </c>
      <c r="AB82" s="2">
        <f t="shared" si="60"/>
        <v>3350</v>
      </c>
      <c r="AC82" s="2">
        <f t="shared" si="61"/>
        <v>28475</v>
      </c>
      <c r="AD82" s="2">
        <f t="shared" si="62"/>
        <v>3350</v>
      </c>
      <c r="AE82" s="2">
        <f t="shared" si="63"/>
        <v>31825</v>
      </c>
      <c r="AF82" s="2">
        <f t="shared" si="64"/>
        <v>3350</v>
      </c>
      <c r="AG82" s="2">
        <f t="shared" si="65"/>
        <v>35175</v>
      </c>
      <c r="AH82" s="2">
        <f t="shared" si="66"/>
        <v>3350</v>
      </c>
      <c r="AI82" s="2">
        <f t="shared" si="67"/>
        <v>38525</v>
      </c>
      <c r="AJ82" s="2">
        <f t="shared" si="77"/>
        <v>3350</v>
      </c>
      <c r="AK82" s="2">
        <f t="shared" si="68"/>
        <v>41875</v>
      </c>
      <c r="AL82" s="2">
        <f t="shared" si="78"/>
        <v>3350</v>
      </c>
      <c r="AM82" s="3">
        <f t="shared" si="69"/>
        <v>45225</v>
      </c>
      <c r="AN82" s="2">
        <f t="shared" si="70"/>
        <v>88775</v>
      </c>
      <c r="AO82" s="4">
        <f t="shared" si="71"/>
        <v>3350</v>
      </c>
      <c r="AP82" s="2">
        <f t="shared" si="72"/>
        <v>48575</v>
      </c>
      <c r="AQ82" s="2">
        <f t="shared" si="73"/>
        <v>85425</v>
      </c>
      <c r="AR82" s="4">
        <f t="shared" si="74"/>
        <v>3350</v>
      </c>
      <c r="AS82" s="5">
        <f t="shared" si="75"/>
        <v>51925</v>
      </c>
      <c r="AT82" s="2">
        <f t="shared" si="76"/>
        <v>82075</v>
      </c>
    </row>
    <row r="83" spans="1:46" x14ac:dyDescent="0.2">
      <c r="A83" s="1" t="s">
        <v>131</v>
      </c>
      <c r="B83" s="1" t="s">
        <v>130</v>
      </c>
      <c r="C83" s="2">
        <v>425000</v>
      </c>
      <c r="D83" s="1" t="s">
        <v>61</v>
      </c>
      <c r="E83" s="2">
        <v>40</v>
      </c>
      <c r="J83" s="2">
        <v>5313</v>
      </c>
      <c r="K83" s="2">
        <f>C83/40/12*6</f>
        <v>5312.5</v>
      </c>
      <c r="L83" s="2">
        <f>C83/E83</f>
        <v>10625</v>
      </c>
      <c r="M83" s="2">
        <f t="shared" si="44"/>
        <v>15937.5</v>
      </c>
      <c r="N83" s="2">
        <f t="shared" si="46"/>
        <v>10625</v>
      </c>
      <c r="O83" s="2">
        <f t="shared" si="47"/>
        <v>26562.5</v>
      </c>
      <c r="P83" s="2">
        <f t="shared" si="48"/>
        <v>10625</v>
      </c>
      <c r="Q83" s="2">
        <f t="shared" si="49"/>
        <v>37187.5</v>
      </c>
      <c r="R83" s="2">
        <f t="shared" si="50"/>
        <v>10625</v>
      </c>
      <c r="S83" s="2">
        <f t="shared" si="51"/>
        <v>47812.5</v>
      </c>
      <c r="T83" s="2">
        <f t="shared" si="52"/>
        <v>10625</v>
      </c>
      <c r="U83" s="2">
        <f t="shared" si="53"/>
        <v>58437.5</v>
      </c>
      <c r="V83" s="2">
        <f t="shared" si="54"/>
        <v>10625</v>
      </c>
      <c r="W83" s="2">
        <f t="shared" si="55"/>
        <v>69062.5</v>
      </c>
      <c r="X83" s="2">
        <f t="shared" si="56"/>
        <v>10625</v>
      </c>
      <c r="Y83" s="2">
        <f t="shared" si="57"/>
        <v>79687.5</v>
      </c>
      <c r="Z83" s="2">
        <f t="shared" si="58"/>
        <v>10625</v>
      </c>
      <c r="AA83" s="2">
        <f t="shared" si="59"/>
        <v>90312.5</v>
      </c>
      <c r="AB83" s="2">
        <f t="shared" si="60"/>
        <v>10625</v>
      </c>
      <c r="AC83" s="2">
        <f t="shared" si="61"/>
        <v>100937.5</v>
      </c>
      <c r="AD83" s="2">
        <f t="shared" si="62"/>
        <v>10625</v>
      </c>
      <c r="AE83" s="2">
        <f t="shared" si="63"/>
        <v>111562.5</v>
      </c>
      <c r="AF83" s="2">
        <f t="shared" si="64"/>
        <v>10625</v>
      </c>
      <c r="AG83" s="2">
        <f t="shared" si="65"/>
        <v>122187.5</v>
      </c>
      <c r="AH83" s="2">
        <f t="shared" si="66"/>
        <v>10625</v>
      </c>
      <c r="AI83" s="2">
        <f t="shared" si="67"/>
        <v>132812.5</v>
      </c>
      <c r="AJ83" s="2">
        <f t="shared" si="77"/>
        <v>10625</v>
      </c>
      <c r="AK83" s="2">
        <f t="shared" si="68"/>
        <v>143437.5</v>
      </c>
      <c r="AL83" s="2">
        <f t="shared" si="78"/>
        <v>10625</v>
      </c>
      <c r="AM83" s="3">
        <f t="shared" si="69"/>
        <v>154062.5</v>
      </c>
      <c r="AN83" s="2">
        <f t="shared" si="70"/>
        <v>270937.5</v>
      </c>
      <c r="AO83" s="4">
        <f t="shared" si="71"/>
        <v>10625</v>
      </c>
      <c r="AP83" s="2">
        <f t="shared" si="72"/>
        <v>164687.5</v>
      </c>
      <c r="AQ83" s="2">
        <f t="shared" si="73"/>
        <v>260312.5</v>
      </c>
      <c r="AR83" s="4">
        <f t="shared" si="74"/>
        <v>10625</v>
      </c>
      <c r="AS83" s="5">
        <f t="shared" si="75"/>
        <v>175312.5</v>
      </c>
      <c r="AT83" s="2">
        <f t="shared" si="76"/>
        <v>249687.5</v>
      </c>
    </row>
    <row r="84" spans="1:46" x14ac:dyDescent="0.2">
      <c r="A84" s="1" t="s">
        <v>132</v>
      </c>
      <c r="B84" s="1" t="s">
        <v>130</v>
      </c>
      <c r="C84" s="2">
        <v>124000</v>
      </c>
      <c r="D84" s="1" t="s">
        <v>61</v>
      </c>
      <c r="E84" s="2">
        <v>40</v>
      </c>
      <c r="J84" s="2">
        <v>1550</v>
      </c>
      <c r="K84" s="2">
        <f>C84/40/12*6</f>
        <v>1550</v>
      </c>
      <c r="L84" s="2">
        <f>C84/E84</f>
        <v>3100</v>
      </c>
      <c r="M84" s="2">
        <f t="shared" si="44"/>
        <v>4650</v>
      </c>
      <c r="N84" s="2">
        <f t="shared" si="46"/>
        <v>3100</v>
      </c>
      <c r="O84" s="2">
        <f t="shared" si="47"/>
        <v>7750</v>
      </c>
      <c r="P84" s="2">
        <f t="shared" si="48"/>
        <v>3100</v>
      </c>
      <c r="Q84" s="2">
        <f t="shared" si="49"/>
        <v>10850</v>
      </c>
      <c r="R84" s="2">
        <f t="shared" si="50"/>
        <v>3100</v>
      </c>
      <c r="S84" s="2">
        <f t="shared" si="51"/>
        <v>13950</v>
      </c>
      <c r="T84" s="2">
        <f t="shared" si="52"/>
        <v>3100</v>
      </c>
      <c r="U84" s="2">
        <f t="shared" si="53"/>
        <v>17050</v>
      </c>
      <c r="V84" s="2">
        <f t="shared" si="54"/>
        <v>3100</v>
      </c>
      <c r="W84" s="2">
        <f t="shared" si="55"/>
        <v>20150</v>
      </c>
      <c r="X84" s="2">
        <f t="shared" si="56"/>
        <v>3100</v>
      </c>
      <c r="Y84" s="2">
        <f t="shared" si="57"/>
        <v>23250</v>
      </c>
      <c r="Z84" s="2">
        <f t="shared" si="58"/>
        <v>3100</v>
      </c>
      <c r="AA84" s="2">
        <f t="shared" si="59"/>
        <v>26350</v>
      </c>
      <c r="AB84" s="2">
        <f t="shared" si="60"/>
        <v>3100</v>
      </c>
      <c r="AC84" s="2">
        <f t="shared" si="61"/>
        <v>29450</v>
      </c>
      <c r="AD84" s="2">
        <f t="shared" si="62"/>
        <v>3100</v>
      </c>
      <c r="AE84" s="2">
        <f t="shared" si="63"/>
        <v>32550</v>
      </c>
      <c r="AF84" s="2">
        <f t="shared" si="64"/>
        <v>3100</v>
      </c>
      <c r="AG84" s="2">
        <f t="shared" si="65"/>
        <v>35650</v>
      </c>
      <c r="AH84" s="2">
        <f t="shared" si="66"/>
        <v>3100</v>
      </c>
      <c r="AI84" s="2">
        <f t="shared" si="67"/>
        <v>38750</v>
      </c>
      <c r="AJ84" s="2">
        <f t="shared" si="77"/>
        <v>3100</v>
      </c>
      <c r="AK84" s="2">
        <f t="shared" si="68"/>
        <v>41850</v>
      </c>
      <c r="AL84" s="2">
        <f t="shared" si="78"/>
        <v>3100</v>
      </c>
      <c r="AM84" s="3">
        <f t="shared" si="69"/>
        <v>44950</v>
      </c>
      <c r="AN84" s="2">
        <f t="shared" si="70"/>
        <v>79050</v>
      </c>
      <c r="AO84" s="4">
        <f t="shared" si="71"/>
        <v>3100</v>
      </c>
      <c r="AP84" s="2">
        <f t="shared" si="72"/>
        <v>48050</v>
      </c>
      <c r="AQ84" s="2">
        <f t="shared" si="73"/>
        <v>75950</v>
      </c>
      <c r="AR84" s="4">
        <f t="shared" si="74"/>
        <v>3100</v>
      </c>
      <c r="AS84" s="5">
        <f t="shared" si="75"/>
        <v>51150</v>
      </c>
      <c r="AT84" s="2">
        <f t="shared" si="76"/>
        <v>72850</v>
      </c>
    </row>
    <row r="85" spans="1:46" x14ac:dyDescent="0.2">
      <c r="A85" s="1" t="s">
        <v>82</v>
      </c>
      <c r="B85" s="1" t="s">
        <v>130</v>
      </c>
      <c r="C85" s="2">
        <v>20000</v>
      </c>
      <c r="D85" s="1" t="s">
        <v>61</v>
      </c>
      <c r="E85" s="2">
        <v>40</v>
      </c>
      <c r="J85" s="2">
        <v>250</v>
      </c>
      <c r="K85" s="2">
        <f>C85/40/12*6</f>
        <v>250</v>
      </c>
      <c r="L85" s="2">
        <f>C85/E85</f>
        <v>500</v>
      </c>
      <c r="M85" s="2">
        <f t="shared" si="44"/>
        <v>750</v>
      </c>
      <c r="N85" s="2">
        <f t="shared" si="46"/>
        <v>500</v>
      </c>
      <c r="O85" s="2">
        <f t="shared" si="47"/>
        <v>1250</v>
      </c>
      <c r="P85" s="2">
        <f t="shared" si="48"/>
        <v>500</v>
      </c>
      <c r="Q85" s="2">
        <f t="shared" si="49"/>
        <v>1750</v>
      </c>
      <c r="R85" s="2">
        <f t="shared" si="50"/>
        <v>500</v>
      </c>
      <c r="S85" s="2">
        <f t="shared" si="51"/>
        <v>2250</v>
      </c>
      <c r="T85" s="2">
        <f t="shared" si="52"/>
        <v>500</v>
      </c>
      <c r="U85" s="2">
        <f t="shared" si="53"/>
        <v>2750</v>
      </c>
      <c r="V85" s="2">
        <f t="shared" si="54"/>
        <v>500</v>
      </c>
      <c r="W85" s="2">
        <f t="shared" si="55"/>
        <v>3250</v>
      </c>
      <c r="X85" s="2">
        <f t="shared" si="56"/>
        <v>500</v>
      </c>
      <c r="Y85" s="2">
        <f t="shared" si="57"/>
        <v>3750</v>
      </c>
      <c r="Z85" s="2">
        <f t="shared" si="58"/>
        <v>500</v>
      </c>
      <c r="AA85" s="2">
        <f t="shared" si="59"/>
        <v>4250</v>
      </c>
      <c r="AB85" s="2">
        <f t="shared" si="60"/>
        <v>500</v>
      </c>
      <c r="AC85" s="2">
        <f t="shared" si="61"/>
        <v>4750</v>
      </c>
      <c r="AD85" s="2">
        <f t="shared" si="62"/>
        <v>500</v>
      </c>
      <c r="AE85" s="2">
        <f t="shared" si="63"/>
        <v>5250</v>
      </c>
      <c r="AF85" s="2">
        <f t="shared" si="64"/>
        <v>500</v>
      </c>
      <c r="AG85" s="2">
        <f t="shared" si="65"/>
        <v>5750</v>
      </c>
      <c r="AH85" s="2">
        <f t="shared" si="66"/>
        <v>500</v>
      </c>
      <c r="AI85" s="2">
        <f t="shared" si="67"/>
        <v>6250</v>
      </c>
      <c r="AJ85" s="2">
        <f t="shared" si="77"/>
        <v>500</v>
      </c>
      <c r="AK85" s="2">
        <v>7100</v>
      </c>
      <c r="AL85" s="2">
        <f t="shared" si="78"/>
        <v>500</v>
      </c>
      <c r="AM85" s="3">
        <f t="shared" si="69"/>
        <v>7600</v>
      </c>
      <c r="AN85" s="2">
        <f t="shared" si="70"/>
        <v>12400</v>
      </c>
      <c r="AO85" s="4">
        <f t="shared" si="71"/>
        <v>500</v>
      </c>
      <c r="AP85" s="2">
        <f t="shared" si="72"/>
        <v>8100</v>
      </c>
      <c r="AQ85" s="2">
        <f t="shared" si="73"/>
        <v>11900</v>
      </c>
      <c r="AR85" s="4">
        <f t="shared" si="74"/>
        <v>500</v>
      </c>
      <c r="AS85" s="5">
        <f t="shared" si="75"/>
        <v>8600</v>
      </c>
      <c r="AT85" s="2">
        <f t="shared" si="76"/>
        <v>11400</v>
      </c>
    </row>
    <row r="86" spans="1:46" x14ac:dyDescent="0.2">
      <c r="A86" s="1" t="s">
        <v>133</v>
      </c>
      <c r="B86" s="1" t="s">
        <v>134</v>
      </c>
      <c r="C86" s="2">
        <v>14000</v>
      </c>
      <c r="D86" s="1" t="s">
        <v>61</v>
      </c>
      <c r="E86" s="2">
        <v>10</v>
      </c>
      <c r="N86" s="2">
        <f>14000/10/12*9</f>
        <v>1050</v>
      </c>
      <c r="O86" s="2">
        <f t="shared" si="47"/>
        <v>1050</v>
      </c>
      <c r="P86" s="2">
        <f t="shared" si="48"/>
        <v>1400</v>
      </c>
      <c r="Q86" s="2">
        <f t="shared" si="49"/>
        <v>2450</v>
      </c>
      <c r="R86" s="2">
        <f t="shared" si="50"/>
        <v>1400</v>
      </c>
      <c r="S86" s="2">
        <f t="shared" si="51"/>
        <v>3850</v>
      </c>
      <c r="T86" s="2">
        <f t="shared" si="52"/>
        <v>1400</v>
      </c>
      <c r="U86" s="2">
        <f t="shared" si="53"/>
        <v>5250</v>
      </c>
      <c r="V86" s="2">
        <f t="shared" si="54"/>
        <v>1400</v>
      </c>
      <c r="W86" s="2">
        <f t="shared" si="55"/>
        <v>6650</v>
      </c>
      <c r="X86" s="2">
        <f t="shared" si="56"/>
        <v>1400</v>
      </c>
      <c r="Y86" s="2">
        <f t="shared" si="57"/>
        <v>8050</v>
      </c>
      <c r="Z86" s="2">
        <f t="shared" si="58"/>
        <v>1400</v>
      </c>
      <c r="AA86" s="2">
        <f t="shared" si="59"/>
        <v>9450</v>
      </c>
      <c r="AB86" s="2">
        <f t="shared" si="60"/>
        <v>1400</v>
      </c>
      <c r="AC86" s="2">
        <f t="shared" si="61"/>
        <v>10850</v>
      </c>
      <c r="AD86" s="2">
        <f t="shared" si="62"/>
        <v>1400</v>
      </c>
      <c r="AE86" s="2">
        <f t="shared" si="63"/>
        <v>12250</v>
      </c>
      <c r="AF86" s="2">
        <f t="shared" si="64"/>
        <v>1400</v>
      </c>
      <c r="AG86" s="2">
        <f t="shared" si="65"/>
        <v>13650</v>
      </c>
      <c r="AH86" s="2">
        <f>14000-13650</f>
        <v>350</v>
      </c>
      <c r="AI86" s="2">
        <f t="shared" si="67"/>
        <v>14000</v>
      </c>
      <c r="AJ86" s="2">
        <v>0</v>
      </c>
      <c r="AK86" s="2">
        <f>SUM(AI86:AJ86)</f>
        <v>14000</v>
      </c>
      <c r="AL86" s="2">
        <v>0</v>
      </c>
      <c r="AM86" s="3">
        <f t="shared" si="69"/>
        <v>14000</v>
      </c>
      <c r="AN86" s="2">
        <f t="shared" si="70"/>
        <v>0</v>
      </c>
      <c r="AO86" s="4">
        <f t="shared" si="71"/>
        <v>0</v>
      </c>
      <c r="AP86" s="2">
        <f t="shared" si="72"/>
        <v>14000</v>
      </c>
      <c r="AQ86" s="2">
        <f t="shared" si="73"/>
        <v>0</v>
      </c>
      <c r="AR86" s="4">
        <f t="shared" si="74"/>
        <v>0</v>
      </c>
      <c r="AS86" s="5">
        <f t="shared" si="75"/>
        <v>14000</v>
      </c>
      <c r="AT86" s="2">
        <f t="shared" si="76"/>
        <v>0</v>
      </c>
    </row>
    <row r="87" spans="1:46" x14ac:dyDescent="0.2">
      <c r="A87" s="1" t="s">
        <v>135</v>
      </c>
      <c r="B87" s="1" t="s">
        <v>136</v>
      </c>
      <c r="C87" s="2">
        <v>821509</v>
      </c>
      <c r="D87" s="1" t="s">
        <v>61</v>
      </c>
      <c r="E87" s="2">
        <v>40</v>
      </c>
      <c r="V87" s="2">
        <v>5134</v>
      </c>
      <c r="W87" s="2">
        <v>5134</v>
      </c>
      <c r="X87" s="2">
        <f>821509/40</f>
        <v>20537.724999999999</v>
      </c>
      <c r="Y87" s="2">
        <f t="shared" si="57"/>
        <v>25671.724999999999</v>
      </c>
      <c r="Z87" s="2">
        <f t="shared" si="58"/>
        <v>20537.724999999999</v>
      </c>
      <c r="AA87" s="2">
        <f t="shared" si="59"/>
        <v>46209.45</v>
      </c>
      <c r="AB87" s="2">
        <f t="shared" si="60"/>
        <v>20537.724999999999</v>
      </c>
      <c r="AC87" s="2">
        <f t="shared" si="61"/>
        <v>66747.174999999988</v>
      </c>
      <c r="AD87" s="2">
        <f t="shared" si="62"/>
        <v>20537.724999999999</v>
      </c>
      <c r="AE87" s="2">
        <f t="shared" si="63"/>
        <v>87284.9</v>
      </c>
      <c r="AF87" s="2">
        <f t="shared" si="64"/>
        <v>20537.724999999999</v>
      </c>
      <c r="AG87" s="2">
        <f t="shared" si="65"/>
        <v>107822.625</v>
      </c>
      <c r="AH87" s="2">
        <f>AF87</f>
        <v>20537.724999999999</v>
      </c>
      <c r="AI87" s="2">
        <f t="shared" si="67"/>
        <v>128360.35</v>
      </c>
      <c r="AJ87" s="2">
        <v>20537.73</v>
      </c>
      <c r="AK87" s="2">
        <f>SUM(AI87:AJ87)</f>
        <v>148898.08000000002</v>
      </c>
      <c r="AL87" s="2">
        <v>20537.73</v>
      </c>
      <c r="AM87" s="3">
        <f t="shared" si="69"/>
        <v>169435.81000000003</v>
      </c>
      <c r="AN87" s="2">
        <f t="shared" si="70"/>
        <v>652073.18999999994</v>
      </c>
      <c r="AO87" s="4">
        <f t="shared" si="71"/>
        <v>20537.73</v>
      </c>
      <c r="AP87" s="2">
        <f t="shared" si="72"/>
        <v>189973.54000000004</v>
      </c>
      <c r="AQ87" s="2">
        <f t="shared" si="73"/>
        <v>631535.46</v>
      </c>
      <c r="AR87" s="4">
        <f t="shared" si="74"/>
        <v>20537.73</v>
      </c>
      <c r="AS87" s="5">
        <f t="shared" si="75"/>
        <v>210511.27000000005</v>
      </c>
      <c r="AT87" s="2">
        <f t="shared" si="76"/>
        <v>610997.73</v>
      </c>
    </row>
    <row r="88" spans="1:46" x14ac:dyDescent="0.2">
      <c r="A88" s="1" t="s">
        <v>137</v>
      </c>
      <c r="B88" s="1" t="s">
        <v>138</v>
      </c>
      <c r="C88" s="2">
        <v>34586</v>
      </c>
      <c r="D88" s="1" t="s">
        <v>61</v>
      </c>
      <c r="E88" s="2">
        <v>40</v>
      </c>
      <c r="X88" s="2">
        <f>34586/40/12*2</f>
        <v>144.10833333333332</v>
      </c>
      <c r="Y88" s="2">
        <f t="shared" si="57"/>
        <v>144.10833333333332</v>
      </c>
      <c r="Z88" s="2">
        <f>34586/40</f>
        <v>864.65</v>
      </c>
      <c r="AA88" s="2">
        <f t="shared" si="59"/>
        <v>1008.7583333333333</v>
      </c>
      <c r="AB88" s="2">
        <f t="shared" si="60"/>
        <v>864.65</v>
      </c>
      <c r="AC88" s="2">
        <f t="shared" si="61"/>
        <v>1873.4083333333333</v>
      </c>
      <c r="AD88" s="2">
        <f t="shared" si="62"/>
        <v>864.65</v>
      </c>
      <c r="AE88" s="2">
        <f t="shared" si="63"/>
        <v>2738.0583333333334</v>
      </c>
      <c r="AF88" s="2">
        <f t="shared" si="64"/>
        <v>864.65</v>
      </c>
      <c r="AG88" s="2">
        <f t="shared" si="65"/>
        <v>3602.7083333333335</v>
      </c>
      <c r="AH88" s="2">
        <f>AF88</f>
        <v>864.65</v>
      </c>
      <c r="AI88" s="2">
        <f t="shared" si="67"/>
        <v>4467.3583333333336</v>
      </c>
      <c r="AJ88" s="2">
        <f>AH88</f>
        <v>864.65</v>
      </c>
      <c r="AK88" s="2">
        <f>4467.36+864.65</f>
        <v>5332.0099999999993</v>
      </c>
      <c r="AL88" s="2">
        <f>AJ88</f>
        <v>864.65</v>
      </c>
      <c r="AM88" s="3">
        <f>4467.36+864.65</f>
        <v>5332.0099999999993</v>
      </c>
      <c r="AN88" s="2">
        <f t="shared" si="70"/>
        <v>29253.99</v>
      </c>
      <c r="AO88" s="4">
        <f t="shared" si="71"/>
        <v>864.65</v>
      </c>
      <c r="AP88" s="2">
        <v>7061.31</v>
      </c>
      <c r="AQ88" s="2">
        <f t="shared" si="73"/>
        <v>28389.34</v>
      </c>
      <c r="AR88" s="4">
        <f t="shared" si="74"/>
        <v>864.65</v>
      </c>
      <c r="AS88" s="5">
        <f t="shared" si="75"/>
        <v>7925.96</v>
      </c>
      <c r="AT88" s="2">
        <f t="shared" si="76"/>
        <v>26660.04</v>
      </c>
    </row>
    <row r="89" spans="1:46" x14ac:dyDescent="0.2">
      <c r="C89" s="5">
        <f>SUM(C77:C88)</f>
        <v>1651454</v>
      </c>
      <c r="G89" s="5">
        <f t="shared" ref="G89:R89" si="79">SUM(G77:G87)</f>
        <v>34539</v>
      </c>
      <c r="H89" s="5">
        <f t="shared" si="79"/>
        <v>1959</v>
      </c>
      <c r="I89" s="5">
        <f t="shared" si="79"/>
        <v>36498</v>
      </c>
      <c r="J89" s="5">
        <f t="shared" si="79"/>
        <v>10747</v>
      </c>
      <c r="K89" s="5">
        <f t="shared" si="79"/>
        <v>47244.5</v>
      </c>
      <c r="L89" s="5">
        <f t="shared" si="79"/>
        <v>17859</v>
      </c>
      <c r="M89" s="5">
        <f t="shared" si="79"/>
        <v>65103.5</v>
      </c>
      <c r="N89" s="5">
        <f t="shared" si="79"/>
        <v>18909</v>
      </c>
      <c r="O89" s="5">
        <f t="shared" si="79"/>
        <v>84012.5</v>
      </c>
      <c r="P89" s="5">
        <f t="shared" si="79"/>
        <v>20933.974999999999</v>
      </c>
      <c r="Q89" s="5">
        <f t="shared" si="79"/>
        <v>104946.47500000001</v>
      </c>
      <c r="R89" s="5">
        <f t="shared" si="79"/>
        <v>20933.974999999999</v>
      </c>
      <c r="S89" s="5">
        <f>SUM(S77:S86)</f>
        <v>125880.45</v>
      </c>
      <c r="T89" s="5">
        <f>SUM(T77:T86)</f>
        <v>20933.974999999999</v>
      </c>
      <c r="U89" s="5">
        <f>SUM(U77:U86)</f>
        <v>146814.42499999999</v>
      </c>
      <c r="V89" s="5">
        <f>SUM(V77:V87)</f>
        <v>26067.974999999999</v>
      </c>
      <c r="W89" s="5">
        <f>SUM(W77:W87)</f>
        <v>172882.4</v>
      </c>
      <c r="X89" s="5">
        <f>SUM(X77:X88)</f>
        <v>41615.808333333327</v>
      </c>
      <c r="Y89" s="5">
        <f>SUM(Y77:Y88)</f>
        <v>214498.20833333334</v>
      </c>
      <c r="Z89" s="5">
        <f>SUM(Z77:Z88)</f>
        <v>42336.35</v>
      </c>
      <c r="AA89" s="5">
        <f>SUM(AA77:AA88)</f>
        <v>256834.55833333332</v>
      </c>
      <c r="AB89" s="5">
        <f>SUM(AB77:AB88)</f>
        <v>42336.35</v>
      </c>
      <c r="AC89" s="5">
        <f t="shared" si="61"/>
        <v>299170.90833333333</v>
      </c>
      <c r="AD89" s="2">
        <f>SUM(AD77:AD88)</f>
        <v>42336.35</v>
      </c>
      <c r="AE89" s="2">
        <f t="shared" si="63"/>
        <v>341507.2583333333</v>
      </c>
      <c r="AF89" s="2">
        <f>SUM(AF77:AF88)</f>
        <v>42336.35</v>
      </c>
      <c r="AG89" s="2">
        <f>SUM(AG77:AG88)</f>
        <v>383843.60833333328</v>
      </c>
      <c r="AH89" s="2">
        <f>SUM(AH77:AH88)</f>
        <v>41286.35</v>
      </c>
      <c r="AI89" s="2">
        <v>425129.96</v>
      </c>
      <c r="AJ89" s="2">
        <f>SUM(AJ77:AJ88)</f>
        <v>43896.254999999997</v>
      </c>
      <c r="AK89" s="2">
        <f>SUM(AK77:AK88)</f>
        <v>469376.21500000003</v>
      </c>
      <c r="AL89" s="5">
        <f>SUM(AL77:AL88)</f>
        <v>39556.254999999997</v>
      </c>
      <c r="AM89" s="5">
        <f>SUM(AM77:AM88)</f>
        <v>508067.82000000007</v>
      </c>
      <c r="AN89" s="5">
        <f t="shared" si="70"/>
        <v>1143386.18</v>
      </c>
      <c r="AO89" s="6">
        <f t="shared" si="71"/>
        <v>39556.254999999997</v>
      </c>
      <c r="AP89" s="5">
        <f>SUM(AP77:AP88)</f>
        <v>548488.72500000009</v>
      </c>
      <c r="AQ89" s="5">
        <f t="shared" si="73"/>
        <v>1103829.925</v>
      </c>
      <c r="AR89" s="6">
        <f t="shared" si="74"/>
        <v>39556.254999999997</v>
      </c>
      <c r="AS89" s="5">
        <f>SUM(AS77:AS88)</f>
        <v>588044.98</v>
      </c>
      <c r="AT89" s="5">
        <f>AQ89-AR89</f>
        <v>1064273.6700000002</v>
      </c>
    </row>
    <row r="90" spans="1:46" x14ac:dyDescent="0.2">
      <c r="A90" s="1" t="s">
        <v>139</v>
      </c>
      <c r="C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AM90" s="3"/>
      <c r="AO90" s="4"/>
      <c r="AR90" s="4"/>
      <c r="AS90" s="5"/>
    </row>
    <row r="91" spans="1:46" x14ac:dyDescent="0.2">
      <c r="A91" s="1" t="s">
        <v>140</v>
      </c>
      <c r="B91" s="1" t="s">
        <v>141</v>
      </c>
      <c r="C91" s="5">
        <v>3070460</v>
      </c>
      <c r="D91" s="1" t="s">
        <v>61</v>
      </c>
      <c r="E91" s="2">
        <v>40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76762</v>
      </c>
      <c r="W91" s="5">
        <v>76762</v>
      </c>
      <c r="X91" s="5">
        <f>3070460/40</f>
        <v>76761.5</v>
      </c>
      <c r="Y91" s="5">
        <f>SUM(W91:X91)</f>
        <v>153523.5</v>
      </c>
      <c r="Z91" s="5">
        <f>3070460/40</f>
        <v>76761.5</v>
      </c>
      <c r="AA91" s="5">
        <f>SUM(Y91:Z91)</f>
        <v>230285</v>
      </c>
      <c r="AB91" s="5">
        <v>76762</v>
      </c>
      <c r="AC91" s="5">
        <f>SUM(AA91:AB91)</f>
        <v>307047</v>
      </c>
      <c r="AD91" s="2">
        <f>AB91</f>
        <v>76762</v>
      </c>
      <c r="AE91" s="2">
        <f>AC91+AD91</f>
        <v>383809</v>
      </c>
      <c r="AF91" s="2">
        <f>AD91</f>
        <v>76762</v>
      </c>
      <c r="AG91" s="2">
        <v>460571</v>
      </c>
      <c r="AH91" s="2">
        <v>76762</v>
      </c>
      <c r="AI91" s="2">
        <f>SUM(AG91:AH91)</f>
        <v>537333</v>
      </c>
      <c r="AJ91" s="2">
        <v>76762</v>
      </c>
      <c r="AK91" s="2">
        <f>SUM(AI91:AJ91)</f>
        <v>614095</v>
      </c>
      <c r="AL91" s="5">
        <v>76762</v>
      </c>
      <c r="AM91" s="5">
        <f>SUM(AK91:AL91)</f>
        <v>690857</v>
      </c>
      <c r="AN91" s="5">
        <f>C91-AM91</f>
        <v>2379603</v>
      </c>
      <c r="AO91" s="6">
        <f>AL91</f>
        <v>76762</v>
      </c>
      <c r="AP91" s="5">
        <f>AM91+AO91</f>
        <v>767619</v>
      </c>
      <c r="AQ91" s="5">
        <f>AN91-AO91</f>
        <v>2302841</v>
      </c>
      <c r="AR91" s="6">
        <f>AO91</f>
        <v>76762</v>
      </c>
      <c r="AS91" s="5">
        <f>AP91+AR91</f>
        <v>844381</v>
      </c>
      <c r="AT91" s="5">
        <f>AQ91-AR91</f>
        <v>2226079</v>
      </c>
    </row>
    <row r="92" spans="1:46" x14ac:dyDescent="0.2">
      <c r="M92" s="2">
        <f t="shared" ref="M92:M102" si="80">K92+L92</f>
        <v>0</v>
      </c>
      <c r="AM92" s="3"/>
      <c r="AO92" s="4"/>
      <c r="AR92" s="4"/>
      <c r="AS92" s="5"/>
    </row>
    <row r="93" spans="1:46" x14ac:dyDescent="0.2">
      <c r="A93" s="1" t="s">
        <v>142</v>
      </c>
      <c r="M93" s="2">
        <f t="shared" si="80"/>
        <v>0</v>
      </c>
      <c r="AM93" s="3"/>
      <c r="AO93" s="4"/>
      <c r="AR93" s="4"/>
      <c r="AS93" s="5"/>
    </row>
    <row r="94" spans="1:46" x14ac:dyDescent="0.2">
      <c r="M94" s="2">
        <f t="shared" si="80"/>
        <v>0</v>
      </c>
      <c r="AM94" s="3"/>
      <c r="AO94" s="4"/>
      <c r="AR94" s="4"/>
      <c r="AS94" s="5"/>
    </row>
    <row r="95" spans="1:46" x14ac:dyDescent="0.2">
      <c r="A95" s="1" t="s">
        <v>143</v>
      </c>
      <c r="B95" s="1" t="s">
        <v>60</v>
      </c>
      <c r="C95" s="2">
        <v>1868350</v>
      </c>
      <c r="D95" s="1" t="s">
        <v>61</v>
      </c>
      <c r="E95" s="2">
        <v>40</v>
      </c>
      <c r="G95" s="2">
        <v>646044</v>
      </c>
      <c r="H95" s="2">
        <v>46709</v>
      </c>
      <c r="I95" s="2">
        <f t="shared" ref="I95:I101" si="81">SUM(G95:H95)</f>
        <v>692753</v>
      </c>
      <c r="J95" s="2">
        <f t="shared" ref="J95:J101" si="82">H95</f>
        <v>46709</v>
      </c>
      <c r="K95" s="2">
        <f t="shared" ref="K95:K102" si="83">I95+J95</f>
        <v>739462</v>
      </c>
      <c r="L95" s="2">
        <f t="shared" ref="L95:L101" si="84">J95</f>
        <v>46709</v>
      </c>
      <c r="M95" s="2">
        <f t="shared" si="80"/>
        <v>786171</v>
      </c>
      <c r="N95" s="2">
        <f t="shared" ref="N95:N102" si="85">L95</f>
        <v>46709</v>
      </c>
      <c r="O95" s="2">
        <f t="shared" ref="O95:O102" si="86">M95+N95</f>
        <v>832880</v>
      </c>
      <c r="P95" s="2">
        <f t="shared" ref="P95:P102" si="87">C95/E95</f>
        <v>46708.75</v>
      </c>
      <c r="Q95" s="2">
        <f t="shared" ref="Q95:Q102" si="88">O95+P95</f>
        <v>879588.75</v>
      </c>
      <c r="R95" s="2">
        <f t="shared" ref="R95:R102" si="89">SUM(C95/E95)</f>
        <v>46708.75</v>
      </c>
      <c r="S95" s="2">
        <f t="shared" ref="S95:S102" si="90">Q95+R95</f>
        <v>926297.5</v>
      </c>
      <c r="T95" s="2">
        <f t="shared" ref="T95:T102" si="91">R95</f>
        <v>46708.75</v>
      </c>
      <c r="U95" s="2">
        <f t="shared" ref="U95:U102" si="92">S95+T95</f>
        <v>973006.25</v>
      </c>
      <c r="V95" s="2">
        <f t="shared" ref="V95:V102" si="93">T95</f>
        <v>46708.75</v>
      </c>
      <c r="W95" s="2">
        <f t="shared" ref="W95:W102" si="94">U95+V95</f>
        <v>1019715</v>
      </c>
      <c r="X95" s="2">
        <f t="shared" ref="X95:X102" si="95">V95</f>
        <v>46708.75</v>
      </c>
      <c r="Y95" s="2">
        <f t="shared" ref="Y95:Y102" si="96">W95+V95</f>
        <v>1066423.75</v>
      </c>
      <c r="Z95" s="2">
        <f t="shared" ref="Z95:Z102" si="97">X95</f>
        <v>46708.75</v>
      </c>
      <c r="AA95" s="2">
        <f t="shared" ref="AA95:AA101" si="98">Y95+X95</f>
        <v>1113132.5</v>
      </c>
      <c r="AB95" s="2">
        <f t="shared" ref="AB95:AB102" si="99">Z95</f>
        <v>46708.75</v>
      </c>
      <c r="AC95" s="2">
        <f t="shared" ref="AC95:AC102" si="100">SUM(AA95:AB95)</f>
        <v>1159841.25</v>
      </c>
      <c r="AD95" s="2">
        <f t="shared" ref="AD95:AD102" si="101">AB95</f>
        <v>46708.75</v>
      </c>
      <c r="AE95" s="2">
        <f t="shared" ref="AE95:AE102" si="102">AC95+AD95</f>
        <v>1206550</v>
      </c>
      <c r="AF95" s="2">
        <f t="shared" ref="AF95:AF102" si="103">AD95</f>
        <v>46708.75</v>
      </c>
      <c r="AG95" s="2">
        <f t="shared" ref="AG95:AG102" si="104">AE95+AF95</f>
        <v>1253258.75</v>
      </c>
      <c r="AH95" s="2">
        <f t="shared" ref="AH95:AH102" si="105">AF95</f>
        <v>46708.75</v>
      </c>
      <c r="AI95" s="2">
        <f t="shared" ref="AI95:AI102" si="106">AG95+AH95</f>
        <v>1299967.5</v>
      </c>
      <c r="AJ95" s="2">
        <f t="shared" ref="AJ95:AJ102" si="107">AH95</f>
        <v>46708.75</v>
      </c>
      <c r="AK95" s="2">
        <f t="shared" ref="AK95:AK102" si="108">SUM(AI95:AJ95)</f>
        <v>1346676.25</v>
      </c>
      <c r="AL95" s="2">
        <f t="shared" ref="AL95:AL102" si="109">AJ95</f>
        <v>46708.75</v>
      </c>
      <c r="AM95" s="3">
        <f t="shared" ref="AM95:AM102" si="110">SUM(AK95:AL95)</f>
        <v>1393385</v>
      </c>
      <c r="AN95" s="2">
        <f t="shared" ref="AN95:AN102" si="111">C95-AM95</f>
        <v>474965</v>
      </c>
      <c r="AO95" s="4">
        <f t="shared" ref="AO95:AO102" si="112">AL95</f>
        <v>46708.75</v>
      </c>
      <c r="AP95" s="2">
        <f t="shared" ref="AP95:AP103" si="113">AM95+AO95</f>
        <v>1440093.75</v>
      </c>
      <c r="AQ95" s="2">
        <f t="shared" ref="AQ95:AQ102" si="114">AN95-AO95</f>
        <v>428256.25</v>
      </c>
      <c r="AR95" s="4">
        <f t="shared" ref="AR95:AR102" si="115">AO95</f>
        <v>46708.75</v>
      </c>
      <c r="AS95" s="5">
        <f t="shared" ref="AS95:AS103" si="116">AP95+AR95</f>
        <v>1486802.5</v>
      </c>
      <c r="AT95" s="2">
        <f t="shared" ref="AT95:AT102" si="117">C95-AS95</f>
        <v>381547.5</v>
      </c>
    </row>
    <row r="96" spans="1:46" x14ac:dyDescent="0.2">
      <c r="A96" s="1" t="s">
        <v>144</v>
      </c>
      <c r="B96" s="1" t="s">
        <v>145</v>
      </c>
      <c r="C96" s="2">
        <v>509552</v>
      </c>
      <c r="D96" s="1" t="s">
        <v>61</v>
      </c>
      <c r="E96" s="2">
        <v>40</v>
      </c>
      <c r="G96" s="2">
        <v>127098</v>
      </c>
      <c r="H96" s="2">
        <v>12739</v>
      </c>
      <c r="I96" s="2">
        <f t="shared" si="81"/>
        <v>139837</v>
      </c>
      <c r="J96" s="2">
        <f t="shared" si="82"/>
        <v>12739</v>
      </c>
      <c r="K96" s="2">
        <f t="shared" si="83"/>
        <v>152576</v>
      </c>
      <c r="L96" s="2">
        <f t="shared" si="84"/>
        <v>12739</v>
      </c>
      <c r="M96" s="2">
        <f t="shared" si="80"/>
        <v>165315</v>
      </c>
      <c r="N96" s="2">
        <f t="shared" si="85"/>
        <v>12739</v>
      </c>
      <c r="O96" s="2">
        <f t="shared" si="86"/>
        <v>178054</v>
      </c>
      <c r="P96" s="2">
        <f t="shared" si="87"/>
        <v>12738.8</v>
      </c>
      <c r="Q96" s="2">
        <f t="shared" si="88"/>
        <v>190792.8</v>
      </c>
      <c r="R96" s="2">
        <f t="shared" si="89"/>
        <v>12738.8</v>
      </c>
      <c r="S96" s="2">
        <f t="shared" si="90"/>
        <v>203531.59999999998</v>
      </c>
      <c r="T96" s="2">
        <f t="shared" si="91"/>
        <v>12738.8</v>
      </c>
      <c r="U96" s="2">
        <f t="shared" si="92"/>
        <v>216270.39999999997</v>
      </c>
      <c r="V96" s="2">
        <f t="shared" si="93"/>
        <v>12738.8</v>
      </c>
      <c r="W96" s="2">
        <f t="shared" si="94"/>
        <v>229009.19999999995</v>
      </c>
      <c r="X96" s="2">
        <f t="shared" si="95"/>
        <v>12738.8</v>
      </c>
      <c r="Y96" s="2">
        <f t="shared" si="96"/>
        <v>241747.99999999994</v>
      </c>
      <c r="Z96" s="2">
        <f t="shared" si="97"/>
        <v>12738.8</v>
      </c>
      <c r="AA96" s="2">
        <f t="shared" si="98"/>
        <v>254486.79999999993</v>
      </c>
      <c r="AB96" s="2">
        <f t="shared" si="99"/>
        <v>12738.8</v>
      </c>
      <c r="AC96" s="2">
        <f t="shared" si="100"/>
        <v>267225.59999999992</v>
      </c>
      <c r="AD96" s="2">
        <f t="shared" si="101"/>
        <v>12738.8</v>
      </c>
      <c r="AE96" s="2">
        <f t="shared" si="102"/>
        <v>279964.39999999991</v>
      </c>
      <c r="AF96" s="2">
        <f t="shared" si="103"/>
        <v>12738.8</v>
      </c>
      <c r="AG96" s="2">
        <f t="shared" si="104"/>
        <v>292703.1999999999</v>
      </c>
      <c r="AH96" s="2">
        <f t="shared" si="105"/>
        <v>12738.8</v>
      </c>
      <c r="AI96" s="2">
        <f t="shared" si="106"/>
        <v>305441.99999999988</v>
      </c>
      <c r="AJ96" s="2">
        <f t="shared" si="107"/>
        <v>12738.8</v>
      </c>
      <c r="AK96" s="2">
        <f t="shared" si="108"/>
        <v>318180.79999999987</v>
      </c>
      <c r="AL96" s="2">
        <f t="shared" si="109"/>
        <v>12738.8</v>
      </c>
      <c r="AM96" s="3">
        <f t="shared" si="110"/>
        <v>330919.59999999986</v>
      </c>
      <c r="AN96" s="2">
        <f t="shared" si="111"/>
        <v>178632.40000000014</v>
      </c>
      <c r="AO96" s="4">
        <f t="shared" si="112"/>
        <v>12738.8</v>
      </c>
      <c r="AP96" s="2">
        <f t="shared" si="113"/>
        <v>343658.39999999985</v>
      </c>
      <c r="AQ96" s="2">
        <f t="shared" si="114"/>
        <v>165893.60000000015</v>
      </c>
      <c r="AR96" s="4">
        <f t="shared" si="115"/>
        <v>12738.8</v>
      </c>
      <c r="AS96" s="5">
        <f t="shared" si="116"/>
        <v>356397.19999999984</v>
      </c>
      <c r="AT96" s="2">
        <f t="shared" si="117"/>
        <v>153154.80000000016</v>
      </c>
    </row>
    <row r="97" spans="1:48" x14ac:dyDescent="0.2">
      <c r="A97" s="1" t="s">
        <v>146</v>
      </c>
      <c r="B97" s="1" t="s">
        <v>38</v>
      </c>
      <c r="C97" s="2">
        <v>174707</v>
      </c>
      <c r="D97" s="1" t="s">
        <v>61</v>
      </c>
      <c r="E97" s="2">
        <v>40</v>
      </c>
      <c r="G97" s="2">
        <v>37128</v>
      </c>
      <c r="H97" s="2">
        <v>4368</v>
      </c>
      <c r="I97" s="2">
        <f t="shared" si="81"/>
        <v>41496</v>
      </c>
      <c r="J97" s="2">
        <f t="shared" si="82"/>
        <v>4368</v>
      </c>
      <c r="K97" s="2">
        <f t="shared" si="83"/>
        <v>45864</v>
      </c>
      <c r="L97" s="2">
        <f t="shared" si="84"/>
        <v>4368</v>
      </c>
      <c r="M97" s="2">
        <f t="shared" si="80"/>
        <v>50232</v>
      </c>
      <c r="N97" s="2">
        <f t="shared" si="85"/>
        <v>4368</v>
      </c>
      <c r="O97" s="2">
        <f t="shared" si="86"/>
        <v>54600</v>
      </c>
      <c r="P97" s="2">
        <f t="shared" si="87"/>
        <v>4367.6750000000002</v>
      </c>
      <c r="Q97" s="2">
        <f t="shared" si="88"/>
        <v>58967.675000000003</v>
      </c>
      <c r="R97" s="2">
        <f t="shared" si="89"/>
        <v>4367.6750000000002</v>
      </c>
      <c r="S97" s="2">
        <f t="shared" si="90"/>
        <v>63335.350000000006</v>
      </c>
      <c r="T97" s="2">
        <f t="shared" si="91"/>
        <v>4367.6750000000002</v>
      </c>
      <c r="U97" s="2">
        <f t="shared" si="92"/>
        <v>67703.025000000009</v>
      </c>
      <c r="V97" s="2">
        <f t="shared" si="93"/>
        <v>4367.6750000000002</v>
      </c>
      <c r="W97" s="2">
        <f t="shared" si="94"/>
        <v>72070.700000000012</v>
      </c>
      <c r="X97" s="2">
        <f t="shared" si="95"/>
        <v>4367.6750000000002</v>
      </c>
      <c r="Y97" s="2">
        <f t="shared" si="96"/>
        <v>76438.375000000015</v>
      </c>
      <c r="Z97" s="2">
        <f t="shared" si="97"/>
        <v>4367.6750000000002</v>
      </c>
      <c r="AA97" s="2">
        <f t="shared" si="98"/>
        <v>80806.050000000017</v>
      </c>
      <c r="AB97" s="2">
        <f t="shared" si="99"/>
        <v>4367.6750000000002</v>
      </c>
      <c r="AC97" s="2">
        <f t="shared" si="100"/>
        <v>85173.72500000002</v>
      </c>
      <c r="AD97" s="2">
        <f t="shared" si="101"/>
        <v>4367.6750000000002</v>
      </c>
      <c r="AE97" s="2">
        <f t="shared" si="102"/>
        <v>89541.400000000023</v>
      </c>
      <c r="AF97" s="2">
        <f t="shared" si="103"/>
        <v>4367.6750000000002</v>
      </c>
      <c r="AG97" s="2">
        <f t="shared" si="104"/>
        <v>93909.075000000026</v>
      </c>
      <c r="AH97" s="2">
        <f t="shared" si="105"/>
        <v>4367.6750000000002</v>
      </c>
      <c r="AI97" s="2">
        <f t="shared" si="106"/>
        <v>98276.750000000029</v>
      </c>
      <c r="AJ97" s="2">
        <f t="shared" si="107"/>
        <v>4367.6750000000002</v>
      </c>
      <c r="AK97" s="2">
        <f t="shared" si="108"/>
        <v>102644.42500000003</v>
      </c>
      <c r="AL97" s="2">
        <f t="shared" si="109"/>
        <v>4367.6750000000002</v>
      </c>
      <c r="AM97" s="3">
        <f t="shared" si="110"/>
        <v>107012.10000000003</v>
      </c>
      <c r="AN97" s="2">
        <f t="shared" si="111"/>
        <v>67694.899999999965</v>
      </c>
      <c r="AO97" s="4">
        <f t="shared" si="112"/>
        <v>4367.6750000000002</v>
      </c>
      <c r="AP97" s="2">
        <f t="shared" si="113"/>
        <v>111379.77500000004</v>
      </c>
      <c r="AQ97" s="2">
        <f t="shared" si="114"/>
        <v>63327.224999999962</v>
      </c>
      <c r="AR97" s="4">
        <f t="shared" si="115"/>
        <v>4367.6750000000002</v>
      </c>
      <c r="AS97" s="5">
        <f t="shared" si="116"/>
        <v>115747.45000000004</v>
      </c>
      <c r="AT97" s="2">
        <f t="shared" si="117"/>
        <v>58959.549999999959</v>
      </c>
    </row>
    <row r="98" spans="1:48" x14ac:dyDescent="0.2">
      <c r="A98" s="1" t="s">
        <v>147</v>
      </c>
      <c r="B98" s="1" t="s">
        <v>148</v>
      </c>
      <c r="C98" s="2">
        <v>9535</v>
      </c>
      <c r="D98" s="1" t="s">
        <v>61</v>
      </c>
      <c r="E98" s="2">
        <v>40</v>
      </c>
      <c r="G98" s="2">
        <v>1210</v>
      </c>
      <c r="H98" s="2">
        <v>238</v>
      </c>
      <c r="I98" s="2">
        <f t="shared" si="81"/>
        <v>1448</v>
      </c>
      <c r="J98" s="2">
        <f t="shared" si="82"/>
        <v>238</v>
      </c>
      <c r="K98" s="2">
        <f t="shared" si="83"/>
        <v>1686</v>
      </c>
      <c r="L98" s="2">
        <f t="shared" si="84"/>
        <v>238</v>
      </c>
      <c r="M98" s="2">
        <f t="shared" si="80"/>
        <v>1924</v>
      </c>
      <c r="N98" s="2">
        <f t="shared" si="85"/>
        <v>238</v>
      </c>
      <c r="O98" s="2">
        <f t="shared" si="86"/>
        <v>2162</v>
      </c>
      <c r="P98" s="2">
        <f t="shared" si="87"/>
        <v>238.375</v>
      </c>
      <c r="Q98" s="2">
        <f t="shared" si="88"/>
        <v>2400.375</v>
      </c>
      <c r="R98" s="2">
        <f t="shared" si="89"/>
        <v>238.375</v>
      </c>
      <c r="S98" s="2">
        <f t="shared" si="90"/>
        <v>2638.75</v>
      </c>
      <c r="T98" s="2">
        <f t="shared" si="91"/>
        <v>238.375</v>
      </c>
      <c r="U98" s="2">
        <f t="shared" si="92"/>
        <v>2877.125</v>
      </c>
      <c r="V98" s="2">
        <f t="shared" si="93"/>
        <v>238.375</v>
      </c>
      <c r="W98" s="2">
        <f t="shared" si="94"/>
        <v>3115.5</v>
      </c>
      <c r="X98" s="2">
        <f t="shared" si="95"/>
        <v>238.375</v>
      </c>
      <c r="Y98" s="2">
        <f t="shared" si="96"/>
        <v>3353.875</v>
      </c>
      <c r="Z98" s="2">
        <f t="shared" si="97"/>
        <v>238.375</v>
      </c>
      <c r="AA98" s="2">
        <f t="shared" si="98"/>
        <v>3592.25</v>
      </c>
      <c r="AB98" s="2">
        <f t="shared" si="99"/>
        <v>238.375</v>
      </c>
      <c r="AC98" s="2">
        <f t="shared" si="100"/>
        <v>3830.625</v>
      </c>
      <c r="AD98" s="2">
        <f t="shared" si="101"/>
        <v>238.375</v>
      </c>
      <c r="AE98" s="2">
        <f t="shared" si="102"/>
        <v>4069</v>
      </c>
      <c r="AF98" s="2">
        <f t="shared" si="103"/>
        <v>238.375</v>
      </c>
      <c r="AG98" s="2">
        <f t="shared" si="104"/>
        <v>4307.375</v>
      </c>
      <c r="AH98" s="2">
        <f t="shared" si="105"/>
        <v>238.375</v>
      </c>
      <c r="AI98" s="2">
        <f t="shared" si="106"/>
        <v>4545.75</v>
      </c>
      <c r="AJ98" s="2">
        <f t="shared" si="107"/>
        <v>238.375</v>
      </c>
      <c r="AK98" s="2">
        <f t="shared" si="108"/>
        <v>4784.125</v>
      </c>
      <c r="AL98" s="2">
        <f t="shared" si="109"/>
        <v>238.375</v>
      </c>
      <c r="AM98" s="3">
        <f t="shared" si="110"/>
        <v>5022.5</v>
      </c>
      <c r="AN98" s="2">
        <f t="shared" si="111"/>
        <v>4512.5</v>
      </c>
      <c r="AO98" s="4">
        <f t="shared" si="112"/>
        <v>238.375</v>
      </c>
      <c r="AP98" s="2">
        <f t="shared" si="113"/>
        <v>5260.875</v>
      </c>
      <c r="AQ98" s="2">
        <f t="shared" si="114"/>
        <v>4274.125</v>
      </c>
      <c r="AR98" s="4">
        <f t="shared" si="115"/>
        <v>238.375</v>
      </c>
      <c r="AS98" s="5">
        <f t="shared" si="116"/>
        <v>5499.25</v>
      </c>
      <c r="AT98" s="2">
        <f t="shared" si="117"/>
        <v>4035.75</v>
      </c>
    </row>
    <row r="99" spans="1:48" x14ac:dyDescent="0.2">
      <c r="A99" s="1" t="s">
        <v>147</v>
      </c>
      <c r="B99" s="1" t="s">
        <v>149</v>
      </c>
      <c r="C99" s="2">
        <v>3186</v>
      </c>
      <c r="D99" s="1" t="s">
        <v>61</v>
      </c>
      <c r="E99" s="2">
        <v>40</v>
      </c>
      <c r="G99" s="2">
        <v>354</v>
      </c>
      <c r="H99" s="2">
        <v>80</v>
      </c>
      <c r="I99" s="2">
        <f t="shared" si="81"/>
        <v>434</v>
      </c>
      <c r="J99" s="2">
        <f t="shared" si="82"/>
        <v>80</v>
      </c>
      <c r="K99" s="2">
        <f t="shared" si="83"/>
        <v>514</v>
      </c>
      <c r="L99" s="2">
        <f t="shared" si="84"/>
        <v>80</v>
      </c>
      <c r="M99" s="2">
        <f t="shared" si="80"/>
        <v>594</v>
      </c>
      <c r="N99" s="2">
        <f t="shared" si="85"/>
        <v>80</v>
      </c>
      <c r="O99" s="2">
        <f t="shared" si="86"/>
        <v>674</v>
      </c>
      <c r="P99" s="2">
        <f t="shared" si="87"/>
        <v>79.650000000000006</v>
      </c>
      <c r="Q99" s="2">
        <f t="shared" si="88"/>
        <v>753.65</v>
      </c>
      <c r="R99" s="2">
        <f t="shared" si="89"/>
        <v>79.650000000000006</v>
      </c>
      <c r="S99" s="2">
        <f t="shared" si="90"/>
        <v>833.3</v>
      </c>
      <c r="T99" s="2">
        <f t="shared" si="91"/>
        <v>79.650000000000006</v>
      </c>
      <c r="U99" s="2">
        <f t="shared" si="92"/>
        <v>912.94999999999993</v>
      </c>
      <c r="V99" s="2">
        <f t="shared" si="93"/>
        <v>79.650000000000006</v>
      </c>
      <c r="W99" s="2">
        <f t="shared" si="94"/>
        <v>992.59999999999991</v>
      </c>
      <c r="X99" s="2">
        <f t="shared" si="95"/>
        <v>79.650000000000006</v>
      </c>
      <c r="Y99" s="2">
        <f t="shared" si="96"/>
        <v>1072.25</v>
      </c>
      <c r="Z99" s="2">
        <f t="shared" si="97"/>
        <v>79.650000000000006</v>
      </c>
      <c r="AA99" s="2">
        <f t="shared" si="98"/>
        <v>1151.9000000000001</v>
      </c>
      <c r="AB99" s="2">
        <f t="shared" si="99"/>
        <v>79.650000000000006</v>
      </c>
      <c r="AC99" s="2">
        <f t="shared" si="100"/>
        <v>1231.5500000000002</v>
      </c>
      <c r="AD99" s="2">
        <f t="shared" si="101"/>
        <v>79.650000000000006</v>
      </c>
      <c r="AE99" s="2">
        <f t="shared" si="102"/>
        <v>1311.2000000000003</v>
      </c>
      <c r="AF99" s="2">
        <f t="shared" si="103"/>
        <v>79.650000000000006</v>
      </c>
      <c r="AG99" s="2">
        <f t="shared" si="104"/>
        <v>1390.8500000000004</v>
      </c>
      <c r="AH99" s="2">
        <f t="shared" si="105"/>
        <v>79.650000000000006</v>
      </c>
      <c r="AI99" s="2">
        <f t="shared" si="106"/>
        <v>1470.5000000000005</v>
      </c>
      <c r="AJ99" s="2">
        <f t="shared" si="107"/>
        <v>79.650000000000006</v>
      </c>
      <c r="AK99" s="2">
        <f t="shared" si="108"/>
        <v>1550.1500000000005</v>
      </c>
      <c r="AL99" s="2">
        <f t="shared" si="109"/>
        <v>79.650000000000006</v>
      </c>
      <c r="AM99" s="3">
        <f t="shared" si="110"/>
        <v>1629.8000000000006</v>
      </c>
      <c r="AN99" s="2">
        <f t="shared" si="111"/>
        <v>1556.1999999999994</v>
      </c>
      <c r="AO99" s="4">
        <f t="shared" si="112"/>
        <v>79.650000000000006</v>
      </c>
      <c r="AP99" s="2">
        <f t="shared" si="113"/>
        <v>1709.4500000000007</v>
      </c>
      <c r="AQ99" s="2">
        <f t="shared" si="114"/>
        <v>1476.5499999999993</v>
      </c>
      <c r="AR99" s="4">
        <f t="shared" si="115"/>
        <v>79.650000000000006</v>
      </c>
      <c r="AS99" s="5">
        <f t="shared" si="116"/>
        <v>1789.1000000000008</v>
      </c>
      <c r="AT99" s="2">
        <f t="shared" si="117"/>
        <v>1396.8999999999992</v>
      </c>
    </row>
    <row r="100" spans="1:48" x14ac:dyDescent="0.2">
      <c r="A100" s="1" t="s">
        <v>150</v>
      </c>
      <c r="B100" s="1" t="s">
        <v>151</v>
      </c>
      <c r="C100" s="2">
        <v>561010</v>
      </c>
      <c r="D100" s="1" t="s">
        <v>61</v>
      </c>
      <c r="E100" s="2">
        <v>40</v>
      </c>
      <c r="G100" s="2">
        <v>56492</v>
      </c>
      <c r="H100" s="2">
        <v>14025</v>
      </c>
      <c r="I100" s="2">
        <f t="shared" si="81"/>
        <v>70517</v>
      </c>
      <c r="J100" s="2">
        <f t="shared" si="82"/>
        <v>14025</v>
      </c>
      <c r="K100" s="2">
        <f t="shared" si="83"/>
        <v>84542</v>
      </c>
      <c r="L100" s="2">
        <f t="shared" si="84"/>
        <v>14025</v>
      </c>
      <c r="M100" s="2">
        <f t="shared" si="80"/>
        <v>98567</v>
      </c>
      <c r="N100" s="2">
        <f t="shared" si="85"/>
        <v>14025</v>
      </c>
      <c r="O100" s="2">
        <f t="shared" si="86"/>
        <v>112592</v>
      </c>
      <c r="P100" s="2">
        <f t="shared" si="87"/>
        <v>14025.25</v>
      </c>
      <c r="Q100" s="2">
        <f t="shared" si="88"/>
        <v>126617.25</v>
      </c>
      <c r="R100" s="2">
        <f t="shared" si="89"/>
        <v>14025.25</v>
      </c>
      <c r="S100" s="2">
        <f t="shared" si="90"/>
        <v>140642.5</v>
      </c>
      <c r="T100" s="2">
        <f t="shared" si="91"/>
        <v>14025.25</v>
      </c>
      <c r="U100" s="2">
        <f t="shared" si="92"/>
        <v>154667.75</v>
      </c>
      <c r="V100" s="2">
        <f t="shared" si="93"/>
        <v>14025.25</v>
      </c>
      <c r="W100" s="2">
        <f t="shared" si="94"/>
        <v>168693</v>
      </c>
      <c r="X100" s="2">
        <f t="shared" si="95"/>
        <v>14025.25</v>
      </c>
      <c r="Y100" s="2">
        <f t="shared" si="96"/>
        <v>182718.25</v>
      </c>
      <c r="Z100" s="2">
        <f t="shared" si="97"/>
        <v>14025.25</v>
      </c>
      <c r="AA100" s="2">
        <f t="shared" si="98"/>
        <v>196743.5</v>
      </c>
      <c r="AB100" s="2">
        <f t="shared" si="99"/>
        <v>14025.25</v>
      </c>
      <c r="AC100" s="2">
        <f t="shared" si="100"/>
        <v>210768.75</v>
      </c>
      <c r="AD100" s="2">
        <f t="shared" si="101"/>
        <v>14025.25</v>
      </c>
      <c r="AE100" s="2">
        <f t="shared" si="102"/>
        <v>224794</v>
      </c>
      <c r="AF100" s="2">
        <f t="shared" si="103"/>
        <v>14025.25</v>
      </c>
      <c r="AG100" s="2">
        <f t="shared" si="104"/>
        <v>238819.25</v>
      </c>
      <c r="AH100" s="2">
        <f t="shared" si="105"/>
        <v>14025.25</v>
      </c>
      <c r="AI100" s="2">
        <f t="shared" si="106"/>
        <v>252844.5</v>
      </c>
      <c r="AJ100" s="2">
        <f t="shared" si="107"/>
        <v>14025.25</v>
      </c>
      <c r="AK100" s="2">
        <f t="shared" si="108"/>
        <v>266869.75</v>
      </c>
      <c r="AL100" s="2">
        <f t="shared" si="109"/>
        <v>14025.25</v>
      </c>
      <c r="AM100" s="3">
        <f t="shared" si="110"/>
        <v>280895</v>
      </c>
      <c r="AN100" s="2">
        <f t="shared" si="111"/>
        <v>280115</v>
      </c>
      <c r="AO100" s="4">
        <f t="shared" si="112"/>
        <v>14025.25</v>
      </c>
      <c r="AP100" s="2">
        <f t="shared" si="113"/>
        <v>294920.25</v>
      </c>
      <c r="AQ100" s="2">
        <f t="shared" si="114"/>
        <v>266089.75</v>
      </c>
      <c r="AR100" s="4">
        <f t="shared" si="115"/>
        <v>14025.25</v>
      </c>
      <c r="AS100" s="5">
        <f t="shared" si="116"/>
        <v>308945.5</v>
      </c>
      <c r="AT100" s="2">
        <f t="shared" si="117"/>
        <v>252064.5</v>
      </c>
    </row>
    <row r="101" spans="1:48" x14ac:dyDescent="0.2">
      <c r="A101" s="1" t="s">
        <v>152</v>
      </c>
      <c r="B101" s="1" t="s">
        <v>153</v>
      </c>
      <c r="C101" s="2">
        <v>3288</v>
      </c>
      <c r="D101" s="1" t="s">
        <v>61</v>
      </c>
      <c r="E101" s="2">
        <v>40</v>
      </c>
      <c r="G101" s="2">
        <v>233</v>
      </c>
      <c r="H101" s="2">
        <v>82</v>
      </c>
      <c r="I101" s="2">
        <f t="shared" si="81"/>
        <v>315</v>
      </c>
      <c r="J101" s="2">
        <f t="shared" si="82"/>
        <v>82</v>
      </c>
      <c r="K101" s="2">
        <f t="shared" si="83"/>
        <v>397</v>
      </c>
      <c r="L101" s="2">
        <f t="shared" si="84"/>
        <v>82</v>
      </c>
      <c r="M101" s="2">
        <f t="shared" si="80"/>
        <v>479</v>
      </c>
      <c r="N101" s="2">
        <f t="shared" si="85"/>
        <v>82</v>
      </c>
      <c r="O101" s="2">
        <f t="shared" si="86"/>
        <v>561</v>
      </c>
      <c r="P101" s="2">
        <f t="shared" si="87"/>
        <v>82.2</v>
      </c>
      <c r="Q101" s="2">
        <f t="shared" si="88"/>
        <v>643.20000000000005</v>
      </c>
      <c r="R101" s="2">
        <f t="shared" si="89"/>
        <v>82.2</v>
      </c>
      <c r="S101" s="2">
        <f t="shared" si="90"/>
        <v>725.40000000000009</v>
      </c>
      <c r="T101" s="2">
        <f t="shared" si="91"/>
        <v>82.2</v>
      </c>
      <c r="U101" s="2">
        <f t="shared" si="92"/>
        <v>807.60000000000014</v>
      </c>
      <c r="V101" s="2">
        <f t="shared" si="93"/>
        <v>82.2</v>
      </c>
      <c r="W101" s="2">
        <f t="shared" si="94"/>
        <v>889.80000000000018</v>
      </c>
      <c r="X101" s="2">
        <f t="shared" si="95"/>
        <v>82.2</v>
      </c>
      <c r="Y101" s="2">
        <f t="shared" si="96"/>
        <v>972.00000000000023</v>
      </c>
      <c r="Z101" s="2">
        <f t="shared" si="97"/>
        <v>82.2</v>
      </c>
      <c r="AA101" s="2">
        <f t="shared" si="98"/>
        <v>1054.2000000000003</v>
      </c>
      <c r="AB101" s="2">
        <f t="shared" si="99"/>
        <v>82.2</v>
      </c>
      <c r="AC101" s="2">
        <f t="shared" si="100"/>
        <v>1136.4000000000003</v>
      </c>
      <c r="AD101" s="2">
        <f t="shared" si="101"/>
        <v>82.2</v>
      </c>
      <c r="AE101" s="2">
        <f t="shared" si="102"/>
        <v>1218.6000000000004</v>
      </c>
      <c r="AF101" s="2">
        <f t="shared" si="103"/>
        <v>82.2</v>
      </c>
      <c r="AG101" s="2">
        <f t="shared" si="104"/>
        <v>1300.8000000000004</v>
      </c>
      <c r="AH101" s="2">
        <f t="shared" si="105"/>
        <v>82.2</v>
      </c>
      <c r="AI101" s="2">
        <f t="shared" si="106"/>
        <v>1383.0000000000005</v>
      </c>
      <c r="AJ101" s="2">
        <f t="shared" si="107"/>
        <v>82.2</v>
      </c>
      <c r="AK101" s="2">
        <f t="shared" si="108"/>
        <v>1465.2000000000005</v>
      </c>
      <c r="AL101" s="2">
        <f t="shared" si="109"/>
        <v>82.2</v>
      </c>
      <c r="AM101" s="3">
        <f t="shared" si="110"/>
        <v>1547.4000000000005</v>
      </c>
      <c r="AN101" s="2">
        <f t="shared" si="111"/>
        <v>1740.5999999999995</v>
      </c>
      <c r="AO101" s="4">
        <f t="shared" si="112"/>
        <v>82.2</v>
      </c>
      <c r="AP101" s="2">
        <f t="shared" si="113"/>
        <v>1629.6000000000006</v>
      </c>
      <c r="AQ101" s="2">
        <f t="shared" si="114"/>
        <v>1658.3999999999994</v>
      </c>
      <c r="AR101" s="4">
        <f t="shared" si="115"/>
        <v>82.2</v>
      </c>
      <c r="AS101" s="5">
        <f t="shared" si="116"/>
        <v>1711.8000000000006</v>
      </c>
      <c r="AT101" s="2">
        <f t="shared" si="117"/>
        <v>1576.1999999999994</v>
      </c>
    </row>
    <row r="102" spans="1:48" x14ac:dyDescent="0.2">
      <c r="A102" s="1" t="s">
        <v>154</v>
      </c>
      <c r="B102" s="1" t="s">
        <v>80</v>
      </c>
      <c r="C102" s="2">
        <v>117000</v>
      </c>
      <c r="D102" s="1" t="s">
        <v>61</v>
      </c>
      <c r="E102" s="2">
        <v>40</v>
      </c>
      <c r="G102" s="5"/>
      <c r="H102" s="5"/>
      <c r="I102" s="5"/>
      <c r="J102" s="2">
        <v>1463</v>
      </c>
      <c r="K102" s="2">
        <f t="shared" si="83"/>
        <v>1463</v>
      </c>
      <c r="L102" s="2">
        <f>C102/E102</f>
        <v>2925</v>
      </c>
      <c r="M102" s="2">
        <f t="shared" si="80"/>
        <v>4388</v>
      </c>
      <c r="N102" s="2">
        <f t="shared" si="85"/>
        <v>2925</v>
      </c>
      <c r="O102" s="2">
        <f t="shared" si="86"/>
        <v>7313</v>
      </c>
      <c r="P102" s="2">
        <f t="shared" si="87"/>
        <v>2925</v>
      </c>
      <c r="Q102" s="2">
        <f t="shared" si="88"/>
        <v>10238</v>
      </c>
      <c r="R102" s="2">
        <f t="shared" si="89"/>
        <v>2925</v>
      </c>
      <c r="S102" s="2">
        <f t="shared" si="90"/>
        <v>13163</v>
      </c>
      <c r="T102" s="2">
        <f t="shared" si="91"/>
        <v>2925</v>
      </c>
      <c r="U102" s="2">
        <f t="shared" si="92"/>
        <v>16088</v>
      </c>
      <c r="V102" s="2">
        <f t="shared" si="93"/>
        <v>2925</v>
      </c>
      <c r="W102" s="2">
        <f t="shared" si="94"/>
        <v>19013</v>
      </c>
      <c r="X102" s="2">
        <f t="shared" si="95"/>
        <v>2925</v>
      </c>
      <c r="Y102" s="2">
        <f t="shared" si="96"/>
        <v>21938</v>
      </c>
      <c r="Z102" s="2">
        <f t="shared" si="97"/>
        <v>2925</v>
      </c>
      <c r="AA102" s="2">
        <v>24954</v>
      </c>
      <c r="AB102" s="2">
        <f t="shared" si="99"/>
        <v>2925</v>
      </c>
      <c r="AC102" s="2">
        <f t="shared" si="100"/>
        <v>27879</v>
      </c>
      <c r="AD102" s="2">
        <f t="shared" si="101"/>
        <v>2925</v>
      </c>
      <c r="AE102" s="2">
        <f t="shared" si="102"/>
        <v>30804</v>
      </c>
      <c r="AF102" s="2">
        <f t="shared" si="103"/>
        <v>2925</v>
      </c>
      <c r="AG102" s="2">
        <f t="shared" si="104"/>
        <v>33729</v>
      </c>
      <c r="AH102" s="2">
        <f t="shared" si="105"/>
        <v>2925</v>
      </c>
      <c r="AI102" s="2">
        <f t="shared" si="106"/>
        <v>36654</v>
      </c>
      <c r="AJ102" s="2">
        <f t="shared" si="107"/>
        <v>2925</v>
      </c>
      <c r="AK102" s="2">
        <f t="shared" si="108"/>
        <v>39579</v>
      </c>
      <c r="AL102" s="2">
        <f t="shared" si="109"/>
        <v>2925</v>
      </c>
      <c r="AM102" s="3">
        <f t="shared" si="110"/>
        <v>42504</v>
      </c>
      <c r="AN102" s="2">
        <f t="shared" si="111"/>
        <v>74496</v>
      </c>
      <c r="AO102" s="4">
        <f t="shared" si="112"/>
        <v>2925</v>
      </c>
      <c r="AP102" s="2">
        <f t="shared" si="113"/>
        <v>45429</v>
      </c>
      <c r="AQ102" s="2">
        <f t="shared" si="114"/>
        <v>71571</v>
      </c>
      <c r="AR102" s="4">
        <f t="shared" si="115"/>
        <v>2925</v>
      </c>
      <c r="AS102" s="5">
        <f t="shared" si="116"/>
        <v>48354</v>
      </c>
      <c r="AT102" s="2">
        <f t="shared" si="117"/>
        <v>68646</v>
      </c>
    </row>
    <row r="103" spans="1:48" x14ac:dyDescent="0.2">
      <c r="G103" s="5"/>
      <c r="H103" s="5"/>
      <c r="I103" s="5"/>
      <c r="AM103" s="3"/>
      <c r="AO103" s="4"/>
      <c r="AP103" s="2">
        <f t="shared" si="113"/>
        <v>0</v>
      </c>
      <c r="AR103" s="4"/>
      <c r="AS103" s="5">
        <f t="shared" si="116"/>
        <v>0</v>
      </c>
    </row>
    <row r="104" spans="1:48" x14ac:dyDescent="0.2">
      <c r="G104" s="5"/>
      <c r="H104" s="5"/>
      <c r="I104" s="5"/>
      <c r="AM104" s="3"/>
      <c r="AO104" s="4"/>
      <c r="AR104" s="4"/>
      <c r="AS104" s="5"/>
    </row>
    <row r="105" spans="1:48" x14ac:dyDescent="0.2">
      <c r="C105" s="5">
        <f>SUM(C95:C103)</f>
        <v>3246628</v>
      </c>
      <c r="G105" s="5">
        <f t="shared" ref="G105:R105" si="118">SUM(G95:G102)</f>
        <v>868559</v>
      </c>
      <c r="H105" s="5">
        <f t="shared" si="118"/>
        <v>78241</v>
      </c>
      <c r="I105" s="5">
        <f t="shared" si="118"/>
        <v>946800</v>
      </c>
      <c r="J105" s="5">
        <f t="shared" si="118"/>
        <v>79704</v>
      </c>
      <c r="K105" s="5">
        <f t="shared" si="118"/>
        <v>1026504</v>
      </c>
      <c r="L105" s="5">
        <f t="shared" si="118"/>
        <v>81166</v>
      </c>
      <c r="M105" s="5">
        <f t="shared" si="118"/>
        <v>1107670</v>
      </c>
      <c r="N105" s="5">
        <f t="shared" si="118"/>
        <v>81166</v>
      </c>
      <c r="O105" s="5">
        <f t="shared" si="118"/>
        <v>1188836</v>
      </c>
      <c r="P105" s="5">
        <f t="shared" si="118"/>
        <v>81165.7</v>
      </c>
      <c r="Q105" s="5">
        <f t="shared" si="118"/>
        <v>1270001.7</v>
      </c>
      <c r="R105" s="5">
        <f t="shared" si="118"/>
        <v>81165.7</v>
      </c>
      <c r="S105" s="5">
        <f>Q105+R105</f>
        <v>1351167.4</v>
      </c>
      <c r="T105" s="5">
        <f>SUM(T95:T102)</f>
        <v>81165.7</v>
      </c>
      <c r="U105" s="5">
        <f>SUM(U95:U102)</f>
        <v>1432333.0999999999</v>
      </c>
      <c r="V105" s="5">
        <f>SUM(V95:V102)</f>
        <v>81165.7</v>
      </c>
      <c r="W105" s="5">
        <f>SUM(W95:W102)</f>
        <v>1513498.8</v>
      </c>
      <c r="X105" s="5">
        <f>V105</f>
        <v>81165.7</v>
      </c>
      <c r="Y105" s="5">
        <f>W105+V105</f>
        <v>1594664.5</v>
      </c>
      <c r="Z105" s="5">
        <f>SUM(Z95:Z102)</f>
        <v>81165.7</v>
      </c>
      <c r="AA105" s="5">
        <f>SUM(AA95:AA103)</f>
        <v>1675921.1999999997</v>
      </c>
      <c r="AB105" s="5">
        <f>SUM(AB95:AB103)</f>
        <v>81165.7</v>
      </c>
      <c r="AC105" s="5">
        <f>SUM(AC95:AC103)</f>
        <v>1757086.9</v>
      </c>
      <c r="AD105" s="2">
        <f>SUM(AD95:AD103)</f>
        <v>81165.7</v>
      </c>
      <c r="AE105" s="2">
        <f>AC105+AD105</f>
        <v>1838252.5999999999</v>
      </c>
      <c r="AF105" s="2">
        <f t="shared" ref="AF105:AM105" si="119">SUM(AF95:AF102)</f>
        <v>81165.7</v>
      </c>
      <c r="AG105" s="2">
        <f t="shared" si="119"/>
        <v>1919418.3</v>
      </c>
      <c r="AH105" s="2">
        <f t="shared" si="119"/>
        <v>81165.7</v>
      </c>
      <c r="AI105" s="2">
        <f t="shared" si="119"/>
        <v>2000584</v>
      </c>
      <c r="AJ105" s="2">
        <f t="shared" si="119"/>
        <v>81165.7</v>
      </c>
      <c r="AK105" s="2">
        <f t="shared" si="119"/>
        <v>2081749.6999999997</v>
      </c>
      <c r="AL105" s="5">
        <f t="shared" si="119"/>
        <v>81165.7</v>
      </c>
      <c r="AM105" s="5">
        <f t="shared" si="119"/>
        <v>2162915.4</v>
      </c>
      <c r="AN105" s="5">
        <f>C105-AM105</f>
        <v>1083712.6000000001</v>
      </c>
      <c r="AO105" s="6">
        <f>SUM(AO95:AO104)</f>
        <v>81165.7</v>
      </c>
      <c r="AP105" s="5">
        <f>SUM(AP95:AP103)</f>
        <v>2244081.1</v>
      </c>
      <c r="AQ105" s="5">
        <f>SUM(AQ95:AQ103)</f>
        <v>1002546.9000000001</v>
      </c>
      <c r="AR105" s="6">
        <f>SUM(AR95:AR104)</f>
        <v>81165.7</v>
      </c>
      <c r="AS105" s="5">
        <f>SUM(AS95:AS103)</f>
        <v>2325246.7999999998</v>
      </c>
      <c r="AT105" s="5">
        <f>SUM(AT95:AT103)</f>
        <v>921381.20000000007</v>
      </c>
    </row>
    <row r="106" spans="1:48" x14ac:dyDescent="0.2">
      <c r="A106" s="1" t="s">
        <v>155</v>
      </c>
      <c r="AM106" s="3"/>
      <c r="AO106" s="4"/>
      <c r="AR106" s="4"/>
      <c r="AS106" s="5"/>
    </row>
    <row r="107" spans="1:48" x14ac:dyDescent="0.2">
      <c r="AM107" s="3"/>
      <c r="AO107" s="4"/>
      <c r="AR107" s="4"/>
      <c r="AS107" s="5"/>
    </row>
    <row r="108" spans="1:48" x14ac:dyDescent="0.2">
      <c r="A108" s="1" t="s">
        <v>156</v>
      </c>
      <c r="B108" s="3" t="s">
        <v>157</v>
      </c>
      <c r="C108" s="2">
        <v>385160</v>
      </c>
      <c r="D108" s="1" t="s">
        <v>61</v>
      </c>
      <c r="E108" s="2">
        <v>40</v>
      </c>
      <c r="G108" s="2">
        <v>256791</v>
      </c>
      <c r="H108" s="2">
        <v>9629</v>
      </c>
      <c r="I108" s="2">
        <f t="shared" ref="I108:I114" si="120">SUM(G108:H108)</f>
        <v>266420</v>
      </c>
      <c r="J108" s="2">
        <f t="shared" ref="J108:J114" si="121">H108</f>
        <v>9629</v>
      </c>
      <c r="K108" s="2">
        <f t="shared" ref="K108:K116" si="122">I108+J108</f>
        <v>276049</v>
      </c>
      <c r="L108" s="2">
        <f t="shared" ref="L108:L114" si="123">J108</f>
        <v>9629</v>
      </c>
      <c r="M108" s="2">
        <f t="shared" ref="M108:M116" si="124">K108+L108</f>
        <v>285678</v>
      </c>
      <c r="N108" s="2">
        <f t="shared" ref="N108:N116" si="125">L108</f>
        <v>9629</v>
      </c>
      <c r="O108" s="2">
        <f t="shared" ref="O108:O116" si="126">M108+N108</f>
        <v>295307</v>
      </c>
      <c r="P108" s="2">
        <f t="shared" ref="P108:P116" si="127">C108/E108</f>
        <v>9629</v>
      </c>
      <c r="Q108" s="2">
        <f t="shared" ref="Q108:Q116" si="128">O108+P108</f>
        <v>304936</v>
      </c>
      <c r="R108" s="2">
        <f t="shared" ref="R108:R116" si="129">SUM(C108/E108)</f>
        <v>9629</v>
      </c>
      <c r="S108" s="2">
        <f t="shared" ref="S108:S116" si="130">Q108+R108</f>
        <v>314565</v>
      </c>
      <c r="T108" s="2">
        <f t="shared" ref="T108:T116" si="131">R108</f>
        <v>9629</v>
      </c>
      <c r="U108" s="2">
        <f t="shared" ref="U108:U116" si="132">S108+T108</f>
        <v>324194</v>
      </c>
      <c r="V108" s="2">
        <f t="shared" ref="V108:V116" si="133">T108</f>
        <v>9629</v>
      </c>
      <c r="W108" s="2">
        <f t="shared" ref="W108:W116" si="134">U108+V108</f>
        <v>333823</v>
      </c>
      <c r="X108" s="2">
        <f t="shared" ref="X108:X116" si="135">V108</f>
        <v>9629</v>
      </c>
      <c r="Y108" s="2">
        <f t="shared" ref="Y108:Y116" si="136">W108+V108</f>
        <v>343452</v>
      </c>
      <c r="Z108" s="2">
        <f t="shared" ref="Z108:Z117" si="137">X108</f>
        <v>9629</v>
      </c>
      <c r="AA108" s="2">
        <f t="shared" ref="AA108:AA118" si="138">SUM(Y108:Z108)</f>
        <v>353081</v>
      </c>
      <c r="AB108" s="2">
        <f t="shared" ref="AB108:AB118" si="139">Z108</f>
        <v>9629</v>
      </c>
      <c r="AC108" s="2">
        <f t="shared" ref="AC108:AC119" si="140">SUM(AA108:AB108)</f>
        <v>362710</v>
      </c>
      <c r="AD108" s="2">
        <f t="shared" ref="AD108:AD119" si="141">AB108</f>
        <v>9629</v>
      </c>
      <c r="AE108" s="2">
        <f t="shared" ref="AE108:AE119" si="142">AC108+AD108</f>
        <v>372339</v>
      </c>
      <c r="AF108" s="2">
        <f t="shared" ref="AF108:AF119" si="143">AD108</f>
        <v>9629</v>
      </c>
      <c r="AG108" s="2">
        <f t="shared" ref="AG108:AG119" si="144">AE108+AF108</f>
        <v>381968</v>
      </c>
      <c r="AH108" s="2">
        <f>385160-381968</f>
        <v>3192</v>
      </c>
      <c r="AI108" s="2">
        <f t="shared" ref="AI108:AI119" si="145">AG108+AH108</f>
        <v>385160</v>
      </c>
      <c r="AJ108" s="2">
        <v>0</v>
      </c>
      <c r="AK108" s="2">
        <f t="shared" ref="AK108:AK117" si="146">SUM(AI108:AJ108)</f>
        <v>385160</v>
      </c>
      <c r="AL108" s="2">
        <v>0</v>
      </c>
      <c r="AM108" s="3">
        <f t="shared" ref="AM108:AM117" si="147">SUM(AK108:AL108)</f>
        <v>385160</v>
      </c>
      <c r="AN108" s="2">
        <f t="shared" ref="AN108:AN119" si="148">C108-AM108</f>
        <v>0</v>
      </c>
      <c r="AO108" s="4">
        <f t="shared" ref="AO108:AO119" si="149">AL108</f>
        <v>0</v>
      </c>
      <c r="AP108" s="2">
        <f t="shared" ref="AP108:AP120" si="150">AM108+AO108</f>
        <v>385160</v>
      </c>
      <c r="AQ108" s="2">
        <f t="shared" ref="AQ108:AQ119" si="151">AN108-AO108</f>
        <v>0</v>
      </c>
      <c r="AR108" s="4">
        <f t="shared" ref="AR108:AR119" si="152">AO108</f>
        <v>0</v>
      </c>
      <c r="AS108" s="5">
        <f t="shared" ref="AS108:AS120" si="153">AP108+AR108</f>
        <v>385160</v>
      </c>
      <c r="AT108" s="2">
        <f t="shared" ref="AT108:AT119" si="154">C108-AS108</f>
        <v>0</v>
      </c>
    </row>
    <row r="109" spans="1:48" x14ac:dyDescent="0.2">
      <c r="A109" s="1" t="s">
        <v>158</v>
      </c>
      <c r="B109" s="1" t="s">
        <v>38</v>
      </c>
      <c r="C109" s="2">
        <v>4835</v>
      </c>
      <c r="D109" s="1" t="s">
        <v>61</v>
      </c>
      <c r="E109" s="2">
        <v>40</v>
      </c>
      <c r="G109" s="2">
        <v>1028</v>
      </c>
      <c r="H109" s="2">
        <v>121</v>
      </c>
      <c r="I109" s="2">
        <f t="shared" si="120"/>
        <v>1149</v>
      </c>
      <c r="J109" s="2">
        <f t="shared" si="121"/>
        <v>121</v>
      </c>
      <c r="K109" s="2">
        <f t="shared" si="122"/>
        <v>1270</v>
      </c>
      <c r="L109" s="2">
        <f t="shared" si="123"/>
        <v>121</v>
      </c>
      <c r="M109" s="2">
        <f t="shared" si="124"/>
        <v>1391</v>
      </c>
      <c r="N109" s="2">
        <f t="shared" si="125"/>
        <v>121</v>
      </c>
      <c r="O109" s="2">
        <f t="shared" si="126"/>
        <v>1512</v>
      </c>
      <c r="P109" s="2">
        <f t="shared" si="127"/>
        <v>120.875</v>
      </c>
      <c r="Q109" s="2">
        <f t="shared" si="128"/>
        <v>1632.875</v>
      </c>
      <c r="R109" s="2">
        <f t="shared" si="129"/>
        <v>120.875</v>
      </c>
      <c r="S109" s="2">
        <f t="shared" si="130"/>
        <v>1753.75</v>
      </c>
      <c r="T109" s="2">
        <f t="shared" si="131"/>
        <v>120.875</v>
      </c>
      <c r="U109" s="2">
        <f t="shared" si="132"/>
        <v>1874.625</v>
      </c>
      <c r="V109" s="2">
        <f t="shared" si="133"/>
        <v>120.875</v>
      </c>
      <c r="W109" s="2">
        <f t="shared" si="134"/>
        <v>1995.5</v>
      </c>
      <c r="X109" s="2">
        <f t="shared" si="135"/>
        <v>120.875</v>
      </c>
      <c r="Y109" s="2">
        <f t="shared" si="136"/>
        <v>2116.375</v>
      </c>
      <c r="Z109" s="2">
        <f t="shared" si="137"/>
        <v>120.875</v>
      </c>
      <c r="AA109" s="2">
        <f t="shared" si="138"/>
        <v>2237.25</v>
      </c>
      <c r="AB109" s="2">
        <f t="shared" si="139"/>
        <v>120.875</v>
      </c>
      <c r="AC109" s="2">
        <f t="shared" si="140"/>
        <v>2358.125</v>
      </c>
      <c r="AD109" s="2">
        <f t="shared" si="141"/>
        <v>120.875</v>
      </c>
      <c r="AE109" s="2">
        <f t="shared" si="142"/>
        <v>2479</v>
      </c>
      <c r="AF109" s="2">
        <f t="shared" si="143"/>
        <v>120.875</v>
      </c>
      <c r="AG109" s="2">
        <f t="shared" si="144"/>
        <v>2599.875</v>
      </c>
      <c r="AH109" s="2">
        <f t="shared" ref="AH109:AH119" si="155">AF109</f>
        <v>120.875</v>
      </c>
      <c r="AI109" s="2">
        <f t="shared" si="145"/>
        <v>2720.75</v>
      </c>
      <c r="AJ109" s="2">
        <v>120.88</v>
      </c>
      <c r="AK109" s="2">
        <f t="shared" si="146"/>
        <v>2841.63</v>
      </c>
      <c r="AL109" s="2">
        <v>120.88</v>
      </c>
      <c r="AM109" s="3">
        <f t="shared" si="147"/>
        <v>2962.51</v>
      </c>
      <c r="AN109" s="2">
        <f t="shared" si="148"/>
        <v>1872.4899999999998</v>
      </c>
      <c r="AO109" s="4">
        <f t="shared" si="149"/>
        <v>120.88</v>
      </c>
      <c r="AP109" s="2">
        <f t="shared" si="150"/>
        <v>3083.3900000000003</v>
      </c>
      <c r="AQ109" s="2">
        <f t="shared" si="151"/>
        <v>1751.6099999999997</v>
      </c>
      <c r="AR109" s="4">
        <f t="shared" si="152"/>
        <v>120.88</v>
      </c>
      <c r="AS109" s="5">
        <f t="shared" si="153"/>
        <v>3204.2700000000004</v>
      </c>
      <c r="AT109" s="2">
        <f t="shared" si="154"/>
        <v>1630.7299999999996</v>
      </c>
    </row>
    <row r="110" spans="1:48" x14ac:dyDescent="0.2">
      <c r="A110" s="1" t="s">
        <v>159</v>
      </c>
      <c r="B110" s="1" t="s">
        <v>38</v>
      </c>
      <c r="C110" s="2">
        <v>260320</v>
      </c>
      <c r="D110" s="1" t="s">
        <v>61</v>
      </c>
      <c r="E110" s="2">
        <v>40</v>
      </c>
      <c r="G110" s="2">
        <v>55318</v>
      </c>
      <c r="H110" s="2">
        <v>6508</v>
      </c>
      <c r="I110" s="2">
        <f t="shared" si="120"/>
        <v>61826</v>
      </c>
      <c r="J110" s="2">
        <f t="shared" si="121"/>
        <v>6508</v>
      </c>
      <c r="K110" s="2">
        <f t="shared" si="122"/>
        <v>68334</v>
      </c>
      <c r="L110" s="2">
        <f t="shared" si="123"/>
        <v>6508</v>
      </c>
      <c r="M110" s="2">
        <f t="shared" si="124"/>
        <v>74842</v>
      </c>
      <c r="N110" s="2">
        <f t="shared" si="125"/>
        <v>6508</v>
      </c>
      <c r="O110" s="2">
        <f t="shared" si="126"/>
        <v>81350</v>
      </c>
      <c r="P110" s="2">
        <f t="shared" si="127"/>
        <v>6508</v>
      </c>
      <c r="Q110" s="2">
        <f t="shared" si="128"/>
        <v>87858</v>
      </c>
      <c r="R110" s="2">
        <f t="shared" si="129"/>
        <v>6508</v>
      </c>
      <c r="S110" s="2">
        <f t="shared" si="130"/>
        <v>94366</v>
      </c>
      <c r="T110" s="2">
        <f t="shared" si="131"/>
        <v>6508</v>
      </c>
      <c r="U110" s="2">
        <f t="shared" si="132"/>
        <v>100874</v>
      </c>
      <c r="V110" s="2">
        <f t="shared" si="133"/>
        <v>6508</v>
      </c>
      <c r="W110" s="2">
        <f t="shared" si="134"/>
        <v>107382</v>
      </c>
      <c r="X110" s="2">
        <f t="shared" si="135"/>
        <v>6508</v>
      </c>
      <c r="Y110" s="2">
        <f t="shared" si="136"/>
        <v>113890</v>
      </c>
      <c r="Z110" s="2">
        <f t="shared" si="137"/>
        <v>6508</v>
      </c>
      <c r="AA110" s="2">
        <f t="shared" si="138"/>
        <v>120398</v>
      </c>
      <c r="AB110" s="2">
        <f t="shared" si="139"/>
        <v>6508</v>
      </c>
      <c r="AC110" s="2">
        <f t="shared" si="140"/>
        <v>126906</v>
      </c>
      <c r="AD110" s="2">
        <f t="shared" si="141"/>
        <v>6508</v>
      </c>
      <c r="AE110" s="2">
        <f t="shared" si="142"/>
        <v>133414</v>
      </c>
      <c r="AF110" s="2">
        <f t="shared" si="143"/>
        <v>6508</v>
      </c>
      <c r="AG110" s="2">
        <f t="shared" si="144"/>
        <v>139922</v>
      </c>
      <c r="AH110" s="2">
        <f t="shared" si="155"/>
        <v>6508</v>
      </c>
      <c r="AI110" s="2">
        <f t="shared" si="145"/>
        <v>146430</v>
      </c>
      <c r="AJ110" s="2">
        <f t="shared" ref="AJ110:AJ118" si="156">AH110</f>
        <v>6508</v>
      </c>
      <c r="AK110" s="2">
        <f t="shared" si="146"/>
        <v>152938</v>
      </c>
      <c r="AL110" s="2">
        <f t="shared" ref="AL110:AL118" si="157">AJ110</f>
        <v>6508</v>
      </c>
      <c r="AM110" s="3">
        <f t="shared" si="147"/>
        <v>159446</v>
      </c>
      <c r="AN110" s="2">
        <f t="shared" si="148"/>
        <v>100874</v>
      </c>
      <c r="AO110" s="4">
        <f t="shared" si="149"/>
        <v>6508</v>
      </c>
      <c r="AP110" s="2">
        <f t="shared" si="150"/>
        <v>165954</v>
      </c>
      <c r="AQ110" s="2">
        <f t="shared" si="151"/>
        <v>94366</v>
      </c>
      <c r="AR110" s="4">
        <f t="shared" si="152"/>
        <v>6508</v>
      </c>
      <c r="AS110" s="5">
        <f t="shared" si="153"/>
        <v>172462</v>
      </c>
      <c r="AT110" s="2">
        <f t="shared" si="154"/>
        <v>87858</v>
      </c>
      <c r="AU110" s="7"/>
      <c r="AV110" s="8"/>
    </row>
    <row r="111" spans="1:48" x14ac:dyDescent="0.2">
      <c r="A111" s="1" t="s">
        <v>160</v>
      </c>
      <c r="B111" s="1" t="s">
        <v>65</v>
      </c>
      <c r="C111" s="2">
        <v>42130</v>
      </c>
      <c r="D111" s="1" t="s">
        <v>61</v>
      </c>
      <c r="E111" s="2">
        <v>40</v>
      </c>
      <c r="G111" s="2">
        <v>6845</v>
      </c>
      <c r="H111" s="2">
        <v>1053</v>
      </c>
      <c r="I111" s="2">
        <f t="shared" si="120"/>
        <v>7898</v>
      </c>
      <c r="J111" s="2">
        <f t="shared" si="121"/>
        <v>1053</v>
      </c>
      <c r="K111" s="2">
        <f t="shared" si="122"/>
        <v>8951</v>
      </c>
      <c r="L111" s="2">
        <f t="shared" si="123"/>
        <v>1053</v>
      </c>
      <c r="M111" s="2">
        <f t="shared" si="124"/>
        <v>10004</v>
      </c>
      <c r="N111" s="2">
        <f t="shared" si="125"/>
        <v>1053</v>
      </c>
      <c r="O111" s="2">
        <f t="shared" si="126"/>
        <v>11057</v>
      </c>
      <c r="P111" s="2">
        <f t="shared" si="127"/>
        <v>1053.25</v>
      </c>
      <c r="Q111" s="2">
        <f t="shared" si="128"/>
        <v>12110.25</v>
      </c>
      <c r="R111" s="2">
        <f t="shared" si="129"/>
        <v>1053.25</v>
      </c>
      <c r="S111" s="2">
        <f t="shared" si="130"/>
        <v>13163.5</v>
      </c>
      <c r="T111" s="2">
        <f t="shared" si="131"/>
        <v>1053.25</v>
      </c>
      <c r="U111" s="2">
        <f t="shared" si="132"/>
        <v>14216.75</v>
      </c>
      <c r="V111" s="2">
        <f t="shared" si="133"/>
        <v>1053.25</v>
      </c>
      <c r="W111" s="2">
        <f t="shared" si="134"/>
        <v>15270</v>
      </c>
      <c r="X111" s="2">
        <f t="shared" si="135"/>
        <v>1053.25</v>
      </c>
      <c r="Y111" s="2">
        <f t="shared" si="136"/>
        <v>16323.25</v>
      </c>
      <c r="Z111" s="2">
        <f t="shared" si="137"/>
        <v>1053.25</v>
      </c>
      <c r="AA111" s="2">
        <f t="shared" si="138"/>
        <v>17376.5</v>
      </c>
      <c r="AB111" s="2">
        <f t="shared" si="139"/>
        <v>1053.25</v>
      </c>
      <c r="AC111" s="2">
        <f t="shared" si="140"/>
        <v>18429.75</v>
      </c>
      <c r="AD111" s="2">
        <f t="shared" si="141"/>
        <v>1053.25</v>
      </c>
      <c r="AE111" s="2">
        <f t="shared" si="142"/>
        <v>19483</v>
      </c>
      <c r="AF111" s="2">
        <f t="shared" si="143"/>
        <v>1053.25</v>
      </c>
      <c r="AG111" s="2">
        <f t="shared" si="144"/>
        <v>20536.25</v>
      </c>
      <c r="AH111" s="2">
        <f t="shared" si="155"/>
        <v>1053.25</v>
      </c>
      <c r="AI111" s="2">
        <f t="shared" si="145"/>
        <v>21589.5</v>
      </c>
      <c r="AJ111" s="2">
        <f t="shared" si="156"/>
        <v>1053.25</v>
      </c>
      <c r="AK111" s="2">
        <f t="shared" si="146"/>
        <v>22642.75</v>
      </c>
      <c r="AL111" s="2">
        <f t="shared" si="157"/>
        <v>1053.25</v>
      </c>
      <c r="AM111" s="3">
        <f t="shared" si="147"/>
        <v>23696</v>
      </c>
      <c r="AN111" s="2">
        <f t="shared" si="148"/>
        <v>18434</v>
      </c>
      <c r="AO111" s="4">
        <f t="shared" si="149"/>
        <v>1053.25</v>
      </c>
      <c r="AP111" s="2">
        <f t="shared" si="150"/>
        <v>24749.25</v>
      </c>
      <c r="AQ111" s="2">
        <f t="shared" si="151"/>
        <v>17380.75</v>
      </c>
      <c r="AR111" s="4">
        <f t="shared" si="152"/>
        <v>1053.25</v>
      </c>
      <c r="AS111" s="5">
        <f t="shared" si="153"/>
        <v>25802.5</v>
      </c>
      <c r="AT111" s="2">
        <f t="shared" si="154"/>
        <v>16327.5</v>
      </c>
      <c r="AU111" s="7"/>
      <c r="AV111" s="8"/>
    </row>
    <row r="112" spans="1:48" x14ac:dyDescent="0.2">
      <c r="A112" s="1" t="s">
        <v>160</v>
      </c>
      <c r="B112" s="1" t="s">
        <v>66</v>
      </c>
      <c r="C112" s="2">
        <v>6340</v>
      </c>
      <c r="D112" s="1" t="s">
        <v>61</v>
      </c>
      <c r="E112" s="2">
        <v>40</v>
      </c>
      <c r="G112" s="2">
        <v>874</v>
      </c>
      <c r="H112" s="2">
        <v>159</v>
      </c>
      <c r="I112" s="2">
        <f t="shared" si="120"/>
        <v>1033</v>
      </c>
      <c r="J112" s="2">
        <f t="shared" si="121"/>
        <v>159</v>
      </c>
      <c r="K112" s="2">
        <f t="shared" si="122"/>
        <v>1192</v>
      </c>
      <c r="L112" s="2">
        <f t="shared" si="123"/>
        <v>159</v>
      </c>
      <c r="M112" s="2">
        <f t="shared" si="124"/>
        <v>1351</v>
      </c>
      <c r="N112" s="2">
        <f t="shared" si="125"/>
        <v>159</v>
      </c>
      <c r="O112" s="2">
        <f t="shared" si="126"/>
        <v>1510</v>
      </c>
      <c r="P112" s="2">
        <f t="shared" si="127"/>
        <v>158.5</v>
      </c>
      <c r="Q112" s="2">
        <f t="shared" si="128"/>
        <v>1668.5</v>
      </c>
      <c r="R112" s="2">
        <f t="shared" si="129"/>
        <v>158.5</v>
      </c>
      <c r="S112" s="2">
        <f t="shared" si="130"/>
        <v>1827</v>
      </c>
      <c r="T112" s="2">
        <f t="shared" si="131"/>
        <v>158.5</v>
      </c>
      <c r="U112" s="2">
        <f t="shared" si="132"/>
        <v>1985.5</v>
      </c>
      <c r="V112" s="2">
        <f t="shared" si="133"/>
        <v>158.5</v>
      </c>
      <c r="W112" s="2">
        <f t="shared" si="134"/>
        <v>2144</v>
      </c>
      <c r="X112" s="2">
        <f t="shared" si="135"/>
        <v>158.5</v>
      </c>
      <c r="Y112" s="2">
        <f t="shared" si="136"/>
        <v>2302.5</v>
      </c>
      <c r="Z112" s="2">
        <f t="shared" si="137"/>
        <v>158.5</v>
      </c>
      <c r="AA112" s="2">
        <f t="shared" si="138"/>
        <v>2461</v>
      </c>
      <c r="AB112" s="2">
        <f t="shared" si="139"/>
        <v>158.5</v>
      </c>
      <c r="AC112" s="2">
        <f t="shared" si="140"/>
        <v>2619.5</v>
      </c>
      <c r="AD112" s="2">
        <f t="shared" si="141"/>
        <v>158.5</v>
      </c>
      <c r="AE112" s="2">
        <f t="shared" si="142"/>
        <v>2778</v>
      </c>
      <c r="AF112" s="2">
        <f t="shared" si="143"/>
        <v>158.5</v>
      </c>
      <c r="AG112" s="2">
        <f t="shared" si="144"/>
        <v>2936.5</v>
      </c>
      <c r="AH112" s="2">
        <f t="shared" si="155"/>
        <v>158.5</v>
      </c>
      <c r="AI112" s="2">
        <f t="shared" si="145"/>
        <v>3095</v>
      </c>
      <c r="AJ112" s="2">
        <f t="shared" si="156"/>
        <v>158.5</v>
      </c>
      <c r="AK112" s="2">
        <f t="shared" si="146"/>
        <v>3253.5</v>
      </c>
      <c r="AL112" s="2">
        <f t="shared" si="157"/>
        <v>158.5</v>
      </c>
      <c r="AM112" s="3">
        <f t="shared" si="147"/>
        <v>3412</v>
      </c>
      <c r="AN112" s="2">
        <f t="shared" si="148"/>
        <v>2928</v>
      </c>
      <c r="AO112" s="4">
        <f t="shared" si="149"/>
        <v>158.5</v>
      </c>
      <c r="AP112" s="2">
        <f t="shared" si="150"/>
        <v>3570.5</v>
      </c>
      <c r="AQ112" s="2">
        <f t="shared" si="151"/>
        <v>2769.5</v>
      </c>
      <c r="AR112" s="4">
        <f t="shared" si="152"/>
        <v>158.5</v>
      </c>
      <c r="AS112" s="5">
        <f t="shared" si="153"/>
        <v>3729</v>
      </c>
      <c r="AT112" s="2">
        <f t="shared" si="154"/>
        <v>2611</v>
      </c>
      <c r="AU112" s="7"/>
      <c r="AV112" s="8"/>
    </row>
    <row r="113" spans="1:48" x14ac:dyDescent="0.2">
      <c r="A113" s="1" t="s">
        <v>160</v>
      </c>
      <c r="B113" s="1" t="s">
        <v>67</v>
      </c>
      <c r="C113" s="2">
        <v>17905</v>
      </c>
      <c r="D113" s="1" t="s">
        <v>61</v>
      </c>
      <c r="E113" s="2">
        <v>40</v>
      </c>
      <c r="G113" s="2">
        <v>2016</v>
      </c>
      <c r="H113" s="2">
        <v>448</v>
      </c>
      <c r="I113" s="2">
        <f t="shared" si="120"/>
        <v>2464</v>
      </c>
      <c r="J113" s="2">
        <f t="shared" si="121"/>
        <v>448</v>
      </c>
      <c r="K113" s="2">
        <f t="shared" si="122"/>
        <v>2912</v>
      </c>
      <c r="L113" s="2">
        <f t="shared" si="123"/>
        <v>448</v>
      </c>
      <c r="M113" s="2">
        <f t="shared" si="124"/>
        <v>3360</v>
      </c>
      <c r="N113" s="2">
        <f t="shared" si="125"/>
        <v>448</v>
      </c>
      <c r="O113" s="2">
        <f t="shared" si="126"/>
        <v>3808</v>
      </c>
      <c r="P113" s="2">
        <f t="shared" si="127"/>
        <v>447.625</v>
      </c>
      <c r="Q113" s="2">
        <f t="shared" si="128"/>
        <v>4255.625</v>
      </c>
      <c r="R113" s="2">
        <f t="shared" si="129"/>
        <v>447.625</v>
      </c>
      <c r="S113" s="2">
        <f t="shared" si="130"/>
        <v>4703.25</v>
      </c>
      <c r="T113" s="2">
        <f t="shared" si="131"/>
        <v>447.625</v>
      </c>
      <c r="U113" s="2">
        <f t="shared" si="132"/>
        <v>5150.875</v>
      </c>
      <c r="V113" s="2">
        <f t="shared" si="133"/>
        <v>447.625</v>
      </c>
      <c r="W113" s="2">
        <f t="shared" si="134"/>
        <v>5598.5</v>
      </c>
      <c r="X113" s="2">
        <f t="shared" si="135"/>
        <v>447.625</v>
      </c>
      <c r="Y113" s="2">
        <f t="shared" si="136"/>
        <v>6046.125</v>
      </c>
      <c r="Z113" s="2">
        <f t="shared" si="137"/>
        <v>447.625</v>
      </c>
      <c r="AA113" s="2">
        <f t="shared" si="138"/>
        <v>6493.75</v>
      </c>
      <c r="AB113" s="2">
        <f t="shared" si="139"/>
        <v>447.625</v>
      </c>
      <c r="AC113" s="2">
        <f t="shared" si="140"/>
        <v>6941.375</v>
      </c>
      <c r="AD113" s="2">
        <f t="shared" si="141"/>
        <v>447.625</v>
      </c>
      <c r="AE113" s="2">
        <f t="shared" si="142"/>
        <v>7389</v>
      </c>
      <c r="AF113" s="2">
        <f t="shared" si="143"/>
        <v>447.625</v>
      </c>
      <c r="AG113" s="2">
        <f t="shared" si="144"/>
        <v>7836.625</v>
      </c>
      <c r="AH113" s="2">
        <f t="shared" si="155"/>
        <v>447.625</v>
      </c>
      <c r="AI113" s="2">
        <f t="shared" si="145"/>
        <v>8284.25</v>
      </c>
      <c r="AJ113" s="2">
        <f t="shared" si="156"/>
        <v>447.625</v>
      </c>
      <c r="AK113" s="2">
        <f t="shared" si="146"/>
        <v>8731.875</v>
      </c>
      <c r="AL113" s="2">
        <f t="shared" si="157"/>
        <v>447.625</v>
      </c>
      <c r="AM113" s="3">
        <f t="shared" si="147"/>
        <v>9179.5</v>
      </c>
      <c r="AN113" s="2">
        <f t="shared" si="148"/>
        <v>8725.5</v>
      </c>
      <c r="AO113" s="4">
        <f t="shared" si="149"/>
        <v>447.625</v>
      </c>
      <c r="AP113" s="2">
        <f t="shared" si="150"/>
        <v>9627.125</v>
      </c>
      <c r="AQ113" s="2">
        <f t="shared" si="151"/>
        <v>8277.875</v>
      </c>
      <c r="AR113" s="4">
        <f t="shared" si="152"/>
        <v>447.625</v>
      </c>
      <c r="AS113" s="5">
        <f t="shared" si="153"/>
        <v>10074.75</v>
      </c>
      <c r="AT113" s="2">
        <f t="shared" si="154"/>
        <v>7830.25</v>
      </c>
      <c r="AU113" s="7"/>
      <c r="AV113" s="8"/>
    </row>
    <row r="114" spans="1:48" x14ac:dyDescent="0.2">
      <c r="A114" s="1" t="s">
        <v>159</v>
      </c>
      <c r="B114" s="1" t="s">
        <v>69</v>
      </c>
      <c r="C114" s="2">
        <v>290779</v>
      </c>
      <c r="D114" s="1" t="s">
        <v>61</v>
      </c>
      <c r="E114" s="2">
        <v>40</v>
      </c>
      <c r="G114" s="2">
        <v>25442</v>
      </c>
      <c r="H114" s="2">
        <v>7269</v>
      </c>
      <c r="I114" s="2">
        <f t="shared" si="120"/>
        <v>32711</v>
      </c>
      <c r="J114" s="2">
        <f t="shared" si="121"/>
        <v>7269</v>
      </c>
      <c r="K114" s="2">
        <f t="shared" si="122"/>
        <v>39980</v>
      </c>
      <c r="L114" s="2">
        <f t="shared" si="123"/>
        <v>7269</v>
      </c>
      <c r="M114" s="2">
        <f t="shared" si="124"/>
        <v>47249</v>
      </c>
      <c r="N114" s="2">
        <f t="shared" si="125"/>
        <v>7269</v>
      </c>
      <c r="O114" s="2">
        <f t="shared" si="126"/>
        <v>54518</v>
      </c>
      <c r="P114" s="2">
        <f t="shared" si="127"/>
        <v>7269.4750000000004</v>
      </c>
      <c r="Q114" s="2">
        <f t="shared" si="128"/>
        <v>61787.474999999999</v>
      </c>
      <c r="R114" s="2">
        <f t="shared" si="129"/>
        <v>7269.4750000000004</v>
      </c>
      <c r="S114" s="2">
        <f t="shared" si="130"/>
        <v>69056.95</v>
      </c>
      <c r="T114" s="2">
        <f t="shared" si="131"/>
        <v>7269.4750000000004</v>
      </c>
      <c r="U114" s="2">
        <f t="shared" si="132"/>
        <v>76326.425000000003</v>
      </c>
      <c r="V114" s="2">
        <f t="shared" si="133"/>
        <v>7269.4750000000004</v>
      </c>
      <c r="W114" s="2">
        <f t="shared" si="134"/>
        <v>83595.900000000009</v>
      </c>
      <c r="X114" s="2">
        <f t="shared" si="135"/>
        <v>7269.4750000000004</v>
      </c>
      <c r="Y114" s="2">
        <f t="shared" si="136"/>
        <v>90865.375000000015</v>
      </c>
      <c r="Z114" s="2">
        <f t="shared" si="137"/>
        <v>7269.4750000000004</v>
      </c>
      <c r="AA114" s="2">
        <f t="shared" si="138"/>
        <v>98134.85000000002</v>
      </c>
      <c r="AB114" s="2">
        <f t="shared" si="139"/>
        <v>7269.4750000000004</v>
      </c>
      <c r="AC114" s="2">
        <f t="shared" si="140"/>
        <v>105404.32500000003</v>
      </c>
      <c r="AD114" s="2">
        <f t="shared" si="141"/>
        <v>7269.4750000000004</v>
      </c>
      <c r="AE114" s="2">
        <f t="shared" si="142"/>
        <v>112673.80000000003</v>
      </c>
      <c r="AF114" s="2">
        <f t="shared" si="143"/>
        <v>7269.4750000000004</v>
      </c>
      <c r="AG114" s="2">
        <f t="shared" si="144"/>
        <v>119943.27500000004</v>
      </c>
      <c r="AH114" s="2">
        <f t="shared" si="155"/>
        <v>7269.4750000000004</v>
      </c>
      <c r="AI114" s="2">
        <f t="shared" si="145"/>
        <v>127212.75000000004</v>
      </c>
      <c r="AJ114" s="2">
        <f t="shared" si="156"/>
        <v>7269.4750000000004</v>
      </c>
      <c r="AK114" s="2">
        <f t="shared" si="146"/>
        <v>134482.22500000003</v>
      </c>
      <c r="AL114" s="2">
        <f t="shared" si="157"/>
        <v>7269.4750000000004</v>
      </c>
      <c r="AM114" s="3">
        <f t="shared" si="147"/>
        <v>141751.70000000004</v>
      </c>
      <c r="AN114" s="2">
        <f t="shared" si="148"/>
        <v>149027.29999999996</v>
      </c>
      <c r="AO114" s="4">
        <f t="shared" si="149"/>
        <v>7269.4750000000004</v>
      </c>
      <c r="AP114" s="2">
        <f t="shared" si="150"/>
        <v>149021.17500000005</v>
      </c>
      <c r="AQ114" s="2">
        <f t="shared" si="151"/>
        <v>141757.82499999995</v>
      </c>
      <c r="AR114" s="4">
        <f t="shared" si="152"/>
        <v>7269.4750000000004</v>
      </c>
      <c r="AS114" s="5">
        <f t="shared" si="153"/>
        <v>156290.65000000005</v>
      </c>
      <c r="AT114" s="2">
        <f t="shared" si="154"/>
        <v>134488.34999999995</v>
      </c>
      <c r="AU114" s="7"/>
      <c r="AV114" s="8"/>
    </row>
    <row r="115" spans="1:48" x14ac:dyDescent="0.2">
      <c r="A115" s="1" t="s">
        <v>161</v>
      </c>
      <c r="B115" s="1" t="s">
        <v>80</v>
      </c>
      <c r="C115" s="2">
        <v>572628</v>
      </c>
      <c r="D115" s="1" t="s">
        <v>61</v>
      </c>
      <c r="E115" s="2">
        <v>40</v>
      </c>
      <c r="J115" s="2">
        <v>7158</v>
      </c>
      <c r="K115" s="2">
        <f t="shared" si="122"/>
        <v>7158</v>
      </c>
      <c r="L115" s="2">
        <f>C115/E115</f>
        <v>14315.7</v>
      </c>
      <c r="M115" s="2">
        <f t="shared" si="124"/>
        <v>21473.7</v>
      </c>
      <c r="N115" s="2">
        <f t="shared" si="125"/>
        <v>14315.7</v>
      </c>
      <c r="O115" s="2">
        <f t="shared" si="126"/>
        <v>35789.4</v>
      </c>
      <c r="P115" s="2">
        <f t="shared" si="127"/>
        <v>14315.7</v>
      </c>
      <c r="Q115" s="2">
        <f t="shared" si="128"/>
        <v>50105.100000000006</v>
      </c>
      <c r="R115" s="2">
        <f t="shared" si="129"/>
        <v>14315.7</v>
      </c>
      <c r="S115" s="2">
        <f t="shared" si="130"/>
        <v>64420.800000000003</v>
      </c>
      <c r="T115" s="2">
        <f t="shared" si="131"/>
        <v>14315.7</v>
      </c>
      <c r="U115" s="2">
        <f t="shared" si="132"/>
        <v>78736.5</v>
      </c>
      <c r="V115" s="2">
        <f t="shared" si="133"/>
        <v>14315.7</v>
      </c>
      <c r="W115" s="2">
        <f t="shared" si="134"/>
        <v>93052.2</v>
      </c>
      <c r="X115" s="2">
        <f t="shared" si="135"/>
        <v>14315.7</v>
      </c>
      <c r="Y115" s="2">
        <f t="shared" si="136"/>
        <v>107367.9</v>
      </c>
      <c r="Z115" s="2">
        <f t="shared" si="137"/>
        <v>14315.7</v>
      </c>
      <c r="AA115" s="2">
        <f t="shared" si="138"/>
        <v>121683.59999999999</v>
      </c>
      <c r="AB115" s="2">
        <f t="shared" si="139"/>
        <v>14315.7</v>
      </c>
      <c r="AC115" s="2">
        <f t="shared" si="140"/>
        <v>135999.29999999999</v>
      </c>
      <c r="AD115" s="2">
        <f t="shared" si="141"/>
        <v>14315.7</v>
      </c>
      <c r="AE115" s="2">
        <f t="shared" si="142"/>
        <v>150315</v>
      </c>
      <c r="AF115" s="2">
        <f t="shared" si="143"/>
        <v>14315.7</v>
      </c>
      <c r="AG115" s="2">
        <f t="shared" si="144"/>
        <v>164630.70000000001</v>
      </c>
      <c r="AH115" s="2">
        <f t="shared" si="155"/>
        <v>14315.7</v>
      </c>
      <c r="AI115" s="2">
        <f t="shared" si="145"/>
        <v>178946.40000000002</v>
      </c>
      <c r="AJ115" s="2">
        <f t="shared" si="156"/>
        <v>14315.7</v>
      </c>
      <c r="AK115" s="2">
        <f t="shared" si="146"/>
        <v>193262.10000000003</v>
      </c>
      <c r="AL115" s="2">
        <f t="shared" si="157"/>
        <v>14315.7</v>
      </c>
      <c r="AM115" s="3">
        <f t="shared" si="147"/>
        <v>207577.80000000005</v>
      </c>
      <c r="AN115" s="2">
        <f t="shared" si="148"/>
        <v>365050.19999999995</v>
      </c>
      <c r="AO115" s="4">
        <f t="shared" si="149"/>
        <v>14315.7</v>
      </c>
      <c r="AP115" s="2">
        <f t="shared" si="150"/>
        <v>221893.50000000006</v>
      </c>
      <c r="AQ115" s="2">
        <f t="shared" si="151"/>
        <v>350734.49999999994</v>
      </c>
      <c r="AR115" s="4">
        <f t="shared" si="152"/>
        <v>14315.7</v>
      </c>
      <c r="AS115" s="5">
        <f t="shared" si="153"/>
        <v>236209.20000000007</v>
      </c>
      <c r="AT115" s="2">
        <f t="shared" si="154"/>
        <v>336418.79999999993</v>
      </c>
      <c r="AU115" s="7"/>
      <c r="AV115" s="8"/>
    </row>
    <row r="116" spans="1:48" x14ac:dyDescent="0.2">
      <c r="A116" s="1" t="s">
        <v>162</v>
      </c>
      <c r="B116" s="1" t="s">
        <v>80</v>
      </c>
      <c r="C116" s="2">
        <v>913907</v>
      </c>
      <c r="D116" s="1" t="s">
        <v>61</v>
      </c>
      <c r="E116" s="2">
        <v>40</v>
      </c>
      <c r="J116" s="2">
        <v>11424</v>
      </c>
      <c r="K116" s="2">
        <f t="shared" si="122"/>
        <v>11424</v>
      </c>
      <c r="L116" s="2">
        <f>C116/E116</f>
        <v>22847.674999999999</v>
      </c>
      <c r="M116" s="2">
        <f t="shared" si="124"/>
        <v>34271.675000000003</v>
      </c>
      <c r="N116" s="2">
        <f t="shared" si="125"/>
        <v>22847.674999999999</v>
      </c>
      <c r="O116" s="2">
        <f t="shared" si="126"/>
        <v>57119.350000000006</v>
      </c>
      <c r="P116" s="2">
        <f t="shared" si="127"/>
        <v>22847.674999999999</v>
      </c>
      <c r="Q116" s="2">
        <f t="shared" si="128"/>
        <v>79967.025000000009</v>
      </c>
      <c r="R116" s="2">
        <f t="shared" si="129"/>
        <v>22847.674999999999</v>
      </c>
      <c r="S116" s="2">
        <f t="shared" si="130"/>
        <v>102814.70000000001</v>
      </c>
      <c r="T116" s="2">
        <f t="shared" si="131"/>
        <v>22847.674999999999</v>
      </c>
      <c r="U116" s="2">
        <f t="shared" si="132"/>
        <v>125662.37500000001</v>
      </c>
      <c r="V116" s="2">
        <f t="shared" si="133"/>
        <v>22847.674999999999</v>
      </c>
      <c r="W116" s="2">
        <f t="shared" si="134"/>
        <v>148510.05000000002</v>
      </c>
      <c r="X116" s="2">
        <f t="shared" si="135"/>
        <v>22847.674999999999</v>
      </c>
      <c r="Y116" s="2">
        <f t="shared" si="136"/>
        <v>171357.72500000001</v>
      </c>
      <c r="Z116" s="2">
        <f t="shared" si="137"/>
        <v>22847.674999999999</v>
      </c>
      <c r="AA116" s="2">
        <f t="shared" si="138"/>
        <v>194205.4</v>
      </c>
      <c r="AB116" s="2">
        <f t="shared" si="139"/>
        <v>22847.674999999999</v>
      </c>
      <c r="AC116" s="2">
        <f t="shared" si="140"/>
        <v>217053.07499999998</v>
      </c>
      <c r="AD116" s="2">
        <f t="shared" si="141"/>
        <v>22847.674999999999</v>
      </c>
      <c r="AE116" s="2">
        <f t="shared" si="142"/>
        <v>239900.74999999997</v>
      </c>
      <c r="AF116" s="2">
        <f t="shared" si="143"/>
        <v>22847.674999999999</v>
      </c>
      <c r="AG116" s="2">
        <f t="shared" si="144"/>
        <v>262748.42499999999</v>
      </c>
      <c r="AH116" s="2">
        <f t="shared" si="155"/>
        <v>22847.674999999999</v>
      </c>
      <c r="AI116" s="2">
        <f t="shared" si="145"/>
        <v>285596.09999999998</v>
      </c>
      <c r="AJ116" s="2">
        <f t="shared" si="156"/>
        <v>22847.674999999999</v>
      </c>
      <c r="AK116" s="2">
        <f t="shared" si="146"/>
        <v>308443.77499999997</v>
      </c>
      <c r="AL116" s="2">
        <f t="shared" si="157"/>
        <v>22847.674999999999</v>
      </c>
      <c r="AM116" s="3">
        <f t="shared" si="147"/>
        <v>331291.44999999995</v>
      </c>
      <c r="AN116" s="2">
        <f t="shared" si="148"/>
        <v>582615.55000000005</v>
      </c>
      <c r="AO116" s="4">
        <f t="shared" si="149"/>
        <v>22847.674999999999</v>
      </c>
      <c r="AP116" s="2">
        <f t="shared" si="150"/>
        <v>354139.12499999994</v>
      </c>
      <c r="AQ116" s="2">
        <f t="shared" si="151"/>
        <v>559767.875</v>
      </c>
      <c r="AR116" s="4">
        <f t="shared" si="152"/>
        <v>22847.674999999999</v>
      </c>
      <c r="AS116" s="5">
        <f t="shared" si="153"/>
        <v>376986.79999999993</v>
      </c>
      <c r="AT116" s="2">
        <f t="shared" si="154"/>
        <v>536920.20000000007</v>
      </c>
      <c r="AU116" s="7"/>
      <c r="AV116" s="8"/>
    </row>
    <row r="117" spans="1:48" x14ac:dyDescent="0.2">
      <c r="A117" s="1" t="s">
        <v>163</v>
      </c>
      <c r="B117" s="1" t="s">
        <v>164</v>
      </c>
      <c r="C117" s="2">
        <v>365363</v>
      </c>
      <c r="D117" s="1" t="s">
        <v>61</v>
      </c>
      <c r="E117" s="2">
        <v>40</v>
      </c>
      <c r="V117" s="2">
        <v>8373</v>
      </c>
      <c r="W117" s="2">
        <v>8373</v>
      </c>
      <c r="X117" s="2">
        <f>365363/40</f>
        <v>9134.0750000000007</v>
      </c>
      <c r="Y117" s="2">
        <f>SUM(W117:X117)</f>
        <v>17507.075000000001</v>
      </c>
      <c r="Z117" s="2">
        <f t="shared" si="137"/>
        <v>9134.0750000000007</v>
      </c>
      <c r="AA117" s="2">
        <f t="shared" si="138"/>
        <v>26641.15</v>
      </c>
      <c r="AB117" s="2">
        <f t="shared" si="139"/>
        <v>9134.0750000000007</v>
      </c>
      <c r="AC117" s="2">
        <f t="shared" si="140"/>
        <v>35775.225000000006</v>
      </c>
      <c r="AD117" s="2">
        <f t="shared" si="141"/>
        <v>9134.0750000000007</v>
      </c>
      <c r="AE117" s="2">
        <f t="shared" si="142"/>
        <v>44909.3</v>
      </c>
      <c r="AF117" s="2">
        <f t="shared" si="143"/>
        <v>9134.0750000000007</v>
      </c>
      <c r="AG117" s="2">
        <f t="shared" si="144"/>
        <v>54043.375</v>
      </c>
      <c r="AH117" s="2">
        <f t="shared" si="155"/>
        <v>9134.0750000000007</v>
      </c>
      <c r="AI117" s="2">
        <f t="shared" si="145"/>
        <v>63177.45</v>
      </c>
      <c r="AJ117" s="2">
        <f t="shared" si="156"/>
        <v>9134.0750000000007</v>
      </c>
      <c r="AK117" s="2">
        <f t="shared" si="146"/>
        <v>72311.524999999994</v>
      </c>
      <c r="AL117" s="2">
        <f t="shared" si="157"/>
        <v>9134.0750000000007</v>
      </c>
      <c r="AM117" s="3">
        <f t="shared" si="147"/>
        <v>81445.599999999991</v>
      </c>
      <c r="AN117" s="2">
        <f t="shared" si="148"/>
        <v>283917.40000000002</v>
      </c>
      <c r="AO117" s="4">
        <f t="shared" si="149"/>
        <v>9134.0750000000007</v>
      </c>
      <c r="AP117" s="2">
        <f t="shared" si="150"/>
        <v>90579.674999999988</v>
      </c>
      <c r="AQ117" s="2">
        <f t="shared" si="151"/>
        <v>274783.32500000001</v>
      </c>
      <c r="AR117" s="4">
        <f t="shared" si="152"/>
        <v>9134.0750000000007</v>
      </c>
      <c r="AS117" s="5">
        <f t="shared" si="153"/>
        <v>99713.749999999985</v>
      </c>
      <c r="AT117" s="2">
        <f t="shared" si="154"/>
        <v>265649.25</v>
      </c>
      <c r="AU117" s="7"/>
      <c r="AV117" s="8"/>
    </row>
    <row r="118" spans="1:48" x14ac:dyDescent="0.2">
      <c r="A118" s="1" t="s">
        <v>165</v>
      </c>
      <c r="B118" s="1" t="s">
        <v>138</v>
      </c>
      <c r="C118" s="2">
        <v>117292</v>
      </c>
      <c r="D118" s="1" t="s">
        <v>61</v>
      </c>
      <c r="E118" s="2">
        <v>40</v>
      </c>
      <c r="G118" s="5"/>
      <c r="H118" s="5"/>
      <c r="I118" s="5"/>
      <c r="X118" s="2">
        <f>117292/40/12*2</f>
        <v>488.7166666666667</v>
      </c>
      <c r="Y118" s="2">
        <f>SUM(W118:X118)</f>
        <v>488.7166666666667</v>
      </c>
      <c r="Z118" s="2">
        <f>C118/40</f>
        <v>2932.3</v>
      </c>
      <c r="AA118" s="2">
        <f t="shared" si="138"/>
        <v>3421.0166666666669</v>
      </c>
      <c r="AB118" s="2">
        <f t="shared" si="139"/>
        <v>2932.3</v>
      </c>
      <c r="AC118" s="2">
        <f t="shared" si="140"/>
        <v>6353.3166666666675</v>
      </c>
      <c r="AD118" s="2">
        <f t="shared" si="141"/>
        <v>2932.3</v>
      </c>
      <c r="AE118" s="2">
        <f t="shared" si="142"/>
        <v>9285.6166666666686</v>
      </c>
      <c r="AF118" s="2">
        <f t="shared" si="143"/>
        <v>2932.3</v>
      </c>
      <c r="AG118" s="2">
        <f t="shared" si="144"/>
        <v>12217.916666666668</v>
      </c>
      <c r="AH118" s="2">
        <f t="shared" si="155"/>
        <v>2932.3</v>
      </c>
      <c r="AI118" s="2">
        <f t="shared" si="145"/>
        <v>15150.216666666667</v>
      </c>
      <c r="AJ118" s="2">
        <f t="shared" si="156"/>
        <v>2932.3</v>
      </c>
      <c r="AK118" s="2">
        <f>15150.22+2932.3</f>
        <v>18082.52</v>
      </c>
      <c r="AL118" s="2">
        <f t="shared" si="157"/>
        <v>2932.3</v>
      </c>
      <c r="AM118" s="3">
        <v>21014.82</v>
      </c>
      <c r="AN118" s="2">
        <f t="shared" si="148"/>
        <v>96277.18</v>
      </c>
      <c r="AO118" s="4">
        <f t="shared" si="149"/>
        <v>2932.3</v>
      </c>
      <c r="AP118" s="2">
        <f t="shared" si="150"/>
        <v>23947.119999999999</v>
      </c>
      <c r="AQ118" s="2">
        <f t="shared" si="151"/>
        <v>93344.87999999999</v>
      </c>
      <c r="AR118" s="4">
        <f t="shared" si="152"/>
        <v>2932.3</v>
      </c>
      <c r="AS118" s="5">
        <f t="shared" si="153"/>
        <v>26879.42</v>
      </c>
      <c r="AT118" s="2">
        <f t="shared" si="154"/>
        <v>90412.58</v>
      </c>
      <c r="AU118" s="7"/>
      <c r="AV118" s="8"/>
    </row>
    <row r="119" spans="1:48" x14ac:dyDescent="0.2">
      <c r="A119" s="1" t="s">
        <v>166</v>
      </c>
      <c r="B119" s="1" t="s">
        <v>167</v>
      </c>
      <c r="C119" s="2">
        <v>408475</v>
      </c>
      <c r="D119" s="1" t="s">
        <v>61</v>
      </c>
      <c r="E119" s="2">
        <v>40</v>
      </c>
      <c r="G119" s="5"/>
      <c r="H119" s="5"/>
      <c r="I119" s="5"/>
      <c r="Z119" s="2">
        <v>4255</v>
      </c>
      <c r="AA119" s="2">
        <v>4255</v>
      </c>
      <c r="AB119" s="2">
        <f>408475/40</f>
        <v>10211.875</v>
      </c>
      <c r="AC119" s="2">
        <f t="shared" si="140"/>
        <v>14466.875</v>
      </c>
      <c r="AD119" s="2">
        <f t="shared" si="141"/>
        <v>10211.875</v>
      </c>
      <c r="AE119" s="2">
        <f t="shared" si="142"/>
        <v>24678.75</v>
      </c>
      <c r="AF119" s="2">
        <f t="shared" si="143"/>
        <v>10211.875</v>
      </c>
      <c r="AG119" s="2">
        <f t="shared" si="144"/>
        <v>34890.625</v>
      </c>
      <c r="AH119" s="2">
        <f t="shared" si="155"/>
        <v>10211.875</v>
      </c>
      <c r="AI119" s="2">
        <f t="shared" si="145"/>
        <v>45102.5</v>
      </c>
      <c r="AJ119" s="2">
        <v>10211.879999999999</v>
      </c>
      <c r="AK119" s="2">
        <f>SUM(AI119:AJ119)</f>
        <v>55314.38</v>
      </c>
      <c r="AL119" s="2">
        <v>10211.879999999999</v>
      </c>
      <c r="AM119" s="3">
        <f>SUM(AK119:AL119)</f>
        <v>65526.259999999995</v>
      </c>
      <c r="AN119" s="2">
        <f t="shared" si="148"/>
        <v>342948.74</v>
      </c>
      <c r="AO119" s="4">
        <f t="shared" si="149"/>
        <v>10211.879999999999</v>
      </c>
      <c r="AP119" s="2">
        <f t="shared" si="150"/>
        <v>75738.14</v>
      </c>
      <c r="AQ119" s="2">
        <f t="shared" si="151"/>
        <v>332736.86</v>
      </c>
      <c r="AR119" s="4">
        <f t="shared" si="152"/>
        <v>10211.879999999999</v>
      </c>
      <c r="AS119" s="5">
        <f t="shared" si="153"/>
        <v>85950.02</v>
      </c>
      <c r="AT119" s="2">
        <f t="shared" si="154"/>
        <v>322524.98</v>
      </c>
      <c r="AU119" s="7"/>
      <c r="AV119" s="8"/>
    </row>
    <row r="120" spans="1:48" x14ac:dyDescent="0.2">
      <c r="G120" s="5"/>
      <c r="H120" s="5"/>
      <c r="I120" s="5"/>
      <c r="AM120" s="3"/>
      <c r="AO120" s="4"/>
      <c r="AP120" s="2">
        <f t="shared" si="150"/>
        <v>0</v>
      </c>
      <c r="AR120" s="4"/>
      <c r="AS120" s="5">
        <f t="shared" si="153"/>
        <v>0</v>
      </c>
    </row>
    <row r="121" spans="1:48" x14ac:dyDescent="0.2">
      <c r="C121" s="5">
        <f>SUM(C108:C119)</f>
        <v>3385134</v>
      </c>
      <c r="G121" s="5">
        <f t="shared" ref="G121:R121" si="158">SUM(G108:G116)</f>
        <v>348314</v>
      </c>
      <c r="H121" s="5">
        <f t="shared" si="158"/>
        <v>25187</v>
      </c>
      <c r="I121" s="5">
        <f t="shared" si="158"/>
        <v>373501</v>
      </c>
      <c r="J121" s="5">
        <f t="shared" si="158"/>
        <v>43769</v>
      </c>
      <c r="K121" s="5">
        <f t="shared" si="158"/>
        <v>417270</v>
      </c>
      <c r="L121" s="5">
        <f t="shared" si="158"/>
        <v>62350.375</v>
      </c>
      <c r="M121" s="5">
        <f t="shared" si="158"/>
        <v>479620.375</v>
      </c>
      <c r="N121" s="5">
        <f t="shared" si="158"/>
        <v>62350.375</v>
      </c>
      <c r="O121" s="5">
        <f t="shared" si="158"/>
        <v>541970.75</v>
      </c>
      <c r="P121" s="5">
        <f t="shared" si="158"/>
        <v>62350.100000000006</v>
      </c>
      <c r="Q121" s="5">
        <f t="shared" si="158"/>
        <v>604320.85</v>
      </c>
      <c r="R121" s="5">
        <f t="shared" si="158"/>
        <v>62350.100000000006</v>
      </c>
      <c r="S121" s="5">
        <f>Q121+R121</f>
        <v>666670.94999999995</v>
      </c>
      <c r="T121" s="5">
        <f>SUM(T108:T116)</f>
        <v>62350.100000000006</v>
      </c>
      <c r="U121" s="5">
        <f>SUM(U108:U116)</f>
        <v>729021.05</v>
      </c>
      <c r="V121" s="5">
        <f>SUM(V108:V117)</f>
        <v>70723.100000000006</v>
      </c>
      <c r="W121" s="5">
        <f>SUM(W108:W117)</f>
        <v>799744.15</v>
      </c>
      <c r="X121" s="5">
        <f>SUM(X108:X118)</f>
        <v>71972.891666666663</v>
      </c>
      <c r="Y121" s="5">
        <f>SUM(Y108:Y118)</f>
        <v>871717.04166666663</v>
      </c>
      <c r="Z121" s="5">
        <f>SUM(Z108:Z119)</f>
        <v>78671.475000000006</v>
      </c>
      <c r="AA121" s="5">
        <f>SUM(AA108:AA119)</f>
        <v>950388.51666666672</v>
      </c>
      <c r="AB121" s="5">
        <f>SUM(AB108:AB119)</f>
        <v>84628.35</v>
      </c>
      <c r="AC121" s="5">
        <f>SUM(AC108:AC119)</f>
        <v>1035016.8666666666</v>
      </c>
      <c r="AD121" s="2">
        <f>SUM(AD108:AD119)</f>
        <v>84628.35</v>
      </c>
      <c r="AE121" s="2">
        <f>AC121+AD121</f>
        <v>1119645.2166666666</v>
      </c>
      <c r="AF121" s="2">
        <f>SUM(AF108:AF119)</f>
        <v>84628.35</v>
      </c>
      <c r="AG121" s="2">
        <f>SUM(AG108:AG119)</f>
        <v>1204273.5666666669</v>
      </c>
      <c r="AH121" s="2">
        <f>SUM(AH108:AH119)</f>
        <v>78191.350000000006</v>
      </c>
      <c r="AI121" s="2">
        <v>1282464.92</v>
      </c>
      <c r="AJ121" s="5">
        <f t="shared" ref="AJ121:AO121" si="159">SUM(AJ108:AJ119)</f>
        <v>74999.360000000001</v>
      </c>
      <c r="AK121" s="5">
        <f t="shared" si="159"/>
        <v>1357464.2799999998</v>
      </c>
      <c r="AL121" s="5">
        <f t="shared" si="159"/>
        <v>74999.360000000001</v>
      </c>
      <c r="AM121" s="5">
        <f t="shared" si="159"/>
        <v>1432463.6400000001</v>
      </c>
      <c r="AN121" s="5">
        <f t="shared" si="159"/>
        <v>1952670.3599999999</v>
      </c>
      <c r="AO121" s="6">
        <f t="shared" si="159"/>
        <v>74999.360000000001</v>
      </c>
      <c r="AP121" s="5">
        <f>SUM(AP108:AP120)</f>
        <v>1507463.0000000002</v>
      </c>
      <c r="AQ121" s="5">
        <f>SUM(AQ108:AQ119)</f>
        <v>1877670.9999999995</v>
      </c>
      <c r="AR121" s="6">
        <f>SUM(AR108:AR119)</f>
        <v>74999.360000000001</v>
      </c>
      <c r="AS121" s="5">
        <f>SUM(AS108:AS120)</f>
        <v>1582462.3599999999</v>
      </c>
      <c r="AT121" s="5">
        <f>SUM(AT108:AT119)</f>
        <v>1802671.6400000001</v>
      </c>
      <c r="AV121" s="8"/>
    </row>
    <row r="122" spans="1:48" x14ac:dyDescent="0.2">
      <c r="A122" s="1" t="s">
        <v>168</v>
      </c>
      <c r="G122" s="5"/>
      <c r="H122" s="5"/>
      <c r="I122" s="5"/>
      <c r="J122" s="5"/>
      <c r="AM122" s="3"/>
      <c r="AO122" s="4"/>
      <c r="AR122" s="4"/>
      <c r="AS122" s="5"/>
    </row>
    <row r="123" spans="1:48" x14ac:dyDescent="0.2">
      <c r="AM123" s="3"/>
      <c r="AO123" s="4"/>
      <c r="AR123" s="4"/>
      <c r="AS123" s="5"/>
    </row>
    <row r="124" spans="1:48" x14ac:dyDescent="0.2">
      <c r="A124" s="1" t="s">
        <v>169</v>
      </c>
      <c r="B124" s="1" t="s">
        <v>60</v>
      </c>
      <c r="C124" s="2">
        <v>2527951</v>
      </c>
      <c r="D124" s="1" t="s">
        <v>61</v>
      </c>
      <c r="E124" s="2">
        <v>40</v>
      </c>
      <c r="G124" s="2">
        <v>1072589</v>
      </c>
      <c r="H124" s="2">
        <v>63199</v>
      </c>
      <c r="I124" s="2">
        <f t="shared" ref="I124:I137" si="160">SUM(G124:H124)</f>
        <v>1135788</v>
      </c>
      <c r="J124" s="2">
        <f t="shared" ref="J124:J137" si="161">H124</f>
        <v>63199</v>
      </c>
      <c r="K124" s="2">
        <f t="shared" ref="K124:K141" si="162">I124+J124</f>
        <v>1198987</v>
      </c>
      <c r="L124" s="2">
        <f t="shared" ref="L124:L138" si="163">J124</f>
        <v>63199</v>
      </c>
      <c r="M124" s="2">
        <f t="shared" ref="M124:M142" si="164">K124+L124</f>
        <v>1262186</v>
      </c>
      <c r="N124" s="2">
        <f t="shared" ref="N124:N141" si="165">L124</f>
        <v>63199</v>
      </c>
      <c r="O124" s="2">
        <f t="shared" ref="O124:O142" si="166">M124+N124</f>
        <v>1325385</v>
      </c>
      <c r="P124" s="2">
        <f t="shared" ref="P124:P144" si="167">C124/E124</f>
        <v>63198.775000000001</v>
      </c>
      <c r="Q124" s="2">
        <f t="shared" ref="Q124:Q146" si="168">O124+P124</f>
        <v>1388583.7749999999</v>
      </c>
      <c r="R124" s="2">
        <f t="shared" ref="R124:R146" si="169">SUM(C124/E124)</f>
        <v>63198.775000000001</v>
      </c>
      <c r="S124" s="2">
        <f t="shared" ref="S124:S147" si="170">Q124+R124</f>
        <v>1451782.5499999998</v>
      </c>
      <c r="T124" s="2">
        <f t="shared" ref="T124:T146" si="171">R124</f>
        <v>63198.775000000001</v>
      </c>
      <c r="U124" s="2">
        <v>1517596</v>
      </c>
      <c r="V124" s="2">
        <f t="shared" ref="V124:V147" si="172">T124</f>
        <v>63198.775000000001</v>
      </c>
      <c r="W124" s="2">
        <f t="shared" ref="W124:W129" si="173">U124+V124</f>
        <v>1580794.7749999999</v>
      </c>
      <c r="X124" s="2">
        <f t="shared" ref="X124:X148" si="174">V124</f>
        <v>63198.775000000001</v>
      </c>
      <c r="Y124" s="2">
        <f t="shared" ref="Y124:Y158" si="175">SUM(W124:X124)</f>
        <v>1643993.5499999998</v>
      </c>
      <c r="Z124" s="2">
        <f t="shared" ref="Z124:Z155" si="176">X124</f>
        <v>63198.775000000001</v>
      </c>
      <c r="AA124" s="2">
        <f t="shared" ref="AA124:AA157" si="177">SUM(Y124:Z124)</f>
        <v>1707192.3249999997</v>
      </c>
      <c r="AB124" s="2">
        <f t="shared" ref="AB124:AB157" si="178">Z124</f>
        <v>63198.775000000001</v>
      </c>
      <c r="AC124" s="2">
        <f t="shared" ref="AC124:AC158" si="179">SUM(AA124:AB124)</f>
        <v>1770391.0999999996</v>
      </c>
      <c r="AD124" s="2">
        <f t="shared" ref="AD124:AD158" si="180">AB124</f>
        <v>63198.775000000001</v>
      </c>
      <c r="AE124" s="2">
        <f t="shared" ref="AE124:AE161" si="181">AC124+AD124</f>
        <v>1833589.8749999995</v>
      </c>
      <c r="AF124" s="2">
        <f t="shared" ref="AF124:AF159" si="182">AD124</f>
        <v>63198.775000000001</v>
      </c>
      <c r="AG124" s="2">
        <f t="shared" ref="AG124:AG162" si="183">AE124+AF124</f>
        <v>1896788.6499999994</v>
      </c>
      <c r="AH124" s="2">
        <f t="shared" ref="AH124:AH161" si="184">AF124</f>
        <v>63198.775000000001</v>
      </c>
      <c r="AI124" s="2">
        <f t="shared" ref="AI124:AI162" si="185">AG124+AH124</f>
        <v>1959987.4249999993</v>
      </c>
      <c r="AJ124" s="2">
        <f t="shared" ref="AJ124:AJ162" si="186">AH124</f>
        <v>63198.775000000001</v>
      </c>
      <c r="AK124" s="2">
        <f t="shared" ref="AK124:AK163" si="187">SUM(AI124:AJ124)</f>
        <v>2023186.1999999993</v>
      </c>
      <c r="AL124" s="2">
        <f t="shared" ref="AL124:AL162" si="188">AJ124</f>
        <v>63198.775000000001</v>
      </c>
      <c r="AM124" s="3">
        <f t="shared" ref="AM124:AM163" si="189">SUM(AK124:AL124)</f>
        <v>2086384.9749999992</v>
      </c>
      <c r="AN124" s="2">
        <f t="shared" ref="AN124:AN167" si="190">C124-AM124</f>
        <v>441566.02500000084</v>
      </c>
      <c r="AO124" s="4">
        <f t="shared" ref="AO124:AO166" si="191">AL124</f>
        <v>63198.775000000001</v>
      </c>
      <c r="AP124" s="2">
        <f t="shared" ref="AP124:AP169" si="192">AM124+AO124</f>
        <v>2149583.7499999991</v>
      </c>
      <c r="AQ124" s="2">
        <f t="shared" ref="AQ124:AQ168" si="193">AN124-AO124</f>
        <v>378367.25000000081</v>
      </c>
      <c r="AR124" s="4">
        <f t="shared" ref="AR124:AR167" si="194">AO124</f>
        <v>63198.775000000001</v>
      </c>
      <c r="AS124" s="5">
        <f t="shared" ref="AS124:AS169" si="195">AP124+AR124</f>
        <v>2212782.524999999</v>
      </c>
      <c r="AT124" s="2">
        <f t="shared" ref="AT124:AT169" si="196">C124-AS124</f>
        <v>315168.47500000102</v>
      </c>
    </row>
    <row r="125" spans="1:48" x14ac:dyDescent="0.2">
      <c r="A125" s="1" t="s">
        <v>170</v>
      </c>
      <c r="B125" s="1" t="s">
        <v>145</v>
      </c>
      <c r="C125" s="2">
        <v>31029</v>
      </c>
      <c r="D125" s="1" t="s">
        <v>61</v>
      </c>
      <c r="E125" s="2">
        <v>40</v>
      </c>
      <c r="G125" s="2">
        <v>7372</v>
      </c>
      <c r="H125" s="2">
        <v>776</v>
      </c>
      <c r="I125" s="2">
        <f t="shared" si="160"/>
        <v>8148</v>
      </c>
      <c r="J125" s="2">
        <f t="shared" si="161"/>
        <v>776</v>
      </c>
      <c r="K125" s="2">
        <f t="shared" si="162"/>
        <v>8924</v>
      </c>
      <c r="L125" s="2">
        <f t="shared" si="163"/>
        <v>776</v>
      </c>
      <c r="M125" s="2">
        <f t="shared" si="164"/>
        <v>9700</v>
      </c>
      <c r="N125" s="2">
        <f t="shared" si="165"/>
        <v>776</v>
      </c>
      <c r="O125" s="2">
        <f t="shared" si="166"/>
        <v>10476</v>
      </c>
      <c r="P125" s="2">
        <f t="shared" si="167"/>
        <v>775.72500000000002</v>
      </c>
      <c r="Q125" s="2">
        <f t="shared" si="168"/>
        <v>11251.725</v>
      </c>
      <c r="R125" s="2">
        <f t="shared" si="169"/>
        <v>775.72500000000002</v>
      </c>
      <c r="S125" s="2">
        <f t="shared" si="170"/>
        <v>12027.45</v>
      </c>
      <c r="T125" s="2">
        <f t="shared" si="171"/>
        <v>775.72500000000002</v>
      </c>
      <c r="U125" s="2">
        <f t="shared" ref="U125:U148" si="197">S125+T125</f>
        <v>12803.175000000001</v>
      </c>
      <c r="V125" s="2">
        <f t="shared" si="172"/>
        <v>775.72500000000002</v>
      </c>
      <c r="W125" s="2">
        <f t="shared" si="173"/>
        <v>13578.900000000001</v>
      </c>
      <c r="X125" s="2">
        <f t="shared" si="174"/>
        <v>775.72500000000002</v>
      </c>
      <c r="Y125" s="2">
        <f t="shared" si="175"/>
        <v>14354.625000000002</v>
      </c>
      <c r="Z125" s="2">
        <f t="shared" si="176"/>
        <v>775.72500000000002</v>
      </c>
      <c r="AA125" s="2">
        <f t="shared" si="177"/>
        <v>15130.350000000002</v>
      </c>
      <c r="AB125" s="2">
        <f t="shared" si="178"/>
        <v>775.72500000000002</v>
      </c>
      <c r="AC125" s="2">
        <f t="shared" si="179"/>
        <v>15906.075000000003</v>
      </c>
      <c r="AD125" s="2">
        <f t="shared" si="180"/>
        <v>775.72500000000002</v>
      </c>
      <c r="AE125" s="2">
        <f t="shared" si="181"/>
        <v>16681.800000000003</v>
      </c>
      <c r="AF125" s="2">
        <f t="shared" si="182"/>
        <v>775.72500000000002</v>
      </c>
      <c r="AG125" s="2">
        <f t="shared" si="183"/>
        <v>17457.525000000001</v>
      </c>
      <c r="AH125" s="2">
        <f t="shared" si="184"/>
        <v>775.72500000000002</v>
      </c>
      <c r="AI125" s="2">
        <f t="shared" si="185"/>
        <v>18233.25</v>
      </c>
      <c r="AJ125" s="2">
        <f t="shared" si="186"/>
        <v>775.72500000000002</v>
      </c>
      <c r="AK125" s="2">
        <f t="shared" si="187"/>
        <v>19008.974999999999</v>
      </c>
      <c r="AL125" s="2">
        <f t="shared" si="188"/>
        <v>775.72500000000002</v>
      </c>
      <c r="AM125" s="3">
        <f t="shared" si="189"/>
        <v>19784.699999999997</v>
      </c>
      <c r="AN125" s="2">
        <f t="shared" si="190"/>
        <v>11244.300000000003</v>
      </c>
      <c r="AO125" s="4">
        <f t="shared" si="191"/>
        <v>775.72500000000002</v>
      </c>
      <c r="AP125" s="2">
        <f t="shared" si="192"/>
        <v>20560.424999999996</v>
      </c>
      <c r="AQ125" s="2">
        <f t="shared" si="193"/>
        <v>10468.575000000003</v>
      </c>
      <c r="AR125" s="4">
        <f t="shared" si="194"/>
        <v>775.72500000000002</v>
      </c>
      <c r="AS125" s="5">
        <f t="shared" si="195"/>
        <v>21336.149999999994</v>
      </c>
      <c r="AT125" s="2">
        <f t="shared" si="196"/>
        <v>9692.8500000000058</v>
      </c>
    </row>
    <row r="126" spans="1:48" x14ac:dyDescent="0.2">
      <c r="A126" s="1" t="s">
        <v>170</v>
      </c>
      <c r="B126" s="1" t="s">
        <v>171</v>
      </c>
      <c r="C126" s="2">
        <v>50637</v>
      </c>
      <c r="D126" s="1" t="s">
        <v>61</v>
      </c>
      <c r="E126" s="2">
        <v>40</v>
      </c>
      <c r="G126" s="2">
        <v>10761</v>
      </c>
      <c r="H126" s="2">
        <v>1266</v>
      </c>
      <c r="I126" s="2">
        <f t="shared" si="160"/>
        <v>12027</v>
      </c>
      <c r="J126" s="2">
        <f t="shared" si="161"/>
        <v>1266</v>
      </c>
      <c r="K126" s="2">
        <f t="shared" si="162"/>
        <v>13293</v>
      </c>
      <c r="L126" s="2">
        <f t="shared" si="163"/>
        <v>1266</v>
      </c>
      <c r="M126" s="2">
        <f t="shared" si="164"/>
        <v>14559</v>
      </c>
      <c r="N126" s="2">
        <f t="shared" si="165"/>
        <v>1266</v>
      </c>
      <c r="O126" s="2">
        <f t="shared" si="166"/>
        <v>15825</v>
      </c>
      <c r="P126" s="2">
        <f t="shared" si="167"/>
        <v>1265.925</v>
      </c>
      <c r="Q126" s="2">
        <f t="shared" si="168"/>
        <v>17090.924999999999</v>
      </c>
      <c r="R126" s="2">
        <f t="shared" si="169"/>
        <v>1265.925</v>
      </c>
      <c r="S126" s="2">
        <f t="shared" si="170"/>
        <v>18356.849999999999</v>
      </c>
      <c r="T126" s="2">
        <f t="shared" si="171"/>
        <v>1265.925</v>
      </c>
      <c r="U126" s="2">
        <f t="shared" si="197"/>
        <v>19622.774999999998</v>
      </c>
      <c r="V126" s="2">
        <f t="shared" si="172"/>
        <v>1265.925</v>
      </c>
      <c r="W126" s="2">
        <f t="shared" si="173"/>
        <v>20888.699999999997</v>
      </c>
      <c r="X126" s="2">
        <f t="shared" si="174"/>
        <v>1265.925</v>
      </c>
      <c r="Y126" s="2">
        <f t="shared" si="175"/>
        <v>22154.624999999996</v>
      </c>
      <c r="Z126" s="2">
        <f t="shared" si="176"/>
        <v>1265.925</v>
      </c>
      <c r="AA126" s="2">
        <f t="shared" si="177"/>
        <v>23420.549999999996</v>
      </c>
      <c r="AB126" s="2">
        <f t="shared" si="178"/>
        <v>1265.925</v>
      </c>
      <c r="AC126" s="2">
        <f t="shared" si="179"/>
        <v>24686.474999999995</v>
      </c>
      <c r="AD126" s="2">
        <f t="shared" si="180"/>
        <v>1265.925</v>
      </c>
      <c r="AE126" s="2">
        <f t="shared" si="181"/>
        <v>25952.399999999994</v>
      </c>
      <c r="AF126" s="2">
        <f t="shared" si="182"/>
        <v>1265.925</v>
      </c>
      <c r="AG126" s="2">
        <f t="shared" si="183"/>
        <v>27218.324999999993</v>
      </c>
      <c r="AH126" s="2">
        <f t="shared" si="184"/>
        <v>1265.925</v>
      </c>
      <c r="AI126" s="2">
        <f t="shared" si="185"/>
        <v>28484.249999999993</v>
      </c>
      <c r="AJ126" s="2">
        <f t="shared" si="186"/>
        <v>1265.925</v>
      </c>
      <c r="AK126" s="2">
        <f t="shared" si="187"/>
        <v>29750.174999999992</v>
      </c>
      <c r="AL126" s="2">
        <f t="shared" si="188"/>
        <v>1265.925</v>
      </c>
      <c r="AM126" s="3">
        <f t="shared" si="189"/>
        <v>31016.099999999991</v>
      </c>
      <c r="AN126" s="2">
        <f t="shared" si="190"/>
        <v>19620.900000000009</v>
      </c>
      <c r="AO126" s="4">
        <f t="shared" si="191"/>
        <v>1265.925</v>
      </c>
      <c r="AP126" s="2">
        <f t="shared" si="192"/>
        <v>32282.024999999991</v>
      </c>
      <c r="AQ126" s="2">
        <f t="shared" si="193"/>
        <v>18354.975000000009</v>
      </c>
      <c r="AR126" s="4">
        <f t="shared" si="194"/>
        <v>1265.925</v>
      </c>
      <c r="AS126" s="5">
        <f t="shared" si="195"/>
        <v>33547.94999999999</v>
      </c>
      <c r="AT126" s="2">
        <f t="shared" si="196"/>
        <v>17089.05000000001</v>
      </c>
    </row>
    <row r="127" spans="1:48" x14ac:dyDescent="0.2">
      <c r="A127" s="1" t="s">
        <v>169</v>
      </c>
      <c r="B127" s="1" t="s">
        <v>171</v>
      </c>
      <c r="C127" s="2">
        <v>444640</v>
      </c>
      <c r="D127" s="1" t="s">
        <v>61</v>
      </c>
      <c r="E127" s="2">
        <v>40</v>
      </c>
      <c r="G127" s="2">
        <v>94486</v>
      </c>
      <c r="H127" s="2">
        <v>11116</v>
      </c>
      <c r="I127" s="2">
        <f t="shared" si="160"/>
        <v>105602</v>
      </c>
      <c r="J127" s="2">
        <f t="shared" si="161"/>
        <v>11116</v>
      </c>
      <c r="K127" s="2">
        <f t="shared" si="162"/>
        <v>116718</v>
      </c>
      <c r="L127" s="2">
        <f t="shared" si="163"/>
        <v>11116</v>
      </c>
      <c r="M127" s="2">
        <f t="shared" si="164"/>
        <v>127834</v>
      </c>
      <c r="N127" s="2">
        <f t="shared" si="165"/>
        <v>11116</v>
      </c>
      <c r="O127" s="2">
        <f t="shared" si="166"/>
        <v>138950</v>
      </c>
      <c r="P127" s="2">
        <f t="shared" si="167"/>
        <v>11116</v>
      </c>
      <c r="Q127" s="2">
        <f t="shared" si="168"/>
        <v>150066</v>
      </c>
      <c r="R127" s="2">
        <f t="shared" si="169"/>
        <v>11116</v>
      </c>
      <c r="S127" s="2">
        <f t="shared" si="170"/>
        <v>161182</v>
      </c>
      <c r="T127" s="2">
        <f t="shared" si="171"/>
        <v>11116</v>
      </c>
      <c r="U127" s="2">
        <f t="shared" si="197"/>
        <v>172298</v>
      </c>
      <c r="V127" s="2">
        <f t="shared" si="172"/>
        <v>11116</v>
      </c>
      <c r="W127" s="2">
        <f t="shared" si="173"/>
        <v>183414</v>
      </c>
      <c r="X127" s="2">
        <f t="shared" si="174"/>
        <v>11116</v>
      </c>
      <c r="Y127" s="2">
        <f t="shared" si="175"/>
        <v>194530</v>
      </c>
      <c r="Z127" s="2">
        <f t="shared" si="176"/>
        <v>11116</v>
      </c>
      <c r="AA127" s="2">
        <f t="shared" si="177"/>
        <v>205646</v>
      </c>
      <c r="AB127" s="2">
        <f t="shared" si="178"/>
        <v>11116</v>
      </c>
      <c r="AC127" s="2">
        <f t="shared" si="179"/>
        <v>216762</v>
      </c>
      <c r="AD127" s="2">
        <f t="shared" si="180"/>
        <v>11116</v>
      </c>
      <c r="AE127" s="2">
        <f t="shared" si="181"/>
        <v>227878</v>
      </c>
      <c r="AF127" s="2">
        <f t="shared" si="182"/>
        <v>11116</v>
      </c>
      <c r="AG127" s="2">
        <f t="shared" si="183"/>
        <v>238994</v>
      </c>
      <c r="AH127" s="2">
        <f t="shared" si="184"/>
        <v>11116</v>
      </c>
      <c r="AI127" s="2">
        <f t="shared" si="185"/>
        <v>250110</v>
      </c>
      <c r="AJ127" s="2">
        <f t="shared" si="186"/>
        <v>11116</v>
      </c>
      <c r="AK127" s="2">
        <f t="shared" si="187"/>
        <v>261226</v>
      </c>
      <c r="AL127" s="2">
        <f t="shared" si="188"/>
        <v>11116</v>
      </c>
      <c r="AM127" s="3">
        <f t="shared" si="189"/>
        <v>272342</v>
      </c>
      <c r="AN127" s="2">
        <f t="shared" si="190"/>
        <v>172298</v>
      </c>
      <c r="AO127" s="4">
        <f t="shared" si="191"/>
        <v>11116</v>
      </c>
      <c r="AP127" s="2">
        <f t="shared" si="192"/>
        <v>283458</v>
      </c>
      <c r="AQ127" s="2">
        <f t="shared" si="193"/>
        <v>161182</v>
      </c>
      <c r="AR127" s="4">
        <f t="shared" si="194"/>
        <v>11116</v>
      </c>
      <c r="AS127" s="5">
        <f t="shared" si="195"/>
        <v>294574</v>
      </c>
      <c r="AT127" s="2">
        <f t="shared" si="196"/>
        <v>150066</v>
      </c>
    </row>
    <row r="128" spans="1:48" x14ac:dyDescent="0.2">
      <c r="A128" s="1" t="s">
        <v>170</v>
      </c>
      <c r="B128" s="1" t="s">
        <v>38</v>
      </c>
      <c r="C128" s="2">
        <v>70060</v>
      </c>
      <c r="D128" s="1" t="s">
        <v>61</v>
      </c>
      <c r="E128" s="2">
        <v>40</v>
      </c>
      <c r="G128" s="2">
        <v>28938</v>
      </c>
      <c r="H128" s="2">
        <v>1752</v>
      </c>
      <c r="I128" s="2">
        <f t="shared" si="160"/>
        <v>30690</v>
      </c>
      <c r="J128" s="2">
        <f t="shared" si="161"/>
        <v>1752</v>
      </c>
      <c r="K128" s="2">
        <f t="shared" si="162"/>
        <v>32442</v>
      </c>
      <c r="L128" s="2">
        <f t="shared" si="163"/>
        <v>1752</v>
      </c>
      <c r="M128" s="2">
        <f t="shared" si="164"/>
        <v>34194</v>
      </c>
      <c r="N128" s="2">
        <f t="shared" si="165"/>
        <v>1752</v>
      </c>
      <c r="O128" s="2">
        <f t="shared" si="166"/>
        <v>35946</v>
      </c>
      <c r="P128" s="2">
        <f t="shared" si="167"/>
        <v>1751.5</v>
      </c>
      <c r="Q128" s="2">
        <f t="shared" si="168"/>
        <v>37697.5</v>
      </c>
      <c r="R128" s="2">
        <f t="shared" si="169"/>
        <v>1751.5</v>
      </c>
      <c r="S128" s="2">
        <f t="shared" si="170"/>
        <v>39449</v>
      </c>
      <c r="T128" s="2">
        <f t="shared" si="171"/>
        <v>1751.5</v>
      </c>
      <c r="U128" s="2">
        <f t="shared" si="197"/>
        <v>41200.5</v>
      </c>
      <c r="V128" s="2">
        <f t="shared" si="172"/>
        <v>1751.5</v>
      </c>
      <c r="W128" s="2">
        <f t="shared" si="173"/>
        <v>42952</v>
      </c>
      <c r="X128" s="2">
        <f t="shared" si="174"/>
        <v>1751.5</v>
      </c>
      <c r="Y128" s="2">
        <f t="shared" si="175"/>
        <v>44703.5</v>
      </c>
      <c r="Z128" s="2">
        <f t="shared" si="176"/>
        <v>1751.5</v>
      </c>
      <c r="AA128" s="2">
        <f t="shared" si="177"/>
        <v>46455</v>
      </c>
      <c r="AB128" s="2">
        <f t="shared" si="178"/>
        <v>1751.5</v>
      </c>
      <c r="AC128" s="2">
        <f t="shared" si="179"/>
        <v>48206.5</v>
      </c>
      <c r="AD128" s="2">
        <f t="shared" si="180"/>
        <v>1751.5</v>
      </c>
      <c r="AE128" s="2">
        <f t="shared" si="181"/>
        <v>49958</v>
      </c>
      <c r="AF128" s="2">
        <f t="shared" si="182"/>
        <v>1751.5</v>
      </c>
      <c r="AG128" s="2">
        <f t="shared" si="183"/>
        <v>51709.5</v>
      </c>
      <c r="AH128" s="2">
        <f t="shared" si="184"/>
        <v>1751.5</v>
      </c>
      <c r="AI128" s="2">
        <f t="shared" si="185"/>
        <v>53461</v>
      </c>
      <c r="AJ128" s="2">
        <f t="shared" si="186"/>
        <v>1751.5</v>
      </c>
      <c r="AK128" s="2">
        <f t="shared" si="187"/>
        <v>55212.5</v>
      </c>
      <c r="AL128" s="2">
        <f t="shared" si="188"/>
        <v>1751.5</v>
      </c>
      <c r="AM128" s="3">
        <f t="shared" si="189"/>
        <v>56964</v>
      </c>
      <c r="AN128" s="2">
        <f t="shared" si="190"/>
        <v>13096</v>
      </c>
      <c r="AO128" s="4">
        <f t="shared" si="191"/>
        <v>1751.5</v>
      </c>
      <c r="AP128" s="2">
        <f t="shared" si="192"/>
        <v>58715.5</v>
      </c>
      <c r="AQ128" s="2">
        <f t="shared" si="193"/>
        <v>11344.5</v>
      </c>
      <c r="AR128" s="4">
        <f t="shared" si="194"/>
        <v>1751.5</v>
      </c>
      <c r="AS128" s="5">
        <f t="shared" si="195"/>
        <v>60467</v>
      </c>
      <c r="AT128" s="2">
        <f t="shared" si="196"/>
        <v>9593</v>
      </c>
    </row>
    <row r="129" spans="1:46" x14ac:dyDescent="0.2">
      <c r="A129" s="1" t="s">
        <v>170</v>
      </c>
      <c r="B129" s="1" t="s">
        <v>64</v>
      </c>
      <c r="C129" s="2">
        <v>50887</v>
      </c>
      <c r="D129" s="1" t="s">
        <v>61</v>
      </c>
      <c r="E129" s="2">
        <v>40</v>
      </c>
      <c r="G129" s="2">
        <v>9541</v>
      </c>
      <c r="H129" s="2">
        <v>1272</v>
      </c>
      <c r="I129" s="2">
        <f t="shared" si="160"/>
        <v>10813</v>
      </c>
      <c r="J129" s="2">
        <f t="shared" si="161"/>
        <v>1272</v>
      </c>
      <c r="K129" s="2">
        <f t="shared" si="162"/>
        <v>12085</v>
      </c>
      <c r="L129" s="2">
        <f t="shared" si="163"/>
        <v>1272</v>
      </c>
      <c r="M129" s="2">
        <f t="shared" si="164"/>
        <v>13357</v>
      </c>
      <c r="N129" s="2">
        <f t="shared" si="165"/>
        <v>1272</v>
      </c>
      <c r="O129" s="2">
        <f t="shared" si="166"/>
        <v>14629</v>
      </c>
      <c r="P129" s="2">
        <f t="shared" si="167"/>
        <v>1272.175</v>
      </c>
      <c r="Q129" s="2">
        <f t="shared" si="168"/>
        <v>15901.174999999999</v>
      </c>
      <c r="R129" s="2">
        <f t="shared" si="169"/>
        <v>1272.175</v>
      </c>
      <c r="S129" s="2">
        <f t="shared" si="170"/>
        <v>17173.349999999999</v>
      </c>
      <c r="T129" s="2">
        <f t="shared" si="171"/>
        <v>1272.175</v>
      </c>
      <c r="U129" s="2">
        <f t="shared" si="197"/>
        <v>18445.524999999998</v>
      </c>
      <c r="V129" s="2">
        <f t="shared" si="172"/>
        <v>1272.175</v>
      </c>
      <c r="W129" s="2">
        <f t="shared" si="173"/>
        <v>19717.699999999997</v>
      </c>
      <c r="X129" s="2">
        <f t="shared" si="174"/>
        <v>1272.175</v>
      </c>
      <c r="Y129" s="2">
        <f t="shared" si="175"/>
        <v>20989.874999999996</v>
      </c>
      <c r="Z129" s="2">
        <f t="shared" si="176"/>
        <v>1272.175</v>
      </c>
      <c r="AA129" s="2">
        <f t="shared" si="177"/>
        <v>22262.049999999996</v>
      </c>
      <c r="AB129" s="2">
        <f t="shared" si="178"/>
        <v>1272.175</v>
      </c>
      <c r="AC129" s="2">
        <f t="shared" si="179"/>
        <v>23534.224999999995</v>
      </c>
      <c r="AD129" s="2">
        <f t="shared" si="180"/>
        <v>1272.175</v>
      </c>
      <c r="AE129" s="2">
        <f t="shared" si="181"/>
        <v>24806.399999999994</v>
      </c>
      <c r="AF129" s="2">
        <f t="shared" si="182"/>
        <v>1272.175</v>
      </c>
      <c r="AG129" s="2">
        <f t="shared" si="183"/>
        <v>26078.574999999993</v>
      </c>
      <c r="AH129" s="2">
        <f t="shared" si="184"/>
        <v>1272.175</v>
      </c>
      <c r="AI129" s="2">
        <f t="shared" si="185"/>
        <v>27350.749999999993</v>
      </c>
      <c r="AJ129" s="2">
        <f t="shared" si="186"/>
        <v>1272.175</v>
      </c>
      <c r="AK129" s="2">
        <f t="shared" si="187"/>
        <v>28622.924999999992</v>
      </c>
      <c r="AL129" s="2">
        <f t="shared" si="188"/>
        <v>1272.175</v>
      </c>
      <c r="AM129" s="3">
        <f t="shared" si="189"/>
        <v>29895.099999999991</v>
      </c>
      <c r="AN129" s="2">
        <f t="shared" si="190"/>
        <v>20991.900000000009</v>
      </c>
      <c r="AO129" s="4">
        <f t="shared" si="191"/>
        <v>1272.175</v>
      </c>
      <c r="AP129" s="2">
        <f t="shared" si="192"/>
        <v>31167.274999999991</v>
      </c>
      <c r="AQ129" s="2">
        <f t="shared" si="193"/>
        <v>19719.725000000009</v>
      </c>
      <c r="AR129" s="4">
        <f t="shared" si="194"/>
        <v>1272.175</v>
      </c>
      <c r="AS129" s="5">
        <f t="shared" si="195"/>
        <v>32439.44999999999</v>
      </c>
      <c r="AT129" s="2">
        <f t="shared" si="196"/>
        <v>18447.55000000001</v>
      </c>
    </row>
    <row r="130" spans="1:46" x14ac:dyDescent="0.2">
      <c r="A130" s="1" t="s">
        <v>170</v>
      </c>
      <c r="B130" s="1" t="s">
        <v>65</v>
      </c>
      <c r="C130" s="2">
        <v>63704</v>
      </c>
      <c r="D130" s="1" t="s">
        <v>61</v>
      </c>
      <c r="E130" s="2">
        <v>40</v>
      </c>
      <c r="G130" s="2">
        <v>10354</v>
      </c>
      <c r="H130" s="2">
        <v>1593</v>
      </c>
      <c r="I130" s="2">
        <f t="shared" si="160"/>
        <v>11947</v>
      </c>
      <c r="J130" s="2">
        <f t="shared" si="161"/>
        <v>1593</v>
      </c>
      <c r="K130" s="2">
        <f t="shared" si="162"/>
        <v>13540</v>
      </c>
      <c r="L130" s="2">
        <f t="shared" si="163"/>
        <v>1593</v>
      </c>
      <c r="M130" s="2">
        <f t="shared" si="164"/>
        <v>15133</v>
      </c>
      <c r="N130" s="2">
        <f t="shared" si="165"/>
        <v>1593</v>
      </c>
      <c r="O130" s="2">
        <f t="shared" si="166"/>
        <v>16726</v>
      </c>
      <c r="P130" s="2">
        <f t="shared" si="167"/>
        <v>1592.6</v>
      </c>
      <c r="Q130" s="2">
        <f t="shared" si="168"/>
        <v>18318.599999999999</v>
      </c>
      <c r="R130" s="2">
        <f t="shared" si="169"/>
        <v>1592.6</v>
      </c>
      <c r="S130" s="2">
        <f t="shared" si="170"/>
        <v>19911.199999999997</v>
      </c>
      <c r="T130" s="2">
        <f t="shared" si="171"/>
        <v>1592.6</v>
      </c>
      <c r="U130" s="2">
        <f t="shared" si="197"/>
        <v>21503.799999999996</v>
      </c>
      <c r="V130" s="2">
        <f t="shared" si="172"/>
        <v>1592.6</v>
      </c>
      <c r="W130" s="2">
        <v>23097</v>
      </c>
      <c r="X130" s="2">
        <f t="shared" si="174"/>
        <v>1592.6</v>
      </c>
      <c r="Y130" s="2">
        <f t="shared" si="175"/>
        <v>24689.599999999999</v>
      </c>
      <c r="Z130" s="2">
        <f t="shared" si="176"/>
        <v>1592.6</v>
      </c>
      <c r="AA130" s="2">
        <f t="shared" si="177"/>
        <v>26282.199999999997</v>
      </c>
      <c r="AB130" s="2">
        <f t="shared" si="178"/>
        <v>1592.6</v>
      </c>
      <c r="AC130" s="2">
        <f t="shared" si="179"/>
        <v>27874.799999999996</v>
      </c>
      <c r="AD130" s="2">
        <f t="shared" si="180"/>
        <v>1592.6</v>
      </c>
      <c r="AE130" s="2">
        <f t="shared" si="181"/>
        <v>29467.399999999994</v>
      </c>
      <c r="AF130" s="2">
        <f t="shared" si="182"/>
        <v>1592.6</v>
      </c>
      <c r="AG130" s="2">
        <f t="shared" si="183"/>
        <v>31059.999999999993</v>
      </c>
      <c r="AH130" s="2">
        <f t="shared" si="184"/>
        <v>1592.6</v>
      </c>
      <c r="AI130" s="2">
        <f t="shared" si="185"/>
        <v>32652.599999999991</v>
      </c>
      <c r="AJ130" s="2">
        <f t="shared" si="186"/>
        <v>1592.6</v>
      </c>
      <c r="AK130" s="2">
        <f t="shared" si="187"/>
        <v>34245.19999999999</v>
      </c>
      <c r="AL130" s="2">
        <f t="shared" si="188"/>
        <v>1592.6</v>
      </c>
      <c r="AM130" s="3">
        <f t="shared" si="189"/>
        <v>35837.799999999988</v>
      </c>
      <c r="AN130" s="2">
        <f t="shared" si="190"/>
        <v>27866.200000000012</v>
      </c>
      <c r="AO130" s="4">
        <f t="shared" si="191"/>
        <v>1592.6</v>
      </c>
      <c r="AP130" s="2">
        <f t="shared" si="192"/>
        <v>37430.399999999987</v>
      </c>
      <c r="AQ130" s="2">
        <f t="shared" si="193"/>
        <v>26273.600000000013</v>
      </c>
      <c r="AR130" s="4">
        <f t="shared" si="194"/>
        <v>1592.6</v>
      </c>
      <c r="AS130" s="5">
        <f t="shared" si="195"/>
        <v>39022.999999999985</v>
      </c>
      <c r="AT130" s="2">
        <f t="shared" si="196"/>
        <v>24681.000000000015</v>
      </c>
    </row>
    <row r="131" spans="1:46" x14ac:dyDescent="0.2">
      <c r="A131" s="1" t="s">
        <v>170</v>
      </c>
      <c r="B131" s="1" t="s">
        <v>66</v>
      </c>
      <c r="C131" s="2">
        <v>48511</v>
      </c>
      <c r="D131" s="1" t="s">
        <v>61</v>
      </c>
      <c r="E131" s="2">
        <v>40</v>
      </c>
      <c r="G131" s="2">
        <v>6671</v>
      </c>
      <c r="H131" s="2">
        <v>1213</v>
      </c>
      <c r="I131" s="2">
        <f t="shared" si="160"/>
        <v>7884</v>
      </c>
      <c r="J131" s="2">
        <f t="shared" si="161"/>
        <v>1213</v>
      </c>
      <c r="K131" s="2">
        <f t="shared" si="162"/>
        <v>9097</v>
      </c>
      <c r="L131" s="2">
        <f t="shared" si="163"/>
        <v>1213</v>
      </c>
      <c r="M131" s="2">
        <f t="shared" si="164"/>
        <v>10310</v>
      </c>
      <c r="N131" s="2">
        <f t="shared" si="165"/>
        <v>1213</v>
      </c>
      <c r="O131" s="2">
        <f t="shared" si="166"/>
        <v>11523</v>
      </c>
      <c r="P131" s="2">
        <f t="shared" si="167"/>
        <v>1212.7750000000001</v>
      </c>
      <c r="Q131" s="2">
        <f t="shared" si="168"/>
        <v>12735.775</v>
      </c>
      <c r="R131" s="2">
        <f t="shared" si="169"/>
        <v>1212.7750000000001</v>
      </c>
      <c r="S131" s="2">
        <f t="shared" si="170"/>
        <v>13948.55</v>
      </c>
      <c r="T131" s="2">
        <f t="shared" si="171"/>
        <v>1212.7750000000001</v>
      </c>
      <c r="U131" s="2">
        <f t="shared" si="197"/>
        <v>15161.324999999999</v>
      </c>
      <c r="V131" s="2">
        <f t="shared" si="172"/>
        <v>1212.7750000000001</v>
      </c>
      <c r="W131" s="2">
        <f>U131+V131</f>
        <v>16374.099999999999</v>
      </c>
      <c r="X131" s="2">
        <f t="shared" si="174"/>
        <v>1212.7750000000001</v>
      </c>
      <c r="Y131" s="2">
        <f t="shared" si="175"/>
        <v>17586.875</v>
      </c>
      <c r="Z131" s="2">
        <f t="shared" si="176"/>
        <v>1212.7750000000001</v>
      </c>
      <c r="AA131" s="2">
        <f t="shared" si="177"/>
        <v>18799.650000000001</v>
      </c>
      <c r="AB131" s="2">
        <f t="shared" si="178"/>
        <v>1212.7750000000001</v>
      </c>
      <c r="AC131" s="2">
        <f t="shared" si="179"/>
        <v>20012.425000000003</v>
      </c>
      <c r="AD131" s="2">
        <f t="shared" si="180"/>
        <v>1212.7750000000001</v>
      </c>
      <c r="AE131" s="2">
        <f t="shared" si="181"/>
        <v>21225.200000000004</v>
      </c>
      <c r="AF131" s="2">
        <f t="shared" si="182"/>
        <v>1212.7750000000001</v>
      </c>
      <c r="AG131" s="2">
        <f t="shared" si="183"/>
        <v>22437.975000000006</v>
      </c>
      <c r="AH131" s="2">
        <f t="shared" si="184"/>
        <v>1212.7750000000001</v>
      </c>
      <c r="AI131" s="2">
        <f t="shared" si="185"/>
        <v>23650.750000000007</v>
      </c>
      <c r="AJ131" s="2">
        <f t="shared" si="186"/>
        <v>1212.7750000000001</v>
      </c>
      <c r="AK131" s="2">
        <f t="shared" si="187"/>
        <v>24863.525000000009</v>
      </c>
      <c r="AL131" s="2">
        <f t="shared" si="188"/>
        <v>1212.7750000000001</v>
      </c>
      <c r="AM131" s="3">
        <f t="shared" si="189"/>
        <v>26076.30000000001</v>
      </c>
      <c r="AN131" s="2">
        <f t="shared" si="190"/>
        <v>22434.69999999999</v>
      </c>
      <c r="AO131" s="4">
        <f t="shared" si="191"/>
        <v>1212.7750000000001</v>
      </c>
      <c r="AP131" s="2">
        <f t="shared" si="192"/>
        <v>27289.075000000012</v>
      </c>
      <c r="AQ131" s="2">
        <f t="shared" si="193"/>
        <v>21221.924999999988</v>
      </c>
      <c r="AR131" s="4">
        <f t="shared" si="194"/>
        <v>1212.7750000000001</v>
      </c>
      <c r="AS131" s="5">
        <f t="shared" si="195"/>
        <v>28501.850000000013</v>
      </c>
      <c r="AT131" s="2">
        <f t="shared" si="196"/>
        <v>20009.149999999987</v>
      </c>
    </row>
    <row r="132" spans="1:46" x14ac:dyDescent="0.2">
      <c r="A132" s="1" t="s">
        <v>170</v>
      </c>
      <c r="B132" s="1" t="s">
        <v>67</v>
      </c>
      <c r="C132" s="2">
        <v>53460</v>
      </c>
      <c r="D132" s="1" t="s">
        <v>61</v>
      </c>
      <c r="E132" s="2">
        <v>40</v>
      </c>
      <c r="G132" s="2">
        <v>6016</v>
      </c>
      <c r="H132" s="2">
        <v>1337</v>
      </c>
      <c r="I132" s="2">
        <f t="shared" si="160"/>
        <v>7353</v>
      </c>
      <c r="J132" s="2">
        <f t="shared" si="161"/>
        <v>1337</v>
      </c>
      <c r="K132" s="2">
        <f t="shared" si="162"/>
        <v>8690</v>
      </c>
      <c r="L132" s="2">
        <f t="shared" si="163"/>
        <v>1337</v>
      </c>
      <c r="M132" s="2">
        <f t="shared" si="164"/>
        <v>10027</v>
      </c>
      <c r="N132" s="2">
        <f t="shared" si="165"/>
        <v>1337</v>
      </c>
      <c r="O132" s="2">
        <f t="shared" si="166"/>
        <v>11364</v>
      </c>
      <c r="P132" s="2">
        <f t="shared" si="167"/>
        <v>1336.5</v>
      </c>
      <c r="Q132" s="2">
        <f t="shared" si="168"/>
        <v>12700.5</v>
      </c>
      <c r="R132" s="2">
        <f t="shared" si="169"/>
        <v>1336.5</v>
      </c>
      <c r="S132" s="2">
        <f t="shared" si="170"/>
        <v>14037</v>
      </c>
      <c r="T132" s="2">
        <f t="shared" si="171"/>
        <v>1336.5</v>
      </c>
      <c r="U132" s="2">
        <f t="shared" si="197"/>
        <v>15373.5</v>
      </c>
      <c r="V132" s="2">
        <f t="shared" si="172"/>
        <v>1336.5</v>
      </c>
      <c r="W132" s="2">
        <v>16711</v>
      </c>
      <c r="X132" s="2">
        <f t="shared" si="174"/>
        <v>1336.5</v>
      </c>
      <c r="Y132" s="2">
        <f t="shared" si="175"/>
        <v>18047.5</v>
      </c>
      <c r="Z132" s="2">
        <f t="shared" si="176"/>
        <v>1336.5</v>
      </c>
      <c r="AA132" s="2">
        <f t="shared" si="177"/>
        <v>19384</v>
      </c>
      <c r="AB132" s="2">
        <f t="shared" si="178"/>
        <v>1336.5</v>
      </c>
      <c r="AC132" s="2">
        <f t="shared" si="179"/>
        <v>20720.5</v>
      </c>
      <c r="AD132" s="2">
        <f t="shared" si="180"/>
        <v>1336.5</v>
      </c>
      <c r="AE132" s="2">
        <f t="shared" si="181"/>
        <v>22057</v>
      </c>
      <c r="AF132" s="2">
        <f t="shared" si="182"/>
        <v>1336.5</v>
      </c>
      <c r="AG132" s="2">
        <f t="shared" si="183"/>
        <v>23393.5</v>
      </c>
      <c r="AH132" s="2">
        <f t="shared" si="184"/>
        <v>1336.5</v>
      </c>
      <c r="AI132" s="2">
        <f t="shared" si="185"/>
        <v>24730</v>
      </c>
      <c r="AJ132" s="2">
        <f t="shared" si="186"/>
        <v>1336.5</v>
      </c>
      <c r="AK132" s="2">
        <f t="shared" si="187"/>
        <v>26066.5</v>
      </c>
      <c r="AL132" s="2">
        <f t="shared" si="188"/>
        <v>1336.5</v>
      </c>
      <c r="AM132" s="3">
        <f t="shared" si="189"/>
        <v>27403</v>
      </c>
      <c r="AN132" s="2">
        <f t="shared" si="190"/>
        <v>26057</v>
      </c>
      <c r="AO132" s="4">
        <f t="shared" si="191"/>
        <v>1336.5</v>
      </c>
      <c r="AP132" s="2">
        <f t="shared" si="192"/>
        <v>28739.5</v>
      </c>
      <c r="AQ132" s="2">
        <f t="shared" si="193"/>
        <v>24720.5</v>
      </c>
      <c r="AR132" s="4">
        <f t="shared" si="194"/>
        <v>1336.5</v>
      </c>
      <c r="AS132" s="5">
        <f t="shared" si="195"/>
        <v>30076</v>
      </c>
      <c r="AT132" s="2">
        <f t="shared" si="196"/>
        <v>23384</v>
      </c>
    </row>
    <row r="133" spans="1:46" x14ac:dyDescent="0.2">
      <c r="A133" s="1" t="s">
        <v>170</v>
      </c>
      <c r="B133" s="1" t="s">
        <v>69</v>
      </c>
      <c r="C133" s="2">
        <v>74746</v>
      </c>
      <c r="D133" s="1" t="s">
        <v>61</v>
      </c>
      <c r="E133" s="2">
        <v>40</v>
      </c>
      <c r="G133" s="2">
        <v>6541</v>
      </c>
      <c r="H133" s="2">
        <v>1869</v>
      </c>
      <c r="I133" s="2">
        <f t="shared" si="160"/>
        <v>8410</v>
      </c>
      <c r="J133" s="2">
        <f t="shared" si="161"/>
        <v>1869</v>
      </c>
      <c r="K133" s="2">
        <f t="shared" si="162"/>
        <v>10279</v>
      </c>
      <c r="L133" s="2">
        <f t="shared" si="163"/>
        <v>1869</v>
      </c>
      <c r="M133" s="2">
        <f t="shared" si="164"/>
        <v>12148</v>
      </c>
      <c r="N133" s="2">
        <f t="shared" si="165"/>
        <v>1869</v>
      </c>
      <c r="O133" s="2">
        <f t="shared" si="166"/>
        <v>14017</v>
      </c>
      <c r="P133" s="2">
        <f t="shared" si="167"/>
        <v>1868.65</v>
      </c>
      <c r="Q133" s="2">
        <f t="shared" si="168"/>
        <v>15885.65</v>
      </c>
      <c r="R133" s="2">
        <f t="shared" si="169"/>
        <v>1868.65</v>
      </c>
      <c r="S133" s="2">
        <f t="shared" si="170"/>
        <v>17754.3</v>
      </c>
      <c r="T133" s="2">
        <f t="shared" si="171"/>
        <v>1868.65</v>
      </c>
      <c r="U133" s="2">
        <f t="shared" si="197"/>
        <v>19622.95</v>
      </c>
      <c r="V133" s="2">
        <f t="shared" si="172"/>
        <v>1868.65</v>
      </c>
      <c r="W133" s="2">
        <f>U133+V133</f>
        <v>21491.600000000002</v>
      </c>
      <c r="X133" s="2">
        <f t="shared" si="174"/>
        <v>1868.65</v>
      </c>
      <c r="Y133" s="2">
        <f t="shared" si="175"/>
        <v>23360.250000000004</v>
      </c>
      <c r="Z133" s="2">
        <f t="shared" si="176"/>
        <v>1868.65</v>
      </c>
      <c r="AA133" s="2">
        <f t="shared" si="177"/>
        <v>25228.900000000005</v>
      </c>
      <c r="AB133" s="2">
        <f t="shared" si="178"/>
        <v>1868.65</v>
      </c>
      <c r="AC133" s="2">
        <f t="shared" si="179"/>
        <v>27097.550000000007</v>
      </c>
      <c r="AD133" s="2">
        <f t="shared" si="180"/>
        <v>1868.65</v>
      </c>
      <c r="AE133" s="2">
        <f t="shared" si="181"/>
        <v>28966.200000000008</v>
      </c>
      <c r="AF133" s="2">
        <f t="shared" si="182"/>
        <v>1868.65</v>
      </c>
      <c r="AG133" s="2">
        <f t="shared" si="183"/>
        <v>30834.850000000009</v>
      </c>
      <c r="AH133" s="2">
        <f t="shared" si="184"/>
        <v>1868.65</v>
      </c>
      <c r="AI133" s="2">
        <f t="shared" si="185"/>
        <v>32703.500000000011</v>
      </c>
      <c r="AJ133" s="2">
        <f t="shared" si="186"/>
        <v>1868.65</v>
      </c>
      <c r="AK133" s="2">
        <f t="shared" si="187"/>
        <v>34572.150000000009</v>
      </c>
      <c r="AL133" s="2">
        <f t="shared" si="188"/>
        <v>1868.65</v>
      </c>
      <c r="AM133" s="3">
        <f t="shared" si="189"/>
        <v>36440.80000000001</v>
      </c>
      <c r="AN133" s="2">
        <f t="shared" si="190"/>
        <v>38305.19999999999</v>
      </c>
      <c r="AO133" s="4">
        <f t="shared" si="191"/>
        <v>1868.65</v>
      </c>
      <c r="AP133" s="2">
        <f t="shared" si="192"/>
        <v>38309.450000000012</v>
      </c>
      <c r="AQ133" s="2">
        <f t="shared" si="193"/>
        <v>36436.549999999988</v>
      </c>
      <c r="AR133" s="4">
        <f t="shared" si="194"/>
        <v>1868.65</v>
      </c>
      <c r="AS133" s="5">
        <f t="shared" si="195"/>
        <v>40178.100000000013</v>
      </c>
      <c r="AT133" s="2">
        <f t="shared" si="196"/>
        <v>34567.899999999987</v>
      </c>
    </row>
    <row r="134" spans="1:46" x14ac:dyDescent="0.2">
      <c r="A134" s="1" t="s">
        <v>170</v>
      </c>
      <c r="B134" s="1" t="s">
        <v>40</v>
      </c>
      <c r="C134" s="2">
        <v>38727</v>
      </c>
      <c r="D134" s="1" t="s">
        <v>61</v>
      </c>
      <c r="E134" s="2">
        <v>40</v>
      </c>
      <c r="G134" s="2">
        <v>2420</v>
      </c>
      <c r="H134" s="2">
        <v>968</v>
      </c>
      <c r="I134" s="2">
        <f t="shared" si="160"/>
        <v>3388</v>
      </c>
      <c r="J134" s="2">
        <f t="shared" si="161"/>
        <v>968</v>
      </c>
      <c r="K134" s="2">
        <f t="shared" si="162"/>
        <v>4356</v>
      </c>
      <c r="L134" s="2">
        <f t="shared" si="163"/>
        <v>968</v>
      </c>
      <c r="M134" s="2">
        <f t="shared" si="164"/>
        <v>5324</v>
      </c>
      <c r="N134" s="2">
        <f t="shared" si="165"/>
        <v>968</v>
      </c>
      <c r="O134" s="2">
        <f t="shared" si="166"/>
        <v>6292</v>
      </c>
      <c r="P134" s="2">
        <f t="shared" si="167"/>
        <v>968.17499999999995</v>
      </c>
      <c r="Q134" s="2">
        <f t="shared" si="168"/>
        <v>7260.1750000000002</v>
      </c>
      <c r="R134" s="2">
        <f t="shared" si="169"/>
        <v>968.17499999999995</v>
      </c>
      <c r="S134" s="2">
        <f t="shared" si="170"/>
        <v>8228.35</v>
      </c>
      <c r="T134" s="2">
        <f t="shared" si="171"/>
        <v>968.17499999999995</v>
      </c>
      <c r="U134" s="2">
        <f t="shared" si="197"/>
        <v>9196.5249999999996</v>
      </c>
      <c r="V134" s="2">
        <f t="shared" si="172"/>
        <v>968.17499999999995</v>
      </c>
      <c r="W134" s="2">
        <f>U134+V134</f>
        <v>10164.699999999999</v>
      </c>
      <c r="X134" s="2">
        <f t="shared" si="174"/>
        <v>968.17499999999995</v>
      </c>
      <c r="Y134" s="2">
        <f t="shared" si="175"/>
        <v>11132.874999999998</v>
      </c>
      <c r="Z134" s="2">
        <f t="shared" si="176"/>
        <v>968.17499999999995</v>
      </c>
      <c r="AA134" s="2">
        <f t="shared" si="177"/>
        <v>12101.049999999997</v>
      </c>
      <c r="AB134" s="2">
        <f t="shared" si="178"/>
        <v>968.17499999999995</v>
      </c>
      <c r="AC134" s="2">
        <f t="shared" si="179"/>
        <v>13069.224999999997</v>
      </c>
      <c r="AD134" s="2">
        <f t="shared" si="180"/>
        <v>968.17499999999995</v>
      </c>
      <c r="AE134" s="2">
        <f t="shared" si="181"/>
        <v>14037.399999999996</v>
      </c>
      <c r="AF134" s="2">
        <f t="shared" si="182"/>
        <v>968.17499999999995</v>
      </c>
      <c r="AG134" s="2">
        <f t="shared" si="183"/>
        <v>15005.574999999995</v>
      </c>
      <c r="AH134" s="2">
        <f t="shared" si="184"/>
        <v>968.17499999999995</v>
      </c>
      <c r="AI134" s="2">
        <f t="shared" si="185"/>
        <v>15973.749999999995</v>
      </c>
      <c r="AJ134" s="2">
        <f t="shared" si="186"/>
        <v>968.17499999999995</v>
      </c>
      <c r="AK134" s="2">
        <f t="shared" si="187"/>
        <v>16941.924999999996</v>
      </c>
      <c r="AL134" s="2">
        <f t="shared" si="188"/>
        <v>968.17499999999995</v>
      </c>
      <c r="AM134" s="3">
        <f t="shared" si="189"/>
        <v>17910.099999999995</v>
      </c>
      <c r="AN134" s="2">
        <f t="shared" si="190"/>
        <v>20816.900000000005</v>
      </c>
      <c r="AO134" s="4">
        <f t="shared" si="191"/>
        <v>968.17499999999995</v>
      </c>
      <c r="AP134" s="2">
        <f t="shared" si="192"/>
        <v>18878.274999999994</v>
      </c>
      <c r="AQ134" s="2">
        <f t="shared" si="193"/>
        <v>19848.725000000006</v>
      </c>
      <c r="AR134" s="4">
        <f t="shared" si="194"/>
        <v>968.17499999999995</v>
      </c>
      <c r="AS134" s="5">
        <f t="shared" si="195"/>
        <v>19846.449999999993</v>
      </c>
      <c r="AT134" s="2">
        <f t="shared" si="196"/>
        <v>18880.550000000007</v>
      </c>
    </row>
    <row r="135" spans="1:46" x14ac:dyDescent="0.2">
      <c r="A135" s="1" t="s">
        <v>170</v>
      </c>
      <c r="B135" s="1" t="s">
        <v>172</v>
      </c>
      <c r="C135" s="2">
        <v>50531</v>
      </c>
      <c r="D135" s="1" t="s">
        <v>61</v>
      </c>
      <c r="E135" s="2">
        <v>40</v>
      </c>
      <c r="G135" s="2">
        <v>1895</v>
      </c>
      <c r="H135" s="2">
        <v>1263</v>
      </c>
      <c r="I135" s="2">
        <f t="shared" si="160"/>
        <v>3158</v>
      </c>
      <c r="J135" s="2">
        <f t="shared" si="161"/>
        <v>1263</v>
      </c>
      <c r="K135" s="2">
        <f t="shared" si="162"/>
        <v>4421</v>
      </c>
      <c r="L135" s="2">
        <f t="shared" si="163"/>
        <v>1263</v>
      </c>
      <c r="M135" s="2">
        <f t="shared" si="164"/>
        <v>5684</v>
      </c>
      <c r="N135" s="2">
        <f t="shared" si="165"/>
        <v>1263</v>
      </c>
      <c r="O135" s="2">
        <f t="shared" si="166"/>
        <v>6947</v>
      </c>
      <c r="P135" s="2">
        <f t="shared" si="167"/>
        <v>1263.2750000000001</v>
      </c>
      <c r="Q135" s="2">
        <f t="shared" si="168"/>
        <v>8210.2749999999996</v>
      </c>
      <c r="R135" s="2">
        <f t="shared" si="169"/>
        <v>1263.2750000000001</v>
      </c>
      <c r="S135" s="2">
        <f t="shared" si="170"/>
        <v>9473.5499999999993</v>
      </c>
      <c r="T135" s="2">
        <f t="shared" si="171"/>
        <v>1263.2750000000001</v>
      </c>
      <c r="U135" s="2">
        <f t="shared" si="197"/>
        <v>10736.824999999999</v>
      </c>
      <c r="V135" s="2">
        <f t="shared" si="172"/>
        <v>1263.2750000000001</v>
      </c>
      <c r="W135" s="2">
        <f>U135+V135</f>
        <v>12000.099999999999</v>
      </c>
      <c r="X135" s="2">
        <f t="shared" si="174"/>
        <v>1263.2750000000001</v>
      </c>
      <c r="Y135" s="2">
        <f t="shared" si="175"/>
        <v>13263.374999999998</v>
      </c>
      <c r="Z135" s="2">
        <f t="shared" si="176"/>
        <v>1263.2750000000001</v>
      </c>
      <c r="AA135" s="2">
        <f t="shared" si="177"/>
        <v>14526.649999999998</v>
      </c>
      <c r="AB135" s="2">
        <f t="shared" si="178"/>
        <v>1263.2750000000001</v>
      </c>
      <c r="AC135" s="2">
        <f t="shared" si="179"/>
        <v>15789.924999999997</v>
      </c>
      <c r="AD135" s="2">
        <f t="shared" si="180"/>
        <v>1263.2750000000001</v>
      </c>
      <c r="AE135" s="2">
        <f t="shared" si="181"/>
        <v>17053.199999999997</v>
      </c>
      <c r="AF135" s="2">
        <f t="shared" si="182"/>
        <v>1263.2750000000001</v>
      </c>
      <c r="AG135" s="2">
        <f t="shared" si="183"/>
        <v>18316.474999999999</v>
      </c>
      <c r="AH135" s="2">
        <f t="shared" si="184"/>
        <v>1263.2750000000001</v>
      </c>
      <c r="AI135" s="2">
        <f t="shared" si="185"/>
        <v>19579.75</v>
      </c>
      <c r="AJ135" s="2">
        <f t="shared" si="186"/>
        <v>1263.2750000000001</v>
      </c>
      <c r="AK135" s="2">
        <f t="shared" si="187"/>
        <v>20843.025000000001</v>
      </c>
      <c r="AL135" s="2">
        <f t="shared" si="188"/>
        <v>1263.2750000000001</v>
      </c>
      <c r="AM135" s="3">
        <f t="shared" si="189"/>
        <v>22106.300000000003</v>
      </c>
      <c r="AN135" s="2">
        <f t="shared" si="190"/>
        <v>28424.699999999997</v>
      </c>
      <c r="AO135" s="4">
        <f t="shared" si="191"/>
        <v>1263.2750000000001</v>
      </c>
      <c r="AP135" s="2">
        <f t="shared" si="192"/>
        <v>23369.575000000004</v>
      </c>
      <c r="AQ135" s="2">
        <f t="shared" si="193"/>
        <v>27161.424999999996</v>
      </c>
      <c r="AR135" s="4">
        <f t="shared" si="194"/>
        <v>1263.2750000000001</v>
      </c>
      <c r="AS135" s="5">
        <f t="shared" si="195"/>
        <v>24632.850000000006</v>
      </c>
      <c r="AT135" s="2">
        <f t="shared" si="196"/>
        <v>25898.149999999994</v>
      </c>
    </row>
    <row r="136" spans="1:46" x14ac:dyDescent="0.2">
      <c r="A136" s="1" t="s">
        <v>170</v>
      </c>
      <c r="B136" s="1" t="s">
        <v>173</v>
      </c>
      <c r="C136" s="2">
        <v>27544</v>
      </c>
      <c r="D136" s="1" t="s">
        <v>61</v>
      </c>
      <c r="E136" s="2">
        <v>40</v>
      </c>
      <c r="G136" s="2">
        <v>344</v>
      </c>
      <c r="H136" s="2">
        <v>689</v>
      </c>
      <c r="I136" s="2">
        <f t="shared" si="160"/>
        <v>1033</v>
      </c>
      <c r="J136" s="2">
        <f t="shared" si="161"/>
        <v>689</v>
      </c>
      <c r="K136" s="2">
        <f t="shared" si="162"/>
        <v>1722</v>
      </c>
      <c r="L136" s="2">
        <f t="shared" si="163"/>
        <v>689</v>
      </c>
      <c r="M136" s="2">
        <f t="shared" si="164"/>
        <v>2411</v>
      </c>
      <c r="N136" s="2">
        <f t="shared" si="165"/>
        <v>689</v>
      </c>
      <c r="O136" s="2">
        <f t="shared" si="166"/>
        <v>3100</v>
      </c>
      <c r="P136" s="2">
        <f t="shared" si="167"/>
        <v>688.6</v>
      </c>
      <c r="Q136" s="2">
        <f t="shared" si="168"/>
        <v>3788.6</v>
      </c>
      <c r="R136" s="2">
        <f t="shared" si="169"/>
        <v>688.6</v>
      </c>
      <c r="S136" s="2">
        <f t="shared" si="170"/>
        <v>4477.2</v>
      </c>
      <c r="T136" s="2">
        <f t="shared" si="171"/>
        <v>688.6</v>
      </c>
      <c r="U136" s="2">
        <f t="shared" si="197"/>
        <v>5165.8</v>
      </c>
      <c r="V136" s="2">
        <f t="shared" si="172"/>
        <v>688.6</v>
      </c>
      <c r="W136" s="2">
        <v>5855</v>
      </c>
      <c r="X136" s="2">
        <f t="shared" si="174"/>
        <v>688.6</v>
      </c>
      <c r="Y136" s="2">
        <f t="shared" si="175"/>
        <v>6543.6</v>
      </c>
      <c r="Z136" s="2">
        <f t="shared" si="176"/>
        <v>688.6</v>
      </c>
      <c r="AA136" s="2">
        <f t="shared" si="177"/>
        <v>7232.2000000000007</v>
      </c>
      <c r="AB136" s="2">
        <f t="shared" si="178"/>
        <v>688.6</v>
      </c>
      <c r="AC136" s="2">
        <f t="shared" si="179"/>
        <v>7920.8000000000011</v>
      </c>
      <c r="AD136" s="2">
        <f t="shared" si="180"/>
        <v>688.6</v>
      </c>
      <c r="AE136" s="2">
        <f t="shared" si="181"/>
        <v>8609.4000000000015</v>
      </c>
      <c r="AF136" s="2">
        <f t="shared" si="182"/>
        <v>688.6</v>
      </c>
      <c r="AG136" s="2">
        <f t="shared" si="183"/>
        <v>9298.0000000000018</v>
      </c>
      <c r="AH136" s="2">
        <f t="shared" si="184"/>
        <v>688.6</v>
      </c>
      <c r="AI136" s="2">
        <f t="shared" si="185"/>
        <v>9986.6000000000022</v>
      </c>
      <c r="AJ136" s="2">
        <f t="shared" si="186"/>
        <v>688.6</v>
      </c>
      <c r="AK136" s="2">
        <f t="shared" si="187"/>
        <v>10675.200000000003</v>
      </c>
      <c r="AL136" s="2">
        <f t="shared" si="188"/>
        <v>688.6</v>
      </c>
      <c r="AM136" s="3">
        <f t="shared" si="189"/>
        <v>11363.800000000003</v>
      </c>
      <c r="AN136" s="2">
        <f t="shared" si="190"/>
        <v>16180.199999999997</v>
      </c>
      <c r="AO136" s="4">
        <f t="shared" si="191"/>
        <v>688.6</v>
      </c>
      <c r="AP136" s="2">
        <f t="shared" si="192"/>
        <v>12052.400000000003</v>
      </c>
      <c r="AQ136" s="2">
        <f t="shared" si="193"/>
        <v>15491.599999999997</v>
      </c>
      <c r="AR136" s="4">
        <f t="shared" si="194"/>
        <v>688.6</v>
      </c>
      <c r="AS136" s="5">
        <f t="shared" si="195"/>
        <v>12741.000000000004</v>
      </c>
      <c r="AT136" s="2">
        <f t="shared" si="196"/>
        <v>14802.999999999996</v>
      </c>
    </row>
    <row r="137" spans="1:46" x14ac:dyDescent="0.2">
      <c r="A137" s="1" t="s">
        <v>170</v>
      </c>
      <c r="B137" s="1" t="s">
        <v>174</v>
      </c>
      <c r="C137" s="2">
        <v>25617</v>
      </c>
      <c r="D137" s="1" t="s">
        <v>61</v>
      </c>
      <c r="E137" s="2">
        <v>40</v>
      </c>
      <c r="H137" s="2">
        <v>320</v>
      </c>
      <c r="I137" s="2">
        <f t="shared" si="160"/>
        <v>320</v>
      </c>
      <c r="J137" s="2">
        <f t="shared" si="161"/>
        <v>320</v>
      </c>
      <c r="K137" s="2">
        <f t="shared" si="162"/>
        <v>640</v>
      </c>
      <c r="L137" s="2">
        <f t="shared" si="163"/>
        <v>320</v>
      </c>
      <c r="M137" s="2">
        <f t="shared" si="164"/>
        <v>960</v>
      </c>
      <c r="N137" s="2">
        <f t="shared" si="165"/>
        <v>320</v>
      </c>
      <c r="O137" s="2">
        <f t="shared" si="166"/>
        <v>1280</v>
      </c>
      <c r="P137" s="2">
        <f t="shared" si="167"/>
        <v>640.42499999999995</v>
      </c>
      <c r="Q137" s="2">
        <f t="shared" si="168"/>
        <v>1920.425</v>
      </c>
      <c r="R137" s="2">
        <f t="shared" si="169"/>
        <v>640.42499999999995</v>
      </c>
      <c r="S137" s="2">
        <f t="shared" si="170"/>
        <v>2560.85</v>
      </c>
      <c r="T137" s="2">
        <f t="shared" si="171"/>
        <v>640.42499999999995</v>
      </c>
      <c r="U137" s="2">
        <f t="shared" si="197"/>
        <v>3201.2749999999996</v>
      </c>
      <c r="V137" s="2">
        <f t="shared" si="172"/>
        <v>640.42499999999995</v>
      </c>
      <c r="W137" s="2">
        <v>3841</v>
      </c>
      <c r="X137" s="2">
        <f t="shared" si="174"/>
        <v>640.42499999999995</v>
      </c>
      <c r="Y137" s="2">
        <f t="shared" si="175"/>
        <v>4481.4250000000002</v>
      </c>
      <c r="Z137" s="2">
        <f t="shared" si="176"/>
        <v>640.42499999999995</v>
      </c>
      <c r="AA137" s="2">
        <f t="shared" si="177"/>
        <v>5121.8500000000004</v>
      </c>
      <c r="AB137" s="2">
        <f t="shared" si="178"/>
        <v>640.42499999999995</v>
      </c>
      <c r="AC137" s="2">
        <f t="shared" si="179"/>
        <v>5762.2750000000005</v>
      </c>
      <c r="AD137" s="2">
        <f t="shared" si="180"/>
        <v>640.42499999999995</v>
      </c>
      <c r="AE137" s="2">
        <f t="shared" si="181"/>
        <v>6402.7000000000007</v>
      </c>
      <c r="AF137" s="2">
        <f t="shared" si="182"/>
        <v>640.42499999999995</v>
      </c>
      <c r="AG137" s="2">
        <f t="shared" si="183"/>
        <v>7043.1250000000009</v>
      </c>
      <c r="AH137" s="2">
        <f t="shared" si="184"/>
        <v>640.42499999999995</v>
      </c>
      <c r="AI137" s="2">
        <f t="shared" si="185"/>
        <v>7683.5500000000011</v>
      </c>
      <c r="AJ137" s="2">
        <f t="shared" si="186"/>
        <v>640.42499999999995</v>
      </c>
      <c r="AK137" s="2">
        <f t="shared" si="187"/>
        <v>8323.9750000000004</v>
      </c>
      <c r="AL137" s="2">
        <f t="shared" si="188"/>
        <v>640.42499999999995</v>
      </c>
      <c r="AM137" s="3">
        <f t="shared" si="189"/>
        <v>8964.4</v>
      </c>
      <c r="AN137" s="2">
        <f t="shared" si="190"/>
        <v>16652.599999999999</v>
      </c>
      <c r="AO137" s="4">
        <f t="shared" si="191"/>
        <v>640.42499999999995</v>
      </c>
      <c r="AP137" s="2">
        <f t="shared" si="192"/>
        <v>9604.8249999999989</v>
      </c>
      <c r="AQ137" s="2">
        <f t="shared" si="193"/>
        <v>16012.174999999999</v>
      </c>
      <c r="AR137" s="4">
        <f t="shared" si="194"/>
        <v>640.42499999999995</v>
      </c>
      <c r="AS137" s="5">
        <f t="shared" si="195"/>
        <v>10245.249999999998</v>
      </c>
      <c r="AT137" s="2">
        <f t="shared" si="196"/>
        <v>15371.750000000002</v>
      </c>
    </row>
    <row r="138" spans="1:46" x14ac:dyDescent="0.2">
      <c r="A138" s="1" t="s">
        <v>175</v>
      </c>
      <c r="B138" s="1" t="s">
        <v>80</v>
      </c>
      <c r="C138" s="2">
        <v>749296</v>
      </c>
      <c r="D138" s="1" t="s">
        <v>61</v>
      </c>
      <c r="E138" s="2">
        <v>40</v>
      </c>
      <c r="J138" s="2">
        <f>C138/40/12*6</f>
        <v>9366.2000000000007</v>
      </c>
      <c r="K138" s="2">
        <f t="shared" si="162"/>
        <v>9366.2000000000007</v>
      </c>
      <c r="L138" s="2">
        <f t="shared" si="163"/>
        <v>9366.2000000000007</v>
      </c>
      <c r="M138" s="2">
        <f t="shared" si="164"/>
        <v>18732.400000000001</v>
      </c>
      <c r="N138" s="2">
        <f t="shared" si="165"/>
        <v>9366.2000000000007</v>
      </c>
      <c r="O138" s="2">
        <f t="shared" si="166"/>
        <v>28098.600000000002</v>
      </c>
      <c r="P138" s="2">
        <f t="shared" si="167"/>
        <v>18732.400000000001</v>
      </c>
      <c r="Q138" s="2">
        <f t="shared" si="168"/>
        <v>46831</v>
      </c>
      <c r="R138" s="2">
        <f t="shared" si="169"/>
        <v>18732.400000000001</v>
      </c>
      <c r="S138" s="2">
        <f t="shared" si="170"/>
        <v>65563.399999999994</v>
      </c>
      <c r="T138" s="2">
        <f t="shared" si="171"/>
        <v>18732.400000000001</v>
      </c>
      <c r="U138" s="2">
        <f t="shared" si="197"/>
        <v>84295.799999999988</v>
      </c>
      <c r="V138" s="2">
        <f t="shared" si="172"/>
        <v>18732.400000000001</v>
      </c>
      <c r="W138" s="2">
        <f>U138+V138</f>
        <v>103028.19999999998</v>
      </c>
      <c r="X138" s="2">
        <f t="shared" si="174"/>
        <v>18732.400000000001</v>
      </c>
      <c r="Y138" s="2">
        <f t="shared" si="175"/>
        <v>121760.59999999998</v>
      </c>
      <c r="Z138" s="2">
        <f t="shared" si="176"/>
        <v>18732.400000000001</v>
      </c>
      <c r="AA138" s="2">
        <f t="shared" si="177"/>
        <v>140492.99999999997</v>
      </c>
      <c r="AB138" s="2">
        <f t="shared" si="178"/>
        <v>18732.400000000001</v>
      </c>
      <c r="AC138" s="2">
        <f t="shared" si="179"/>
        <v>159225.39999999997</v>
      </c>
      <c r="AD138" s="2">
        <f t="shared" si="180"/>
        <v>18732.400000000001</v>
      </c>
      <c r="AE138" s="2">
        <f t="shared" si="181"/>
        <v>177957.79999999996</v>
      </c>
      <c r="AF138" s="2">
        <f t="shared" si="182"/>
        <v>18732.400000000001</v>
      </c>
      <c r="AG138" s="2">
        <f t="shared" si="183"/>
        <v>196690.19999999995</v>
      </c>
      <c r="AH138" s="2">
        <f t="shared" si="184"/>
        <v>18732.400000000001</v>
      </c>
      <c r="AI138" s="2">
        <f t="shared" si="185"/>
        <v>215422.59999999995</v>
      </c>
      <c r="AJ138" s="2">
        <f t="shared" si="186"/>
        <v>18732.400000000001</v>
      </c>
      <c r="AK138" s="2">
        <f t="shared" si="187"/>
        <v>234154.99999999994</v>
      </c>
      <c r="AL138" s="2">
        <f t="shared" si="188"/>
        <v>18732.400000000001</v>
      </c>
      <c r="AM138" s="3">
        <f t="shared" si="189"/>
        <v>252887.39999999994</v>
      </c>
      <c r="AN138" s="2">
        <f t="shared" si="190"/>
        <v>496408.60000000009</v>
      </c>
      <c r="AO138" s="4">
        <f t="shared" si="191"/>
        <v>18732.400000000001</v>
      </c>
      <c r="AP138" s="2">
        <f t="shared" si="192"/>
        <v>271619.79999999993</v>
      </c>
      <c r="AQ138" s="2">
        <f t="shared" si="193"/>
        <v>477676.20000000007</v>
      </c>
      <c r="AR138" s="4">
        <f t="shared" si="194"/>
        <v>18732.400000000001</v>
      </c>
      <c r="AS138" s="5">
        <f t="shared" si="195"/>
        <v>290352.19999999995</v>
      </c>
      <c r="AT138" s="2">
        <f t="shared" si="196"/>
        <v>458943.80000000005</v>
      </c>
    </row>
    <row r="139" spans="1:46" x14ac:dyDescent="0.2">
      <c r="A139" s="1" t="s">
        <v>132</v>
      </c>
      <c r="B139" s="1" t="s">
        <v>80</v>
      </c>
      <c r="C139" s="2">
        <v>878379</v>
      </c>
      <c r="D139" s="1" t="s">
        <v>61</v>
      </c>
      <c r="E139" s="2">
        <v>40</v>
      </c>
      <c r="J139" s="2">
        <f>C139/40/12*6</f>
        <v>10979.737499999999</v>
      </c>
      <c r="K139" s="2">
        <f t="shared" si="162"/>
        <v>10979.737499999999</v>
      </c>
      <c r="L139" s="2">
        <f>C139/E139</f>
        <v>21959.474999999999</v>
      </c>
      <c r="M139" s="2">
        <f t="shared" si="164"/>
        <v>32939.212499999994</v>
      </c>
      <c r="N139" s="2">
        <f t="shared" si="165"/>
        <v>21959.474999999999</v>
      </c>
      <c r="O139" s="2">
        <f t="shared" si="166"/>
        <v>54898.687499999993</v>
      </c>
      <c r="P139" s="2">
        <f t="shared" si="167"/>
        <v>21959.474999999999</v>
      </c>
      <c r="Q139" s="2">
        <f t="shared" si="168"/>
        <v>76858.162499999991</v>
      </c>
      <c r="R139" s="2">
        <f t="shared" si="169"/>
        <v>21959.474999999999</v>
      </c>
      <c r="S139" s="2">
        <f t="shared" si="170"/>
        <v>98817.637499999983</v>
      </c>
      <c r="T139" s="2">
        <f t="shared" si="171"/>
        <v>21959.474999999999</v>
      </c>
      <c r="U139" s="2">
        <f t="shared" si="197"/>
        <v>120777.11249999999</v>
      </c>
      <c r="V139" s="2">
        <f t="shared" si="172"/>
        <v>21959.474999999999</v>
      </c>
      <c r="W139" s="2">
        <v>142736</v>
      </c>
      <c r="X139" s="2">
        <f t="shared" si="174"/>
        <v>21959.474999999999</v>
      </c>
      <c r="Y139" s="2">
        <f t="shared" si="175"/>
        <v>164695.47500000001</v>
      </c>
      <c r="Z139" s="2">
        <f t="shared" si="176"/>
        <v>21959.474999999999</v>
      </c>
      <c r="AA139" s="2">
        <f t="shared" si="177"/>
        <v>186654.95</v>
      </c>
      <c r="AB139" s="2">
        <f t="shared" si="178"/>
        <v>21959.474999999999</v>
      </c>
      <c r="AC139" s="2">
        <f t="shared" si="179"/>
        <v>208614.42500000002</v>
      </c>
      <c r="AD139" s="2">
        <f t="shared" si="180"/>
        <v>21959.474999999999</v>
      </c>
      <c r="AE139" s="2">
        <f t="shared" si="181"/>
        <v>230573.90000000002</v>
      </c>
      <c r="AF139" s="2">
        <f t="shared" si="182"/>
        <v>21959.474999999999</v>
      </c>
      <c r="AG139" s="2">
        <f t="shared" si="183"/>
        <v>252533.37500000003</v>
      </c>
      <c r="AH139" s="2">
        <f t="shared" si="184"/>
        <v>21959.474999999999</v>
      </c>
      <c r="AI139" s="2">
        <f t="shared" si="185"/>
        <v>274492.85000000003</v>
      </c>
      <c r="AJ139" s="2">
        <f t="shared" si="186"/>
        <v>21959.474999999999</v>
      </c>
      <c r="AK139" s="2">
        <f t="shared" si="187"/>
        <v>296452.32500000001</v>
      </c>
      <c r="AL139" s="2">
        <f t="shared" si="188"/>
        <v>21959.474999999999</v>
      </c>
      <c r="AM139" s="3">
        <f t="shared" si="189"/>
        <v>318411.8</v>
      </c>
      <c r="AN139" s="2">
        <f t="shared" si="190"/>
        <v>559967.19999999995</v>
      </c>
      <c r="AO139" s="4">
        <f t="shared" si="191"/>
        <v>21959.474999999999</v>
      </c>
      <c r="AP139" s="2">
        <f t="shared" si="192"/>
        <v>340371.27499999997</v>
      </c>
      <c r="AQ139" s="2">
        <f t="shared" si="193"/>
        <v>538007.72499999998</v>
      </c>
      <c r="AR139" s="4">
        <f t="shared" si="194"/>
        <v>21959.474999999999</v>
      </c>
      <c r="AS139" s="5">
        <f t="shared" si="195"/>
        <v>362330.74999999994</v>
      </c>
      <c r="AT139" s="2">
        <f t="shared" si="196"/>
        <v>516048.25000000006</v>
      </c>
    </row>
    <row r="140" spans="1:46" x14ac:dyDescent="0.2">
      <c r="A140" s="1" t="s">
        <v>176</v>
      </c>
      <c r="B140" s="1" t="s">
        <v>80</v>
      </c>
      <c r="C140" s="2">
        <v>495391</v>
      </c>
      <c r="D140" s="1" t="s">
        <v>61</v>
      </c>
      <c r="E140" s="2">
        <v>40</v>
      </c>
      <c r="J140" s="2">
        <f>C140/40/12*6</f>
        <v>6192.3874999999998</v>
      </c>
      <c r="K140" s="2">
        <f t="shared" si="162"/>
        <v>6192.3874999999998</v>
      </c>
      <c r="L140" s="2">
        <f>C140/E140</f>
        <v>12384.775</v>
      </c>
      <c r="M140" s="2">
        <f t="shared" si="164"/>
        <v>18577.162499999999</v>
      </c>
      <c r="N140" s="2">
        <f t="shared" si="165"/>
        <v>12384.775</v>
      </c>
      <c r="O140" s="2">
        <f t="shared" si="166"/>
        <v>30961.9375</v>
      </c>
      <c r="P140" s="2">
        <f t="shared" si="167"/>
        <v>12384.775</v>
      </c>
      <c r="Q140" s="2">
        <f t="shared" si="168"/>
        <v>43346.712500000001</v>
      </c>
      <c r="R140" s="2">
        <f t="shared" si="169"/>
        <v>12384.775</v>
      </c>
      <c r="S140" s="2">
        <f t="shared" si="170"/>
        <v>55731.487500000003</v>
      </c>
      <c r="T140" s="2">
        <f t="shared" si="171"/>
        <v>12384.775</v>
      </c>
      <c r="U140" s="2">
        <f t="shared" si="197"/>
        <v>68116.262499999997</v>
      </c>
      <c r="V140" s="2">
        <f t="shared" si="172"/>
        <v>12384.775</v>
      </c>
      <c r="W140" s="2">
        <f>U140+V140</f>
        <v>80501.037499999991</v>
      </c>
      <c r="X140" s="2">
        <f t="shared" si="174"/>
        <v>12384.775</v>
      </c>
      <c r="Y140" s="2">
        <f t="shared" si="175"/>
        <v>92885.812499999985</v>
      </c>
      <c r="Z140" s="2">
        <f t="shared" si="176"/>
        <v>12384.775</v>
      </c>
      <c r="AA140" s="2">
        <f t="shared" si="177"/>
        <v>105270.58749999998</v>
      </c>
      <c r="AB140" s="2">
        <f t="shared" si="178"/>
        <v>12384.775</v>
      </c>
      <c r="AC140" s="2">
        <f t="shared" si="179"/>
        <v>117655.36249999997</v>
      </c>
      <c r="AD140" s="2">
        <f t="shared" si="180"/>
        <v>12384.775</v>
      </c>
      <c r="AE140" s="2">
        <f t="shared" si="181"/>
        <v>130040.13749999997</v>
      </c>
      <c r="AF140" s="2">
        <f t="shared" si="182"/>
        <v>12384.775</v>
      </c>
      <c r="AG140" s="2">
        <f t="shared" si="183"/>
        <v>142424.91249999998</v>
      </c>
      <c r="AH140" s="2">
        <f t="shared" si="184"/>
        <v>12384.775</v>
      </c>
      <c r="AI140" s="2">
        <f t="shared" si="185"/>
        <v>154809.68749999997</v>
      </c>
      <c r="AJ140" s="2">
        <f t="shared" si="186"/>
        <v>12384.775</v>
      </c>
      <c r="AK140" s="2">
        <f t="shared" si="187"/>
        <v>167194.46249999997</v>
      </c>
      <c r="AL140" s="2">
        <f t="shared" si="188"/>
        <v>12384.775</v>
      </c>
      <c r="AM140" s="3">
        <f t="shared" si="189"/>
        <v>179579.23749999996</v>
      </c>
      <c r="AN140" s="2">
        <f t="shared" si="190"/>
        <v>315811.76250000007</v>
      </c>
      <c r="AO140" s="4">
        <f t="shared" si="191"/>
        <v>12384.775</v>
      </c>
      <c r="AP140" s="2">
        <f t="shared" si="192"/>
        <v>191964.01249999995</v>
      </c>
      <c r="AQ140" s="2">
        <f t="shared" si="193"/>
        <v>303426.98750000005</v>
      </c>
      <c r="AR140" s="4">
        <f t="shared" si="194"/>
        <v>12384.775</v>
      </c>
      <c r="AS140" s="5">
        <f t="shared" si="195"/>
        <v>204348.78749999995</v>
      </c>
      <c r="AT140" s="2">
        <f t="shared" si="196"/>
        <v>291042.21250000002</v>
      </c>
    </row>
    <row r="141" spans="1:46" x14ac:dyDescent="0.2">
      <c r="A141" s="1" t="s">
        <v>177</v>
      </c>
      <c r="B141" s="1" t="s">
        <v>80</v>
      </c>
      <c r="C141" s="2">
        <v>62127</v>
      </c>
      <c r="D141" s="1" t="s">
        <v>61</v>
      </c>
      <c r="E141" s="2">
        <v>40</v>
      </c>
      <c r="J141" s="2">
        <f>C141/40/12*6</f>
        <v>776.58750000000009</v>
      </c>
      <c r="K141" s="2">
        <f t="shared" si="162"/>
        <v>776.58750000000009</v>
      </c>
      <c r="L141" s="2">
        <f>C141/E141</f>
        <v>1553.175</v>
      </c>
      <c r="M141" s="2">
        <f t="shared" si="164"/>
        <v>2329.7624999999998</v>
      </c>
      <c r="N141" s="2">
        <f t="shared" si="165"/>
        <v>1553.175</v>
      </c>
      <c r="O141" s="2">
        <f t="shared" si="166"/>
        <v>3882.9375</v>
      </c>
      <c r="P141" s="2">
        <f t="shared" si="167"/>
        <v>1553.175</v>
      </c>
      <c r="Q141" s="2">
        <f t="shared" si="168"/>
        <v>5436.1125000000002</v>
      </c>
      <c r="R141" s="2">
        <f t="shared" si="169"/>
        <v>1553.175</v>
      </c>
      <c r="S141" s="2">
        <f t="shared" si="170"/>
        <v>6989.2875000000004</v>
      </c>
      <c r="T141" s="2">
        <f t="shared" si="171"/>
        <v>1553.175</v>
      </c>
      <c r="U141" s="2">
        <f t="shared" si="197"/>
        <v>8542.4624999999996</v>
      </c>
      <c r="V141" s="2">
        <f t="shared" si="172"/>
        <v>1553.175</v>
      </c>
      <c r="W141" s="2">
        <v>10095</v>
      </c>
      <c r="X141" s="2">
        <f t="shared" si="174"/>
        <v>1553.175</v>
      </c>
      <c r="Y141" s="2">
        <f t="shared" si="175"/>
        <v>11648.174999999999</v>
      </c>
      <c r="Z141" s="2">
        <f t="shared" si="176"/>
        <v>1553.175</v>
      </c>
      <c r="AA141" s="2">
        <f t="shared" si="177"/>
        <v>13201.349999999999</v>
      </c>
      <c r="AB141" s="2">
        <f t="shared" si="178"/>
        <v>1553.175</v>
      </c>
      <c r="AC141" s="2">
        <f t="shared" si="179"/>
        <v>14754.524999999998</v>
      </c>
      <c r="AD141" s="2">
        <f t="shared" si="180"/>
        <v>1553.175</v>
      </c>
      <c r="AE141" s="2">
        <f t="shared" si="181"/>
        <v>16307.699999999997</v>
      </c>
      <c r="AF141" s="2">
        <f t="shared" si="182"/>
        <v>1553.175</v>
      </c>
      <c r="AG141" s="2">
        <f t="shared" si="183"/>
        <v>17860.874999999996</v>
      </c>
      <c r="AH141" s="2">
        <f t="shared" si="184"/>
        <v>1553.175</v>
      </c>
      <c r="AI141" s="2">
        <f t="shared" si="185"/>
        <v>19414.049999999996</v>
      </c>
      <c r="AJ141" s="2">
        <f t="shared" si="186"/>
        <v>1553.175</v>
      </c>
      <c r="AK141" s="2">
        <f t="shared" si="187"/>
        <v>20967.224999999995</v>
      </c>
      <c r="AL141" s="2">
        <f t="shared" si="188"/>
        <v>1553.175</v>
      </c>
      <c r="AM141" s="3">
        <f t="shared" si="189"/>
        <v>22520.399999999994</v>
      </c>
      <c r="AN141" s="2">
        <f t="shared" si="190"/>
        <v>39606.600000000006</v>
      </c>
      <c r="AO141" s="4">
        <f t="shared" si="191"/>
        <v>1553.175</v>
      </c>
      <c r="AP141" s="2">
        <f t="shared" si="192"/>
        <v>24073.574999999993</v>
      </c>
      <c r="AQ141" s="2">
        <f t="shared" si="193"/>
        <v>38053.425000000003</v>
      </c>
      <c r="AR141" s="4">
        <f t="shared" si="194"/>
        <v>1553.175</v>
      </c>
      <c r="AS141" s="5">
        <f t="shared" si="195"/>
        <v>25626.749999999993</v>
      </c>
      <c r="AT141" s="2">
        <f t="shared" si="196"/>
        <v>36500.250000000007</v>
      </c>
    </row>
    <row r="142" spans="1:46" x14ac:dyDescent="0.2">
      <c r="A142" s="1" t="s">
        <v>178</v>
      </c>
      <c r="B142" s="1" t="s">
        <v>179</v>
      </c>
      <c r="C142" s="2">
        <v>44297</v>
      </c>
      <c r="D142" s="1" t="s">
        <v>61</v>
      </c>
      <c r="E142" s="2">
        <v>40</v>
      </c>
      <c r="L142" s="2">
        <f>44297/40*0.5</f>
        <v>553.71249999999998</v>
      </c>
      <c r="M142" s="2">
        <f t="shared" si="164"/>
        <v>553.71249999999998</v>
      </c>
      <c r="N142" s="2">
        <f>44297/40</f>
        <v>1107.425</v>
      </c>
      <c r="O142" s="2">
        <f t="shared" si="166"/>
        <v>1661.1374999999998</v>
      </c>
      <c r="P142" s="2">
        <f t="shared" si="167"/>
        <v>1107.425</v>
      </c>
      <c r="Q142" s="2">
        <f t="shared" si="168"/>
        <v>2768.5625</v>
      </c>
      <c r="R142" s="2">
        <f t="shared" si="169"/>
        <v>1107.425</v>
      </c>
      <c r="S142" s="2">
        <f t="shared" si="170"/>
        <v>3875.9875000000002</v>
      </c>
      <c r="T142" s="2">
        <f t="shared" si="171"/>
        <v>1107.425</v>
      </c>
      <c r="U142" s="2">
        <f t="shared" si="197"/>
        <v>4983.4125000000004</v>
      </c>
      <c r="V142" s="2">
        <f t="shared" si="172"/>
        <v>1107.425</v>
      </c>
      <c r="W142" s="2">
        <v>6090</v>
      </c>
      <c r="X142" s="2">
        <f t="shared" si="174"/>
        <v>1107.425</v>
      </c>
      <c r="Y142" s="2">
        <f t="shared" si="175"/>
        <v>7197.4250000000002</v>
      </c>
      <c r="Z142" s="2">
        <f t="shared" si="176"/>
        <v>1107.425</v>
      </c>
      <c r="AA142" s="2">
        <f t="shared" si="177"/>
        <v>8304.85</v>
      </c>
      <c r="AB142" s="2">
        <f t="shared" si="178"/>
        <v>1107.425</v>
      </c>
      <c r="AC142" s="2">
        <f t="shared" si="179"/>
        <v>9412.2749999999996</v>
      </c>
      <c r="AD142" s="2">
        <f t="shared" si="180"/>
        <v>1107.425</v>
      </c>
      <c r="AE142" s="2">
        <f t="shared" si="181"/>
        <v>10519.699999999999</v>
      </c>
      <c r="AF142" s="2">
        <f t="shared" si="182"/>
        <v>1107.425</v>
      </c>
      <c r="AG142" s="2">
        <f t="shared" si="183"/>
        <v>11627.124999999998</v>
      </c>
      <c r="AH142" s="2">
        <f t="shared" si="184"/>
        <v>1107.425</v>
      </c>
      <c r="AI142" s="2">
        <f t="shared" si="185"/>
        <v>12734.549999999997</v>
      </c>
      <c r="AJ142" s="2">
        <f t="shared" si="186"/>
        <v>1107.425</v>
      </c>
      <c r="AK142" s="2">
        <f t="shared" si="187"/>
        <v>13841.974999999997</v>
      </c>
      <c r="AL142" s="2">
        <f t="shared" si="188"/>
        <v>1107.425</v>
      </c>
      <c r="AM142" s="3">
        <f t="shared" si="189"/>
        <v>14949.399999999996</v>
      </c>
      <c r="AN142" s="2">
        <f t="shared" si="190"/>
        <v>29347.600000000006</v>
      </c>
      <c r="AO142" s="4">
        <f t="shared" si="191"/>
        <v>1107.425</v>
      </c>
      <c r="AP142" s="2">
        <f t="shared" si="192"/>
        <v>16056.824999999995</v>
      </c>
      <c r="AQ142" s="2">
        <f t="shared" si="193"/>
        <v>28240.175000000007</v>
      </c>
      <c r="AR142" s="4">
        <f t="shared" si="194"/>
        <v>1107.425</v>
      </c>
      <c r="AS142" s="5">
        <f t="shared" si="195"/>
        <v>17164.249999999996</v>
      </c>
      <c r="AT142" s="2">
        <f t="shared" si="196"/>
        <v>27132.750000000004</v>
      </c>
    </row>
    <row r="143" spans="1:46" x14ac:dyDescent="0.2">
      <c r="A143" s="3" t="s">
        <v>180</v>
      </c>
      <c r="B143" s="1" t="s">
        <v>181</v>
      </c>
      <c r="C143" s="2">
        <v>3604203</v>
      </c>
      <c r="D143" s="1" t="s">
        <v>61</v>
      </c>
      <c r="E143" s="2">
        <v>40</v>
      </c>
      <c r="N143" s="2">
        <f>3604203/40/12*3</f>
        <v>22526.268749999999</v>
      </c>
      <c r="O143" s="2">
        <v>22526</v>
      </c>
      <c r="P143" s="2">
        <f t="shared" si="167"/>
        <v>90105.074999999997</v>
      </c>
      <c r="Q143" s="2">
        <f t="shared" si="168"/>
        <v>112631.075</v>
      </c>
      <c r="R143" s="2">
        <f t="shared" si="169"/>
        <v>90105.074999999997</v>
      </c>
      <c r="S143" s="2">
        <f t="shared" si="170"/>
        <v>202736.15</v>
      </c>
      <c r="T143" s="2">
        <f t="shared" si="171"/>
        <v>90105.074999999997</v>
      </c>
      <c r="U143" s="2">
        <f t="shared" si="197"/>
        <v>292841.22499999998</v>
      </c>
      <c r="V143" s="2">
        <f t="shared" si="172"/>
        <v>90105.074999999997</v>
      </c>
      <c r="W143" s="2">
        <f t="shared" ref="W143:W155" si="198">U143+V143</f>
        <v>382946.3</v>
      </c>
      <c r="X143" s="2">
        <f t="shared" si="174"/>
        <v>90105.074999999997</v>
      </c>
      <c r="Y143" s="2">
        <f t="shared" si="175"/>
        <v>473051.375</v>
      </c>
      <c r="Z143" s="2">
        <f t="shared" si="176"/>
        <v>90105.074999999997</v>
      </c>
      <c r="AA143" s="2">
        <f t="shared" si="177"/>
        <v>563156.44999999995</v>
      </c>
      <c r="AB143" s="2">
        <f t="shared" si="178"/>
        <v>90105.074999999997</v>
      </c>
      <c r="AC143" s="2">
        <f t="shared" si="179"/>
        <v>653261.52499999991</v>
      </c>
      <c r="AD143" s="2">
        <f t="shared" si="180"/>
        <v>90105.074999999997</v>
      </c>
      <c r="AE143" s="2">
        <f t="shared" si="181"/>
        <v>743366.59999999986</v>
      </c>
      <c r="AF143" s="2">
        <f t="shared" si="182"/>
        <v>90105.074999999997</v>
      </c>
      <c r="AG143" s="2">
        <f t="shared" si="183"/>
        <v>833471.67499999981</v>
      </c>
      <c r="AH143" s="2">
        <f t="shared" si="184"/>
        <v>90105.074999999997</v>
      </c>
      <c r="AI143" s="2">
        <f t="shared" si="185"/>
        <v>923576.74999999977</v>
      </c>
      <c r="AJ143" s="2">
        <f t="shared" si="186"/>
        <v>90105.074999999997</v>
      </c>
      <c r="AK143" s="2">
        <f t="shared" si="187"/>
        <v>1013681.8249999997</v>
      </c>
      <c r="AL143" s="2">
        <f t="shared" si="188"/>
        <v>90105.074999999997</v>
      </c>
      <c r="AM143" s="3">
        <f t="shared" si="189"/>
        <v>1103786.8999999997</v>
      </c>
      <c r="AN143" s="2">
        <f t="shared" si="190"/>
        <v>2500416.1000000006</v>
      </c>
      <c r="AO143" s="4">
        <f t="shared" si="191"/>
        <v>90105.074999999997</v>
      </c>
      <c r="AP143" s="2">
        <f t="shared" si="192"/>
        <v>1193891.9749999996</v>
      </c>
      <c r="AQ143" s="2">
        <f t="shared" si="193"/>
        <v>2410311.0250000004</v>
      </c>
      <c r="AR143" s="4">
        <f t="shared" si="194"/>
        <v>90105.074999999997</v>
      </c>
      <c r="AS143" s="5">
        <f t="shared" si="195"/>
        <v>1283997.0499999996</v>
      </c>
      <c r="AT143" s="2">
        <f t="shared" si="196"/>
        <v>2320205.9500000002</v>
      </c>
    </row>
    <row r="144" spans="1:46" x14ac:dyDescent="0.2">
      <c r="A144" s="1" t="s">
        <v>182</v>
      </c>
      <c r="B144" s="1" t="s">
        <v>183</v>
      </c>
      <c r="C144" s="2">
        <v>11982</v>
      </c>
      <c r="D144" s="1" t="s">
        <v>61</v>
      </c>
      <c r="E144" s="2">
        <v>40</v>
      </c>
      <c r="M144" s="2">
        <f>K144+L144</f>
        <v>0</v>
      </c>
      <c r="N144" s="2">
        <f>11982/40*0.5</f>
        <v>149.77500000000001</v>
      </c>
      <c r="O144" s="2">
        <f>M144+N144</f>
        <v>149.77500000000001</v>
      </c>
      <c r="P144" s="2">
        <f t="shared" si="167"/>
        <v>299.55</v>
      </c>
      <c r="Q144" s="2">
        <f t="shared" si="168"/>
        <v>449.32500000000005</v>
      </c>
      <c r="R144" s="2">
        <f t="shared" si="169"/>
        <v>299.55</v>
      </c>
      <c r="S144" s="2">
        <f t="shared" si="170"/>
        <v>748.875</v>
      </c>
      <c r="T144" s="2">
        <f t="shared" si="171"/>
        <v>299.55</v>
      </c>
      <c r="U144" s="2">
        <f t="shared" si="197"/>
        <v>1048.425</v>
      </c>
      <c r="V144" s="2">
        <f t="shared" si="172"/>
        <v>299.55</v>
      </c>
      <c r="W144" s="2">
        <f t="shared" si="198"/>
        <v>1347.9749999999999</v>
      </c>
      <c r="X144" s="2">
        <f t="shared" si="174"/>
        <v>299.55</v>
      </c>
      <c r="Y144" s="2">
        <f t="shared" si="175"/>
        <v>1647.5249999999999</v>
      </c>
      <c r="Z144" s="2">
        <f t="shared" si="176"/>
        <v>299.55</v>
      </c>
      <c r="AA144" s="2">
        <f t="shared" si="177"/>
        <v>1947.0749999999998</v>
      </c>
      <c r="AB144" s="2">
        <f t="shared" si="178"/>
        <v>299.55</v>
      </c>
      <c r="AC144" s="2">
        <f t="shared" si="179"/>
        <v>2246.625</v>
      </c>
      <c r="AD144" s="2">
        <f t="shared" si="180"/>
        <v>299.55</v>
      </c>
      <c r="AE144" s="2">
        <f t="shared" si="181"/>
        <v>2546.1750000000002</v>
      </c>
      <c r="AF144" s="2">
        <f t="shared" si="182"/>
        <v>299.55</v>
      </c>
      <c r="AG144" s="2">
        <f t="shared" si="183"/>
        <v>2845.7250000000004</v>
      </c>
      <c r="AH144" s="2">
        <f t="shared" si="184"/>
        <v>299.55</v>
      </c>
      <c r="AI144" s="2">
        <f t="shared" si="185"/>
        <v>3145.2750000000005</v>
      </c>
      <c r="AJ144" s="2">
        <f t="shared" si="186"/>
        <v>299.55</v>
      </c>
      <c r="AK144" s="2">
        <f t="shared" si="187"/>
        <v>3444.8250000000007</v>
      </c>
      <c r="AL144" s="2">
        <f t="shared" si="188"/>
        <v>299.55</v>
      </c>
      <c r="AM144" s="3">
        <f t="shared" si="189"/>
        <v>3744.3750000000009</v>
      </c>
      <c r="AN144" s="2">
        <f t="shared" si="190"/>
        <v>8237.625</v>
      </c>
      <c r="AO144" s="4">
        <f t="shared" si="191"/>
        <v>299.55</v>
      </c>
      <c r="AP144" s="2">
        <f t="shared" si="192"/>
        <v>4043.9250000000011</v>
      </c>
      <c r="AQ144" s="2">
        <f t="shared" si="193"/>
        <v>7938.0749999999998</v>
      </c>
      <c r="AR144" s="4">
        <f t="shared" si="194"/>
        <v>299.55</v>
      </c>
      <c r="AS144" s="5">
        <f t="shared" si="195"/>
        <v>4343.4750000000013</v>
      </c>
      <c r="AT144" s="2">
        <f t="shared" si="196"/>
        <v>7638.5249999999987</v>
      </c>
    </row>
    <row r="145" spans="1:46" x14ac:dyDescent="0.2">
      <c r="A145" s="1" t="s">
        <v>184</v>
      </c>
      <c r="B145" s="1" t="s">
        <v>185</v>
      </c>
      <c r="C145" s="2">
        <v>1184477</v>
      </c>
      <c r="D145" s="1" t="s">
        <v>61</v>
      </c>
      <c r="E145" s="2">
        <v>40</v>
      </c>
      <c r="P145" s="2">
        <f>SUM(C145/40*0.5)</f>
        <v>14805.9625</v>
      </c>
      <c r="Q145" s="2">
        <f t="shared" si="168"/>
        <v>14805.9625</v>
      </c>
      <c r="R145" s="2">
        <f t="shared" si="169"/>
        <v>29611.924999999999</v>
      </c>
      <c r="S145" s="2">
        <f t="shared" si="170"/>
        <v>44417.887499999997</v>
      </c>
      <c r="T145" s="2">
        <f t="shared" si="171"/>
        <v>29611.924999999999</v>
      </c>
      <c r="U145" s="2">
        <f t="shared" si="197"/>
        <v>74029.8125</v>
      </c>
      <c r="V145" s="2">
        <f t="shared" si="172"/>
        <v>29611.924999999999</v>
      </c>
      <c r="W145" s="2">
        <f t="shared" si="198"/>
        <v>103641.7375</v>
      </c>
      <c r="X145" s="2">
        <f t="shared" si="174"/>
        <v>29611.924999999999</v>
      </c>
      <c r="Y145" s="2">
        <f t="shared" si="175"/>
        <v>133253.66250000001</v>
      </c>
      <c r="Z145" s="2">
        <f t="shared" si="176"/>
        <v>29611.924999999999</v>
      </c>
      <c r="AA145" s="2">
        <f t="shared" si="177"/>
        <v>162865.58749999999</v>
      </c>
      <c r="AB145" s="2">
        <f t="shared" si="178"/>
        <v>29611.924999999999</v>
      </c>
      <c r="AC145" s="2">
        <f t="shared" si="179"/>
        <v>192477.51249999998</v>
      </c>
      <c r="AD145" s="2">
        <f t="shared" si="180"/>
        <v>29611.924999999999</v>
      </c>
      <c r="AE145" s="2">
        <f t="shared" si="181"/>
        <v>222089.43749999997</v>
      </c>
      <c r="AF145" s="2">
        <f t="shared" si="182"/>
        <v>29611.924999999999</v>
      </c>
      <c r="AG145" s="2">
        <f t="shared" si="183"/>
        <v>251701.36249999996</v>
      </c>
      <c r="AH145" s="2">
        <f t="shared" si="184"/>
        <v>29611.924999999999</v>
      </c>
      <c r="AI145" s="2">
        <f t="shared" si="185"/>
        <v>281313.28749999998</v>
      </c>
      <c r="AJ145" s="2">
        <f t="shared" si="186"/>
        <v>29611.924999999999</v>
      </c>
      <c r="AK145" s="2">
        <f t="shared" si="187"/>
        <v>310925.21249999997</v>
      </c>
      <c r="AL145" s="2">
        <f t="shared" si="188"/>
        <v>29611.924999999999</v>
      </c>
      <c r="AM145" s="3">
        <f t="shared" si="189"/>
        <v>340537.13749999995</v>
      </c>
      <c r="AN145" s="2">
        <f t="shared" si="190"/>
        <v>843939.86250000005</v>
      </c>
      <c r="AO145" s="4">
        <f t="shared" si="191"/>
        <v>29611.924999999999</v>
      </c>
      <c r="AP145" s="2">
        <f t="shared" si="192"/>
        <v>370149.06249999994</v>
      </c>
      <c r="AQ145" s="2">
        <f t="shared" si="193"/>
        <v>814327.9375</v>
      </c>
      <c r="AR145" s="4">
        <f t="shared" si="194"/>
        <v>29611.924999999999</v>
      </c>
      <c r="AS145" s="5">
        <f t="shared" si="195"/>
        <v>399760.98749999993</v>
      </c>
      <c r="AT145" s="2">
        <f t="shared" si="196"/>
        <v>784716.01250000007</v>
      </c>
    </row>
    <row r="146" spans="1:46" x14ac:dyDescent="0.2">
      <c r="A146" s="1" t="s">
        <v>184</v>
      </c>
      <c r="B146" s="1" t="s">
        <v>185</v>
      </c>
      <c r="C146" s="2">
        <v>39285</v>
      </c>
      <c r="D146" s="1" t="s">
        <v>61</v>
      </c>
      <c r="E146" s="2">
        <v>40</v>
      </c>
      <c r="P146" s="2">
        <f>SUM(C146/40*0.5)</f>
        <v>491.0625</v>
      </c>
      <c r="Q146" s="2">
        <f t="shared" si="168"/>
        <v>491.0625</v>
      </c>
      <c r="R146" s="2">
        <f t="shared" si="169"/>
        <v>982.125</v>
      </c>
      <c r="S146" s="2">
        <f t="shared" si="170"/>
        <v>1473.1875</v>
      </c>
      <c r="T146" s="2">
        <f t="shared" si="171"/>
        <v>982.125</v>
      </c>
      <c r="U146" s="2">
        <f t="shared" si="197"/>
        <v>2455.3125</v>
      </c>
      <c r="V146" s="2">
        <f t="shared" si="172"/>
        <v>982.125</v>
      </c>
      <c r="W146" s="2">
        <f t="shared" si="198"/>
        <v>3437.4375</v>
      </c>
      <c r="X146" s="2">
        <f t="shared" si="174"/>
        <v>982.125</v>
      </c>
      <c r="Y146" s="2">
        <f t="shared" si="175"/>
        <v>4419.5625</v>
      </c>
      <c r="Z146" s="2">
        <f t="shared" si="176"/>
        <v>982.125</v>
      </c>
      <c r="AA146" s="2">
        <f t="shared" si="177"/>
        <v>5401.6875</v>
      </c>
      <c r="AB146" s="2">
        <f t="shared" si="178"/>
        <v>982.125</v>
      </c>
      <c r="AC146" s="2">
        <f t="shared" si="179"/>
        <v>6383.8125</v>
      </c>
      <c r="AD146" s="2">
        <f t="shared" si="180"/>
        <v>982.125</v>
      </c>
      <c r="AE146" s="2">
        <f t="shared" si="181"/>
        <v>7365.9375</v>
      </c>
      <c r="AF146" s="2">
        <f t="shared" si="182"/>
        <v>982.125</v>
      </c>
      <c r="AG146" s="2">
        <f t="shared" si="183"/>
        <v>8348.0625</v>
      </c>
      <c r="AH146" s="2">
        <f t="shared" si="184"/>
        <v>982.125</v>
      </c>
      <c r="AI146" s="2">
        <f t="shared" si="185"/>
        <v>9330.1875</v>
      </c>
      <c r="AJ146" s="2">
        <f t="shared" si="186"/>
        <v>982.125</v>
      </c>
      <c r="AK146" s="2">
        <f t="shared" si="187"/>
        <v>10312.3125</v>
      </c>
      <c r="AL146" s="2">
        <f t="shared" si="188"/>
        <v>982.125</v>
      </c>
      <c r="AM146" s="3">
        <f t="shared" si="189"/>
        <v>11294.4375</v>
      </c>
      <c r="AN146" s="2">
        <f t="shared" si="190"/>
        <v>27990.5625</v>
      </c>
      <c r="AO146" s="4">
        <f t="shared" si="191"/>
        <v>982.125</v>
      </c>
      <c r="AP146" s="2">
        <f t="shared" si="192"/>
        <v>12276.5625</v>
      </c>
      <c r="AQ146" s="2">
        <f t="shared" si="193"/>
        <v>27008.4375</v>
      </c>
      <c r="AR146" s="4">
        <f t="shared" si="194"/>
        <v>982.125</v>
      </c>
      <c r="AS146" s="5">
        <f t="shared" si="195"/>
        <v>13258.6875</v>
      </c>
      <c r="AT146" s="2">
        <f t="shared" si="196"/>
        <v>26026.3125</v>
      </c>
    </row>
    <row r="147" spans="1:46" x14ac:dyDescent="0.2">
      <c r="A147" s="1" t="s">
        <v>186</v>
      </c>
      <c r="B147" s="1" t="s">
        <v>187</v>
      </c>
      <c r="C147" s="2">
        <v>35545</v>
      </c>
      <c r="D147" s="1" t="s">
        <v>61</v>
      </c>
      <c r="E147" s="2">
        <v>40</v>
      </c>
      <c r="R147" s="2">
        <f>C147/40*0.5</f>
        <v>444.3125</v>
      </c>
      <c r="S147" s="2">
        <f t="shared" si="170"/>
        <v>444.3125</v>
      </c>
      <c r="T147" s="2">
        <v>889</v>
      </c>
      <c r="U147" s="2">
        <f t="shared" si="197"/>
        <v>1333.3125</v>
      </c>
      <c r="V147" s="2">
        <f t="shared" si="172"/>
        <v>889</v>
      </c>
      <c r="W147" s="2">
        <f t="shared" si="198"/>
        <v>2222.3125</v>
      </c>
      <c r="X147" s="2">
        <f t="shared" si="174"/>
        <v>889</v>
      </c>
      <c r="Y147" s="2">
        <f t="shared" si="175"/>
        <v>3111.3125</v>
      </c>
      <c r="Z147" s="2">
        <f t="shared" si="176"/>
        <v>889</v>
      </c>
      <c r="AA147" s="2">
        <f t="shared" si="177"/>
        <v>4000.3125</v>
      </c>
      <c r="AB147" s="2">
        <f t="shared" si="178"/>
        <v>889</v>
      </c>
      <c r="AC147" s="2">
        <f t="shared" si="179"/>
        <v>4889.3125</v>
      </c>
      <c r="AD147" s="2">
        <f t="shared" si="180"/>
        <v>889</v>
      </c>
      <c r="AE147" s="2">
        <f t="shared" si="181"/>
        <v>5778.3125</v>
      </c>
      <c r="AF147" s="2">
        <f t="shared" si="182"/>
        <v>889</v>
      </c>
      <c r="AG147" s="2">
        <f t="shared" si="183"/>
        <v>6667.3125</v>
      </c>
      <c r="AH147" s="2">
        <f t="shared" si="184"/>
        <v>889</v>
      </c>
      <c r="AI147" s="2">
        <f t="shared" si="185"/>
        <v>7556.3125</v>
      </c>
      <c r="AJ147" s="2">
        <f t="shared" si="186"/>
        <v>889</v>
      </c>
      <c r="AK147" s="2">
        <f t="shared" si="187"/>
        <v>8445.3125</v>
      </c>
      <c r="AL147" s="2">
        <f t="shared" si="188"/>
        <v>889</v>
      </c>
      <c r="AM147" s="3">
        <f t="shared" si="189"/>
        <v>9334.3125</v>
      </c>
      <c r="AN147" s="2">
        <f t="shared" si="190"/>
        <v>26210.6875</v>
      </c>
      <c r="AO147" s="4">
        <f t="shared" si="191"/>
        <v>889</v>
      </c>
      <c r="AP147" s="2">
        <f t="shared" si="192"/>
        <v>10223.3125</v>
      </c>
      <c r="AQ147" s="2">
        <f t="shared" si="193"/>
        <v>25321.6875</v>
      </c>
      <c r="AR147" s="4">
        <f t="shared" si="194"/>
        <v>889</v>
      </c>
      <c r="AS147" s="5">
        <f t="shared" si="195"/>
        <v>11112.3125</v>
      </c>
      <c r="AT147" s="2">
        <f t="shared" si="196"/>
        <v>24432.6875</v>
      </c>
    </row>
    <row r="148" spans="1:46" x14ac:dyDescent="0.2">
      <c r="A148" s="1" t="s">
        <v>188</v>
      </c>
      <c r="B148" s="1" t="s">
        <v>189</v>
      </c>
      <c r="C148" s="2">
        <v>5195.7</v>
      </c>
      <c r="D148" s="1" t="s">
        <v>61</v>
      </c>
      <c r="E148" s="2">
        <v>40</v>
      </c>
      <c r="T148" s="2">
        <v>65</v>
      </c>
      <c r="U148" s="2">
        <f t="shared" si="197"/>
        <v>65</v>
      </c>
      <c r="V148" s="2">
        <f>5196/40</f>
        <v>129.9</v>
      </c>
      <c r="W148" s="2">
        <f t="shared" si="198"/>
        <v>194.9</v>
      </c>
      <c r="X148" s="2">
        <f t="shared" si="174"/>
        <v>129.9</v>
      </c>
      <c r="Y148" s="2">
        <f t="shared" si="175"/>
        <v>324.8</v>
      </c>
      <c r="Z148" s="2">
        <f t="shared" si="176"/>
        <v>129.9</v>
      </c>
      <c r="AA148" s="2">
        <f t="shared" si="177"/>
        <v>454.70000000000005</v>
      </c>
      <c r="AB148" s="2">
        <f t="shared" si="178"/>
        <v>129.9</v>
      </c>
      <c r="AC148" s="2">
        <f t="shared" si="179"/>
        <v>584.6</v>
      </c>
      <c r="AD148" s="2">
        <f t="shared" si="180"/>
        <v>129.9</v>
      </c>
      <c r="AE148" s="2">
        <f t="shared" si="181"/>
        <v>714.5</v>
      </c>
      <c r="AF148" s="2">
        <f t="shared" si="182"/>
        <v>129.9</v>
      </c>
      <c r="AG148" s="2">
        <f t="shared" si="183"/>
        <v>844.4</v>
      </c>
      <c r="AH148" s="2">
        <f t="shared" si="184"/>
        <v>129.9</v>
      </c>
      <c r="AI148" s="2">
        <f t="shared" si="185"/>
        <v>974.3</v>
      </c>
      <c r="AJ148" s="2">
        <f t="shared" si="186"/>
        <v>129.9</v>
      </c>
      <c r="AK148" s="2">
        <f t="shared" si="187"/>
        <v>1104.2</v>
      </c>
      <c r="AL148" s="2">
        <f t="shared" si="188"/>
        <v>129.9</v>
      </c>
      <c r="AM148" s="3">
        <f t="shared" si="189"/>
        <v>1234.1000000000001</v>
      </c>
      <c r="AN148" s="2">
        <f t="shared" si="190"/>
        <v>3961.5999999999995</v>
      </c>
      <c r="AO148" s="4">
        <f t="shared" si="191"/>
        <v>129.9</v>
      </c>
      <c r="AP148" s="2">
        <f t="shared" si="192"/>
        <v>1364.0000000000002</v>
      </c>
      <c r="AQ148" s="2">
        <f t="shared" si="193"/>
        <v>3831.6999999999994</v>
      </c>
      <c r="AR148" s="4">
        <f t="shared" si="194"/>
        <v>129.9</v>
      </c>
      <c r="AS148" s="5">
        <f t="shared" si="195"/>
        <v>1493.9000000000003</v>
      </c>
      <c r="AT148" s="2">
        <f t="shared" si="196"/>
        <v>3701.7999999999993</v>
      </c>
    </row>
    <row r="149" spans="1:46" x14ac:dyDescent="0.2">
      <c r="A149" s="1" t="s">
        <v>190</v>
      </c>
      <c r="B149" s="1" t="s">
        <v>191</v>
      </c>
      <c r="C149" s="2">
        <v>33130</v>
      </c>
      <c r="D149" s="1" t="s">
        <v>61</v>
      </c>
      <c r="E149" s="2">
        <v>50</v>
      </c>
      <c r="V149" s="2">
        <v>331</v>
      </c>
      <c r="W149" s="2">
        <f t="shared" si="198"/>
        <v>331</v>
      </c>
      <c r="X149" s="2">
        <v>663</v>
      </c>
      <c r="Y149" s="2">
        <f t="shared" si="175"/>
        <v>994</v>
      </c>
      <c r="Z149" s="2">
        <f t="shared" si="176"/>
        <v>663</v>
      </c>
      <c r="AA149" s="2">
        <f t="shared" si="177"/>
        <v>1657</v>
      </c>
      <c r="AB149" s="2">
        <f t="shared" si="178"/>
        <v>663</v>
      </c>
      <c r="AC149" s="2">
        <f t="shared" si="179"/>
        <v>2320</v>
      </c>
      <c r="AD149" s="2">
        <f t="shared" si="180"/>
        <v>663</v>
      </c>
      <c r="AE149" s="2">
        <f t="shared" si="181"/>
        <v>2983</v>
      </c>
      <c r="AF149" s="2">
        <f t="shared" si="182"/>
        <v>663</v>
      </c>
      <c r="AG149" s="2">
        <f t="shared" si="183"/>
        <v>3646</v>
      </c>
      <c r="AH149" s="2">
        <f t="shared" si="184"/>
        <v>663</v>
      </c>
      <c r="AI149" s="2">
        <f t="shared" si="185"/>
        <v>4309</v>
      </c>
      <c r="AJ149" s="2">
        <f t="shared" si="186"/>
        <v>663</v>
      </c>
      <c r="AK149" s="2">
        <f t="shared" si="187"/>
        <v>4972</v>
      </c>
      <c r="AL149" s="2">
        <f t="shared" si="188"/>
        <v>663</v>
      </c>
      <c r="AM149" s="3">
        <f t="shared" si="189"/>
        <v>5635</v>
      </c>
      <c r="AN149" s="2">
        <f t="shared" si="190"/>
        <v>27495</v>
      </c>
      <c r="AO149" s="4">
        <f t="shared" si="191"/>
        <v>663</v>
      </c>
      <c r="AP149" s="2">
        <f t="shared" si="192"/>
        <v>6298</v>
      </c>
      <c r="AQ149" s="2">
        <f t="shared" si="193"/>
        <v>26832</v>
      </c>
      <c r="AR149" s="4">
        <f t="shared" si="194"/>
        <v>663</v>
      </c>
      <c r="AS149" s="5">
        <f t="shared" si="195"/>
        <v>6961</v>
      </c>
      <c r="AT149" s="2">
        <f t="shared" si="196"/>
        <v>26169</v>
      </c>
    </row>
    <row r="150" spans="1:46" x14ac:dyDescent="0.2">
      <c r="A150" s="1" t="s">
        <v>192</v>
      </c>
      <c r="B150" s="1" t="s">
        <v>193</v>
      </c>
      <c r="C150" s="2">
        <v>351267</v>
      </c>
      <c r="D150" s="1" t="s">
        <v>61</v>
      </c>
      <c r="E150" s="2">
        <v>10</v>
      </c>
      <c r="V150" s="2">
        <v>4391</v>
      </c>
      <c r="W150" s="2">
        <f t="shared" si="198"/>
        <v>4391</v>
      </c>
      <c r="X150" s="2">
        <v>35127</v>
      </c>
      <c r="Y150" s="2">
        <f t="shared" si="175"/>
        <v>39518</v>
      </c>
      <c r="Z150" s="2">
        <f t="shared" si="176"/>
        <v>35127</v>
      </c>
      <c r="AA150" s="2">
        <f t="shared" si="177"/>
        <v>74645</v>
      </c>
      <c r="AB150" s="2">
        <f t="shared" si="178"/>
        <v>35127</v>
      </c>
      <c r="AC150" s="2">
        <f t="shared" si="179"/>
        <v>109772</v>
      </c>
      <c r="AD150" s="2">
        <f t="shared" si="180"/>
        <v>35127</v>
      </c>
      <c r="AE150" s="2">
        <f t="shared" si="181"/>
        <v>144899</v>
      </c>
      <c r="AF150" s="2">
        <f t="shared" si="182"/>
        <v>35127</v>
      </c>
      <c r="AG150" s="2">
        <f t="shared" si="183"/>
        <v>180026</v>
      </c>
      <c r="AH150" s="2">
        <f t="shared" si="184"/>
        <v>35127</v>
      </c>
      <c r="AI150" s="2">
        <f t="shared" si="185"/>
        <v>215153</v>
      </c>
      <c r="AJ150" s="2">
        <f t="shared" si="186"/>
        <v>35127</v>
      </c>
      <c r="AK150" s="2">
        <f t="shared" si="187"/>
        <v>250280</v>
      </c>
      <c r="AL150" s="2">
        <f t="shared" si="188"/>
        <v>35127</v>
      </c>
      <c r="AM150" s="3">
        <f t="shared" si="189"/>
        <v>285407</v>
      </c>
      <c r="AN150" s="2">
        <f t="shared" si="190"/>
        <v>65860</v>
      </c>
      <c r="AO150" s="4">
        <f t="shared" si="191"/>
        <v>35127</v>
      </c>
      <c r="AP150" s="2">
        <f t="shared" si="192"/>
        <v>320534</v>
      </c>
      <c r="AQ150" s="2">
        <f t="shared" si="193"/>
        <v>30733</v>
      </c>
      <c r="AR150" s="4">
        <f t="shared" si="194"/>
        <v>35127</v>
      </c>
      <c r="AS150" s="5">
        <f t="shared" si="195"/>
        <v>355661</v>
      </c>
      <c r="AT150" s="2">
        <f t="shared" si="196"/>
        <v>-4394</v>
      </c>
    </row>
    <row r="151" spans="1:46" x14ac:dyDescent="0.2">
      <c r="A151" s="1" t="s">
        <v>194</v>
      </c>
      <c r="B151" s="1" t="s">
        <v>164</v>
      </c>
      <c r="C151" s="2">
        <v>417540</v>
      </c>
      <c r="D151" s="1" t="s">
        <v>61</v>
      </c>
      <c r="E151" s="2">
        <v>50</v>
      </c>
      <c r="V151" s="2">
        <v>7655</v>
      </c>
      <c r="W151" s="2">
        <f t="shared" si="198"/>
        <v>7655</v>
      </c>
      <c r="X151" s="2">
        <v>8351</v>
      </c>
      <c r="Y151" s="2">
        <f t="shared" si="175"/>
        <v>16006</v>
      </c>
      <c r="Z151" s="2">
        <f t="shared" si="176"/>
        <v>8351</v>
      </c>
      <c r="AA151" s="2">
        <f t="shared" si="177"/>
        <v>24357</v>
      </c>
      <c r="AB151" s="2">
        <f t="shared" si="178"/>
        <v>8351</v>
      </c>
      <c r="AC151" s="2">
        <f t="shared" si="179"/>
        <v>32708</v>
      </c>
      <c r="AD151" s="2">
        <f t="shared" si="180"/>
        <v>8351</v>
      </c>
      <c r="AE151" s="2">
        <f t="shared" si="181"/>
        <v>41059</v>
      </c>
      <c r="AF151" s="2">
        <f t="shared" si="182"/>
        <v>8351</v>
      </c>
      <c r="AG151" s="2">
        <f t="shared" si="183"/>
        <v>49410</v>
      </c>
      <c r="AH151" s="2">
        <f t="shared" si="184"/>
        <v>8351</v>
      </c>
      <c r="AI151" s="2">
        <f t="shared" si="185"/>
        <v>57761</v>
      </c>
      <c r="AJ151" s="2">
        <f t="shared" si="186"/>
        <v>8351</v>
      </c>
      <c r="AK151" s="2">
        <f t="shared" si="187"/>
        <v>66112</v>
      </c>
      <c r="AL151" s="2">
        <f t="shared" si="188"/>
        <v>8351</v>
      </c>
      <c r="AM151" s="3">
        <f t="shared" si="189"/>
        <v>74463</v>
      </c>
      <c r="AN151" s="2">
        <f t="shared" si="190"/>
        <v>343077</v>
      </c>
      <c r="AO151" s="4">
        <f t="shared" si="191"/>
        <v>8351</v>
      </c>
      <c r="AP151" s="2">
        <f t="shared" si="192"/>
        <v>82814</v>
      </c>
      <c r="AQ151" s="2">
        <f t="shared" si="193"/>
        <v>334726</v>
      </c>
      <c r="AR151" s="4">
        <f t="shared" si="194"/>
        <v>8351</v>
      </c>
      <c r="AS151" s="5">
        <f t="shared" si="195"/>
        <v>91165</v>
      </c>
      <c r="AT151" s="2">
        <f t="shared" si="196"/>
        <v>326375</v>
      </c>
    </row>
    <row r="152" spans="1:46" x14ac:dyDescent="0.2">
      <c r="A152" s="1" t="s">
        <v>195</v>
      </c>
      <c r="B152" s="1" t="s">
        <v>196</v>
      </c>
      <c r="C152" s="2">
        <v>500000</v>
      </c>
      <c r="D152" s="1" t="s">
        <v>61</v>
      </c>
      <c r="E152" s="2">
        <v>50</v>
      </c>
      <c r="V152" s="2">
        <v>5417</v>
      </c>
      <c r="W152" s="2">
        <f t="shared" si="198"/>
        <v>5417</v>
      </c>
      <c r="X152" s="2">
        <v>10000</v>
      </c>
      <c r="Y152" s="2">
        <f t="shared" si="175"/>
        <v>15417</v>
      </c>
      <c r="Z152" s="2">
        <f t="shared" si="176"/>
        <v>10000</v>
      </c>
      <c r="AA152" s="2">
        <f t="shared" si="177"/>
        <v>25417</v>
      </c>
      <c r="AB152" s="2">
        <f t="shared" si="178"/>
        <v>10000</v>
      </c>
      <c r="AC152" s="2">
        <f t="shared" si="179"/>
        <v>35417</v>
      </c>
      <c r="AD152" s="2">
        <f t="shared" si="180"/>
        <v>10000</v>
      </c>
      <c r="AE152" s="2">
        <f t="shared" si="181"/>
        <v>45417</v>
      </c>
      <c r="AF152" s="2">
        <f t="shared" si="182"/>
        <v>10000</v>
      </c>
      <c r="AG152" s="2">
        <f t="shared" si="183"/>
        <v>55417</v>
      </c>
      <c r="AH152" s="2">
        <f t="shared" si="184"/>
        <v>10000</v>
      </c>
      <c r="AI152" s="2">
        <f t="shared" si="185"/>
        <v>65417</v>
      </c>
      <c r="AJ152" s="2">
        <f t="shared" si="186"/>
        <v>10000</v>
      </c>
      <c r="AK152" s="2">
        <f t="shared" si="187"/>
        <v>75417</v>
      </c>
      <c r="AL152" s="2">
        <f t="shared" si="188"/>
        <v>10000</v>
      </c>
      <c r="AM152" s="3">
        <f t="shared" si="189"/>
        <v>85417</v>
      </c>
      <c r="AN152" s="2">
        <f t="shared" si="190"/>
        <v>414583</v>
      </c>
      <c r="AO152" s="4">
        <f t="shared" si="191"/>
        <v>10000</v>
      </c>
      <c r="AP152" s="2">
        <f t="shared" si="192"/>
        <v>95417</v>
      </c>
      <c r="AQ152" s="2">
        <f t="shared" si="193"/>
        <v>404583</v>
      </c>
      <c r="AR152" s="4">
        <f t="shared" si="194"/>
        <v>10000</v>
      </c>
      <c r="AS152" s="5">
        <f t="shared" si="195"/>
        <v>105417</v>
      </c>
      <c r="AT152" s="2">
        <f t="shared" si="196"/>
        <v>394583</v>
      </c>
    </row>
    <row r="153" spans="1:46" x14ac:dyDescent="0.2">
      <c r="A153" s="1" t="s">
        <v>197</v>
      </c>
      <c r="B153" s="1" t="s">
        <v>198</v>
      </c>
      <c r="C153" s="2">
        <v>633314</v>
      </c>
      <c r="D153" s="1" t="s">
        <v>61</v>
      </c>
      <c r="E153" s="2">
        <v>50</v>
      </c>
      <c r="V153" s="2">
        <v>11611</v>
      </c>
      <c r="W153" s="2">
        <f t="shared" si="198"/>
        <v>11611</v>
      </c>
      <c r="X153" s="2">
        <v>12666</v>
      </c>
      <c r="Y153" s="2">
        <f t="shared" si="175"/>
        <v>24277</v>
      </c>
      <c r="Z153" s="2">
        <f t="shared" si="176"/>
        <v>12666</v>
      </c>
      <c r="AA153" s="2">
        <f t="shared" si="177"/>
        <v>36943</v>
      </c>
      <c r="AB153" s="2">
        <f t="shared" si="178"/>
        <v>12666</v>
      </c>
      <c r="AC153" s="2">
        <f t="shared" si="179"/>
        <v>49609</v>
      </c>
      <c r="AD153" s="2">
        <f t="shared" si="180"/>
        <v>12666</v>
      </c>
      <c r="AE153" s="2">
        <f t="shared" si="181"/>
        <v>62275</v>
      </c>
      <c r="AF153" s="2">
        <f t="shared" si="182"/>
        <v>12666</v>
      </c>
      <c r="AG153" s="2">
        <f t="shared" si="183"/>
        <v>74941</v>
      </c>
      <c r="AH153" s="2">
        <f t="shared" si="184"/>
        <v>12666</v>
      </c>
      <c r="AI153" s="2">
        <f t="shared" si="185"/>
        <v>87607</v>
      </c>
      <c r="AJ153" s="2">
        <f t="shared" si="186"/>
        <v>12666</v>
      </c>
      <c r="AK153" s="2">
        <f t="shared" si="187"/>
        <v>100273</v>
      </c>
      <c r="AL153" s="2">
        <f t="shared" si="188"/>
        <v>12666</v>
      </c>
      <c r="AM153" s="3">
        <f t="shared" si="189"/>
        <v>112939</v>
      </c>
      <c r="AN153" s="2">
        <f t="shared" si="190"/>
        <v>520375</v>
      </c>
      <c r="AO153" s="4">
        <f t="shared" si="191"/>
        <v>12666</v>
      </c>
      <c r="AP153" s="2">
        <f t="shared" si="192"/>
        <v>125605</v>
      </c>
      <c r="AQ153" s="2">
        <f t="shared" si="193"/>
        <v>507709</v>
      </c>
      <c r="AR153" s="4">
        <f t="shared" si="194"/>
        <v>12666</v>
      </c>
      <c r="AS153" s="5">
        <f t="shared" si="195"/>
        <v>138271</v>
      </c>
      <c r="AT153" s="2">
        <f t="shared" si="196"/>
        <v>495043</v>
      </c>
    </row>
    <row r="154" spans="1:46" x14ac:dyDescent="0.2">
      <c r="A154" s="1" t="s">
        <v>199</v>
      </c>
      <c r="B154" s="1" t="s">
        <v>200</v>
      </c>
      <c r="C154" s="2">
        <v>549816</v>
      </c>
      <c r="D154" s="1" t="s">
        <v>61</v>
      </c>
      <c r="E154" s="2">
        <v>50</v>
      </c>
      <c r="V154" s="2">
        <v>916</v>
      </c>
      <c r="W154" s="2">
        <f t="shared" si="198"/>
        <v>916</v>
      </c>
      <c r="X154" s="2">
        <v>10996</v>
      </c>
      <c r="Y154" s="2">
        <f t="shared" si="175"/>
        <v>11912</v>
      </c>
      <c r="Z154" s="2">
        <f t="shared" si="176"/>
        <v>10996</v>
      </c>
      <c r="AA154" s="2">
        <f t="shared" si="177"/>
        <v>22908</v>
      </c>
      <c r="AB154" s="2">
        <f t="shared" si="178"/>
        <v>10996</v>
      </c>
      <c r="AC154" s="2">
        <f t="shared" si="179"/>
        <v>33904</v>
      </c>
      <c r="AD154" s="2">
        <f t="shared" si="180"/>
        <v>10996</v>
      </c>
      <c r="AE154" s="2">
        <f t="shared" si="181"/>
        <v>44900</v>
      </c>
      <c r="AF154" s="2">
        <f t="shared" si="182"/>
        <v>10996</v>
      </c>
      <c r="AG154" s="2">
        <f t="shared" si="183"/>
        <v>55896</v>
      </c>
      <c r="AH154" s="2">
        <f t="shared" si="184"/>
        <v>10996</v>
      </c>
      <c r="AI154" s="2">
        <f t="shared" si="185"/>
        <v>66892</v>
      </c>
      <c r="AJ154" s="2">
        <f t="shared" si="186"/>
        <v>10996</v>
      </c>
      <c r="AK154" s="2">
        <f t="shared" si="187"/>
        <v>77888</v>
      </c>
      <c r="AL154" s="2">
        <f t="shared" si="188"/>
        <v>10996</v>
      </c>
      <c r="AM154" s="3">
        <f t="shared" si="189"/>
        <v>88884</v>
      </c>
      <c r="AN154" s="2">
        <f t="shared" si="190"/>
        <v>460932</v>
      </c>
      <c r="AO154" s="4">
        <f t="shared" si="191"/>
        <v>10996</v>
      </c>
      <c r="AP154" s="2">
        <f t="shared" si="192"/>
        <v>99880</v>
      </c>
      <c r="AQ154" s="2">
        <f t="shared" si="193"/>
        <v>449936</v>
      </c>
      <c r="AR154" s="4">
        <f t="shared" si="194"/>
        <v>10996</v>
      </c>
      <c r="AS154" s="5">
        <f t="shared" si="195"/>
        <v>110876</v>
      </c>
      <c r="AT154" s="2">
        <f t="shared" si="196"/>
        <v>438940</v>
      </c>
    </row>
    <row r="155" spans="1:46" x14ac:dyDescent="0.2">
      <c r="A155" s="1" t="s">
        <v>201</v>
      </c>
      <c r="B155" s="1" t="s">
        <v>200</v>
      </c>
      <c r="C155" s="2">
        <v>531089</v>
      </c>
      <c r="D155" s="1" t="s">
        <v>61</v>
      </c>
      <c r="E155" s="2">
        <v>50</v>
      </c>
      <c r="V155" s="2">
        <v>885</v>
      </c>
      <c r="W155" s="2">
        <f t="shared" si="198"/>
        <v>885</v>
      </c>
      <c r="X155" s="2">
        <v>10622</v>
      </c>
      <c r="Y155" s="2">
        <f t="shared" si="175"/>
        <v>11507</v>
      </c>
      <c r="Z155" s="2">
        <f t="shared" si="176"/>
        <v>10622</v>
      </c>
      <c r="AA155" s="2">
        <f t="shared" si="177"/>
        <v>22129</v>
      </c>
      <c r="AB155" s="2">
        <f t="shared" si="178"/>
        <v>10622</v>
      </c>
      <c r="AC155" s="2">
        <f t="shared" si="179"/>
        <v>32751</v>
      </c>
      <c r="AD155" s="2">
        <f t="shared" si="180"/>
        <v>10622</v>
      </c>
      <c r="AE155" s="2">
        <f t="shared" si="181"/>
        <v>43373</v>
      </c>
      <c r="AF155" s="2">
        <f t="shared" si="182"/>
        <v>10622</v>
      </c>
      <c r="AG155" s="2">
        <f t="shared" si="183"/>
        <v>53995</v>
      </c>
      <c r="AH155" s="2">
        <f t="shared" si="184"/>
        <v>10622</v>
      </c>
      <c r="AI155" s="2">
        <f t="shared" si="185"/>
        <v>64617</v>
      </c>
      <c r="AJ155" s="2">
        <f t="shared" si="186"/>
        <v>10622</v>
      </c>
      <c r="AK155" s="2">
        <f t="shared" si="187"/>
        <v>75239</v>
      </c>
      <c r="AL155" s="2">
        <f t="shared" si="188"/>
        <v>10622</v>
      </c>
      <c r="AM155" s="3">
        <f t="shared" si="189"/>
        <v>85861</v>
      </c>
      <c r="AN155" s="2">
        <f t="shared" si="190"/>
        <v>445228</v>
      </c>
      <c r="AO155" s="4">
        <f t="shared" si="191"/>
        <v>10622</v>
      </c>
      <c r="AP155" s="2">
        <f t="shared" si="192"/>
        <v>96483</v>
      </c>
      <c r="AQ155" s="2">
        <f t="shared" si="193"/>
        <v>434606</v>
      </c>
      <c r="AR155" s="4">
        <f t="shared" si="194"/>
        <v>10622</v>
      </c>
      <c r="AS155" s="5">
        <f t="shared" si="195"/>
        <v>107105</v>
      </c>
      <c r="AT155" s="2">
        <f t="shared" si="196"/>
        <v>423984</v>
      </c>
    </row>
    <row r="156" spans="1:46" x14ac:dyDescent="0.2">
      <c r="A156" s="5" t="s">
        <v>202</v>
      </c>
      <c r="B156" s="5">
        <v>2010</v>
      </c>
      <c r="C156" s="5">
        <v>-39215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>
        <v>-19608</v>
      </c>
      <c r="X156" s="5"/>
      <c r="Y156" s="5">
        <f t="shared" si="175"/>
        <v>-19608</v>
      </c>
      <c r="Z156" s="5"/>
      <c r="AA156" s="5">
        <f t="shared" si="177"/>
        <v>-19608</v>
      </c>
      <c r="AB156" s="5">
        <f t="shared" si="178"/>
        <v>0</v>
      </c>
      <c r="AC156" s="5">
        <f t="shared" si="179"/>
        <v>-19608</v>
      </c>
      <c r="AD156" s="5">
        <f t="shared" si="180"/>
        <v>0</v>
      </c>
      <c r="AE156" s="5">
        <f t="shared" si="181"/>
        <v>-19608</v>
      </c>
      <c r="AF156" s="5">
        <f t="shared" si="182"/>
        <v>0</v>
      </c>
      <c r="AG156" s="5">
        <f t="shared" si="183"/>
        <v>-19608</v>
      </c>
      <c r="AH156" s="5">
        <f t="shared" si="184"/>
        <v>0</v>
      </c>
      <c r="AI156" s="5">
        <f t="shared" si="185"/>
        <v>-19608</v>
      </c>
      <c r="AJ156" s="5">
        <f t="shared" si="186"/>
        <v>0</v>
      </c>
      <c r="AK156" s="5">
        <f t="shared" si="187"/>
        <v>-19608</v>
      </c>
      <c r="AL156" s="5">
        <f t="shared" si="188"/>
        <v>0</v>
      </c>
      <c r="AM156" s="5">
        <f t="shared" si="189"/>
        <v>-19608</v>
      </c>
      <c r="AN156" s="5">
        <f t="shared" si="190"/>
        <v>-19607</v>
      </c>
      <c r="AO156" s="4">
        <f t="shared" si="191"/>
        <v>0</v>
      </c>
      <c r="AP156" s="2">
        <f t="shared" si="192"/>
        <v>-19608</v>
      </c>
      <c r="AQ156" s="2">
        <f t="shared" si="193"/>
        <v>-19607</v>
      </c>
      <c r="AR156" s="4">
        <f t="shared" si="194"/>
        <v>0</v>
      </c>
      <c r="AS156" s="5">
        <f t="shared" si="195"/>
        <v>-19608</v>
      </c>
      <c r="AT156" s="2">
        <f t="shared" si="196"/>
        <v>-19607</v>
      </c>
    </row>
    <row r="157" spans="1:46" x14ac:dyDescent="0.2">
      <c r="A157" s="1" t="s">
        <v>203</v>
      </c>
      <c r="B157" s="1" t="s">
        <v>204</v>
      </c>
      <c r="C157" s="2">
        <v>2776.8</v>
      </c>
      <c r="D157" s="1" t="s">
        <v>61</v>
      </c>
      <c r="E157" s="2">
        <v>50</v>
      </c>
      <c r="W157" s="2">
        <f>U157+V157</f>
        <v>0</v>
      </c>
      <c r="X157" s="2">
        <f>2777/50/2</f>
        <v>27.77</v>
      </c>
      <c r="Y157" s="2">
        <f t="shared" si="175"/>
        <v>27.77</v>
      </c>
      <c r="Z157" s="2">
        <f>2777/50</f>
        <v>55.54</v>
      </c>
      <c r="AA157" s="2">
        <f t="shared" si="177"/>
        <v>83.31</v>
      </c>
      <c r="AB157" s="2">
        <f t="shared" si="178"/>
        <v>55.54</v>
      </c>
      <c r="AC157" s="2">
        <f t="shared" si="179"/>
        <v>138.85</v>
      </c>
      <c r="AD157" s="2">
        <f t="shared" si="180"/>
        <v>55.54</v>
      </c>
      <c r="AE157" s="2">
        <f t="shared" si="181"/>
        <v>194.39</v>
      </c>
      <c r="AF157" s="2">
        <f t="shared" si="182"/>
        <v>55.54</v>
      </c>
      <c r="AG157" s="2">
        <f t="shared" si="183"/>
        <v>249.92999999999998</v>
      </c>
      <c r="AH157" s="2">
        <f t="shared" si="184"/>
        <v>55.54</v>
      </c>
      <c r="AI157" s="2">
        <f t="shared" si="185"/>
        <v>305.46999999999997</v>
      </c>
      <c r="AJ157" s="2">
        <f t="shared" si="186"/>
        <v>55.54</v>
      </c>
      <c r="AK157" s="2">
        <f t="shared" si="187"/>
        <v>361.01</v>
      </c>
      <c r="AL157" s="2">
        <f t="shared" si="188"/>
        <v>55.54</v>
      </c>
      <c r="AM157" s="3">
        <f t="shared" si="189"/>
        <v>416.55</v>
      </c>
      <c r="AN157" s="2">
        <f t="shared" si="190"/>
        <v>2360.25</v>
      </c>
      <c r="AO157" s="4">
        <f t="shared" si="191"/>
        <v>55.54</v>
      </c>
      <c r="AP157" s="2">
        <f t="shared" si="192"/>
        <v>472.09000000000003</v>
      </c>
      <c r="AQ157" s="2">
        <f t="shared" si="193"/>
        <v>2304.71</v>
      </c>
      <c r="AR157" s="4">
        <f t="shared" si="194"/>
        <v>55.54</v>
      </c>
      <c r="AS157" s="5">
        <f t="shared" si="195"/>
        <v>527.63</v>
      </c>
      <c r="AT157" s="2">
        <f t="shared" si="196"/>
        <v>2249.17</v>
      </c>
    </row>
    <row r="158" spans="1:46" x14ac:dyDescent="0.2">
      <c r="A158" s="1" t="s">
        <v>205</v>
      </c>
      <c r="B158" s="1" t="s">
        <v>206</v>
      </c>
      <c r="C158" s="2">
        <v>24163</v>
      </c>
      <c r="D158" s="1" t="s">
        <v>61</v>
      </c>
      <c r="E158" s="2">
        <v>50</v>
      </c>
      <c r="Y158" s="2">
        <f t="shared" si="175"/>
        <v>0</v>
      </c>
      <c r="Z158" s="2">
        <v>242</v>
      </c>
      <c r="AA158" s="2">
        <v>242</v>
      </c>
      <c r="AB158" s="2">
        <f>24163/50</f>
        <v>483.26</v>
      </c>
      <c r="AC158" s="2">
        <f t="shared" si="179"/>
        <v>725.26</v>
      </c>
      <c r="AD158" s="2">
        <f t="shared" si="180"/>
        <v>483.26</v>
      </c>
      <c r="AE158" s="2">
        <f t="shared" si="181"/>
        <v>1208.52</v>
      </c>
      <c r="AF158" s="2">
        <f t="shared" si="182"/>
        <v>483.26</v>
      </c>
      <c r="AG158" s="2">
        <f t="shared" si="183"/>
        <v>1691.78</v>
      </c>
      <c r="AH158" s="2">
        <f t="shared" si="184"/>
        <v>483.26</v>
      </c>
      <c r="AI158" s="2">
        <f t="shared" si="185"/>
        <v>2175.04</v>
      </c>
      <c r="AJ158" s="2">
        <f t="shared" si="186"/>
        <v>483.26</v>
      </c>
      <c r="AK158" s="2">
        <f t="shared" si="187"/>
        <v>2658.3</v>
      </c>
      <c r="AL158" s="2">
        <f t="shared" si="188"/>
        <v>483.26</v>
      </c>
      <c r="AM158" s="3">
        <f t="shared" si="189"/>
        <v>3141.5600000000004</v>
      </c>
      <c r="AN158" s="2">
        <f t="shared" si="190"/>
        <v>21021.439999999999</v>
      </c>
      <c r="AO158" s="4">
        <f t="shared" si="191"/>
        <v>483.26</v>
      </c>
      <c r="AP158" s="2">
        <f t="shared" si="192"/>
        <v>3624.8200000000006</v>
      </c>
      <c r="AQ158" s="2">
        <f t="shared" si="193"/>
        <v>20538.18</v>
      </c>
      <c r="AR158" s="4">
        <f t="shared" si="194"/>
        <v>483.26</v>
      </c>
      <c r="AS158" s="5">
        <f t="shared" si="195"/>
        <v>4108.0800000000008</v>
      </c>
      <c r="AT158" s="2">
        <f t="shared" si="196"/>
        <v>20054.919999999998</v>
      </c>
    </row>
    <row r="159" spans="1:46" x14ac:dyDescent="0.2">
      <c r="A159" s="1" t="s">
        <v>207</v>
      </c>
      <c r="B159" s="1" t="s">
        <v>208</v>
      </c>
      <c r="C159" s="2">
        <v>6434</v>
      </c>
      <c r="D159" s="1" t="s">
        <v>61</v>
      </c>
      <c r="E159" s="2">
        <v>50</v>
      </c>
      <c r="AB159" s="2">
        <v>257</v>
      </c>
      <c r="AC159" s="2">
        <v>257</v>
      </c>
      <c r="AD159" s="2">
        <f>6434/50</f>
        <v>128.68</v>
      </c>
      <c r="AE159" s="2">
        <f t="shared" si="181"/>
        <v>385.68</v>
      </c>
      <c r="AF159" s="2">
        <f t="shared" si="182"/>
        <v>128.68</v>
      </c>
      <c r="AG159" s="2">
        <f t="shared" si="183"/>
        <v>514.36</v>
      </c>
      <c r="AH159" s="2">
        <f t="shared" si="184"/>
        <v>128.68</v>
      </c>
      <c r="AI159" s="2">
        <f t="shared" si="185"/>
        <v>643.04</v>
      </c>
      <c r="AJ159" s="2">
        <f t="shared" si="186"/>
        <v>128.68</v>
      </c>
      <c r="AK159" s="2">
        <f t="shared" si="187"/>
        <v>771.72</v>
      </c>
      <c r="AL159" s="2">
        <f t="shared" si="188"/>
        <v>128.68</v>
      </c>
      <c r="AM159" s="3">
        <f t="shared" si="189"/>
        <v>900.40000000000009</v>
      </c>
      <c r="AN159" s="2">
        <f t="shared" si="190"/>
        <v>5533.6</v>
      </c>
      <c r="AO159" s="4">
        <f t="shared" si="191"/>
        <v>128.68</v>
      </c>
      <c r="AP159" s="2">
        <f t="shared" si="192"/>
        <v>1029.0800000000002</v>
      </c>
      <c r="AQ159" s="2">
        <f t="shared" si="193"/>
        <v>5404.92</v>
      </c>
      <c r="AR159" s="4">
        <f t="shared" si="194"/>
        <v>128.68</v>
      </c>
      <c r="AS159" s="5">
        <f t="shared" si="195"/>
        <v>1157.7600000000002</v>
      </c>
      <c r="AT159" s="2">
        <f t="shared" si="196"/>
        <v>5276.24</v>
      </c>
    </row>
    <row r="160" spans="1:46" x14ac:dyDescent="0.2">
      <c r="A160" s="1" t="s">
        <v>209</v>
      </c>
      <c r="B160" s="1" t="s">
        <v>102</v>
      </c>
      <c r="C160" s="2">
        <v>2816</v>
      </c>
      <c r="D160" s="1" t="s">
        <v>61</v>
      </c>
      <c r="E160" s="2">
        <v>50</v>
      </c>
      <c r="AD160" s="2">
        <f>2816/50/2</f>
        <v>28.16</v>
      </c>
      <c r="AE160" s="2">
        <f t="shared" si="181"/>
        <v>28.16</v>
      </c>
      <c r="AF160" s="2">
        <f>2816/50</f>
        <v>56.32</v>
      </c>
      <c r="AG160" s="2">
        <f t="shared" si="183"/>
        <v>84.48</v>
      </c>
      <c r="AH160" s="2">
        <f t="shared" si="184"/>
        <v>56.32</v>
      </c>
      <c r="AI160" s="2">
        <f t="shared" si="185"/>
        <v>140.80000000000001</v>
      </c>
      <c r="AJ160" s="2">
        <f t="shared" si="186"/>
        <v>56.32</v>
      </c>
      <c r="AK160" s="2">
        <f t="shared" si="187"/>
        <v>197.12</v>
      </c>
      <c r="AL160" s="2">
        <f t="shared" si="188"/>
        <v>56.32</v>
      </c>
      <c r="AM160" s="3">
        <f t="shared" si="189"/>
        <v>253.44</v>
      </c>
      <c r="AN160" s="2">
        <f t="shared" si="190"/>
        <v>2562.56</v>
      </c>
      <c r="AO160" s="4">
        <f t="shared" si="191"/>
        <v>56.32</v>
      </c>
      <c r="AP160" s="2">
        <f t="shared" si="192"/>
        <v>309.76</v>
      </c>
      <c r="AQ160" s="2">
        <f t="shared" si="193"/>
        <v>2506.2399999999998</v>
      </c>
      <c r="AR160" s="4">
        <f t="shared" si="194"/>
        <v>56.32</v>
      </c>
      <c r="AS160" s="5">
        <f t="shared" si="195"/>
        <v>366.08</v>
      </c>
      <c r="AT160" s="2">
        <f t="shared" si="196"/>
        <v>2449.92</v>
      </c>
    </row>
    <row r="161" spans="1:46" x14ac:dyDescent="0.2">
      <c r="A161" s="1" t="s">
        <v>192</v>
      </c>
      <c r="B161" s="1" t="s">
        <v>210</v>
      </c>
      <c r="C161" s="2">
        <v>120245</v>
      </c>
      <c r="D161" s="1" t="s">
        <v>61</v>
      </c>
      <c r="E161" s="2">
        <v>10</v>
      </c>
      <c r="AD161" s="2">
        <f>120245/10/12*9</f>
        <v>9018.375</v>
      </c>
      <c r="AE161" s="2">
        <f t="shared" si="181"/>
        <v>9018.375</v>
      </c>
      <c r="AF161" s="2">
        <f>120245/10</f>
        <v>12024.5</v>
      </c>
      <c r="AG161" s="2">
        <f t="shared" si="183"/>
        <v>21042.875</v>
      </c>
      <c r="AH161" s="2">
        <f t="shared" si="184"/>
        <v>12024.5</v>
      </c>
      <c r="AI161" s="2">
        <f t="shared" si="185"/>
        <v>33067.375</v>
      </c>
      <c r="AJ161" s="2">
        <f t="shared" si="186"/>
        <v>12024.5</v>
      </c>
      <c r="AK161" s="2">
        <f t="shared" si="187"/>
        <v>45091.875</v>
      </c>
      <c r="AL161" s="2">
        <f t="shared" si="188"/>
        <v>12024.5</v>
      </c>
      <c r="AM161" s="3">
        <f t="shared" si="189"/>
        <v>57116.375</v>
      </c>
      <c r="AN161" s="2">
        <f t="shared" si="190"/>
        <v>63128.625</v>
      </c>
      <c r="AO161" s="4">
        <f t="shared" si="191"/>
        <v>12024.5</v>
      </c>
      <c r="AP161" s="2">
        <f t="shared" si="192"/>
        <v>69140.875</v>
      </c>
      <c r="AQ161" s="2">
        <f t="shared" si="193"/>
        <v>51104.125</v>
      </c>
      <c r="AR161" s="4">
        <f t="shared" si="194"/>
        <v>12024.5</v>
      </c>
      <c r="AS161" s="5">
        <f t="shared" si="195"/>
        <v>81165.375</v>
      </c>
      <c r="AT161" s="2">
        <f t="shared" si="196"/>
        <v>39079.625</v>
      </c>
    </row>
    <row r="162" spans="1:46" x14ac:dyDescent="0.2">
      <c r="A162" s="1" t="s">
        <v>211</v>
      </c>
      <c r="B162" s="1" t="s">
        <v>212</v>
      </c>
      <c r="C162" s="2">
        <v>5756</v>
      </c>
      <c r="D162" s="1" t="s">
        <v>61</v>
      </c>
      <c r="E162" s="2">
        <v>50</v>
      </c>
      <c r="AF162" s="2">
        <f>5756/50/2</f>
        <v>57.56</v>
      </c>
      <c r="AG162" s="2">
        <f t="shared" si="183"/>
        <v>57.56</v>
      </c>
      <c r="AH162" s="2">
        <f>5756/50</f>
        <v>115.12</v>
      </c>
      <c r="AI162" s="2">
        <f t="shared" si="185"/>
        <v>172.68</v>
      </c>
      <c r="AJ162" s="2">
        <f t="shared" si="186"/>
        <v>115.12</v>
      </c>
      <c r="AK162" s="2">
        <f t="shared" si="187"/>
        <v>287.8</v>
      </c>
      <c r="AL162" s="2">
        <f t="shared" si="188"/>
        <v>115.12</v>
      </c>
      <c r="AM162" s="3">
        <f t="shared" si="189"/>
        <v>402.92</v>
      </c>
      <c r="AN162" s="2">
        <f t="shared" si="190"/>
        <v>5353.08</v>
      </c>
      <c r="AO162" s="4">
        <f t="shared" si="191"/>
        <v>115.12</v>
      </c>
      <c r="AP162" s="2">
        <f t="shared" si="192"/>
        <v>518.04</v>
      </c>
      <c r="AQ162" s="2">
        <f t="shared" si="193"/>
        <v>5237.96</v>
      </c>
      <c r="AR162" s="4">
        <f t="shared" si="194"/>
        <v>115.12</v>
      </c>
      <c r="AS162" s="5">
        <f t="shared" si="195"/>
        <v>633.16</v>
      </c>
      <c r="AT162" s="2">
        <f t="shared" si="196"/>
        <v>5122.84</v>
      </c>
    </row>
    <row r="163" spans="1:46" x14ac:dyDescent="0.2">
      <c r="A163" s="1" t="s">
        <v>213</v>
      </c>
      <c r="B163" s="1" t="s">
        <v>214</v>
      </c>
      <c r="C163" s="2">
        <v>22007</v>
      </c>
      <c r="D163" s="1" t="s">
        <v>61</v>
      </c>
      <c r="E163" s="2">
        <v>50</v>
      </c>
      <c r="AH163" s="2">
        <f>22007/50/2</f>
        <v>220.07</v>
      </c>
      <c r="AI163" s="2">
        <v>220.07</v>
      </c>
      <c r="AJ163" s="2">
        <f>22007/50</f>
        <v>440.14</v>
      </c>
      <c r="AK163" s="2">
        <f t="shared" si="187"/>
        <v>660.21</v>
      </c>
      <c r="AL163" s="2">
        <f>22007/50</f>
        <v>440.14</v>
      </c>
      <c r="AM163" s="3">
        <f t="shared" si="189"/>
        <v>1100.3499999999999</v>
      </c>
      <c r="AN163" s="2">
        <f t="shared" si="190"/>
        <v>20906.650000000001</v>
      </c>
      <c r="AO163" s="4">
        <f t="shared" si="191"/>
        <v>440.14</v>
      </c>
      <c r="AP163" s="2">
        <f t="shared" si="192"/>
        <v>1540.4899999999998</v>
      </c>
      <c r="AQ163" s="2">
        <f t="shared" si="193"/>
        <v>20466.510000000002</v>
      </c>
      <c r="AR163" s="4">
        <f t="shared" si="194"/>
        <v>440.14</v>
      </c>
      <c r="AS163" s="5">
        <f t="shared" si="195"/>
        <v>1980.6299999999997</v>
      </c>
      <c r="AT163" s="2">
        <f t="shared" si="196"/>
        <v>20026.37</v>
      </c>
    </row>
    <row r="164" spans="1:46" x14ac:dyDescent="0.2">
      <c r="A164" s="5" t="s">
        <v>215</v>
      </c>
      <c r="B164" s="5" t="s">
        <v>216</v>
      </c>
      <c r="C164" s="5">
        <v>-186555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>
        <v>-48971</v>
      </c>
      <c r="AL164" s="5"/>
      <c r="AM164" s="5">
        <v>-48971</v>
      </c>
      <c r="AN164" s="5">
        <f t="shared" si="190"/>
        <v>-137584</v>
      </c>
      <c r="AO164" s="4">
        <f t="shared" si="191"/>
        <v>0</v>
      </c>
      <c r="AP164" s="2">
        <f t="shared" si="192"/>
        <v>-48971</v>
      </c>
      <c r="AQ164" s="2">
        <f t="shared" si="193"/>
        <v>-137584</v>
      </c>
      <c r="AR164" s="4">
        <f t="shared" si="194"/>
        <v>0</v>
      </c>
      <c r="AS164" s="5">
        <f t="shared" si="195"/>
        <v>-48971</v>
      </c>
      <c r="AT164" s="2">
        <f t="shared" si="196"/>
        <v>-137584</v>
      </c>
    </row>
    <row r="165" spans="1:46" x14ac:dyDescent="0.2">
      <c r="A165" s="1" t="s">
        <v>217</v>
      </c>
      <c r="B165" s="1" t="s">
        <v>218</v>
      </c>
      <c r="C165" s="2">
        <v>31101</v>
      </c>
      <c r="D165" s="1" t="s">
        <v>61</v>
      </c>
      <c r="E165" s="2">
        <v>50</v>
      </c>
      <c r="AJ165" s="2">
        <v>311</v>
      </c>
      <c r="AK165" s="2">
        <f>SUM(AI165:AJ165)</f>
        <v>311</v>
      </c>
      <c r="AL165" s="2">
        <f>31101/50</f>
        <v>622.02</v>
      </c>
      <c r="AM165" s="3">
        <f>SUM(AK165:AL165)</f>
        <v>933.02</v>
      </c>
      <c r="AN165" s="2">
        <f t="shared" si="190"/>
        <v>30167.98</v>
      </c>
      <c r="AO165" s="4">
        <f t="shared" si="191"/>
        <v>622.02</v>
      </c>
      <c r="AP165" s="2">
        <f t="shared" si="192"/>
        <v>1555.04</v>
      </c>
      <c r="AQ165" s="2">
        <f t="shared" si="193"/>
        <v>29545.96</v>
      </c>
      <c r="AR165" s="4">
        <f t="shared" si="194"/>
        <v>622.02</v>
      </c>
      <c r="AS165" s="5">
        <f t="shared" si="195"/>
        <v>2177.06</v>
      </c>
      <c r="AT165" s="2">
        <f t="shared" si="196"/>
        <v>28923.94</v>
      </c>
    </row>
    <row r="166" spans="1:46" x14ac:dyDescent="0.2">
      <c r="A166" s="1" t="s">
        <v>219</v>
      </c>
      <c r="B166" s="1" t="s">
        <v>216</v>
      </c>
      <c r="C166" s="2">
        <v>564886</v>
      </c>
      <c r="D166" s="1" t="s">
        <v>61</v>
      </c>
      <c r="E166" s="2">
        <v>50</v>
      </c>
      <c r="AJ166" s="2">
        <v>2824</v>
      </c>
      <c r="AK166" s="2">
        <f>SUM(AI166:AJ166)</f>
        <v>2824</v>
      </c>
      <c r="AL166" s="2">
        <f>564886/50</f>
        <v>11297.72</v>
      </c>
      <c r="AM166" s="3">
        <f>SUM(AK166:AL166)</f>
        <v>14121.72</v>
      </c>
      <c r="AN166" s="2">
        <f t="shared" si="190"/>
        <v>550764.28</v>
      </c>
      <c r="AO166" s="4">
        <f t="shared" si="191"/>
        <v>11297.72</v>
      </c>
      <c r="AP166" s="2">
        <f t="shared" si="192"/>
        <v>25419.439999999999</v>
      </c>
      <c r="AQ166" s="2">
        <f t="shared" si="193"/>
        <v>539466.56000000006</v>
      </c>
      <c r="AR166" s="4">
        <f t="shared" si="194"/>
        <v>11297.72</v>
      </c>
      <c r="AS166" s="5">
        <f t="shared" si="195"/>
        <v>36717.159999999996</v>
      </c>
      <c r="AT166" s="2">
        <f t="shared" si="196"/>
        <v>528168.84</v>
      </c>
    </row>
    <row r="167" spans="1:46" x14ac:dyDescent="0.2">
      <c r="A167" s="1" t="s">
        <v>220</v>
      </c>
      <c r="B167" s="1" t="s">
        <v>221</v>
      </c>
      <c r="C167" s="2">
        <v>13613</v>
      </c>
      <c r="D167" s="1" t="s">
        <v>61</v>
      </c>
      <c r="E167" s="2">
        <v>50</v>
      </c>
      <c r="AL167" s="2">
        <v>136.13</v>
      </c>
      <c r="AM167" s="3">
        <f>SUM(AK167:AL167)</f>
        <v>136.13</v>
      </c>
      <c r="AN167" s="2">
        <f t="shared" si="190"/>
        <v>13476.87</v>
      </c>
      <c r="AO167" s="4">
        <f>13613/50</f>
        <v>272.26</v>
      </c>
      <c r="AP167" s="2">
        <f t="shared" si="192"/>
        <v>408.39</v>
      </c>
      <c r="AQ167" s="2">
        <f t="shared" si="193"/>
        <v>13204.61</v>
      </c>
      <c r="AR167" s="4">
        <f t="shared" si="194"/>
        <v>272.26</v>
      </c>
      <c r="AS167" s="5">
        <f t="shared" si="195"/>
        <v>680.65</v>
      </c>
      <c r="AT167" s="2">
        <f t="shared" si="196"/>
        <v>12932.35</v>
      </c>
    </row>
    <row r="168" spans="1:46" x14ac:dyDescent="0.2">
      <c r="A168" s="3" t="s">
        <v>222</v>
      </c>
      <c r="B168" s="1" t="s">
        <v>223</v>
      </c>
      <c r="C168" s="2">
        <v>15649</v>
      </c>
      <c r="D168" s="1" t="s">
        <v>61</v>
      </c>
      <c r="E168" s="2">
        <v>50</v>
      </c>
      <c r="AM168" s="3"/>
      <c r="AN168" s="2">
        <v>15649</v>
      </c>
      <c r="AO168" s="4">
        <f>15649/50/12*6</f>
        <v>156.49</v>
      </c>
      <c r="AP168" s="2">
        <f t="shared" si="192"/>
        <v>156.49</v>
      </c>
      <c r="AQ168" s="2">
        <f t="shared" si="193"/>
        <v>15492.51</v>
      </c>
      <c r="AR168" s="4">
        <f>15649/50</f>
        <v>312.98</v>
      </c>
      <c r="AS168" s="5">
        <f t="shared" si="195"/>
        <v>469.47</v>
      </c>
      <c r="AT168" s="2">
        <f t="shared" si="196"/>
        <v>15179.53</v>
      </c>
    </row>
    <row r="169" spans="1:46" x14ac:dyDescent="0.2">
      <c r="A169" s="1" t="s">
        <v>224</v>
      </c>
      <c r="B169" s="1" t="s">
        <v>225</v>
      </c>
      <c r="C169" s="2">
        <v>32607</v>
      </c>
      <c r="D169" s="1" t="s">
        <v>61</v>
      </c>
      <c r="E169" s="2">
        <v>50</v>
      </c>
      <c r="AM169" s="3"/>
      <c r="AO169" s="4"/>
      <c r="AP169" s="2">
        <f t="shared" si="192"/>
        <v>0</v>
      </c>
      <c r="AQ169" s="2">
        <v>32607</v>
      </c>
      <c r="AR169" s="4">
        <f>32607/50/2</f>
        <v>326.07</v>
      </c>
      <c r="AS169" s="5">
        <f t="shared" si="195"/>
        <v>326.07</v>
      </c>
      <c r="AT169" s="2">
        <f t="shared" si="196"/>
        <v>32280.93</v>
      </c>
    </row>
    <row r="170" spans="1:46" x14ac:dyDescent="0.2">
      <c r="C170" s="5">
        <f>SUM(C124:C169)</f>
        <v>14300661.5</v>
      </c>
      <c r="G170" s="5">
        <f t="shared" ref="G170:Q170" si="199">SUM(G124:G146)</f>
        <v>1257928</v>
      </c>
      <c r="H170" s="5">
        <f t="shared" si="199"/>
        <v>88633</v>
      </c>
      <c r="I170" s="5">
        <f t="shared" si="199"/>
        <v>1346561</v>
      </c>
      <c r="J170" s="5">
        <f t="shared" si="199"/>
        <v>115947.91249999999</v>
      </c>
      <c r="K170" s="5">
        <f t="shared" si="199"/>
        <v>1462508.9124999999</v>
      </c>
      <c r="L170" s="5">
        <f t="shared" si="199"/>
        <v>134450.33749999997</v>
      </c>
      <c r="M170" s="5">
        <f t="shared" si="199"/>
        <v>1596959.2499999998</v>
      </c>
      <c r="N170" s="5">
        <f t="shared" si="199"/>
        <v>157680.09374999994</v>
      </c>
      <c r="O170" s="5">
        <f t="shared" si="199"/>
        <v>1754639.075</v>
      </c>
      <c r="P170" s="5">
        <f t="shared" si="199"/>
        <v>250389.99999999997</v>
      </c>
      <c r="Q170" s="5">
        <f t="shared" si="199"/>
        <v>2005029.075</v>
      </c>
      <c r="R170" s="5">
        <f>SUM(R124:R147)</f>
        <v>266131.33749999997</v>
      </c>
      <c r="S170" s="5">
        <f>Q170+R170</f>
        <v>2271160.4125000001</v>
      </c>
      <c r="T170" s="5">
        <f>SUM(T124:T148)</f>
        <v>266641.02499999997</v>
      </c>
      <c r="U170" s="5">
        <f>S170+T170</f>
        <v>2537801.4375</v>
      </c>
      <c r="V170" s="5">
        <f>SUM(V124:V158)</f>
        <v>297911.92499999999</v>
      </c>
      <c r="W170" s="5">
        <v>2818721</v>
      </c>
      <c r="X170" s="5">
        <f>SUM(X123:X158)</f>
        <v>355158.69500000001</v>
      </c>
      <c r="Y170" s="5">
        <f>SUM(Y123:Y158)</f>
        <v>3173878.1699999995</v>
      </c>
      <c r="Z170" s="5">
        <f>SUM(Z124:Z158)</f>
        <v>355428.46499999997</v>
      </c>
      <c r="AA170" s="5">
        <f>SUM(AA124:AA158)</f>
        <v>3529306.6350000007</v>
      </c>
      <c r="AB170" s="5">
        <f>SUM(AB123:AB159)</f>
        <v>355926.72499999998</v>
      </c>
      <c r="AC170" s="5">
        <f>SUM(AA170:AB170)</f>
        <v>3885233.3600000008</v>
      </c>
      <c r="AD170" s="2">
        <f>SUM(AD124:AD161)</f>
        <v>364844.93999999994</v>
      </c>
      <c r="AE170" s="2">
        <f>SUM(AE124:AE161)</f>
        <v>4250078.2999999989</v>
      </c>
      <c r="AF170" s="2">
        <f>SUM(AF124:AF166)</f>
        <v>367936.78499999997</v>
      </c>
      <c r="AG170" s="2">
        <f>SUM(AG124:AG166)</f>
        <v>4618015.085</v>
      </c>
      <c r="AH170" s="2">
        <f>SUM(AH124:AH163)</f>
        <v>368214.41499999998</v>
      </c>
      <c r="AI170" s="2">
        <f>SUM(AI124:AI163)</f>
        <v>4986229.4999999981</v>
      </c>
      <c r="AJ170" s="5">
        <f>SUM(AJ124:AJ167)</f>
        <v>371569.48499999999</v>
      </c>
      <c r="AK170" s="5">
        <f>SUM(AK124:AK167)</f>
        <v>5308827.9849999994</v>
      </c>
      <c r="AL170" s="5">
        <f>SUM(AL124:AL167)</f>
        <v>380490.35499999998</v>
      </c>
      <c r="AM170" s="5">
        <f>SUM(AM124:AM167)</f>
        <v>5689318.3399999961</v>
      </c>
      <c r="AN170" s="5">
        <f>SUM(AN124:AN167)</f>
        <v>8563087.1600000001</v>
      </c>
      <c r="AO170" s="6">
        <f>SUM(AO124:AO169)</f>
        <v>380782.97499999998</v>
      </c>
      <c r="AP170" s="5">
        <f>SUM(AP124:AP169)</f>
        <v>6070101.3149999995</v>
      </c>
      <c r="AQ170" s="5">
        <f>SUM(AQ124:AQ169)</f>
        <v>8230560.1850000015</v>
      </c>
      <c r="AR170" s="5">
        <f>SUM(AR124:AR169)</f>
        <v>381265.53499999997</v>
      </c>
      <c r="AS170" s="5">
        <f>SUM(AS124:AS169)</f>
        <v>6451366.8499999987</v>
      </c>
      <c r="AT170" s="5">
        <f>SUM(AT124:AT167)</f>
        <v>7801834.1900000013</v>
      </c>
    </row>
    <row r="171" spans="1:46" x14ac:dyDescent="0.2">
      <c r="G171" s="5"/>
      <c r="H171" s="5"/>
      <c r="I171" s="5"/>
      <c r="P171" s="5"/>
      <c r="Q171" s="5"/>
      <c r="AM171" s="3"/>
      <c r="AO171" s="4"/>
      <c r="AR171" s="4"/>
      <c r="AS171" s="5"/>
    </row>
    <row r="172" spans="1:46" x14ac:dyDescent="0.2">
      <c r="A172" s="1" t="s">
        <v>226</v>
      </c>
      <c r="G172" s="5"/>
      <c r="H172" s="5"/>
      <c r="I172" s="5"/>
      <c r="AM172" s="3"/>
      <c r="AO172" s="4"/>
      <c r="AR172" s="4"/>
      <c r="AS172" s="5"/>
    </row>
    <row r="173" spans="1:46" x14ac:dyDescent="0.2">
      <c r="AM173" s="3"/>
      <c r="AO173" s="4"/>
      <c r="AR173" s="4"/>
      <c r="AS173" s="5"/>
    </row>
    <row r="174" spans="1:46" x14ac:dyDescent="0.2">
      <c r="A174" s="1" t="s">
        <v>227</v>
      </c>
      <c r="AM174" s="3"/>
      <c r="AO174" s="4"/>
      <c r="AR174" s="4"/>
      <c r="AS174" s="5"/>
    </row>
    <row r="175" spans="1:46" x14ac:dyDescent="0.2">
      <c r="AM175" s="3"/>
      <c r="AO175" s="4"/>
      <c r="AR175" s="4"/>
      <c r="AS175" s="5"/>
    </row>
    <row r="176" spans="1:46" x14ac:dyDescent="0.2">
      <c r="A176" s="1" t="s">
        <v>227</v>
      </c>
      <c r="B176" s="1" t="s">
        <v>60</v>
      </c>
      <c r="C176" s="2">
        <v>749854</v>
      </c>
      <c r="D176" s="1" t="s">
        <v>61</v>
      </c>
      <c r="E176" s="2">
        <v>40</v>
      </c>
      <c r="G176" s="2">
        <v>394730</v>
      </c>
      <c r="H176" s="2">
        <v>18746</v>
      </c>
      <c r="I176" s="2">
        <f t="shared" ref="I176:I188" si="200">SUM(G176:H176)</f>
        <v>413476</v>
      </c>
      <c r="J176" s="2">
        <f t="shared" ref="J176:J188" si="201">H176</f>
        <v>18746</v>
      </c>
      <c r="K176" s="2">
        <f t="shared" ref="K176:K189" si="202">I176+J176</f>
        <v>432222</v>
      </c>
      <c r="L176" s="2">
        <f t="shared" ref="L176:L188" si="203">J176</f>
        <v>18746</v>
      </c>
      <c r="M176" s="2">
        <f t="shared" ref="M176:M190" si="204">K176+L176</f>
        <v>450968</v>
      </c>
      <c r="N176" s="2">
        <f t="shared" ref="N176:N189" si="205">L176</f>
        <v>18746</v>
      </c>
      <c r="O176" s="2">
        <f t="shared" ref="O176:O190" si="206">M176+N176</f>
        <v>469714</v>
      </c>
      <c r="P176" s="2">
        <f t="shared" ref="P176:P192" si="207">C176/E176</f>
        <v>18746.349999999999</v>
      </c>
      <c r="Q176" s="2">
        <f t="shared" ref="Q176:Q193" si="208">O176+P176</f>
        <v>488460.35</v>
      </c>
      <c r="R176" s="2">
        <f t="shared" ref="R176:R193" si="209">SUM(C176/E176)</f>
        <v>18746.349999999999</v>
      </c>
      <c r="S176" s="2">
        <f t="shared" ref="S176:S194" si="210">Q176+R176</f>
        <v>507206.69999999995</v>
      </c>
      <c r="T176" s="2">
        <f t="shared" ref="T176:T193" si="211">R176</f>
        <v>18746.349999999999</v>
      </c>
      <c r="U176" s="2">
        <f t="shared" ref="U176:U195" si="212">S176+T176</f>
        <v>525953.04999999993</v>
      </c>
      <c r="V176" s="2">
        <f t="shared" ref="V176:V194" si="213">T176</f>
        <v>18746.349999999999</v>
      </c>
      <c r="W176" s="2">
        <f t="shared" ref="W176:W196" si="214">U176+V176</f>
        <v>544699.39999999991</v>
      </c>
      <c r="X176" s="2">
        <f t="shared" ref="X176:X195" si="215">V176</f>
        <v>18746.349999999999</v>
      </c>
      <c r="Y176" s="2">
        <f t="shared" ref="Y176:Y198" si="216">SUM(W176:X176)</f>
        <v>563445.74999999988</v>
      </c>
      <c r="Z176" s="2">
        <f t="shared" ref="Z176:Z196" si="217">X176</f>
        <v>18746.349999999999</v>
      </c>
      <c r="AA176" s="2">
        <f t="shared" ref="AA176:AA197" si="218">SUM(Y176:Z176)</f>
        <v>582192.09999999986</v>
      </c>
      <c r="AB176" s="2">
        <f t="shared" ref="AB176:AB197" si="219">Z176</f>
        <v>18746.349999999999</v>
      </c>
      <c r="AC176" s="2">
        <f t="shared" ref="AC176:AC198" si="220">SUM(AA176:AB176)</f>
        <v>600938.44999999984</v>
      </c>
      <c r="AD176" s="2">
        <f t="shared" ref="AD176:AD198" si="221">AB176</f>
        <v>18746.349999999999</v>
      </c>
      <c r="AE176" s="2">
        <f t="shared" ref="AE176:AE200" si="222">AC176+AD176</f>
        <v>619684.79999999981</v>
      </c>
      <c r="AF176" s="2">
        <f t="shared" ref="AF176:AF199" si="223">AD176</f>
        <v>18746.349999999999</v>
      </c>
      <c r="AG176" s="2">
        <f t="shared" ref="AG176:AG201" si="224">AE176+AF176</f>
        <v>638431.14999999979</v>
      </c>
      <c r="AH176" s="2">
        <f t="shared" ref="AH176:AH200" si="225">AF176</f>
        <v>18746.349999999999</v>
      </c>
      <c r="AI176" s="2">
        <f t="shared" ref="AI176:AI201" si="226">AG176+AH176</f>
        <v>657177.49999999977</v>
      </c>
      <c r="AJ176" s="2">
        <f t="shared" ref="AJ176:AJ201" si="227">AH176</f>
        <v>18746.349999999999</v>
      </c>
      <c r="AK176" s="2">
        <f t="shared" ref="AK176:AK202" si="228">SUM(AI176:AJ176)</f>
        <v>675923.84999999974</v>
      </c>
      <c r="AL176" s="2">
        <f t="shared" ref="AL176:AL201" si="229">AJ176</f>
        <v>18746.349999999999</v>
      </c>
      <c r="AM176" s="3">
        <f t="shared" ref="AM176:AM204" si="230">SUM(AK176:AL176)</f>
        <v>694670.19999999972</v>
      </c>
      <c r="AN176" s="2">
        <f t="shared" ref="AN176:AN204" si="231">C176-AM176</f>
        <v>55183.800000000279</v>
      </c>
      <c r="AO176" s="4">
        <f t="shared" ref="AO176:AO203" si="232">AL176</f>
        <v>18746.349999999999</v>
      </c>
      <c r="AP176" s="2">
        <f t="shared" ref="AP176:AP206" si="233">AM176+AO176</f>
        <v>713416.5499999997</v>
      </c>
      <c r="AQ176" s="2">
        <f t="shared" ref="AQ176:AQ205" si="234">AN176-AO176</f>
        <v>36437.450000000281</v>
      </c>
      <c r="AR176" s="4">
        <f t="shared" ref="AR176:AR204" si="235">AO176</f>
        <v>18746.349999999999</v>
      </c>
      <c r="AS176" s="5">
        <f t="shared" ref="AS176:AS206" si="236">AP176+AR176</f>
        <v>732162.89999999967</v>
      </c>
      <c r="AT176" s="2">
        <f t="shared" ref="AT176:AT205" si="237">C176-AS176</f>
        <v>17691.100000000326</v>
      </c>
    </row>
    <row r="177" spans="1:46" x14ac:dyDescent="0.2">
      <c r="A177" s="1" t="s">
        <v>227</v>
      </c>
      <c r="B177" s="1" t="s">
        <v>145</v>
      </c>
      <c r="C177" s="2">
        <v>22667</v>
      </c>
      <c r="D177" s="1" t="s">
        <v>61</v>
      </c>
      <c r="E177" s="2">
        <v>40</v>
      </c>
      <c r="G177" s="2">
        <v>5386</v>
      </c>
      <c r="H177" s="2">
        <v>567</v>
      </c>
      <c r="I177" s="2">
        <f t="shared" si="200"/>
        <v>5953</v>
      </c>
      <c r="J177" s="2">
        <f t="shared" si="201"/>
        <v>567</v>
      </c>
      <c r="K177" s="2">
        <f t="shared" si="202"/>
        <v>6520</v>
      </c>
      <c r="L177" s="2">
        <f t="shared" si="203"/>
        <v>567</v>
      </c>
      <c r="M177" s="2">
        <f t="shared" si="204"/>
        <v>7087</v>
      </c>
      <c r="N177" s="2">
        <f t="shared" si="205"/>
        <v>567</v>
      </c>
      <c r="O177" s="2">
        <f t="shared" si="206"/>
        <v>7654</v>
      </c>
      <c r="P177" s="2">
        <f t="shared" si="207"/>
        <v>566.67499999999995</v>
      </c>
      <c r="Q177" s="2">
        <f t="shared" si="208"/>
        <v>8220.6749999999993</v>
      </c>
      <c r="R177" s="2">
        <f t="shared" si="209"/>
        <v>566.67499999999995</v>
      </c>
      <c r="S177" s="2">
        <f t="shared" si="210"/>
        <v>8787.3499999999985</v>
      </c>
      <c r="T177" s="2">
        <f t="shared" si="211"/>
        <v>566.67499999999995</v>
      </c>
      <c r="U177" s="2">
        <f t="shared" si="212"/>
        <v>9354.0249999999978</v>
      </c>
      <c r="V177" s="2">
        <f t="shared" si="213"/>
        <v>566.67499999999995</v>
      </c>
      <c r="W177" s="2">
        <f t="shared" si="214"/>
        <v>9920.6999999999971</v>
      </c>
      <c r="X177" s="2">
        <f t="shared" si="215"/>
        <v>566.67499999999995</v>
      </c>
      <c r="Y177" s="2">
        <f t="shared" si="216"/>
        <v>10487.374999999996</v>
      </c>
      <c r="Z177" s="2">
        <f t="shared" si="217"/>
        <v>566.67499999999995</v>
      </c>
      <c r="AA177" s="2">
        <f t="shared" si="218"/>
        <v>11054.049999999996</v>
      </c>
      <c r="AB177" s="2">
        <f t="shared" si="219"/>
        <v>566.67499999999995</v>
      </c>
      <c r="AC177" s="2">
        <f t="shared" si="220"/>
        <v>11620.724999999995</v>
      </c>
      <c r="AD177" s="2">
        <f t="shared" si="221"/>
        <v>566.67499999999995</v>
      </c>
      <c r="AE177" s="2">
        <f t="shared" si="222"/>
        <v>12187.399999999994</v>
      </c>
      <c r="AF177" s="2">
        <f t="shared" si="223"/>
        <v>566.67499999999995</v>
      </c>
      <c r="AG177" s="2">
        <f t="shared" si="224"/>
        <v>12754.074999999993</v>
      </c>
      <c r="AH177" s="2">
        <f t="shared" si="225"/>
        <v>566.67499999999995</v>
      </c>
      <c r="AI177" s="2">
        <f t="shared" si="226"/>
        <v>13320.749999999993</v>
      </c>
      <c r="AJ177" s="2">
        <f t="shared" si="227"/>
        <v>566.67499999999995</v>
      </c>
      <c r="AK177" s="2">
        <f t="shared" si="228"/>
        <v>13887.424999999992</v>
      </c>
      <c r="AL177" s="2">
        <f t="shared" si="229"/>
        <v>566.67499999999995</v>
      </c>
      <c r="AM177" s="3">
        <f t="shared" si="230"/>
        <v>14454.099999999991</v>
      </c>
      <c r="AN177" s="2">
        <f t="shared" si="231"/>
        <v>8212.9000000000087</v>
      </c>
      <c r="AO177" s="4">
        <f t="shared" si="232"/>
        <v>566.67499999999995</v>
      </c>
      <c r="AP177" s="2">
        <f t="shared" si="233"/>
        <v>15020.774999999991</v>
      </c>
      <c r="AQ177" s="2">
        <f t="shared" si="234"/>
        <v>7646.2250000000085</v>
      </c>
      <c r="AR177" s="4">
        <f t="shared" si="235"/>
        <v>566.67499999999995</v>
      </c>
      <c r="AS177" s="5">
        <f t="shared" si="236"/>
        <v>15587.44999999999</v>
      </c>
      <c r="AT177" s="2">
        <f t="shared" si="237"/>
        <v>7079.5500000000102</v>
      </c>
    </row>
    <row r="178" spans="1:46" x14ac:dyDescent="0.2">
      <c r="A178" s="1" t="s">
        <v>227</v>
      </c>
      <c r="B178" s="1" t="s">
        <v>171</v>
      </c>
      <c r="C178" s="2">
        <v>27772</v>
      </c>
      <c r="D178" s="1" t="s">
        <v>61</v>
      </c>
      <c r="E178" s="2">
        <v>40</v>
      </c>
      <c r="G178" s="2">
        <v>5899</v>
      </c>
      <c r="H178" s="2">
        <v>694</v>
      </c>
      <c r="I178" s="2">
        <f t="shared" si="200"/>
        <v>6593</v>
      </c>
      <c r="J178" s="2">
        <f t="shared" si="201"/>
        <v>694</v>
      </c>
      <c r="K178" s="2">
        <f t="shared" si="202"/>
        <v>7287</v>
      </c>
      <c r="L178" s="2">
        <f t="shared" si="203"/>
        <v>694</v>
      </c>
      <c r="M178" s="2">
        <f t="shared" si="204"/>
        <v>7981</v>
      </c>
      <c r="N178" s="2">
        <f t="shared" si="205"/>
        <v>694</v>
      </c>
      <c r="O178" s="2">
        <f t="shared" si="206"/>
        <v>8675</v>
      </c>
      <c r="P178" s="2">
        <f t="shared" si="207"/>
        <v>694.3</v>
      </c>
      <c r="Q178" s="2">
        <f t="shared" si="208"/>
        <v>9369.2999999999993</v>
      </c>
      <c r="R178" s="2">
        <f t="shared" si="209"/>
        <v>694.3</v>
      </c>
      <c r="S178" s="2">
        <f t="shared" si="210"/>
        <v>10063.599999999999</v>
      </c>
      <c r="T178" s="2">
        <f t="shared" si="211"/>
        <v>694.3</v>
      </c>
      <c r="U178" s="2">
        <f t="shared" si="212"/>
        <v>10757.899999999998</v>
      </c>
      <c r="V178" s="2">
        <f t="shared" si="213"/>
        <v>694.3</v>
      </c>
      <c r="W178" s="2">
        <f t="shared" si="214"/>
        <v>11452.199999999997</v>
      </c>
      <c r="X178" s="2">
        <f t="shared" si="215"/>
        <v>694.3</v>
      </c>
      <c r="Y178" s="2">
        <f t="shared" si="216"/>
        <v>12146.499999999996</v>
      </c>
      <c r="Z178" s="2">
        <f t="shared" si="217"/>
        <v>694.3</v>
      </c>
      <c r="AA178" s="2">
        <f t="shared" si="218"/>
        <v>12840.799999999996</v>
      </c>
      <c r="AB178" s="2">
        <f t="shared" si="219"/>
        <v>694.3</v>
      </c>
      <c r="AC178" s="2">
        <f t="shared" si="220"/>
        <v>13535.099999999995</v>
      </c>
      <c r="AD178" s="2">
        <f t="shared" si="221"/>
        <v>694.3</v>
      </c>
      <c r="AE178" s="2">
        <f t="shared" si="222"/>
        <v>14229.399999999994</v>
      </c>
      <c r="AF178" s="2">
        <f t="shared" si="223"/>
        <v>694.3</v>
      </c>
      <c r="AG178" s="2">
        <f t="shared" si="224"/>
        <v>14923.699999999993</v>
      </c>
      <c r="AH178" s="2">
        <f t="shared" si="225"/>
        <v>694.3</v>
      </c>
      <c r="AI178" s="2">
        <f t="shared" si="226"/>
        <v>15617.999999999993</v>
      </c>
      <c r="AJ178" s="2">
        <f t="shared" si="227"/>
        <v>694.3</v>
      </c>
      <c r="AK178" s="2">
        <f t="shared" si="228"/>
        <v>16312.299999999992</v>
      </c>
      <c r="AL178" s="2">
        <f t="shared" si="229"/>
        <v>694.3</v>
      </c>
      <c r="AM178" s="3">
        <f t="shared" si="230"/>
        <v>17006.599999999991</v>
      </c>
      <c r="AN178" s="2">
        <f t="shared" si="231"/>
        <v>10765.400000000009</v>
      </c>
      <c r="AO178" s="4">
        <f t="shared" si="232"/>
        <v>694.3</v>
      </c>
      <c r="AP178" s="2">
        <f t="shared" si="233"/>
        <v>17700.899999999991</v>
      </c>
      <c r="AQ178" s="2">
        <f t="shared" si="234"/>
        <v>10071.100000000009</v>
      </c>
      <c r="AR178" s="4">
        <f t="shared" si="235"/>
        <v>694.3</v>
      </c>
      <c r="AS178" s="5">
        <f t="shared" si="236"/>
        <v>18395.19999999999</v>
      </c>
      <c r="AT178" s="2">
        <f t="shared" si="237"/>
        <v>9376.8000000000102</v>
      </c>
    </row>
    <row r="179" spans="1:46" x14ac:dyDescent="0.2">
      <c r="A179" s="1" t="s">
        <v>227</v>
      </c>
      <c r="B179" s="1" t="s">
        <v>38</v>
      </c>
      <c r="C179" s="2">
        <v>38203</v>
      </c>
      <c r="D179" s="1" t="s">
        <v>61</v>
      </c>
      <c r="E179" s="2">
        <v>40</v>
      </c>
      <c r="G179" s="2">
        <v>8118</v>
      </c>
      <c r="H179" s="2">
        <v>955</v>
      </c>
      <c r="I179" s="2">
        <f t="shared" si="200"/>
        <v>9073</v>
      </c>
      <c r="J179" s="2">
        <f t="shared" si="201"/>
        <v>955</v>
      </c>
      <c r="K179" s="2">
        <f t="shared" si="202"/>
        <v>10028</v>
      </c>
      <c r="L179" s="2">
        <f t="shared" si="203"/>
        <v>955</v>
      </c>
      <c r="M179" s="2">
        <f t="shared" si="204"/>
        <v>10983</v>
      </c>
      <c r="N179" s="2">
        <f t="shared" si="205"/>
        <v>955</v>
      </c>
      <c r="O179" s="2">
        <f t="shared" si="206"/>
        <v>11938</v>
      </c>
      <c r="P179" s="2">
        <f t="shared" si="207"/>
        <v>955.07500000000005</v>
      </c>
      <c r="Q179" s="2">
        <f t="shared" si="208"/>
        <v>12893.075000000001</v>
      </c>
      <c r="R179" s="2">
        <f t="shared" si="209"/>
        <v>955.07500000000005</v>
      </c>
      <c r="S179" s="2">
        <f t="shared" si="210"/>
        <v>13848.150000000001</v>
      </c>
      <c r="T179" s="2">
        <f t="shared" si="211"/>
        <v>955.07500000000005</v>
      </c>
      <c r="U179" s="2">
        <f t="shared" si="212"/>
        <v>14803.225000000002</v>
      </c>
      <c r="V179" s="2">
        <f t="shared" si="213"/>
        <v>955.07500000000005</v>
      </c>
      <c r="W179" s="2">
        <f t="shared" si="214"/>
        <v>15758.300000000003</v>
      </c>
      <c r="X179" s="2">
        <f t="shared" si="215"/>
        <v>955.07500000000005</v>
      </c>
      <c r="Y179" s="2">
        <f t="shared" si="216"/>
        <v>16713.375000000004</v>
      </c>
      <c r="Z179" s="2">
        <f t="shared" si="217"/>
        <v>955.07500000000005</v>
      </c>
      <c r="AA179" s="2">
        <f t="shared" si="218"/>
        <v>17668.450000000004</v>
      </c>
      <c r="AB179" s="2">
        <f t="shared" si="219"/>
        <v>955.07500000000005</v>
      </c>
      <c r="AC179" s="2">
        <f t="shared" si="220"/>
        <v>18623.525000000005</v>
      </c>
      <c r="AD179" s="2">
        <f t="shared" si="221"/>
        <v>955.07500000000005</v>
      </c>
      <c r="AE179" s="2">
        <f t="shared" si="222"/>
        <v>19578.600000000006</v>
      </c>
      <c r="AF179" s="2">
        <f t="shared" si="223"/>
        <v>955.07500000000005</v>
      </c>
      <c r="AG179" s="2">
        <f t="shared" si="224"/>
        <v>20533.675000000007</v>
      </c>
      <c r="AH179" s="2">
        <f t="shared" si="225"/>
        <v>955.07500000000005</v>
      </c>
      <c r="AI179" s="2">
        <f t="shared" si="226"/>
        <v>21488.750000000007</v>
      </c>
      <c r="AJ179" s="2">
        <f t="shared" si="227"/>
        <v>955.07500000000005</v>
      </c>
      <c r="AK179" s="2">
        <f t="shared" si="228"/>
        <v>22443.825000000008</v>
      </c>
      <c r="AL179" s="2">
        <f t="shared" si="229"/>
        <v>955.07500000000005</v>
      </c>
      <c r="AM179" s="3">
        <f t="shared" si="230"/>
        <v>23398.900000000009</v>
      </c>
      <c r="AN179" s="2">
        <f t="shared" si="231"/>
        <v>14804.099999999991</v>
      </c>
      <c r="AO179" s="4">
        <f t="shared" si="232"/>
        <v>955.07500000000005</v>
      </c>
      <c r="AP179" s="2">
        <f t="shared" si="233"/>
        <v>24353.975000000009</v>
      </c>
      <c r="AQ179" s="2">
        <f t="shared" si="234"/>
        <v>13849.024999999991</v>
      </c>
      <c r="AR179" s="4">
        <f t="shared" si="235"/>
        <v>955.07500000000005</v>
      </c>
      <c r="AS179" s="5">
        <f t="shared" si="236"/>
        <v>25309.05000000001</v>
      </c>
      <c r="AT179" s="2">
        <f t="shared" si="237"/>
        <v>12893.94999999999</v>
      </c>
    </row>
    <row r="180" spans="1:46" x14ac:dyDescent="0.2">
      <c r="A180" s="1" t="s">
        <v>227</v>
      </c>
      <c r="B180" s="1" t="s">
        <v>64</v>
      </c>
      <c r="C180" s="2">
        <v>28169</v>
      </c>
      <c r="D180" s="1" t="s">
        <v>61</v>
      </c>
      <c r="E180" s="2">
        <v>40</v>
      </c>
      <c r="G180" s="2">
        <v>5280</v>
      </c>
      <c r="H180" s="2">
        <v>704</v>
      </c>
      <c r="I180" s="2">
        <f t="shared" si="200"/>
        <v>5984</v>
      </c>
      <c r="J180" s="2">
        <f t="shared" si="201"/>
        <v>704</v>
      </c>
      <c r="K180" s="2">
        <f t="shared" si="202"/>
        <v>6688</v>
      </c>
      <c r="L180" s="2">
        <f t="shared" si="203"/>
        <v>704</v>
      </c>
      <c r="M180" s="2">
        <f t="shared" si="204"/>
        <v>7392</v>
      </c>
      <c r="N180" s="2">
        <f t="shared" si="205"/>
        <v>704</v>
      </c>
      <c r="O180" s="2">
        <f t="shared" si="206"/>
        <v>8096</v>
      </c>
      <c r="P180" s="2">
        <f t="shared" si="207"/>
        <v>704.22500000000002</v>
      </c>
      <c r="Q180" s="2">
        <f t="shared" si="208"/>
        <v>8800.2250000000004</v>
      </c>
      <c r="R180" s="2">
        <f t="shared" si="209"/>
        <v>704.22500000000002</v>
      </c>
      <c r="S180" s="2">
        <f t="shared" si="210"/>
        <v>9504.4500000000007</v>
      </c>
      <c r="T180" s="2">
        <f t="shared" si="211"/>
        <v>704.22500000000002</v>
      </c>
      <c r="U180" s="2">
        <f t="shared" si="212"/>
        <v>10208.675000000001</v>
      </c>
      <c r="V180" s="2">
        <f t="shared" si="213"/>
        <v>704.22500000000002</v>
      </c>
      <c r="W180" s="2">
        <f t="shared" si="214"/>
        <v>10912.900000000001</v>
      </c>
      <c r="X180" s="2">
        <f t="shared" si="215"/>
        <v>704.22500000000002</v>
      </c>
      <c r="Y180" s="2">
        <f t="shared" si="216"/>
        <v>11617.125000000002</v>
      </c>
      <c r="Z180" s="2">
        <f t="shared" si="217"/>
        <v>704.22500000000002</v>
      </c>
      <c r="AA180" s="2">
        <f t="shared" si="218"/>
        <v>12321.350000000002</v>
      </c>
      <c r="AB180" s="2">
        <f t="shared" si="219"/>
        <v>704.22500000000002</v>
      </c>
      <c r="AC180" s="2">
        <f t="shared" si="220"/>
        <v>13025.575000000003</v>
      </c>
      <c r="AD180" s="2">
        <f t="shared" si="221"/>
        <v>704.22500000000002</v>
      </c>
      <c r="AE180" s="2">
        <f t="shared" si="222"/>
        <v>13729.800000000003</v>
      </c>
      <c r="AF180" s="2">
        <f t="shared" si="223"/>
        <v>704.22500000000002</v>
      </c>
      <c r="AG180" s="2">
        <f t="shared" si="224"/>
        <v>14434.025000000003</v>
      </c>
      <c r="AH180" s="2">
        <f t="shared" si="225"/>
        <v>704.22500000000002</v>
      </c>
      <c r="AI180" s="2">
        <f t="shared" si="226"/>
        <v>15138.250000000004</v>
      </c>
      <c r="AJ180" s="2">
        <f t="shared" si="227"/>
        <v>704.22500000000002</v>
      </c>
      <c r="AK180" s="2">
        <f t="shared" si="228"/>
        <v>15842.475000000004</v>
      </c>
      <c r="AL180" s="2">
        <f t="shared" si="229"/>
        <v>704.22500000000002</v>
      </c>
      <c r="AM180" s="3">
        <f t="shared" si="230"/>
        <v>16546.700000000004</v>
      </c>
      <c r="AN180" s="2">
        <f t="shared" si="231"/>
        <v>11622.299999999996</v>
      </c>
      <c r="AO180" s="4">
        <f t="shared" si="232"/>
        <v>704.22500000000002</v>
      </c>
      <c r="AP180" s="2">
        <f t="shared" si="233"/>
        <v>17250.925000000003</v>
      </c>
      <c r="AQ180" s="2">
        <f t="shared" si="234"/>
        <v>10918.074999999995</v>
      </c>
      <c r="AR180" s="4">
        <f t="shared" si="235"/>
        <v>704.22500000000002</v>
      </c>
      <c r="AS180" s="5">
        <f t="shared" si="236"/>
        <v>17955.150000000001</v>
      </c>
      <c r="AT180" s="2">
        <f t="shared" si="237"/>
        <v>10213.849999999999</v>
      </c>
    </row>
    <row r="181" spans="1:46" x14ac:dyDescent="0.2">
      <c r="A181" s="1" t="s">
        <v>227</v>
      </c>
      <c r="B181" s="1" t="s">
        <v>65</v>
      </c>
      <c r="C181" s="2">
        <v>23550</v>
      </c>
      <c r="D181" s="1" t="s">
        <v>61</v>
      </c>
      <c r="E181" s="2">
        <v>40</v>
      </c>
      <c r="G181" s="2">
        <v>3828</v>
      </c>
      <c r="H181" s="2">
        <v>589</v>
      </c>
      <c r="I181" s="2">
        <f t="shared" si="200"/>
        <v>4417</v>
      </c>
      <c r="J181" s="2">
        <f t="shared" si="201"/>
        <v>589</v>
      </c>
      <c r="K181" s="2">
        <f t="shared" si="202"/>
        <v>5006</v>
      </c>
      <c r="L181" s="2">
        <f t="shared" si="203"/>
        <v>589</v>
      </c>
      <c r="M181" s="2">
        <f t="shared" si="204"/>
        <v>5595</v>
      </c>
      <c r="N181" s="2">
        <f t="shared" si="205"/>
        <v>589</v>
      </c>
      <c r="O181" s="2">
        <f t="shared" si="206"/>
        <v>6184</v>
      </c>
      <c r="P181" s="2">
        <f t="shared" si="207"/>
        <v>588.75</v>
      </c>
      <c r="Q181" s="2">
        <f t="shared" si="208"/>
        <v>6772.75</v>
      </c>
      <c r="R181" s="2">
        <f t="shared" si="209"/>
        <v>588.75</v>
      </c>
      <c r="S181" s="2">
        <f t="shared" si="210"/>
        <v>7361.5</v>
      </c>
      <c r="T181" s="2">
        <f t="shared" si="211"/>
        <v>588.75</v>
      </c>
      <c r="U181" s="2">
        <f t="shared" si="212"/>
        <v>7950.25</v>
      </c>
      <c r="V181" s="2">
        <f t="shared" si="213"/>
        <v>588.75</v>
      </c>
      <c r="W181" s="2">
        <f t="shared" si="214"/>
        <v>8539</v>
      </c>
      <c r="X181" s="2">
        <f t="shared" si="215"/>
        <v>588.75</v>
      </c>
      <c r="Y181" s="2">
        <f t="shared" si="216"/>
        <v>9127.75</v>
      </c>
      <c r="Z181" s="2">
        <f t="shared" si="217"/>
        <v>588.75</v>
      </c>
      <c r="AA181" s="2">
        <f t="shared" si="218"/>
        <v>9716.5</v>
      </c>
      <c r="AB181" s="2">
        <f t="shared" si="219"/>
        <v>588.75</v>
      </c>
      <c r="AC181" s="2">
        <f t="shared" si="220"/>
        <v>10305.25</v>
      </c>
      <c r="AD181" s="2">
        <f t="shared" si="221"/>
        <v>588.75</v>
      </c>
      <c r="AE181" s="2">
        <f t="shared" si="222"/>
        <v>10894</v>
      </c>
      <c r="AF181" s="2">
        <f t="shared" si="223"/>
        <v>588.75</v>
      </c>
      <c r="AG181" s="2">
        <f t="shared" si="224"/>
        <v>11482.75</v>
      </c>
      <c r="AH181" s="2">
        <f t="shared" si="225"/>
        <v>588.75</v>
      </c>
      <c r="AI181" s="2">
        <f t="shared" si="226"/>
        <v>12071.5</v>
      </c>
      <c r="AJ181" s="2">
        <f t="shared" si="227"/>
        <v>588.75</v>
      </c>
      <c r="AK181" s="2">
        <f t="shared" si="228"/>
        <v>12660.25</v>
      </c>
      <c r="AL181" s="2">
        <f t="shared" si="229"/>
        <v>588.75</v>
      </c>
      <c r="AM181" s="3">
        <f t="shared" si="230"/>
        <v>13249</v>
      </c>
      <c r="AN181" s="2">
        <f t="shared" si="231"/>
        <v>10301</v>
      </c>
      <c r="AO181" s="4">
        <f t="shared" si="232"/>
        <v>588.75</v>
      </c>
      <c r="AP181" s="2">
        <f t="shared" si="233"/>
        <v>13837.75</v>
      </c>
      <c r="AQ181" s="2">
        <f t="shared" si="234"/>
        <v>9712.25</v>
      </c>
      <c r="AR181" s="4">
        <f t="shared" si="235"/>
        <v>588.75</v>
      </c>
      <c r="AS181" s="5">
        <f t="shared" si="236"/>
        <v>14426.5</v>
      </c>
      <c r="AT181" s="2">
        <f t="shared" si="237"/>
        <v>9123.5</v>
      </c>
    </row>
    <row r="182" spans="1:46" x14ac:dyDescent="0.2">
      <c r="A182" s="1" t="s">
        <v>227</v>
      </c>
      <c r="B182" s="1" t="s">
        <v>66</v>
      </c>
      <c r="C182" s="2">
        <v>24210</v>
      </c>
      <c r="D182" s="1" t="s">
        <v>61</v>
      </c>
      <c r="E182" s="2">
        <v>40</v>
      </c>
      <c r="G182" s="2">
        <v>3328</v>
      </c>
      <c r="H182" s="2">
        <v>605</v>
      </c>
      <c r="I182" s="2">
        <f t="shared" si="200"/>
        <v>3933</v>
      </c>
      <c r="J182" s="2">
        <f t="shared" si="201"/>
        <v>605</v>
      </c>
      <c r="K182" s="2">
        <f t="shared" si="202"/>
        <v>4538</v>
      </c>
      <c r="L182" s="2">
        <f t="shared" si="203"/>
        <v>605</v>
      </c>
      <c r="M182" s="2">
        <f t="shared" si="204"/>
        <v>5143</v>
      </c>
      <c r="N182" s="2">
        <f t="shared" si="205"/>
        <v>605</v>
      </c>
      <c r="O182" s="2">
        <f t="shared" si="206"/>
        <v>5748</v>
      </c>
      <c r="P182" s="2">
        <f t="shared" si="207"/>
        <v>605.25</v>
      </c>
      <c r="Q182" s="2">
        <f t="shared" si="208"/>
        <v>6353.25</v>
      </c>
      <c r="R182" s="2">
        <f t="shared" si="209"/>
        <v>605.25</v>
      </c>
      <c r="S182" s="2">
        <f t="shared" si="210"/>
        <v>6958.5</v>
      </c>
      <c r="T182" s="2">
        <f t="shared" si="211"/>
        <v>605.25</v>
      </c>
      <c r="U182" s="2">
        <f t="shared" si="212"/>
        <v>7563.75</v>
      </c>
      <c r="V182" s="2">
        <f t="shared" si="213"/>
        <v>605.25</v>
      </c>
      <c r="W182" s="2">
        <f t="shared" si="214"/>
        <v>8169</v>
      </c>
      <c r="X182" s="2">
        <f t="shared" si="215"/>
        <v>605.25</v>
      </c>
      <c r="Y182" s="2">
        <f t="shared" si="216"/>
        <v>8774.25</v>
      </c>
      <c r="Z182" s="2">
        <f t="shared" si="217"/>
        <v>605.25</v>
      </c>
      <c r="AA182" s="2">
        <f t="shared" si="218"/>
        <v>9379.5</v>
      </c>
      <c r="AB182" s="2">
        <f t="shared" si="219"/>
        <v>605.25</v>
      </c>
      <c r="AC182" s="2">
        <f t="shared" si="220"/>
        <v>9984.75</v>
      </c>
      <c r="AD182" s="2">
        <f t="shared" si="221"/>
        <v>605.25</v>
      </c>
      <c r="AE182" s="2">
        <f t="shared" si="222"/>
        <v>10590</v>
      </c>
      <c r="AF182" s="2">
        <f t="shared" si="223"/>
        <v>605.25</v>
      </c>
      <c r="AG182" s="2">
        <f t="shared" si="224"/>
        <v>11195.25</v>
      </c>
      <c r="AH182" s="2">
        <f t="shared" si="225"/>
        <v>605.25</v>
      </c>
      <c r="AI182" s="2">
        <f t="shared" si="226"/>
        <v>11800.5</v>
      </c>
      <c r="AJ182" s="2">
        <f t="shared" si="227"/>
        <v>605.25</v>
      </c>
      <c r="AK182" s="2">
        <f t="shared" si="228"/>
        <v>12405.75</v>
      </c>
      <c r="AL182" s="2">
        <f t="shared" si="229"/>
        <v>605.25</v>
      </c>
      <c r="AM182" s="3">
        <f t="shared" si="230"/>
        <v>13011</v>
      </c>
      <c r="AN182" s="2">
        <f t="shared" si="231"/>
        <v>11199</v>
      </c>
      <c r="AO182" s="4">
        <f t="shared" si="232"/>
        <v>605.25</v>
      </c>
      <c r="AP182" s="2">
        <f t="shared" si="233"/>
        <v>13616.25</v>
      </c>
      <c r="AQ182" s="2">
        <f t="shared" si="234"/>
        <v>10593.75</v>
      </c>
      <c r="AR182" s="4">
        <f t="shared" si="235"/>
        <v>605.25</v>
      </c>
      <c r="AS182" s="5">
        <f t="shared" si="236"/>
        <v>14221.5</v>
      </c>
      <c r="AT182" s="2">
        <f t="shared" si="237"/>
        <v>9988.5</v>
      </c>
    </row>
    <row r="183" spans="1:46" x14ac:dyDescent="0.2">
      <c r="A183" s="1" t="s">
        <v>227</v>
      </c>
      <c r="B183" s="1" t="s">
        <v>67</v>
      </c>
      <c r="C183" s="2">
        <v>22140</v>
      </c>
      <c r="D183" s="1" t="s">
        <v>61</v>
      </c>
      <c r="E183" s="2">
        <v>40</v>
      </c>
      <c r="G183" s="2">
        <v>2493</v>
      </c>
      <c r="H183" s="2">
        <v>554</v>
      </c>
      <c r="I183" s="2">
        <f t="shared" si="200"/>
        <v>3047</v>
      </c>
      <c r="J183" s="2">
        <f t="shared" si="201"/>
        <v>554</v>
      </c>
      <c r="K183" s="2">
        <f t="shared" si="202"/>
        <v>3601</v>
      </c>
      <c r="L183" s="2">
        <f t="shared" si="203"/>
        <v>554</v>
      </c>
      <c r="M183" s="2">
        <f t="shared" si="204"/>
        <v>4155</v>
      </c>
      <c r="N183" s="2">
        <f t="shared" si="205"/>
        <v>554</v>
      </c>
      <c r="O183" s="2">
        <f t="shared" si="206"/>
        <v>4709</v>
      </c>
      <c r="P183" s="2">
        <f t="shared" si="207"/>
        <v>553.5</v>
      </c>
      <c r="Q183" s="2">
        <f t="shared" si="208"/>
        <v>5262.5</v>
      </c>
      <c r="R183" s="2">
        <f t="shared" si="209"/>
        <v>553.5</v>
      </c>
      <c r="S183" s="2">
        <f t="shared" si="210"/>
        <v>5816</v>
      </c>
      <c r="T183" s="2">
        <f t="shared" si="211"/>
        <v>553.5</v>
      </c>
      <c r="U183" s="2">
        <f t="shared" si="212"/>
        <v>6369.5</v>
      </c>
      <c r="V183" s="2">
        <f t="shared" si="213"/>
        <v>553.5</v>
      </c>
      <c r="W183" s="2">
        <f t="shared" si="214"/>
        <v>6923</v>
      </c>
      <c r="X183" s="2">
        <f t="shared" si="215"/>
        <v>553.5</v>
      </c>
      <c r="Y183" s="2">
        <f t="shared" si="216"/>
        <v>7476.5</v>
      </c>
      <c r="Z183" s="2">
        <f t="shared" si="217"/>
        <v>553.5</v>
      </c>
      <c r="AA183" s="2">
        <f t="shared" si="218"/>
        <v>8030</v>
      </c>
      <c r="AB183" s="2">
        <f t="shared" si="219"/>
        <v>553.5</v>
      </c>
      <c r="AC183" s="2">
        <f t="shared" si="220"/>
        <v>8583.5</v>
      </c>
      <c r="AD183" s="2">
        <f t="shared" si="221"/>
        <v>553.5</v>
      </c>
      <c r="AE183" s="2">
        <f t="shared" si="222"/>
        <v>9137</v>
      </c>
      <c r="AF183" s="2">
        <f t="shared" si="223"/>
        <v>553.5</v>
      </c>
      <c r="AG183" s="2">
        <f t="shared" si="224"/>
        <v>9690.5</v>
      </c>
      <c r="AH183" s="2">
        <f t="shared" si="225"/>
        <v>553.5</v>
      </c>
      <c r="AI183" s="2">
        <f t="shared" si="226"/>
        <v>10244</v>
      </c>
      <c r="AJ183" s="2">
        <f t="shared" si="227"/>
        <v>553.5</v>
      </c>
      <c r="AK183" s="2">
        <f t="shared" si="228"/>
        <v>10797.5</v>
      </c>
      <c r="AL183" s="2">
        <f t="shared" si="229"/>
        <v>553.5</v>
      </c>
      <c r="AM183" s="3">
        <f t="shared" si="230"/>
        <v>11351</v>
      </c>
      <c r="AN183" s="2">
        <f t="shared" si="231"/>
        <v>10789</v>
      </c>
      <c r="AO183" s="4">
        <f t="shared" si="232"/>
        <v>553.5</v>
      </c>
      <c r="AP183" s="2">
        <f t="shared" si="233"/>
        <v>11904.5</v>
      </c>
      <c r="AQ183" s="2">
        <f t="shared" si="234"/>
        <v>10235.5</v>
      </c>
      <c r="AR183" s="4">
        <f t="shared" si="235"/>
        <v>553.5</v>
      </c>
      <c r="AS183" s="5">
        <f t="shared" si="236"/>
        <v>12458</v>
      </c>
      <c r="AT183" s="2">
        <f t="shared" si="237"/>
        <v>9682</v>
      </c>
    </row>
    <row r="184" spans="1:46" x14ac:dyDescent="0.2">
      <c r="A184" s="1" t="s">
        <v>227</v>
      </c>
      <c r="B184" s="1" t="s">
        <v>69</v>
      </c>
      <c r="C184" s="2">
        <v>23625</v>
      </c>
      <c r="D184" s="1" t="s">
        <v>61</v>
      </c>
      <c r="E184" s="2">
        <v>40</v>
      </c>
      <c r="G184" s="2">
        <v>2068</v>
      </c>
      <c r="H184" s="2">
        <v>591</v>
      </c>
      <c r="I184" s="2">
        <f t="shared" si="200"/>
        <v>2659</v>
      </c>
      <c r="J184" s="2">
        <f t="shared" si="201"/>
        <v>591</v>
      </c>
      <c r="K184" s="2">
        <f t="shared" si="202"/>
        <v>3250</v>
      </c>
      <c r="L184" s="2">
        <f t="shared" si="203"/>
        <v>591</v>
      </c>
      <c r="M184" s="2">
        <f t="shared" si="204"/>
        <v>3841</v>
      </c>
      <c r="N184" s="2">
        <f t="shared" si="205"/>
        <v>591</v>
      </c>
      <c r="O184" s="2">
        <f t="shared" si="206"/>
        <v>4432</v>
      </c>
      <c r="P184" s="2">
        <f t="shared" si="207"/>
        <v>590.625</v>
      </c>
      <c r="Q184" s="2">
        <f t="shared" si="208"/>
        <v>5022.625</v>
      </c>
      <c r="R184" s="2">
        <f t="shared" si="209"/>
        <v>590.625</v>
      </c>
      <c r="S184" s="2">
        <f t="shared" si="210"/>
        <v>5613.25</v>
      </c>
      <c r="T184" s="2">
        <f t="shared" si="211"/>
        <v>590.625</v>
      </c>
      <c r="U184" s="2">
        <f t="shared" si="212"/>
        <v>6203.875</v>
      </c>
      <c r="V184" s="2">
        <f t="shared" si="213"/>
        <v>590.625</v>
      </c>
      <c r="W184" s="2">
        <f t="shared" si="214"/>
        <v>6794.5</v>
      </c>
      <c r="X184" s="2">
        <f t="shared" si="215"/>
        <v>590.625</v>
      </c>
      <c r="Y184" s="2">
        <f t="shared" si="216"/>
        <v>7385.125</v>
      </c>
      <c r="Z184" s="2">
        <f t="shared" si="217"/>
        <v>590.625</v>
      </c>
      <c r="AA184" s="2">
        <f t="shared" si="218"/>
        <v>7975.75</v>
      </c>
      <c r="AB184" s="2">
        <f t="shared" si="219"/>
        <v>590.625</v>
      </c>
      <c r="AC184" s="2">
        <f t="shared" si="220"/>
        <v>8566.375</v>
      </c>
      <c r="AD184" s="2">
        <f t="shared" si="221"/>
        <v>590.625</v>
      </c>
      <c r="AE184" s="2">
        <f t="shared" si="222"/>
        <v>9157</v>
      </c>
      <c r="AF184" s="2">
        <f t="shared" si="223"/>
        <v>590.625</v>
      </c>
      <c r="AG184" s="2">
        <f t="shared" si="224"/>
        <v>9747.625</v>
      </c>
      <c r="AH184" s="2">
        <f t="shared" si="225"/>
        <v>590.625</v>
      </c>
      <c r="AI184" s="2">
        <f t="shared" si="226"/>
        <v>10338.25</v>
      </c>
      <c r="AJ184" s="2">
        <f t="shared" si="227"/>
        <v>590.625</v>
      </c>
      <c r="AK184" s="2">
        <f t="shared" si="228"/>
        <v>10928.875</v>
      </c>
      <c r="AL184" s="2">
        <f t="shared" si="229"/>
        <v>590.625</v>
      </c>
      <c r="AM184" s="3">
        <f t="shared" si="230"/>
        <v>11519.5</v>
      </c>
      <c r="AN184" s="2">
        <f t="shared" si="231"/>
        <v>12105.5</v>
      </c>
      <c r="AO184" s="4">
        <f t="shared" si="232"/>
        <v>590.625</v>
      </c>
      <c r="AP184" s="2">
        <f t="shared" si="233"/>
        <v>12110.125</v>
      </c>
      <c r="AQ184" s="2">
        <f t="shared" si="234"/>
        <v>11514.875</v>
      </c>
      <c r="AR184" s="4">
        <f t="shared" si="235"/>
        <v>590.625</v>
      </c>
      <c r="AS184" s="5">
        <f t="shared" si="236"/>
        <v>12700.75</v>
      </c>
      <c r="AT184" s="2">
        <f t="shared" si="237"/>
        <v>10924.25</v>
      </c>
    </row>
    <row r="185" spans="1:46" x14ac:dyDescent="0.2">
      <c r="A185" s="1" t="s">
        <v>227</v>
      </c>
      <c r="B185" s="1" t="s">
        <v>40</v>
      </c>
      <c r="C185" s="2">
        <v>26730</v>
      </c>
      <c r="D185" s="1" t="s">
        <v>61</v>
      </c>
      <c r="E185" s="2">
        <v>40</v>
      </c>
      <c r="G185" s="2">
        <v>1670</v>
      </c>
      <c r="H185" s="2">
        <v>668</v>
      </c>
      <c r="I185" s="2">
        <f t="shared" si="200"/>
        <v>2338</v>
      </c>
      <c r="J185" s="2">
        <f t="shared" si="201"/>
        <v>668</v>
      </c>
      <c r="K185" s="2">
        <f t="shared" si="202"/>
        <v>3006</v>
      </c>
      <c r="L185" s="2">
        <f t="shared" si="203"/>
        <v>668</v>
      </c>
      <c r="M185" s="2">
        <f t="shared" si="204"/>
        <v>3674</v>
      </c>
      <c r="N185" s="2">
        <f t="shared" si="205"/>
        <v>668</v>
      </c>
      <c r="O185" s="2">
        <f t="shared" si="206"/>
        <v>4342</v>
      </c>
      <c r="P185" s="2">
        <f t="shared" si="207"/>
        <v>668.25</v>
      </c>
      <c r="Q185" s="2">
        <f t="shared" si="208"/>
        <v>5010.25</v>
      </c>
      <c r="R185" s="2">
        <f t="shared" si="209"/>
        <v>668.25</v>
      </c>
      <c r="S185" s="2">
        <f t="shared" si="210"/>
        <v>5678.5</v>
      </c>
      <c r="T185" s="2">
        <f t="shared" si="211"/>
        <v>668.25</v>
      </c>
      <c r="U185" s="2">
        <f t="shared" si="212"/>
        <v>6346.75</v>
      </c>
      <c r="V185" s="2">
        <f t="shared" si="213"/>
        <v>668.25</v>
      </c>
      <c r="W185" s="2">
        <f t="shared" si="214"/>
        <v>7015</v>
      </c>
      <c r="X185" s="2">
        <f t="shared" si="215"/>
        <v>668.25</v>
      </c>
      <c r="Y185" s="2">
        <f t="shared" si="216"/>
        <v>7683.25</v>
      </c>
      <c r="Z185" s="2">
        <f t="shared" si="217"/>
        <v>668.25</v>
      </c>
      <c r="AA185" s="2">
        <f t="shared" si="218"/>
        <v>8351.5</v>
      </c>
      <c r="AB185" s="2">
        <f t="shared" si="219"/>
        <v>668.25</v>
      </c>
      <c r="AC185" s="2">
        <f t="shared" si="220"/>
        <v>9019.75</v>
      </c>
      <c r="AD185" s="2">
        <f t="shared" si="221"/>
        <v>668.25</v>
      </c>
      <c r="AE185" s="2">
        <f t="shared" si="222"/>
        <v>9688</v>
      </c>
      <c r="AF185" s="2">
        <f t="shared" si="223"/>
        <v>668.25</v>
      </c>
      <c r="AG185" s="2">
        <f t="shared" si="224"/>
        <v>10356.25</v>
      </c>
      <c r="AH185" s="2">
        <f t="shared" si="225"/>
        <v>668.25</v>
      </c>
      <c r="AI185" s="2">
        <f t="shared" si="226"/>
        <v>11024.5</v>
      </c>
      <c r="AJ185" s="2">
        <f t="shared" si="227"/>
        <v>668.25</v>
      </c>
      <c r="AK185" s="2">
        <f t="shared" si="228"/>
        <v>11692.75</v>
      </c>
      <c r="AL185" s="2">
        <f t="shared" si="229"/>
        <v>668.25</v>
      </c>
      <c r="AM185" s="3">
        <f t="shared" si="230"/>
        <v>12361</v>
      </c>
      <c r="AN185" s="2">
        <f t="shared" si="231"/>
        <v>14369</v>
      </c>
      <c r="AO185" s="4">
        <f t="shared" si="232"/>
        <v>668.25</v>
      </c>
      <c r="AP185" s="2">
        <f t="shared" si="233"/>
        <v>13029.25</v>
      </c>
      <c r="AQ185" s="2">
        <f t="shared" si="234"/>
        <v>13700.75</v>
      </c>
      <c r="AR185" s="4">
        <f t="shared" si="235"/>
        <v>668.25</v>
      </c>
      <c r="AS185" s="5">
        <f t="shared" si="236"/>
        <v>13697.5</v>
      </c>
      <c r="AT185" s="2">
        <f t="shared" si="237"/>
        <v>13032.5</v>
      </c>
    </row>
    <row r="186" spans="1:46" x14ac:dyDescent="0.2">
      <c r="A186" s="1" t="s">
        <v>227</v>
      </c>
      <c r="B186" s="1" t="s">
        <v>172</v>
      </c>
      <c r="C186" s="2">
        <v>26520</v>
      </c>
      <c r="D186" s="1" t="s">
        <v>61</v>
      </c>
      <c r="E186" s="2">
        <v>40</v>
      </c>
      <c r="G186" s="2">
        <v>995</v>
      </c>
      <c r="H186" s="2">
        <v>663</v>
      </c>
      <c r="I186" s="2">
        <f t="shared" si="200"/>
        <v>1658</v>
      </c>
      <c r="J186" s="2">
        <f t="shared" si="201"/>
        <v>663</v>
      </c>
      <c r="K186" s="2">
        <f t="shared" si="202"/>
        <v>2321</v>
      </c>
      <c r="L186" s="2">
        <f t="shared" si="203"/>
        <v>663</v>
      </c>
      <c r="M186" s="2">
        <f t="shared" si="204"/>
        <v>2984</v>
      </c>
      <c r="N186" s="2">
        <f t="shared" si="205"/>
        <v>663</v>
      </c>
      <c r="O186" s="2">
        <f t="shared" si="206"/>
        <v>3647</v>
      </c>
      <c r="P186" s="2">
        <f t="shared" si="207"/>
        <v>663</v>
      </c>
      <c r="Q186" s="2">
        <f t="shared" si="208"/>
        <v>4310</v>
      </c>
      <c r="R186" s="2">
        <f t="shared" si="209"/>
        <v>663</v>
      </c>
      <c r="S186" s="2">
        <f t="shared" si="210"/>
        <v>4973</v>
      </c>
      <c r="T186" s="2">
        <f t="shared" si="211"/>
        <v>663</v>
      </c>
      <c r="U186" s="2">
        <f t="shared" si="212"/>
        <v>5636</v>
      </c>
      <c r="V186" s="2">
        <f t="shared" si="213"/>
        <v>663</v>
      </c>
      <c r="W186" s="2">
        <f t="shared" si="214"/>
        <v>6299</v>
      </c>
      <c r="X186" s="2">
        <f t="shared" si="215"/>
        <v>663</v>
      </c>
      <c r="Y186" s="2">
        <f t="shared" si="216"/>
        <v>6962</v>
      </c>
      <c r="Z186" s="2">
        <f t="shared" si="217"/>
        <v>663</v>
      </c>
      <c r="AA186" s="2">
        <f t="shared" si="218"/>
        <v>7625</v>
      </c>
      <c r="AB186" s="2">
        <f t="shared" si="219"/>
        <v>663</v>
      </c>
      <c r="AC186" s="2">
        <f t="shared" si="220"/>
        <v>8288</v>
      </c>
      <c r="AD186" s="2">
        <f t="shared" si="221"/>
        <v>663</v>
      </c>
      <c r="AE186" s="2">
        <f t="shared" si="222"/>
        <v>8951</v>
      </c>
      <c r="AF186" s="2">
        <f t="shared" si="223"/>
        <v>663</v>
      </c>
      <c r="AG186" s="2">
        <f t="shared" si="224"/>
        <v>9614</v>
      </c>
      <c r="AH186" s="2">
        <f t="shared" si="225"/>
        <v>663</v>
      </c>
      <c r="AI186" s="2">
        <f t="shared" si="226"/>
        <v>10277</v>
      </c>
      <c r="AJ186" s="2">
        <f t="shared" si="227"/>
        <v>663</v>
      </c>
      <c r="AK186" s="2">
        <f t="shared" si="228"/>
        <v>10940</v>
      </c>
      <c r="AL186" s="2">
        <f t="shared" si="229"/>
        <v>663</v>
      </c>
      <c r="AM186" s="3">
        <f t="shared" si="230"/>
        <v>11603</v>
      </c>
      <c r="AN186" s="2">
        <f t="shared" si="231"/>
        <v>14917</v>
      </c>
      <c r="AO186" s="4">
        <f t="shared" si="232"/>
        <v>663</v>
      </c>
      <c r="AP186" s="2">
        <f t="shared" si="233"/>
        <v>12266</v>
      </c>
      <c r="AQ186" s="2">
        <f t="shared" si="234"/>
        <v>14254</v>
      </c>
      <c r="AR186" s="4">
        <f t="shared" si="235"/>
        <v>663</v>
      </c>
      <c r="AS186" s="5">
        <f t="shared" si="236"/>
        <v>12929</v>
      </c>
      <c r="AT186" s="2">
        <f t="shared" si="237"/>
        <v>13591</v>
      </c>
    </row>
    <row r="187" spans="1:46" x14ac:dyDescent="0.2">
      <c r="A187" s="1" t="s">
        <v>227</v>
      </c>
      <c r="B187" s="1" t="s">
        <v>173</v>
      </c>
      <c r="C187" s="2">
        <v>25125</v>
      </c>
      <c r="D187" s="1" t="s">
        <v>61</v>
      </c>
      <c r="E187" s="2">
        <v>40</v>
      </c>
      <c r="G187" s="2">
        <v>314</v>
      </c>
      <c r="H187" s="2">
        <v>628</v>
      </c>
      <c r="I187" s="2">
        <f t="shared" si="200"/>
        <v>942</v>
      </c>
      <c r="J187" s="2">
        <f t="shared" si="201"/>
        <v>628</v>
      </c>
      <c r="K187" s="2">
        <f t="shared" si="202"/>
        <v>1570</v>
      </c>
      <c r="L187" s="2">
        <f t="shared" si="203"/>
        <v>628</v>
      </c>
      <c r="M187" s="2">
        <f t="shared" si="204"/>
        <v>2198</v>
      </c>
      <c r="N187" s="2">
        <f t="shared" si="205"/>
        <v>628</v>
      </c>
      <c r="O187" s="2">
        <f t="shared" si="206"/>
        <v>2826</v>
      </c>
      <c r="P187" s="2">
        <f t="shared" si="207"/>
        <v>628.125</v>
      </c>
      <c r="Q187" s="2">
        <f t="shared" si="208"/>
        <v>3454.125</v>
      </c>
      <c r="R187" s="2">
        <f t="shared" si="209"/>
        <v>628.125</v>
      </c>
      <c r="S187" s="2">
        <f t="shared" si="210"/>
        <v>4082.25</v>
      </c>
      <c r="T187" s="2">
        <f t="shared" si="211"/>
        <v>628.125</v>
      </c>
      <c r="U187" s="2">
        <f t="shared" si="212"/>
        <v>4710.375</v>
      </c>
      <c r="V187" s="2">
        <f t="shared" si="213"/>
        <v>628.125</v>
      </c>
      <c r="W187" s="2">
        <f t="shared" si="214"/>
        <v>5338.5</v>
      </c>
      <c r="X187" s="2">
        <f t="shared" si="215"/>
        <v>628.125</v>
      </c>
      <c r="Y187" s="2">
        <f t="shared" si="216"/>
        <v>5966.625</v>
      </c>
      <c r="Z187" s="2">
        <f t="shared" si="217"/>
        <v>628.125</v>
      </c>
      <c r="AA187" s="2">
        <f t="shared" si="218"/>
        <v>6594.75</v>
      </c>
      <c r="AB187" s="2">
        <f t="shared" si="219"/>
        <v>628.125</v>
      </c>
      <c r="AC187" s="2">
        <f t="shared" si="220"/>
        <v>7222.875</v>
      </c>
      <c r="AD187" s="2">
        <f t="shared" si="221"/>
        <v>628.125</v>
      </c>
      <c r="AE187" s="2">
        <f t="shared" si="222"/>
        <v>7851</v>
      </c>
      <c r="AF187" s="2">
        <f t="shared" si="223"/>
        <v>628.125</v>
      </c>
      <c r="AG187" s="2">
        <f t="shared" si="224"/>
        <v>8479.125</v>
      </c>
      <c r="AH187" s="2">
        <f t="shared" si="225"/>
        <v>628.125</v>
      </c>
      <c r="AI187" s="2">
        <f t="shared" si="226"/>
        <v>9107.25</v>
      </c>
      <c r="AJ187" s="2">
        <f t="shared" si="227"/>
        <v>628.125</v>
      </c>
      <c r="AK187" s="2">
        <f t="shared" si="228"/>
        <v>9735.375</v>
      </c>
      <c r="AL187" s="2">
        <f t="shared" si="229"/>
        <v>628.125</v>
      </c>
      <c r="AM187" s="3">
        <f t="shared" si="230"/>
        <v>10363.5</v>
      </c>
      <c r="AN187" s="2">
        <f t="shared" si="231"/>
        <v>14761.5</v>
      </c>
      <c r="AO187" s="4">
        <f t="shared" si="232"/>
        <v>628.125</v>
      </c>
      <c r="AP187" s="2">
        <f t="shared" si="233"/>
        <v>10991.625</v>
      </c>
      <c r="AQ187" s="2">
        <f t="shared" si="234"/>
        <v>14133.375</v>
      </c>
      <c r="AR187" s="4">
        <f t="shared" si="235"/>
        <v>628.125</v>
      </c>
      <c r="AS187" s="5">
        <f t="shared" si="236"/>
        <v>11619.75</v>
      </c>
      <c r="AT187" s="2">
        <f t="shared" si="237"/>
        <v>13505.25</v>
      </c>
    </row>
    <row r="188" spans="1:46" x14ac:dyDescent="0.2">
      <c r="A188" s="1" t="s">
        <v>227</v>
      </c>
      <c r="B188" s="1" t="s">
        <v>174</v>
      </c>
      <c r="C188" s="2">
        <v>28920</v>
      </c>
      <c r="D188" s="1" t="s">
        <v>61</v>
      </c>
      <c r="E188" s="2">
        <v>40</v>
      </c>
      <c r="H188" s="2">
        <v>362</v>
      </c>
      <c r="I188" s="2">
        <f t="shared" si="200"/>
        <v>362</v>
      </c>
      <c r="J188" s="2">
        <f t="shared" si="201"/>
        <v>362</v>
      </c>
      <c r="K188" s="2">
        <f t="shared" si="202"/>
        <v>724</v>
      </c>
      <c r="L188" s="2">
        <f t="shared" si="203"/>
        <v>362</v>
      </c>
      <c r="M188" s="2">
        <f t="shared" si="204"/>
        <v>1086</v>
      </c>
      <c r="N188" s="2">
        <f t="shared" si="205"/>
        <v>362</v>
      </c>
      <c r="O188" s="2">
        <f t="shared" si="206"/>
        <v>1448</v>
      </c>
      <c r="P188" s="2">
        <f t="shared" si="207"/>
        <v>723</v>
      </c>
      <c r="Q188" s="2">
        <f t="shared" si="208"/>
        <v>2171</v>
      </c>
      <c r="R188" s="2">
        <f t="shared" si="209"/>
        <v>723</v>
      </c>
      <c r="S188" s="2">
        <f t="shared" si="210"/>
        <v>2894</v>
      </c>
      <c r="T188" s="2">
        <f t="shared" si="211"/>
        <v>723</v>
      </c>
      <c r="U188" s="2">
        <f t="shared" si="212"/>
        <v>3617</v>
      </c>
      <c r="V188" s="2">
        <f t="shared" si="213"/>
        <v>723</v>
      </c>
      <c r="W188" s="2">
        <f t="shared" si="214"/>
        <v>4340</v>
      </c>
      <c r="X188" s="2">
        <f t="shared" si="215"/>
        <v>723</v>
      </c>
      <c r="Y188" s="2">
        <f t="shared" si="216"/>
        <v>5063</v>
      </c>
      <c r="Z188" s="2">
        <f t="shared" si="217"/>
        <v>723</v>
      </c>
      <c r="AA188" s="2">
        <f t="shared" si="218"/>
        <v>5786</v>
      </c>
      <c r="AB188" s="2">
        <f t="shared" si="219"/>
        <v>723</v>
      </c>
      <c r="AC188" s="2">
        <f t="shared" si="220"/>
        <v>6509</v>
      </c>
      <c r="AD188" s="2">
        <f t="shared" si="221"/>
        <v>723</v>
      </c>
      <c r="AE188" s="2">
        <f t="shared" si="222"/>
        <v>7232</v>
      </c>
      <c r="AF188" s="2">
        <f t="shared" si="223"/>
        <v>723</v>
      </c>
      <c r="AG188" s="2">
        <f t="shared" si="224"/>
        <v>7955</v>
      </c>
      <c r="AH188" s="2">
        <f t="shared" si="225"/>
        <v>723</v>
      </c>
      <c r="AI188" s="2">
        <f t="shared" si="226"/>
        <v>8678</v>
      </c>
      <c r="AJ188" s="2">
        <f t="shared" si="227"/>
        <v>723</v>
      </c>
      <c r="AK188" s="2">
        <f t="shared" si="228"/>
        <v>9401</v>
      </c>
      <c r="AL188" s="2">
        <f t="shared" si="229"/>
        <v>723</v>
      </c>
      <c r="AM188" s="3">
        <f t="shared" si="230"/>
        <v>10124</v>
      </c>
      <c r="AN188" s="2">
        <f t="shared" si="231"/>
        <v>18796</v>
      </c>
      <c r="AO188" s="4">
        <f t="shared" si="232"/>
        <v>723</v>
      </c>
      <c r="AP188" s="2">
        <f t="shared" si="233"/>
        <v>10847</v>
      </c>
      <c r="AQ188" s="2">
        <f t="shared" si="234"/>
        <v>18073</v>
      </c>
      <c r="AR188" s="4">
        <f t="shared" si="235"/>
        <v>723</v>
      </c>
      <c r="AS188" s="5">
        <f t="shared" si="236"/>
        <v>11570</v>
      </c>
      <c r="AT188" s="2">
        <f t="shared" si="237"/>
        <v>17350</v>
      </c>
    </row>
    <row r="189" spans="1:46" x14ac:dyDescent="0.2">
      <c r="A189" s="1" t="s">
        <v>227</v>
      </c>
      <c r="B189" s="1" t="s">
        <v>80</v>
      </c>
      <c r="C189" s="2">
        <v>32335</v>
      </c>
      <c r="D189" s="1" t="s">
        <v>61</v>
      </c>
      <c r="E189" s="2">
        <v>40</v>
      </c>
      <c r="G189" s="5"/>
      <c r="H189" s="5"/>
      <c r="I189" s="5"/>
      <c r="J189" s="2">
        <f>32335/40/12*6</f>
        <v>404.1875</v>
      </c>
      <c r="K189" s="2">
        <f t="shared" si="202"/>
        <v>404.1875</v>
      </c>
      <c r="L189" s="2">
        <f>C189/E189</f>
        <v>808.375</v>
      </c>
      <c r="M189" s="2">
        <f t="shared" si="204"/>
        <v>1212.5625</v>
      </c>
      <c r="N189" s="2">
        <f t="shared" si="205"/>
        <v>808.375</v>
      </c>
      <c r="O189" s="2">
        <f t="shared" si="206"/>
        <v>2020.9375</v>
      </c>
      <c r="P189" s="2">
        <f t="shared" si="207"/>
        <v>808.375</v>
      </c>
      <c r="Q189" s="2">
        <f t="shared" si="208"/>
        <v>2829.3125</v>
      </c>
      <c r="R189" s="2">
        <f t="shared" si="209"/>
        <v>808.375</v>
      </c>
      <c r="S189" s="2">
        <f t="shared" si="210"/>
        <v>3637.6875</v>
      </c>
      <c r="T189" s="2">
        <f t="shared" si="211"/>
        <v>808.375</v>
      </c>
      <c r="U189" s="2">
        <f t="shared" si="212"/>
        <v>4446.0625</v>
      </c>
      <c r="V189" s="2">
        <f t="shared" si="213"/>
        <v>808.375</v>
      </c>
      <c r="W189" s="2">
        <f t="shared" si="214"/>
        <v>5254.4375</v>
      </c>
      <c r="X189" s="2">
        <f t="shared" si="215"/>
        <v>808.375</v>
      </c>
      <c r="Y189" s="2">
        <f t="shared" si="216"/>
        <v>6062.8125</v>
      </c>
      <c r="Z189" s="2">
        <f t="shared" si="217"/>
        <v>808.375</v>
      </c>
      <c r="AA189" s="2">
        <f t="shared" si="218"/>
        <v>6871.1875</v>
      </c>
      <c r="AB189" s="2">
        <f t="shared" si="219"/>
        <v>808.375</v>
      </c>
      <c r="AC189" s="2">
        <f t="shared" si="220"/>
        <v>7679.5625</v>
      </c>
      <c r="AD189" s="2">
        <f t="shared" si="221"/>
        <v>808.375</v>
      </c>
      <c r="AE189" s="2">
        <f t="shared" si="222"/>
        <v>8487.9375</v>
      </c>
      <c r="AF189" s="2">
        <f t="shared" si="223"/>
        <v>808.375</v>
      </c>
      <c r="AG189" s="2">
        <f t="shared" si="224"/>
        <v>9296.3125</v>
      </c>
      <c r="AH189" s="2">
        <f t="shared" si="225"/>
        <v>808.375</v>
      </c>
      <c r="AI189" s="2">
        <f t="shared" si="226"/>
        <v>10104.6875</v>
      </c>
      <c r="AJ189" s="2">
        <f t="shared" si="227"/>
        <v>808.375</v>
      </c>
      <c r="AK189" s="2">
        <f t="shared" si="228"/>
        <v>10913.0625</v>
      </c>
      <c r="AL189" s="2">
        <f t="shared" si="229"/>
        <v>808.375</v>
      </c>
      <c r="AM189" s="3">
        <f t="shared" si="230"/>
        <v>11721.4375</v>
      </c>
      <c r="AN189" s="2">
        <f t="shared" si="231"/>
        <v>20613.5625</v>
      </c>
      <c r="AO189" s="4">
        <f t="shared" si="232"/>
        <v>808.375</v>
      </c>
      <c r="AP189" s="2">
        <f t="shared" si="233"/>
        <v>12529.8125</v>
      </c>
      <c r="AQ189" s="2">
        <f t="shared" si="234"/>
        <v>19805.1875</v>
      </c>
      <c r="AR189" s="4">
        <f t="shared" si="235"/>
        <v>808.375</v>
      </c>
      <c r="AS189" s="5">
        <f t="shared" si="236"/>
        <v>13338.1875</v>
      </c>
      <c r="AT189" s="2">
        <f t="shared" si="237"/>
        <v>18996.8125</v>
      </c>
    </row>
    <row r="190" spans="1:46" x14ac:dyDescent="0.2">
      <c r="A190" s="1" t="s">
        <v>227</v>
      </c>
      <c r="B190" s="1" t="s">
        <v>179</v>
      </c>
      <c r="C190" s="2">
        <v>24077</v>
      </c>
      <c r="D190" s="1" t="s">
        <v>61</v>
      </c>
      <c r="E190" s="2">
        <v>40</v>
      </c>
      <c r="G190" s="5"/>
      <c r="H190" s="5"/>
      <c r="I190" s="5"/>
      <c r="L190" s="2">
        <f>24077/40*0.5</f>
        <v>300.96249999999998</v>
      </c>
      <c r="M190" s="2">
        <f t="shared" si="204"/>
        <v>300.96249999999998</v>
      </c>
      <c r="N190" s="2">
        <f>24077/40</f>
        <v>601.92499999999995</v>
      </c>
      <c r="O190" s="2">
        <f t="shared" si="206"/>
        <v>902.88749999999993</v>
      </c>
      <c r="P190" s="2">
        <f t="shared" si="207"/>
        <v>601.92499999999995</v>
      </c>
      <c r="Q190" s="2">
        <f t="shared" si="208"/>
        <v>1504.8125</v>
      </c>
      <c r="R190" s="2">
        <f t="shared" si="209"/>
        <v>601.92499999999995</v>
      </c>
      <c r="S190" s="2">
        <f t="shared" si="210"/>
        <v>2106.7375000000002</v>
      </c>
      <c r="T190" s="2">
        <f t="shared" si="211"/>
        <v>601.92499999999995</v>
      </c>
      <c r="U190" s="2">
        <f t="shared" si="212"/>
        <v>2708.6625000000004</v>
      </c>
      <c r="V190" s="2">
        <f t="shared" si="213"/>
        <v>601.92499999999995</v>
      </c>
      <c r="W190" s="2">
        <f t="shared" si="214"/>
        <v>3310.5875000000005</v>
      </c>
      <c r="X190" s="2">
        <f t="shared" si="215"/>
        <v>601.92499999999995</v>
      </c>
      <c r="Y190" s="2">
        <f t="shared" si="216"/>
        <v>3912.5125000000007</v>
      </c>
      <c r="Z190" s="2">
        <f t="shared" si="217"/>
        <v>601.92499999999995</v>
      </c>
      <c r="AA190" s="2">
        <f t="shared" si="218"/>
        <v>4514.4375000000009</v>
      </c>
      <c r="AB190" s="2">
        <f t="shared" si="219"/>
        <v>601.92499999999995</v>
      </c>
      <c r="AC190" s="2">
        <f t="shared" si="220"/>
        <v>5116.3625000000011</v>
      </c>
      <c r="AD190" s="2">
        <f t="shared" si="221"/>
        <v>601.92499999999995</v>
      </c>
      <c r="AE190" s="2">
        <f t="shared" si="222"/>
        <v>5718.2875000000013</v>
      </c>
      <c r="AF190" s="2">
        <f t="shared" si="223"/>
        <v>601.92499999999995</v>
      </c>
      <c r="AG190" s="2">
        <f t="shared" si="224"/>
        <v>6320.2125000000015</v>
      </c>
      <c r="AH190" s="2">
        <f t="shared" si="225"/>
        <v>601.92499999999995</v>
      </c>
      <c r="AI190" s="2">
        <f t="shared" si="226"/>
        <v>6922.1375000000016</v>
      </c>
      <c r="AJ190" s="2">
        <f t="shared" si="227"/>
        <v>601.92499999999995</v>
      </c>
      <c r="AK190" s="2">
        <f t="shared" si="228"/>
        <v>7524.0625000000018</v>
      </c>
      <c r="AL190" s="2">
        <f t="shared" si="229"/>
        <v>601.92499999999995</v>
      </c>
      <c r="AM190" s="3">
        <f t="shared" si="230"/>
        <v>8125.987500000002</v>
      </c>
      <c r="AN190" s="2">
        <f t="shared" si="231"/>
        <v>15951.012499999997</v>
      </c>
      <c r="AO190" s="4">
        <f t="shared" si="232"/>
        <v>601.92499999999995</v>
      </c>
      <c r="AP190" s="2">
        <f t="shared" si="233"/>
        <v>8727.9125000000022</v>
      </c>
      <c r="AQ190" s="2">
        <f t="shared" si="234"/>
        <v>15349.087499999998</v>
      </c>
      <c r="AR190" s="4">
        <f t="shared" si="235"/>
        <v>601.92499999999995</v>
      </c>
      <c r="AS190" s="5">
        <f t="shared" si="236"/>
        <v>9329.8375000000015</v>
      </c>
      <c r="AT190" s="2">
        <f t="shared" si="237"/>
        <v>14747.162499999999</v>
      </c>
    </row>
    <row r="191" spans="1:46" x14ac:dyDescent="0.2">
      <c r="A191" s="1" t="s">
        <v>227</v>
      </c>
      <c r="B191" s="1" t="s">
        <v>183</v>
      </c>
      <c r="C191" s="2">
        <v>20310</v>
      </c>
      <c r="D191" s="1" t="s">
        <v>61</v>
      </c>
      <c r="E191" s="2">
        <v>40</v>
      </c>
      <c r="G191" s="5"/>
      <c r="H191" s="5"/>
      <c r="I191" s="5"/>
      <c r="N191" s="2">
        <f>20310/40*0.5</f>
        <v>253.875</v>
      </c>
      <c r="O191" s="2">
        <v>254</v>
      </c>
      <c r="P191" s="2">
        <f t="shared" si="207"/>
        <v>507.75</v>
      </c>
      <c r="Q191" s="2">
        <f t="shared" si="208"/>
        <v>761.75</v>
      </c>
      <c r="R191" s="2">
        <f t="shared" si="209"/>
        <v>507.75</v>
      </c>
      <c r="S191" s="2">
        <f t="shared" si="210"/>
        <v>1269.5</v>
      </c>
      <c r="T191" s="2">
        <f t="shared" si="211"/>
        <v>507.75</v>
      </c>
      <c r="U191" s="2">
        <f t="shared" si="212"/>
        <v>1777.25</v>
      </c>
      <c r="V191" s="2">
        <f t="shared" si="213"/>
        <v>507.75</v>
      </c>
      <c r="W191" s="2">
        <f t="shared" si="214"/>
        <v>2285</v>
      </c>
      <c r="X191" s="2">
        <f t="shared" si="215"/>
        <v>507.75</v>
      </c>
      <c r="Y191" s="2">
        <f t="shared" si="216"/>
        <v>2792.75</v>
      </c>
      <c r="Z191" s="2">
        <f t="shared" si="217"/>
        <v>507.75</v>
      </c>
      <c r="AA191" s="2">
        <f t="shared" si="218"/>
        <v>3300.5</v>
      </c>
      <c r="AB191" s="2">
        <f t="shared" si="219"/>
        <v>507.75</v>
      </c>
      <c r="AC191" s="2">
        <f t="shared" si="220"/>
        <v>3808.25</v>
      </c>
      <c r="AD191" s="2">
        <f t="shared" si="221"/>
        <v>507.75</v>
      </c>
      <c r="AE191" s="2">
        <f t="shared" si="222"/>
        <v>4316</v>
      </c>
      <c r="AF191" s="2">
        <f t="shared" si="223"/>
        <v>507.75</v>
      </c>
      <c r="AG191" s="2">
        <f t="shared" si="224"/>
        <v>4823.75</v>
      </c>
      <c r="AH191" s="2">
        <f t="shared" si="225"/>
        <v>507.75</v>
      </c>
      <c r="AI191" s="2">
        <f t="shared" si="226"/>
        <v>5331.5</v>
      </c>
      <c r="AJ191" s="2">
        <f t="shared" si="227"/>
        <v>507.75</v>
      </c>
      <c r="AK191" s="2">
        <f t="shared" si="228"/>
        <v>5839.25</v>
      </c>
      <c r="AL191" s="2">
        <f t="shared" si="229"/>
        <v>507.75</v>
      </c>
      <c r="AM191" s="3">
        <f t="shared" si="230"/>
        <v>6347</v>
      </c>
      <c r="AN191" s="2">
        <f t="shared" si="231"/>
        <v>13963</v>
      </c>
      <c r="AO191" s="4">
        <f t="shared" si="232"/>
        <v>507.75</v>
      </c>
      <c r="AP191" s="2">
        <f t="shared" si="233"/>
        <v>6854.75</v>
      </c>
      <c r="AQ191" s="2">
        <f t="shared" si="234"/>
        <v>13455.25</v>
      </c>
      <c r="AR191" s="4">
        <f t="shared" si="235"/>
        <v>507.75</v>
      </c>
      <c r="AS191" s="5">
        <f t="shared" si="236"/>
        <v>7362.5</v>
      </c>
      <c r="AT191" s="2">
        <f t="shared" si="237"/>
        <v>12947.5</v>
      </c>
    </row>
    <row r="192" spans="1:46" x14ac:dyDescent="0.2">
      <c r="A192" s="3" t="s">
        <v>228</v>
      </c>
      <c r="B192" s="1" t="s">
        <v>183</v>
      </c>
      <c r="C192" s="2">
        <v>12810</v>
      </c>
      <c r="D192" s="1" t="s">
        <v>61</v>
      </c>
      <c r="E192" s="2">
        <v>40</v>
      </c>
      <c r="G192" s="5"/>
      <c r="H192" s="5"/>
      <c r="I192" s="5"/>
      <c r="N192" s="2">
        <f>12810/40*0.5</f>
        <v>160.125</v>
      </c>
      <c r="O192" s="2">
        <v>160</v>
      </c>
      <c r="P192" s="2">
        <f t="shared" si="207"/>
        <v>320.25</v>
      </c>
      <c r="Q192" s="2">
        <f t="shared" si="208"/>
        <v>480.25</v>
      </c>
      <c r="R192" s="2">
        <f t="shared" si="209"/>
        <v>320.25</v>
      </c>
      <c r="S192" s="2">
        <f t="shared" si="210"/>
        <v>800.5</v>
      </c>
      <c r="T192" s="2">
        <f t="shared" si="211"/>
        <v>320.25</v>
      </c>
      <c r="U192" s="2">
        <f t="shared" si="212"/>
        <v>1120.75</v>
      </c>
      <c r="V192" s="2">
        <f t="shared" si="213"/>
        <v>320.25</v>
      </c>
      <c r="W192" s="2">
        <f t="shared" si="214"/>
        <v>1441</v>
      </c>
      <c r="X192" s="2">
        <f t="shared" si="215"/>
        <v>320.25</v>
      </c>
      <c r="Y192" s="2">
        <f t="shared" si="216"/>
        <v>1761.25</v>
      </c>
      <c r="Z192" s="2">
        <f t="shared" si="217"/>
        <v>320.25</v>
      </c>
      <c r="AA192" s="2">
        <f t="shared" si="218"/>
        <v>2081.5</v>
      </c>
      <c r="AB192" s="2">
        <f t="shared" si="219"/>
        <v>320.25</v>
      </c>
      <c r="AC192" s="2">
        <f t="shared" si="220"/>
        <v>2401.75</v>
      </c>
      <c r="AD192" s="2">
        <f t="shared" si="221"/>
        <v>320.25</v>
      </c>
      <c r="AE192" s="2">
        <f t="shared" si="222"/>
        <v>2722</v>
      </c>
      <c r="AF192" s="2">
        <f t="shared" si="223"/>
        <v>320.25</v>
      </c>
      <c r="AG192" s="2">
        <f t="shared" si="224"/>
        <v>3042.25</v>
      </c>
      <c r="AH192" s="2">
        <f t="shared" si="225"/>
        <v>320.25</v>
      </c>
      <c r="AI192" s="2">
        <f t="shared" si="226"/>
        <v>3362.5</v>
      </c>
      <c r="AJ192" s="2">
        <f t="shared" si="227"/>
        <v>320.25</v>
      </c>
      <c r="AK192" s="2">
        <f t="shared" si="228"/>
        <v>3682.75</v>
      </c>
      <c r="AL192" s="2">
        <f t="shared" si="229"/>
        <v>320.25</v>
      </c>
      <c r="AM192" s="3">
        <f t="shared" si="230"/>
        <v>4003</v>
      </c>
      <c r="AN192" s="2">
        <f t="shared" si="231"/>
        <v>8807</v>
      </c>
      <c r="AO192" s="4">
        <f t="shared" si="232"/>
        <v>320.25</v>
      </c>
      <c r="AP192" s="2">
        <f t="shared" si="233"/>
        <v>4323.25</v>
      </c>
      <c r="AQ192" s="2">
        <f t="shared" si="234"/>
        <v>8486.75</v>
      </c>
      <c r="AR192" s="4">
        <f t="shared" si="235"/>
        <v>320.25</v>
      </c>
      <c r="AS192" s="5">
        <f t="shared" si="236"/>
        <v>4643.5</v>
      </c>
      <c r="AT192" s="2">
        <f t="shared" si="237"/>
        <v>8166.5</v>
      </c>
    </row>
    <row r="193" spans="1:46" x14ac:dyDescent="0.2">
      <c r="A193" s="3" t="s">
        <v>227</v>
      </c>
      <c r="B193" s="3" t="s">
        <v>185</v>
      </c>
      <c r="C193" s="2">
        <v>19320</v>
      </c>
      <c r="D193" s="1" t="s">
        <v>61</v>
      </c>
      <c r="E193" s="2">
        <v>40</v>
      </c>
      <c r="G193" s="5"/>
      <c r="H193" s="5"/>
      <c r="I193" s="5"/>
      <c r="P193" s="2">
        <f>C193/E193/2</f>
        <v>241.5</v>
      </c>
      <c r="Q193" s="2">
        <f t="shared" si="208"/>
        <v>241.5</v>
      </c>
      <c r="R193" s="2">
        <f t="shared" si="209"/>
        <v>483</v>
      </c>
      <c r="S193" s="2">
        <f t="shared" si="210"/>
        <v>724.5</v>
      </c>
      <c r="T193" s="2">
        <f t="shared" si="211"/>
        <v>483</v>
      </c>
      <c r="U193" s="2">
        <f t="shared" si="212"/>
        <v>1207.5</v>
      </c>
      <c r="V193" s="2">
        <f t="shared" si="213"/>
        <v>483</v>
      </c>
      <c r="W193" s="2">
        <f t="shared" si="214"/>
        <v>1690.5</v>
      </c>
      <c r="X193" s="2">
        <f t="shared" si="215"/>
        <v>483</v>
      </c>
      <c r="Y193" s="2">
        <f t="shared" si="216"/>
        <v>2173.5</v>
      </c>
      <c r="Z193" s="2">
        <f t="shared" si="217"/>
        <v>483</v>
      </c>
      <c r="AA193" s="2">
        <f t="shared" si="218"/>
        <v>2656.5</v>
      </c>
      <c r="AB193" s="2">
        <f t="shared" si="219"/>
        <v>483</v>
      </c>
      <c r="AC193" s="2">
        <f t="shared" si="220"/>
        <v>3139.5</v>
      </c>
      <c r="AD193" s="2">
        <f t="shared" si="221"/>
        <v>483</v>
      </c>
      <c r="AE193" s="2">
        <f t="shared" si="222"/>
        <v>3622.5</v>
      </c>
      <c r="AF193" s="2">
        <f t="shared" si="223"/>
        <v>483</v>
      </c>
      <c r="AG193" s="2">
        <f t="shared" si="224"/>
        <v>4105.5</v>
      </c>
      <c r="AH193" s="2">
        <f t="shared" si="225"/>
        <v>483</v>
      </c>
      <c r="AI193" s="2">
        <f t="shared" si="226"/>
        <v>4588.5</v>
      </c>
      <c r="AJ193" s="2">
        <f t="shared" si="227"/>
        <v>483</v>
      </c>
      <c r="AK193" s="2">
        <f t="shared" si="228"/>
        <v>5071.5</v>
      </c>
      <c r="AL193" s="2">
        <f t="shared" si="229"/>
        <v>483</v>
      </c>
      <c r="AM193" s="3">
        <f t="shared" si="230"/>
        <v>5554.5</v>
      </c>
      <c r="AN193" s="2">
        <f t="shared" si="231"/>
        <v>13765.5</v>
      </c>
      <c r="AO193" s="4">
        <f t="shared" si="232"/>
        <v>483</v>
      </c>
      <c r="AP193" s="2">
        <f t="shared" si="233"/>
        <v>6037.5</v>
      </c>
      <c r="AQ193" s="2">
        <f t="shared" si="234"/>
        <v>13282.5</v>
      </c>
      <c r="AR193" s="4">
        <f t="shared" si="235"/>
        <v>483</v>
      </c>
      <c r="AS193" s="5">
        <f t="shared" si="236"/>
        <v>6520.5</v>
      </c>
      <c r="AT193" s="2">
        <f t="shared" si="237"/>
        <v>12799.5</v>
      </c>
    </row>
    <row r="194" spans="1:46" x14ac:dyDescent="0.2">
      <c r="A194" s="3" t="s">
        <v>227</v>
      </c>
      <c r="B194" s="3" t="s">
        <v>187</v>
      </c>
      <c r="C194" s="2">
        <v>18996</v>
      </c>
      <c r="D194" s="1" t="s">
        <v>61</v>
      </c>
      <c r="E194" s="2">
        <v>40</v>
      </c>
      <c r="G194" s="5"/>
      <c r="H194" s="5"/>
      <c r="I194" s="5"/>
      <c r="R194" s="2">
        <f>C194/40*0.5</f>
        <v>237.45</v>
      </c>
      <c r="S194" s="2">
        <f t="shared" si="210"/>
        <v>237.45</v>
      </c>
      <c r="T194" s="2">
        <v>475</v>
      </c>
      <c r="U194" s="2">
        <f t="shared" si="212"/>
        <v>712.45</v>
      </c>
      <c r="V194" s="2">
        <f t="shared" si="213"/>
        <v>475</v>
      </c>
      <c r="W194" s="2">
        <f t="shared" si="214"/>
        <v>1187.45</v>
      </c>
      <c r="X194" s="2">
        <f t="shared" si="215"/>
        <v>475</v>
      </c>
      <c r="Y194" s="2">
        <f t="shared" si="216"/>
        <v>1662.45</v>
      </c>
      <c r="Z194" s="2">
        <f t="shared" si="217"/>
        <v>475</v>
      </c>
      <c r="AA194" s="2">
        <f t="shared" si="218"/>
        <v>2137.4499999999998</v>
      </c>
      <c r="AB194" s="2">
        <f t="shared" si="219"/>
        <v>475</v>
      </c>
      <c r="AC194" s="2">
        <f t="shared" si="220"/>
        <v>2612.4499999999998</v>
      </c>
      <c r="AD194" s="2">
        <f t="shared" si="221"/>
        <v>475</v>
      </c>
      <c r="AE194" s="2">
        <f t="shared" si="222"/>
        <v>3087.45</v>
      </c>
      <c r="AF194" s="2">
        <f t="shared" si="223"/>
        <v>475</v>
      </c>
      <c r="AG194" s="2">
        <f t="shared" si="224"/>
        <v>3562.45</v>
      </c>
      <c r="AH194" s="2">
        <f t="shared" si="225"/>
        <v>475</v>
      </c>
      <c r="AI194" s="2">
        <f t="shared" si="226"/>
        <v>4037.45</v>
      </c>
      <c r="AJ194" s="2">
        <f t="shared" si="227"/>
        <v>475</v>
      </c>
      <c r="AK194" s="2">
        <f t="shared" si="228"/>
        <v>4512.45</v>
      </c>
      <c r="AL194" s="2">
        <f t="shared" si="229"/>
        <v>475</v>
      </c>
      <c r="AM194" s="3">
        <f t="shared" si="230"/>
        <v>4987.45</v>
      </c>
      <c r="AN194" s="2">
        <f t="shared" si="231"/>
        <v>14008.55</v>
      </c>
      <c r="AO194" s="4">
        <f t="shared" si="232"/>
        <v>475</v>
      </c>
      <c r="AP194" s="2">
        <f t="shared" si="233"/>
        <v>5462.45</v>
      </c>
      <c r="AQ194" s="2">
        <f t="shared" si="234"/>
        <v>13533.55</v>
      </c>
      <c r="AR194" s="4">
        <f t="shared" si="235"/>
        <v>475</v>
      </c>
      <c r="AS194" s="5">
        <f t="shared" si="236"/>
        <v>5937.45</v>
      </c>
      <c r="AT194" s="2">
        <f t="shared" si="237"/>
        <v>13058.55</v>
      </c>
    </row>
    <row r="195" spans="1:46" x14ac:dyDescent="0.2">
      <c r="A195" s="3" t="s">
        <v>227</v>
      </c>
      <c r="B195" s="3" t="s">
        <v>189</v>
      </c>
      <c r="C195" s="2">
        <v>14700</v>
      </c>
      <c r="D195" s="1" t="s">
        <v>61</v>
      </c>
      <c r="E195" s="2">
        <v>40</v>
      </c>
      <c r="G195" s="5"/>
      <c r="H195" s="5"/>
      <c r="I195" s="5"/>
      <c r="T195" s="2">
        <f>14700/40/2</f>
        <v>183.75</v>
      </c>
      <c r="U195" s="2">
        <f t="shared" si="212"/>
        <v>183.75</v>
      </c>
      <c r="V195" s="2">
        <f>14700/40</f>
        <v>367.5</v>
      </c>
      <c r="W195" s="2">
        <f t="shared" si="214"/>
        <v>551.25</v>
      </c>
      <c r="X195" s="2">
        <f t="shared" si="215"/>
        <v>367.5</v>
      </c>
      <c r="Y195" s="2">
        <f t="shared" si="216"/>
        <v>918.75</v>
      </c>
      <c r="Z195" s="2">
        <f t="shared" si="217"/>
        <v>367.5</v>
      </c>
      <c r="AA195" s="2">
        <f t="shared" si="218"/>
        <v>1286.25</v>
      </c>
      <c r="AB195" s="2">
        <f t="shared" si="219"/>
        <v>367.5</v>
      </c>
      <c r="AC195" s="2">
        <f t="shared" si="220"/>
        <v>1653.75</v>
      </c>
      <c r="AD195" s="2">
        <f t="shared" si="221"/>
        <v>367.5</v>
      </c>
      <c r="AE195" s="2">
        <f t="shared" si="222"/>
        <v>2021.25</v>
      </c>
      <c r="AF195" s="2">
        <f t="shared" si="223"/>
        <v>367.5</v>
      </c>
      <c r="AG195" s="2">
        <f t="shared" si="224"/>
        <v>2388.75</v>
      </c>
      <c r="AH195" s="2">
        <f t="shared" si="225"/>
        <v>367.5</v>
      </c>
      <c r="AI195" s="2">
        <f t="shared" si="226"/>
        <v>2756.25</v>
      </c>
      <c r="AJ195" s="2">
        <f t="shared" si="227"/>
        <v>367.5</v>
      </c>
      <c r="AK195" s="2">
        <f t="shared" si="228"/>
        <v>3123.75</v>
      </c>
      <c r="AL195" s="2">
        <f t="shared" si="229"/>
        <v>367.5</v>
      </c>
      <c r="AM195" s="3">
        <f t="shared" si="230"/>
        <v>3491.25</v>
      </c>
      <c r="AN195" s="2">
        <f t="shared" si="231"/>
        <v>11208.75</v>
      </c>
      <c r="AO195" s="4">
        <f t="shared" si="232"/>
        <v>367.5</v>
      </c>
      <c r="AP195" s="2">
        <f t="shared" si="233"/>
        <v>3858.75</v>
      </c>
      <c r="AQ195" s="2">
        <f t="shared" si="234"/>
        <v>10841.25</v>
      </c>
      <c r="AR195" s="4">
        <f t="shared" si="235"/>
        <v>367.5</v>
      </c>
      <c r="AS195" s="5">
        <f t="shared" si="236"/>
        <v>4226.25</v>
      </c>
      <c r="AT195" s="2">
        <f t="shared" si="237"/>
        <v>10473.75</v>
      </c>
    </row>
    <row r="196" spans="1:46" x14ac:dyDescent="0.2">
      <c r="A196" s="3" t="s">
        <v>227</v>
      </c>
      <c r="B196" s="3" t="s">
        <v>191</v>
      </c>
      <c r="C196" s="2">
        <v>14825</v>
      </c>
      <c r="D196" s="1" t="s">
        <v>61</v>
      </c>
      <c r="E196" s="2">
        <v>40</v>
      </c>
      <c r="G196" s="5"/>
      <c r="H196" s="5"/>
      <c r="I196" s="5"/>
      <c r="V196" s="2">
        <v>185</v>
      </c>
      <c r="W196" s="2">
        <f t="shared" si="214"/>
        <v>185</v>
      </c>
      <c r="X196" s="2">
        <f>14825/40</f>
        <v>370.625</v>
      </c>
      <c r="Y196" s="2">
        <f t="shared" si="216"/>
        <v>555.625</v>
      </c>
      <c r="Z196" s="2">
        <f t="shared" si="217"/>
        <v>370.625</v>
      </c>
      <c r="AA196" s="2">
        <f t="shared" si="218"/>
        <v>926.25</v>
      </c>
      <c r="AB196" s="2">
        <f t="shared" si="219"/>
        <v>370.625</v>
      </c>
      <c r="AC196" s="2">
        <f t="shared" si="220"/>
        <v>1296.875</v>
      </c>
      <c r="AD196" s="2">
        <f t="shared" si="221"/>
        <v>370.625</v>
      </c>
      <c r="AE196" s="2">
        <f t="shared" si="222"/>
        <v>1667.5</v>
      </c>
      <c r="AF196" s="2">
        <f t="shared" si="223"/>
        <v>370.625</v>
      </c>
      <c r="AG196" s="2">
        <f t="shared" si="224"/>
        <v>2038.125</v>
      </c>
      <c r="AH196" s="2">
        <f t="shared" si="225"/>
        <v>370.625</v>
      </c>
      <c r="AI196" s="2">
        <f t="shared" si="226"/>
        <v>2408.75</v>
      </c>
      <c r="AJ196" s="2">
        <f t="shared" si="227"/>
        <v>370.625</v>
      </c>
      <c r="AK196" s="2">
        <f t="shared" si="228"/>
        <v>2779.375</v>
      </c>
      <c r="AL196" s="2">
        <f t="shared" si="229"/>
        <v>370.625</v>
      </c>
      <c r="AM196" s="3">
        <f t="shared" si="230"/>
        <v>3150</v>
      </c>
      <c r="AN196" s="2">
        <f t="shared" si="231"/>
        <v>11675</v>
      </c>
      <c r="AO196" s="4">
        <f t="shared" si="232"/>
        <v>370.625</v>
      </c>
      <c r="AP196" s="2">
        <f t="shared" si="233"/>
        <v>3520.625</v>
      </c>
      <c r="AQ196" s="2">
        <f t="shared" si="234"/>
        <v>11304.375</v>
      </c>
      <c r="AR196" s="4">
        <f t="shared" si="235"/>
        <v>370.625</v>
      </c>
      <c r="AS196" s="5">
        <f t="shared" si="236"/>
        <v>3891.25</v>
      </c>
      <c r="AT196" s="2">
        <f t="shared" si="237"/>
        <v>10933.75</v>
      </c>
    </row>
    <row r="197" spans="1:46" x14ac:dyDescent="0.2">
      <c r="A197" s="3" t="s">
        <v>227</v>
      </c>
      <c r="B197" s="3" t="s">
        <v>204</v>
      </c>
      <c r="C197" s="2">
        <v>11400</v>
      </c>
      <c r="D197" s="1" t="s">
        <v>61</v>
      </c>
      <c r="E197" s="2">
        <v>40</v>
      </c>
      <c r="G197" s="5"/>
      <c r="H197" s="5"/>
      <c r="I197" s="5"/>
      <c r="X197" s="2">
        <f>11400/40/2</f>
        <v>142.5</v>
      </c>
      <c r="Y197" s="2">
        <f t="shared" si="216"/>
        <v>142.5</v>
      </c>
      <c r="Z197" s="2">
        <f>11400/40</f>
        <v>285</v>
      </c>
      <c r="AA197" s="2">
        <f t="shared" si="218"/>
        <v>427.5</v>
      </c>
      <c r="AB197" s="2">
        <f t="shared" si="219"/>
        <v>285</v>
      </c>
      <c r="AC197" s="2">
        <f t="shared" si="220"/>
        <v>712.5</v>
      </c>
      <c r="AD197" s="2">
        <f t="shared" si="221"/>
        <v>285</v>
      </c>
      <c r="AE197" s="2">
        <f t="shared" si="222"/>
        <v>997.5</v>
      </c>
      <c r="AF197" s="2">
        <f t="shared" si="223"/>
        <v>285</v>
      </c>
      <c r="AG197" s="2">
        <f t="shared" si="224"/>
        <v>1282.5</v>
      </c>
      <c r="AH197" s="2">
        <f t="shared" si="225"/>
        <v>285</v>
      </c>
      <c r="AI197" s="2">
        <f t="shared" si="226"/>
        <v>1567.5</v>
      </c>
      <c r="AJ197" s="2">
        <f t="shared" si="227"/>
        <v>285</v>
      </c>
      <c r="AK197" s="2">
        <f t="shared" si="228"/>
        <v>1852.5</v>
      </c>
      <c r="AL197" s="2">
        <f t="shared" si="229"/>
        <v>285</v>
      </c>
      <c r="AM197" s="3">
        <f t="shared" si="230"/>
        <v>2137.5</v>
      </c>
      <c r="AN197" s="2">
        <f t="shared" si="231"/>
        <v>9262.5</v>
      </c>
      <c r="AO197" s="4">
        <f t="shared" si="232"/>
        <v>285</v>
      </c>
      <c r="AP197" s="2">
        <f t="shared" si="233"/>
        <v>2422.5</v>
      </c>
      <c r="AQ197" s="2">
        <f t="shared" si="234"/>
        <v>8977.5</v>
      </c>
      <c r="AR197" s="4">
        <f t="shared" si="235"/>
        <v>285</v>
      </c>
      <c r="AS197" s="5">
        <f t="shared" si="236"/>
        <v>2707.5</v>
      </c>
      <c r="AT197" s="2">
        <f t="shared" si="237"/>
        <v>8692.5</v>
      </c>
    </row>
    <row r="198" spans="1:46" x14ac:dyDescent="0.2">
      <c r="A198" s="3" t="s">
        <v>227</v>
      </c>
      <c r="B198" s="3" t="s">
        <v>206</v>
      </c>
      <c r="C198" s="2">
        <v>15000</v>
      </c>
      <c r="D198" s="1" t="s">
        <v>61</v>
      </c>
      <c r="E198" s="2">
        <v>40</v>
      </c>
      <c r="G198" s="5"/>
      <c r="H198" s="5"/>
      <c r="I198" s="5"/>
      <c r="Y198" s="2">
        <f t="shared" si="216"/>
        <v>0</v>
      </c>
      <c r="Z198" s="2">
        <v>188</v>
      </c>
      <c r="AA198" s="2">
        <v>188</v>
      </c>
      <c r="AB198" s="2">
        <f>15000/40</f>
        <v>375</v>
      </c>
      <c r="AC198" s="2">
        <f t="shared" si="220"/>
        <v>563</v>
      </c>
      <c r="AD198" s="2">
        <f t="shared" si="221"/>
        <v>375</v>
      </c>
      <c r="AE198" s="2">
        <f t="shared" si="222"/>
        <v>938</v>
      </c>
      <c r="AF198" s="2">
        <f t="shared" si="223"/>
        <v>375</v>
      </c>
      <c r="AG198" s="2">
        <f t="shared" si="224"/>
        <v>1313</v>
      </c>
      <c r="AH198" s="2">
        <f t="shared" si="225"/>
        <v>375</v>
      </c>
      <c r="AI198" s="2">
        <f t="shared" si="226"/>
        <v>1688</v>
      </c>
      <c r="AJ198" s="2">
        <f t="shared" si="227"/>
        <v>375</v>
      </c>
      <c r="AK198" s="2">
        <f t="shared" si="228"/>
        <v>2063</v>
      </c>
      <c r="AL198" s="2">
        <f t="shared" si="229"/>
        <v>375</v>
      </c>
      <c r="AM198" s="3">
        <f t="shared" si="230"/>
        <v>2438</v>
      </c>
      <c r="AN198" s="2">
        <f t="shared" si="231"/>
        <v>12562</v>
      </c>
      <c r="AO198" s="4">
        <f t="shared" si="232"/>
        <v>375</v>
      </c>
      <c r="AP198" s="2">
        <f t="shared" si="233"/>
        <v>2813</v>
      </c>
      <c r="AQ198" s="2">
        <f t="shared" si="234"/>
        <v>12187</v>
      </c>
      <c r="AR198" s="4">
        <f t="shared" si="235"/>
        <v>375</v>
      </c>
      <c r="AS198" s="5">
        <f t="shared" si="236"/>
        <v>3188</v>
      </c>
      <c r="AT198" s="2">
        <f t="shared" si="237"/>
        <v>11812</v>
      </c>
    </row>
    <row r="199" spans="1:46" x14ac:dyDescent="0.2">
      <c r="A199" s="1" t="s">
        <v>227</v>
      </c>
      <c r="B199" s="1" t="s">
        <v>208</v>
      </c>
      <c r="C199" s="2">
        <v>7500</v>
      </c>
      <c r="D199" s="1" t="s">
        <v>61</v>
      </c>
      <c r="E199" s="2">
        <v>40</v>
      </c>
      <c r="G199" s="5"/>
      <c r="H199" s="5"/>
      <c r="I199" s="5"/>
      <c r="AB199" s="2">
        <v>94</v>
      </c>
      <c r="AC199" s="2">
        <v>94</v>
      </c>
      <c r="AD199" s="2">
        <v>188</v>
      </c>
      <c r="AE199" s="2">
        <f t="shared" si="222"/>
        <v>282</v>
      </c>
      <c r="AF199" s="2">
        <f t="shared" si="223"/>
        <v>188</v>
      </c>
      <c r="AG199" s="2">
        <f t="shared" si="224"/>
        <v>470</v>
      </c>
      <c r="AH199" s="2">
        <f t="shared" si="225"/>
        <v>188</v>
      </c>
      <c r="AI199" s="2">
        <f t="shared" si="226"/>
        <v>658</v>
      </c>
      <c r="AJ199" s="2">
        <f t="shared" si="227"/>
        <v>188</v>
      </c>
      <c r="AK199" s="2">
        <f t="shared" si="228"/>
        <v>846</v>
      </c>
      <c r="AL199" s="2">
        <f t="shared" si="229"/>
        <v>188</v>
      </c>
      <c r="AM199" s="3">
        <f t="shared" si="230"/>
        <v>1034</v>
      </c>
      <c r="AN199" s="2">
        <f t="shared" si="231"/>
        <v>6466</v>
      </c>
      <c r="AO199" s="4">
        <f t="shared" si="232"/>
        <v>188</v>
      </c>
      <c r="AP199" s="2">
        <f t="shared" si="233"/>
        <v>1222</v>
      </c>
      <c r="AQ199" s="2">
        <f t="shared" si="234"/>
        <v>6278</v>
      </c>
      <c r="AR199" s="4">
        <f t="shared" si="235"/>
        <v>188</v>
      </c>
      <c r="AS199" s="5">
        <f t="shared" si="236"/>
        <v>1410</v>
      </c>
      <c r="AT199" s="2">
        <f t="shared" si="237"/>
        <v>6090</v>
      </c>
    </row>
    <row r="200" spans="1:46" x14ac:dyDescent="0.2">
      <c r="A200" s="1" t="s">
        <v>227</v>
      </c>
      <c r="B200" s="1" t="s">
        <v>102</v>
      </c>
      <c r="C200" s="2">
        <v>11100</v>
      </c>
      <c r="D200" s="1" t="s">
        <v>61</v>
      </c>
      <c r="E200" s="2">
        <v>40</v>
      </c>
      <c r="G200" s="5"/>
      <c r="H200" s="5"/>
      <c r="I200" s="5"/>
      <c r="AD200" s="2">
        <f>11100/40/2</f>
        <v>138.75</v>
      </c>
      <c r="AE200" s="2">
        <f t="shared" si="222"/>
        <v>138.75</v>
      </c>
      <c r="AF200" s="2">
        <f>11100/40</f>
        <v>277.5</v>
      </c>
      <c r="AG200" s="2">
        <f t="shared" si="224"/>
        <v>416.25</v>
      </c>
      <c r="AH200" s="2">
        <f t="shared" si="225"/>
        <v>277.5</v>
      </c>
      <c r="AI200" s="2">
        <f t="shared" si="226"/>
        <v>693.75</v>
      </c>
      <c r="AJ200" s="2">
        <f t="shared" si="227"/>
        <v>277.5</v>
      </c>
      <c r="AK200" s="2">
        <f t="shared" si="228"/>
        <v>971.25</v>
      </c>
      <c r="AL200" s="2">
        <f t="shared" si="229"/>
        <v>277.5</v>
      </c>
      <c r="AM200" s="3">
        <f t="shared" si="230"/>
        <v>1248.75</v>
      </c>
      <c r="AN200" s="2">
        <f t="shared" si="231"/>
        <v>9851.25</v>
      </c>
      <c r="AO200" s="4">
        <f t="shared" si="232"/>
        <v>277.5</v>
      </c>
      <c r="AP200" s="2">
        <f t="shared" si="233"/>
        <v>1526.25</v>
      </c>
      <c r="AQ200" s="2">
        <f t="shared" si="234"/>
        <v>9573.75</v>
      </c>
      <c r="AR200" s="4">
        <f t="shared" si="235"/>
        <v>277.5</v>
      </c>
      <c r="AS200" s="5">
        <f t="shared" si="236"/>
        <v>1803.75</v>
      </c>
      <c r="AT200" s="2">
        <f t="shared" si="237"/>
        <v>9296.25</v>
      </c>
    </row>
    <row r="201" spans="1:46" x14ac:dyDescent="0.2">
      <c r="A201" s="1" t="s">
        <v>227</v>
      </c>
      <c r="B201" s="1" t="s">
        <v>212</v>
      </c>
      <c r="C201" s="2">
        <v>8700</v>
      </c>
      <c r="D201" s="1" t="s">
        <v>61</v>
      </c>
      <c r="E201" s="2">
        <v>40</v>
      </c>
      <c r="G201" s="5"/>
      <c r="H201" s="5"/>
      <c r="I201" s="5"/>
      <c r="AF201" s="2">
        <f>8700/40/2</f>
        <v>108.75</v>
      </c>
      <c r="AG201" s="2">
        <f t="shared" si="224"/>
        <v>108.75</v>
      </c>
      <c r="AH201" s="2">
        <f>8700/40</f>
        <v>217.5</v>
      </c>
      <c r="AI201" s="2">
        <f t="shared" si="226"/>
        <v>326.25</v>
      </c>
      <c r="AJ201" s="2">
        <f t="shared" si="227"/>
        <v>217.5</v>
      </c>
      <c r="AK201" s="2">
        <f t="shared" si="228"/>
        <v>543.75</v>
      </c>
      <c r="AL201" s="2">
        <f t="shared" si="229"/>
        <v>217.5</v>
      </c>
      <c r="AM201" s="3">
        <f t="shared" si="230"/>
        <v>761.25</v>
      </c>
      <c r="AN201" s="2">
        <f t="shared" si="231"/>
        <v>7938.75</v>
      </c>
      <c r="AO201" s="4">
        <f t="shared" si="232"/>
        <v>217.5</v>
      </c>
      <c r="AP201" s="2">
        <f t="shared" si="233"/>
        <v>978.75</v>
      </c>
      <c r="AQ201" s="2">
        <f t="shared" si="234"/>
        <v>7721.25</v>
      </c>
      <c r="AR201" s="4">
        <f t="shared" si="235"/>
        <v>217.5</v>
      </c>
      <c r="AS201" s="5">
        <f t="shared" si="236"/>
        <v>1196.25</v>
      </c>
      <c r="AT201" s="2">
        <f t="shared" si="237"/>
        <v>7503.75</v>
      </c>
    </row>
    <row r="202" spans="1:46" x14ac:dyDescent="0.2">
      <c r="A202" s="1" t="s">
        <v>227</v>
      </c>
      <c r="B202" s="1" t="s">
        <v>214</v>
      </c>
      <c r="C202" s="2">
        <v>9000</v>
      </c>
      <c r="D202" s="1" t="s">
        <v>61</v>
      </c>
      <c r="E202" s="2">
        <v>40</v>
      </c>
      <c r="G202" s="5"/>
      <c r="H202" s="5"/>
      <c r="I202" s="5"/>
      <c r="AH202" s="2">
        <v>112.5</v>
      </c>
      <c r="AI202" s="2">
        <v>112.5</v>
      </c>
      <c r="AJ202" s="2">
        <f>9000/40</f>
        <v>225</v>
      </c>
      <c r="AK202" s="2">
        <f t="shared" si="228"/>
        <v>337.5</v>
      </c>
      <c r="AL202" s="2">
        <f>9000/40</f>
        <v>225</v>
      </c>
      <c r="AM202" s="3">
        <f t="shared" si="230"/>
        <v>562.5</v>
      </c>
      <c r="AN202" s="2">
        <f t="shared" si="231"/>
        <v>8437.5</v>
      </c>
      <c r="AO202" s="4">
        <f t="shared" si="232"/>
        <v>225</v>
      </c>
      <c r="AP202" s="2">
        <f t="shared" si="233"/>
        <v>787.5</v>
      </c>
      <c r="AQ202" s="2">
        <f t="shared" si="234"/>
        <v>8212.5</v>
      </c>
      <c r="AR202" s="4">
        <f t="shared" si="235"/>
        <v>225</v>
      </c>
      <c r="AS202" s="5">
        <f t="shared" si="236"/>
        <v>1012.5</v>
      </c>
      <c r="AT202" s="2">
        <f t="shared" si="237"/>
        <v>7987.5</v>
      </c>
    </row>
    <row r="203" spans="1:46" x14ac:dyDescent="0.2">
      <c r="A203" s="1" t="s">
        <v>227</v>
      </c>
      <c r="B203" s="1" t="s">
        <v>218</v>
      </c>
      <c r="C203" s="2">
        <v>11614</v>
      </c>
      <c r="D203" s="1" t="s">
        <v>61</v>
      </c>
      <c r="E203" s="2">
        <v>40</v>
      </c>
      <c r="G203" s="5"/>
      <c r="H203" s="5"/>
      <c r="I203" s="5"/>
      <c r="AJ203" s="2">
        <v>145</v>
      </c>
      <c r="AK203" s="2">
        <v>145</v>
      </c>
      <c r="AL203" s="2">
        <f>11614/40</f>
        <v>290.35000000000002</v>
      </c>
      <c r="AM203" s="3">
        <f t="shared" si="230"/>
        <v>435.35</v>
      </c>
      <c r="AN203" s="2">
        <f t="shared" si="231"/>
        <v>11178.65</v>
      </c>
      <c r="AO203" s="4">
        <f t="shared" si="232"/>
        <v>290.35000000000002</v>
      </c>
      <c r="AP203" s="2">
        <f t="shared" si="233"/>
        <v>725.7</v>
      </c>
      <c r="AQ203" s="2">
        <f t="shared" si="234"/>
        <v>10888.3</v>
      </c>
      <c r="AR203" s="4">
        <f t="shared" si="235"/>
        <v>290.35000000000002</v>
      </c>
      <c r="AS203" s="5">
        <f t="shared" si="236"/>
        <v>1016.0500000000001</v>
      </c>
      <c r="AT203" s="2">
        <f t="shared" si="237"/>
        <v>10597.95</v>
      </c>
    </row>
    <row r="204" spans="1:46" x14ac:dyDescent="0.2">
      <c r="A204" s="1" t="s">
        <v>227</v>
      </c>
      <c r="B204" s="3" t="s">
        <v>221</v>
      </c>
      <c r="C204" s="2">
        <v>15000</v>
      </c>
      <c r="D204" s="1" t="s">
        <v>61</v>
      </c>
      <c r="E204" s="2">
        <v>40</v>
      </c>
      <c r="G204" s="5"/>
      <c r="H204" s="5"/>
      <c r="I204" s="5"/>
      <c r="AL204" s="2">
        <f>SUM(C204/E204/12*6)</f>
        <v>187.5</v>
      </c>
      <c r="AM204" s="3">
        <f t="shared" si="230"/>
        <v>187.5</v>
      </c>
      <c r="AN204" s="2">
        <f t="shared" si="231"/>
        <v>14812.5</v>
      </c>
      <c r="AO204" s="4">
        <f>15000/40</f>
        <v>375</v>
      </c>
      <c r="AP204" s="2">
        <f t="shared" si="233"/>
        <v>562.5</v>
      </c>
      <c r="AQ204" s="2">
        <f t="shared" si="234"/>
        <v>14437.5</v>
      </c>
      <c r="AR204" s="4">
        <f t="shared" si="235"/>
        <v>375</v>
      </c>
      <c r="AS204" s="5">
        <f t="shared" si="236"/>
        <v>937.5</v>
      </c>
      <c r="AT204" s="2">
        <f t="shared" si="237"/>
        <v>14062.5</v>
      </c>
    </row>
    <row r="205" spans="1:46" x14ac:dyDescent="0.2">
      <c r="A205" s="1" t="s">
        <v>227</v>
      </c>
      <c r="B205" s="3" t="s">
        <v>223</v>
      </c>
      <c r="C205" s="2">
        <v>12600</v>
      </c>
      <c r="D205" s="1" t="s">
        <v>61</v>
      </c>
      <c r="E205" s="2">
        <v>40</v>
      </c>
      <c r="G205" s="5"/>
      <c r="H205" s="5"/>
      <c r="I205" s="5"/>
      <c r="AM205" s="3"/>
      <c r="AN205" s="2">
        <v>12600</v>
      </c>
      <c r="AO205" s="4">
        <f>12600/40/12*6</f>
        <v>157.5</v>
      </c>
      <c r="AP205" s="2">
        <f t="shared" si="233"/>
        <v>157.5</v>
      </c>
      <c r="AQ205" s="2">
        <f t="shared" si="234"/>
        <v>12442.5</v>
      </c>
      <c r="AR205" s="4">
        <v>315</v>
      </c>
      <c r="AS205" s="5">
        <f t="shared" si="236"/>
        <v>472.5</v>
      </c>
      <c r="AT205" s="2">
        <f t="shared" si="237"/>
        <v>12127.5</v>
      </c>
    </row>
    <row r="206" spans="1:46" x14ac:dyDescent="0.2">
      <c r="A206" s="1" t="s">
        <v>227</v>
      </c>
      <c r="B206" s="3" t="s">
        <v>225</v>
      </c>
      <c r="C206" s="2">
        <v>17400</v>
      </c>
      <c r="D206" s="1" t="s">
        <v>61</v>
      </c>
      <c r="E206" s="2">
        <v>40</v>
      </c>
      <c r="G206" s="5"/>
      <c r="H206" s="5"/>
      <c r="I206" s="5"/>
      <c r="AM206" s="3"/>
      <c r="AO206" s="4"/>
      <c r="AP206" s="2">
        <f t="shared" si="233"/>
        <v>0</v>
      </c>
      <c r="AQ206" s="2">
        <v>17400</v>
      </c>
      <c r="AR206" s="4">
        <f>17400/40/2</f>
        <v>217.5</v>
      </c>
      <c r="AS206" s="5">
        <f t="shared" si="236"/>
        <v>217.5</v>
      </c>
      <c r="AT206" s="2">
        <f>AQ206-AR206</f>
        <v>17182.5</v>
      </c>
    </row>
    <row r="207" spans="1:46" x14ac:dyDescent="0.2">
      <c r="B207" s="3"/>
      <c r="G207" s="5"/>
      <c r="H207" s="5"/>
      <c r="I207" s="5"/>
      <c r="AM207" s="3"/>
      <c r="AO207" s="4"/>
      <c r="AR207" s="4"/>
      <c r="AS207" s="5"/>
    </row>
    <row r="208" spans="1:46" x14ac:dyDescent="0.2">
      <c r="C208" s="5">
        <f>SUM(C176:C207)</f>
        <v>1344172</v>
      </c>
      <c r="G208" s="5">
        <f t="shared" ref="G208:Q208" si="238">SUM(G176:G193)</f>
        <v>434109</v>
      </c>
      <c r="H208" s="5">
        <f t="shared" si="238"/>
        <v>26326</v>
      </c>
      <c r="I208" s="5">
        <f t="shared" si="238"/>
        <v>460435</v>
      </c>
      <c r="J208" s="5">
        <f t="shared" si="238"/>
        <v>26730.1875</v>
      </c>
      <c r="K208" s="5">
        <f t="shared" si="238"/>
        <v>487165.1875</v>
      </c>
      <c r="L208" s="5">
        <f t="shared" si="238"/>
        <v>27435.337500000001</v>
      </c>
      <c r="M208" s="5">
        <f t="shared" si="238"/>
        <v>514600.52500000002</v>
      </c>
      <c r="N208" s="5">
        <f t="shared" si="238"/>
        <v>28150.3</v>
      </c>
      <c r="O208" s="5">
        <f t="shared" si="238"/>
        <v>542750.82499999995</v>
      </c>
      <c r="P208" s="5">
        <f t="shared" si="238"/>
        <v>29166.924999999996</v>
      </c>
      <c r="Q208" s="5">
        <f t="shared" si="238"/>
        <v>571917.75</v>
      </c>
      <c r="R208" s="5">
        <f>SUM(R176:R194)</f>
        <v>29645.874999999996</v>
      </c>
      <c r="S208" s="5">
        <f>SUM(S176:S194)</f>
        <v>601563.62499999988</v>
      </c>
      <c r="T208" s="5">
        <f>SUM(T176:T195)</f>
        <v>30067.174999999996</v>
      </c>
      <c r="U208" s="5">
        <f>SUM(U176:U195)</f>
        <v>631630.79999999993</v>
      </c>
      <c r="V208" s="5">
        <f>SUM(V176:V199)</f>
        <v>30435.924999999996</v>
      </c>
      <c r="W208" s="5">
        <f>SUM(W176:W199)</f>
        <v>662066.72499999986</v>
      </c>
      <c r="X208" s="5">
        <f>SUM(X176:X198)</f>
        <v>30764.049999999996</v>
      </c>
      <c r="Y208" s="5">
        <f>SUM(Y176:Y198)</f>
        <v>692830.77499999979</v>
      </c>
      <c r="Z208" s="5">
        <f>SUM(Z176:Z198)</f>
        <v>31094.549999999996</v>
      </c>
      <c r="AA208" s="5">
        <f>SUM(AA176:AA198)</f>
        <v>723925.32499999984</v>
      </c>
      <c r="AB208" s="5">
        <f>SUM(AB176:AB199)</f>
        <v>31375.549999999996</v>
      </c>
      <c r="AC208" s="5">
        <f>SUM(AC176:AC199)</f>
        <v>755300.87499999977</v>
      </c>
      <c r="AD208" s="2">
        <f>SUM(AD176:AD200)</f>
        <v>31608.299999999996</v>
      </c>
      <c r="AE208" s="2">
        <f>SUM(AE176:AE200)</f>
        <v>786909.17499999981</v>
      </c>
      <c r="AF208" s="2">
        <f>SUM(AF176:AF203)</f>
        <v>31855.799999999996</v>
      </c>
      <c r="AG208" s="2">
        <f>SUM(AG176:AG203)</f>
        <v>818764.97499999974</v>
      </c>
      <c r="AH208" s="2">
        <f>SUM(AH176:AH202)</f>
        <v>32077.049999999996</v>
      </c>
      <c r="AI208" s="2">
        <f>SUM(AI176:AI202)</f>
        <v>850842.02499999967</v>
      </c>
      <c r="AJ208" s="5">
        <f>SUM(AJ176:AJ204)</f>
        <v>32334.549999999996</v>
      </c>
      <c r="AK208" s="5">
        <f>SUM(AK176:AK204)</f>
        <v>883176.57499999972</v>
      </c>
      <c r="AL208" s="5">
        <f>SUM(AL176:AL207)</f>
        <v>32667.399999999994</v>
      </c>
      <c r="AM208" s="5">
        <f>SUM(AM176:AM207)</f>
        <v>915843.97499999963</v>
      </c>
      <c r="AN208" s="5">
        <f>SUM(AN176:AN207)</f>
        <v>410928.02500000031</v>
      </c>
      <c r="AO208" s="6">
        <f>SUM(AO176:AO207)</f>
        <v>33012.399999999994</v>
      </c>
      <c r="AP208" s="5">
        <f>SUM(AP176:AP206)</f>
        <v>948856.37499999965</v>
      </c>
      <c r="AQ208" s="5">
        <f>SUM(AQ176:AQ207)</f>
        <v>395315.62500000029</v>
      </c>
      <c r="AR208" s="6">
        <f>SUM(AR176:AR207)</f>
        <v>33387.399999999994</v>
      </c>
      <c r="AS208" s="5">
        <f>SUM(AS176:AS206)</f>
        <v>982243.77499999967</v>
      </c>
      <c r="AT208" s="5">
        <f>SUM(AT176:AT207)</f>
        <v>361928.22500000038</v>
      </c>
    </row>
    <row r="209" spans="1:46" x14ac:dyDescent="0.2">
      <c r="A209" s="1" t="s">
        <v>229</v>
      </c>
      <c r="C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M209" s="3"/>
      <c r="AO209" s="4"/>
      <c r="AR209" s="4"/>
      <c r="AS209" s="5"/>
    </row>
    <row r="210" spans="1:46" x14ac:dyDescent="0.2">
      <c r="M210" s="2">
        <f>K210+L210</f>
        <v>0</v>
      </c>
      <c r="AM210" s="3"/>
      <c r="AO210" s="4"/>
      <c r="AR210" s="4"/>
      <c r="AS210" s="5"/>
    </row>
    <row r="211" spans="1:46" x14ac:dyDescent="0.2">
      <c r="A211" s="1" t="s">
        <v>230</v>
      </c>
      <c r="B211" s="3" t="s">
        <v>187</v>
      </c>
      <c r="C211" s="2">
        <v>12664</v>
      </c>
      <c r="D211" s="1" t="s">
        <v>61</v>
      </c>
      <c r="E211" s="2">
        <v>40</v>
      </c>
      <c r="G211" s="5"/>
      <c r="H211" s="5"/>
      <c r="I211" s="5"/>
      <c r="R211" s="2">
        <f>C211/40.5</f>
        <v>312.69135802469134</v>
      </c>
      <c r="S211" s="2">
        <f>Q211+R211</f>
        <v>312.69135802469134</v>
      </c>
      <c r="T211" s="2">
        <v>317</v>
      </c>
      <c r="U211" s="2">
        <f>S211+T211</f>
        <v>629.69135802469134</v>
      </c>
      <c r="V211" s="2">
        <f>T211</f>
        <v>317</v>
      </c>
      <c r="W211" s="2">
        <f>U211+V211</f>
        <v>946.69135802469134</v>
      </c>
      <c r="X211" s="2">
        <f>V211</f>
        <v>317</v>
      </c>
      <c r="Y211" s="2">
        <f>SUM(W211:X211)</f>
        <v>1263.6913580246915</v>
      </c>
      <c r="Z211" s="2">
        <f>X211</f>
        <v>317</v>
      </c>
      <c r="AA211" s="2">
        <f>SUM(Y211:Z211)</f>
        <v>1580.6913580246915</v>
      </c>
      <c r="AB211" s="2">
        <f>Z211</f>
        <v>317</v>
      </c>
      <c r="AC211" s="2">
        <f>SUM(AA211:AB211)</f>
        <v>1897.6913580246915</v>
      </c>
      <c r="AD211" s="2">
        <f>AB211</f>
        <v>317</v>
      </c>
      <c r="AE211" s="2">
        <f t="shared" ref="AE211:AE217" si="239">AC211+AD211</f>
        <v>2214.6913580246915</v>
      </c>
      <c r="AF211" s="2">
        <f t="shared" ref="AF211:AF216" si="240">AD211</f>
        <v>317</v>
      </c>
      <c r="AG211" s="2">
        <f t="shared" ref="AG211:AG218" si="241">AE211+AF211</f>
        <v>2531.6913580246915</v>
      </c>
      <c r="AH211" s="2">
        <f t="shared" ref="AH211:AH217" si="242">AF211</f>
        <v>317</v>
      </c>
      <c r="AI211" s="2">
        <f t="shared" ref="AI211:AI218" si="243">AG211+AH211</f>
        <v>2848.6913580246915</v>
      </c>
      <c r="AJ211" s="2">
        <f t="shared" ref="AJ211:AJ218" si="244">AH211</f>
        <v>317</v>
      </c>
      <c r="AK211" s="2">
        <v>3165.69</v>
      </c>
      <c r="AL211" s="2">
        <f t="shared" ref="AL211:AL221" si="245">AJ211</f>
        <v>317</v>
      </c>
      <c r="AM211" s="3">
        <v>3483</v>
      </c>
      <c r="AN211" s="2">
        <f t="shared" ref="AN211:AN230" si="246">C211-AM211</f>
        <v>9181</v>
      </c>
      <c r="AO211" s="4">
        <f t="shared" ref="AO211:AO230" si="247">AL211</f>
        <v>317</v>
      </c>
      <c r="AP211" s="2">
        <f t="shared" ref="AP211:AP220" si="248">AM211+AO211</f>
        <v>3800</v>
      </c>
      <c r="AQ211" s="2">
        <f t="shared" ref="AQ211:AQ230" si="249">AN211-AO211</f>
        <v>8864</v>
      </c>
      <c r="AR211" s="4">
        <f t="shared" ref="AR211:AR230" si="250">AO211</f>
        <v>317</v>
      </c>
      <c r="AS211" s="5">
        <f t="shared" ref="AS211:AS236" si="251">AP211+AR211</f>
        <v>4117</v>
      </c>
      <c r="AT211" s="2">
        <f t="shared" ref="AT211:AT230" si="252">C211-AS211</f>
        <v>8547</v>
      </c>
    </row>
    <row r="212" spans="1:46" x14ac:dyDescent="0.2">
      <c r="A212" s="1" t="s">
        <v>230</v>
      </c>
      <c r="B212" s="3" t="s">
        <v>189</v>
      </c>
      <c r="C212" s="2">
        <v>9800</v>
      </c>
      <c r="D212" s="1" t="s">
        <v>61</v>
      </c>
      <c r="E212" s="2">
        <v>40</v>
      </c>
      <c r="G212" s="5"/>
      <c r="H212" s="5"/>
      <c r="I212" s="5"/>
      <c r="T212" s="2">
        <v>123</v>
      </c>
      <c r="U212" s="2">
        <f>S212+T212</f>
        <v>123</v>
      </c>
      <c r="V212" s="2">
        <f>9800/40</f>
        <v>245</v>
      </c>
      <c r="W212" s="2">
        <f>U212+V212</f>
        <v>368</v>
      </c>
      <c r="X212" s="2">
        <f>V212</f>
        <v>245</v>
      </c>
      <c r="Y212" s="2">
        <f>SUM(W212:X212)</f>
        <v>613</v>
      </c>
      <c r="Z212" s="2">
        <f>X212</f>
        <v>245</v>
      </c>
      <c r="AA212" s="2">
        <f>SUM(Y212:Z212)</f>
        <v>858</v>
      </c>
      <c r="AB212" s="2">
        <f>Z212</f>
        <v>245</v>
      </c>
      <c r="AC212" s="2">
        <f>SUM(AA212:AB212)</f>
        <v>1103</v>
      </c>
      <c r="AD212" s="2">
        <f>AB212</f>
        <v>245</v>
      </c>
      <c r="AE212" s="2">
        <f t="shared" si="239"/>
        <v>1348</v>
      </c>
      <c r="AF212" s="2">
        <f t="shared" si="240"/>
        <v>245</v>
      </c>
      <c r="AG212" s="2">
        <f t="shared" si="241"/>
        <v>1593</v>
      </c>
      <c r="AH212" s="2">
        <f t="shared" si="242"/>
        <v>245</v>
      </c>
      <c r="AI212" s="2">
        <f t="shared" si="243"/>
        <v>1838</v>
      </c>
      <c r="AJ212" s="2">
        <f t="shared" si="244"/>
        <v>245</v>
      </c>
      <c r="AK212" s="2">
        <f t="shared" ref="AK212:AK220" si="253">SUM(AI212:AJ212)</f>
        <v>2083</v>
      </c>
      <c r="AL212" s="2">
        <f t="shared" si="245"/>
        <v>245</v>
      </c>
      <c r="AM212" s="3">
        <f t="shared" ref="AM212:AM220" si="254">SUM(AK212:AL212)</f>
        <v>2328</v>
      </c>
      <c r="AN212" s="2">
        <f t="shared" si="246"/>
        <v>7472</v>
      </c>
      <c r="AO212" s="4">
        <f t="shared" si="247"/>
        <v>245</v>
      </c>
      <c r="AP212" s="2">
        <f t="shared" si="248"/>
        <v>2573</v>
      </c>
      <c r="AQ212" s="2">
        <f t="shared" si="249"/>
        <v>7227</v>
      </c>
      <c r="AR212" s="4">
        <f t="shared" si="250"/>
        <v>245</v>
      </c>
      <c r="AS212" s="5">
        <f t="shared" si="251"/>
        <v>2818</v>
      </c>
      <c r="AT212" s="2">
        <f t="shared" si="252"/>
        <v>6982</v>
      </c>
    </row>
    <row r="213" spans="1:46" x14ac:dyDescent="0.2">
      <c r="A213" s="1" t="s">
        <v>230</v>
      </c>
      <c r="B213" s="3" t="s">
        <v>191</v>
      </c>
      <c r="C213" s="2">
        <v>9883</v>
      </c>
      <c r="D213" s="1" t="s">
        <v>61</v>
      </c>
      <c r="E213" s="2">
        <v>40</v>
      </c>
      <c r="G213" s="5"/>
      <c r="H213" s="5"/>
      <c r="I213" s="5"/>
      <c r="V213" s="2">
        <v>124</v>
      </c>
      <c r="W213" s="2">
        <f>U213+V213</f>
        <v>124</v>
      </c>
      <c r="X213" s="2">
        <f>9883/40</f>
        <v>247.07499999999999</v>
      </c>
      <c r="Y213" s="2">
        <f>SUM(W213:X213)</f>
        <v>371.07499999999999</v>
      </c>
      <c r="Z213" s="2">
        <f>X213</f>
        <v>247.07499999999999</v>
      </c>
      <c r="AA213" s="2">
        <f>SUM(Y213:Z213)</f>
        <v>618.15</v>
      </c>
      <c r="AB213" s="2">
        <f>Z213</f>
        <v>247.07499999999999</v>
      </c>
      <c r="AC213" s="2">
        <f>SUM(AA213:AB213)</f>
        <v>865.22499999999991</v>
      </c>
      <c r="AD213" s="2">
        <f>AB213</f>
        <v>247.07499999999999</v>
      </c>
      <c r="AE213" s="2">
        <f t="shared" si="239"/>
        <v>1112.3</v>
      </c>
      <c r="AF213" s="2">
        <f t="shared" si="240"/>
        <v>247.07499999999999</v>
      </c>
      <c r="AG213" s="2">
        <f t="shared" si="241"/>
        <v>1359.375</v>
      </c>
      <c r="AH213" s="2">
        <f t="shared" si="242"/>
        <v>247.07499999999999</v>
      </c>
      <c r="AI213" s="2">
        <f t="shared" si="243"/>
        <v>1606.45</v>
      </c>
      <c r="AJ213" s="2">
        <f t="shared" si="244"/>
        <v>247.07499999999999</v>
      </c>
      <c r="AK213" s="2">
        <f t="shared" si="253"/>
        <v>1853.5250000000001</v>
      </c>
      <c r="AL213" s="2">
        <f t="shared" si="245"/>
        <v>247.07499999999999</v>
      </c>
      <c r="AM213" s="3">
        <f t="shared" si="254"/>
        <v>2100.6</v>
      </c>
      <c r="AN213" s="2">
        <f t="shared" si="246"/>
        <v>7782.4</v>
      </c>
      <c r="AO213" s="4">
        <f t="shared" si="247"/>
        <v>247.07499999999999</v>
      </c>
      <c r="AP213" s="2">
        <f t="shared" si="248"/>
        <v>2347.6749999999997</v>
      </c>
      <c r="AQ213" s="2">
        <f t="shared" si="249"/>
        <v>7535.3249999999998</v>
      </c>
      <c r="AR213" s="4">
        <f t="shared" si="250"/>
        <v>247.07499999999999</v>
      </c>
      <c r="AS213" s="5">
        <f t="shared" si="251"/>
        <v>2594.7499999999995</v>
      </c>
      <c r="AT213" s="2">
        <f t="shared" si="252"/>
        <v>7288.25</v>
      </c>
    </row>
    <row r="214" spans="1:46" x14ac:dyDescent="0.2">
      <c r="A214" s="1" t="s">
        <v>230</v>
      </c>
      <c r="B214" s="3" t="s">
        <v>204</v>
      </c>
      <c r="C214" s="2">
        <v>7600</v>
      </c>
      <c r="D214" s="1" t="s">
        <v>61</v>
      </c>
      <c r="E214" s="2">
        <v>40</v>
      </c>
      <c r="G214" s="5"/>
      <c r="H214" s="5"/>
      <c r="I214" s="5"/>
      <c r="X214" s="2">
        <f>7600/40/2</f>
        <v>95</v>
      </c>
      <c r="Y214" s="2">
        <f>SUM(W214:X214)</f>
        <v>95</v>
      </c>
      <c r="Z214" s="2">
        <f>7600/40</f>
        <v>190</v>
      </c>
      <c r="AA214" s="2">
        <f>SUM(Y214:Z214)</f>
        <v>285</v>
      </c>
      <c r="AB214" s="2">
        <f>Z214</f>
        <v>190</v>
      </c>
      <c r="AC214" s="2">
        <f>SUM(AA214:AB214)</f>
        <v>475</v>
      </c>
      <c r="AD214" s="2">
        <f>AB214</f>
        <v>190</v>
      </c>
      <c r="AE214" s="2">
        <f t="shared" si="239"/>
        <v>665</v>
      </c>
      <c r="AF214" s="2">
        <f t="shared" si="240"/>
        <v>190</v>
      </c>
      <c r="AG214" s="2">
        <f t="shared" si="241"/>
        <v>855</v>
      </c>
      <c r="AH214" s="2">
        <f t="shared" si="242"/>
        <v>190</v>
      </c>
      <c r="AI214" s="2">
        <f t="shared" si="243"/>
        <v>1045</v>
      </c>
      <c r="AJ214" s="2">
        <f t="shared" si="244"/>
        <v>190</v>
      </c>
      <c r="AK214" s="2">
        <f t="shared" si="253"/>
        <v>1235</v>
      </c>
      <c r="AL214" s="2">
        <f t="shared" si="245"/>
        <v>190</v>
      </c>
      <c r="AM214" s="3">
        <f t="shared" si="254"/>
        <v>1425</v>
      </c>
      <c r="AN214" s="2">
        <f t="shared" si="246"/>
        <v>6175</v>
      </c>
      <c r="AO214" s="4">
        <f t="shared" si="247"/>
        <v>190</v>
      </c>
      <c r="AP214" s="2">
        <f t="shared" si="248"/>
        <v>1615</v>
      </c>
      <c r="AQ214" s="2">
        <f t="shared" si="249"/>
        <v>5985</v>
      </c>
      <c r="AR214" s="4">
        <f t="shared" si="250"/>
        <v>190</v>
      </c>
      <c r="AS214" s="5">
        <f t="shared" si="251"/>
        <v>1805</v>
      </c>
      <c r="AT214" s="2">
        <f t="shared" si="252"/>
        <v>5795</v>
      </c>
    </row>
    <row r="215" spans="1:46" x14ac:dyDescent="0.2">
      <c r="A215" s="1" t="s">
        <v>230</v>
      </c>
      <c r="B215" s="3" t="s">
        <v>206</v>
      </c>
      <c r="C215" s="2">
        <v>10000</v>
      </c>
      <c r="D215" s="1" t="s">
        <v>61</v>
      </c>
      <c r="E215" s="2">
        <v>40</v>
      </c>
      <c r="G215" s="5"/>
      <c r="H215" s="5"/>
      <c r="I215" s="5"/>
      <c r="Y215" s="2">
        <f>SUM(W215:X215)</f>
        <v>0</v>
      </c>
      <c r="Z215" s="2">
        <v>125</v>
      </c>
      <c r="AA215" s="2">
        <v>125</v>
      </c>
      <c r="AB215" s="2">
        <f>10000/40</f>
        <v>250</v>
      </c>
      <c r="AC215" s="2">
        <f>SUM(AA215:AB215)</f>
        <v>375</v>
      </c>
      <c r="AD215" s="2">
        <f>AB215</f>
        <v>250</v>
      </c>
      <c r="AE215" s="2">
        <f t="shared" si="239"/>
        <v>625</v>
      </c>
      <c r="AF215" s="2">
        <f t="shared" si="240"/>
        <v>250</v>
      </c>
      <c r="AG215" s="2">
        <f t="shared" si="241"/>
        <v>875</v>
      </c>
      <c r="AH215" s="2">
        <f t="shared" si="242"/>
        <v>250</v>
      </c>
      <c r="AI215" s="2">
        <f t="shared" si="243"/>
        <v>1125</v>
      </c>
      <c r="AJ215" s="2">
        <f t="shared" si="244"/>
        <v>250</v>
      </c>
      <c r="AK215" s="2">
        <f t="shared" si="253"/>
        <v>1375</v>
      </c>
      <c r="AL215" s="2">
        <f t="shared" si="245"/>
        <v>250</v>
      </c>
      <c r="AM215" s="3">
        <f t="shared" si="254"/>
        <v>1625</v>
      </c>
      <c r="AN215" s="2">
        <f t="shared" si="246"/>
        <v>8375</v>
      </c>
      <c r="AO215" s="4">
        <f t="shared" si="247"/>
        <v>250</v>
      </c>
      <c r="AP215" s="2">
        <f t="shared" si="248"/>
        <v>1875</v>
      </c>
      <c r="AQ215" s="2">
        <f t="shared" si="249"/>
        <v>8125</v>
      </c>
      <c r="AR215" s="4">
        <f t="shared" si="250"/>
        <v>250</v>
      </c>
      <c r="AS215" s="5">
        <f t="shared" si="251"/>
        <v>2125</v>
      </c>
      <c r="AT215" s="2">
        <f t="shared" si="252"/>
        <v>7875</v>
      </c>
    </row>
    <row r="216" spans="1:46" x14ac:dyDescent="0.2">
      <c r="A216" s="1" t="s">
        <v>230</v>
      </c>
      <c r="B216" s="3" t="s">
        <v>208</v>
      </c>
      <c r="C216" s="2">
        <v>5000</v>
      </c>
      <c r="D216" s="1" t="s">
        <v>61</v>
      </c>
      <c r="E216" s="2">
        <v>40</v>
      </c>
      <c r="G216" s="5"/>
      <c r="H216" s="5"/>
      <c r="I216" s="5"/>
      <c r="AB216" s="2">
        <v>62</v>
      </c>
      <c r="AC216" s="2">
        <v>62</v>
      </c>
      <c r="AD216" s="2">
        <f>5000/40</f>
        <v>125</v>
      </c>
      <c r="AE216" s="2">
        <f t="shared" si="239"/>
        <v>187</v>
      </c>
      <c r="AF216" s="2">
        <f t="shared" si="240"/>
        <v>125</v>
      </c>
      <c r="AG216" s="2">
        <f t="shared" si="241"/>
        <v>312</v>
      </c>
      <c r="AH216" s="2">
        <f t="shared" si="242"/>
        <v>125</v>
      </c>
      <c r="AI216" s="2">
        <f t="shared" si="243"/>
        <v>437</v>
      </c>
      <c r="AJ216" s="2">
        <f t="shared" si="244"/>
        <v>125</v>
      </c>
      <c r="AK216" s="2">
        <f t="shared" si="253"/>
        <v>562</v>
      </c>
      <c r="AL216" s="2">
        <f t="shared" si="245"/>
        <v>125</v>
      </c>
      <c r="AM216" s="3">
        <f t="shared" si="254"/>
        <v>687</v>
      </c>
      <c r="AN216" s="2">
        <f t="shared" si="246"/>
        <v>4313</v>
      </c>
      <c r="AO216" s="4">
        <f t="shared" si="247"/>
        <v>125</v>
      </c>
      <c r="AP216" s="2">
        <f t="shared" si="248"/>
        <v>812</v>
      </c>
      <c r="AQ216" s="2">
        <f t="shared" si="249"/>
        <v>4188</v>
      </c>
      <c r="AR216" s="4">
        <f t="shared" si="250"/>
        <v>125</v>
      </c>
      <c r="AS216" s="5">
        <f t="shared" si="251"/>
        <v>937</v>
      </c>
      <c r="AT216" s="2">
        <f t="shared" si="252"/>
        <v>4063</v>
      </c>
    </row>
    <row r="217" spans="1:46" x14ac:dyDescent="0.2">
      <c r="A217" s="1" t="s">
        <v>230</v>
      </c>
      <c r="B217" s="3" t="s">
        <v>102</v>
      </c>
      <c r="C217" s="2">
        <v>7400</v>
      </c>
      <c r="D217" s="1" t="s">
        <v>61</v>
      </c>
      <c r="E217" s="2">
        <v>40</v>
      </c>
      <c r="G217" s="5"/>
      <c r="H217" s="5"/>
      <c r="I217" s="5"/>
      <c r="AD217" s="2">
        <f>7400/40/2</f>
        <v>92.5</v>
      </c>
      <c r="AE217" s="2">
        <f t="shared" si="239"/>
        <v>92.5</v>
      </c>
      <c r="AF217" s="2">
        <f>7400/40</f>
        <v>185</v>
      </c>
      <c r="AG217" s="2">
        <f t="shared" si="241"/>
        <v>277.5</v>
      </c>
      <c r="AH217" s="2">
        <f t="shared" si="242"/>
        <v>185</v>
      </c>
      <c r="AI217" s="2">
        <f t="shared" si="243"/>
        <v>462.5</v>
      </c>
      <c r="AJ217" s="2">
        <f t="shared" si="244"/>
        <v>185</v>
      </c>
      <c r="AK217" s="2">
        <f t="shared" si="253"/>
        <v>647.5</v>
      </c>
      <c r="AL217" s="2">
        <f t="shared" si="245"/>
        <v>185</v>
      </c>
      <c r="AM217" s="3">
        <f t="shared" si="254"/>
        <v>832.5</v>
      </c>
      <c r="AN217" s="2">
        <f t="shared" si="246"/>
        <v>6567.5</v>
      </c>
      <c r="AO217" s="4">
        <f t="shared" si="247"/>
        <v>185</v>
      </c>
      <c r="AP217" s="2">
        <f t="shared" si="248"/>
        <v>1017.5</v>
      </c>
      <c r="AQ217" s="2">
        <f t="shared" si="249"/>
        <v>6382.5</v>
      </c>
      <c r="AR217" s="4">
        <f t="shared" si="250"/>
        <v>185</v>
      </c>
      <c r="AS217" s="5">
        <f t="shared" si="251"/>
        <v>1202.5</v>
      </c>
      <c r="AT217" s="2">
        <f t="shared" si="252"/>
        <v>6197.5</v>
      </c>
    </row>
    <row r="218" spans="1:46" x14ac:dyDescent="0.2">
      <c r="A218" s="1" t="s">
        <v>230</v>
      </c>
      <c r="B218" s="3" t="s">
        <v>212</v>
      </c>
      <c r="C218" s="2">
        <v>5800</v>
      </c>
      <c r="D218" s="1" t="s">
        <v>61</v>
      </c>
      <c r="E218" s="2">
        <v>40</v>
      </c>
      <c r="G218" s="5"/>
      <c r="H218" s="5"/>
      <c r="I218" s="5"/>
      <c r="AF218" s="2">
        <f>5800/40/2</f>
        <v>72.5</v>
      </c>
      <c r="AG218" s="2">
        <f t="shared" si="241"/>
        <v>72.5</v>
      </c>
      <c r="AH218" s="2">
        <f>5800/40</f>
        <v>145</v>
      </c>
      <c r="AI218" s="2">
        <f t="shared" si="243"/>
        <v>217.5</v>
      </c>
      <c r="AJ218" s="2">
        <f t="shared" si="244"/>
        <v>145</v>
      </c>
      <c r="AK218" s="2">
        <f t="shared" si="253"/>
        <v>362.5</v>
      </c>
      <c r="AL218" s="2">
        <f t="shared" si="245"/>
        <v>145</v>
      </c>
      <c r="AM218" s="3">
        <f t="shared" si="254"/>
        <v>507.5</v>
      </c>
      <c r="AN218" s="2">
        <f t="shared" si="246"/>
        <v>5292.5</v>
      </c>
      <c r="AO218" s="4">
        <f t="shared" si="247"/>
        <v>145</v>
      </c>
      <c r="AP218" s="2">
        <f t="shared" si="248"/>
        <v>652.5</v>
      </c>
      <c r="AQ218" s="2">
        <f t="shared" si="249"/>
        <v>5147.5</v>
      </c>
      <c r="AR218" s="4">
        <f t="shared" si="250"/>
        <v>145</v>
      </c>
      <c r="AS218" s="5">
        <f t="shared" si="251"/>
        <v>797.5</v>
      </c>
      <c r="AT218" s="2">
        <f t="shared" si="252"/>
        <v>5002.5</v>
      </c>
    </row>
    <row r="219" spans="1:46" x14ac:dyDescent="0.2">
      <c r="A219" s="1" t="s">
        <v>230</v>
      </c>
      <c r="B219" s="3" t="s">
        <v>214</v>
      </c>
      <c r="C219" s="2">
        <v>6000</v>
      </c>
      <c r="D219" s="1" t="s">
        <v>61</v>
      </c>
      <c r="E219" s="2">
        <v>40</v>
      </c>
      <c r="G219" s="5"/>
      <c r="H219" s="5"/>
      <c r="I219" s="5"/>
      <c r="AH219" s="2">
        <v>75</v>
      </c>
      <c r="AI219" s="2">
        <v>75</v>
      </c>
      <c r="AJ219" s="2">
        <f>6000/40</f>
        <v>150</v>
      </c>
      <c r="AK219" s="2">
        <f t="shared" si="253"/>
        <v>225</v>
      </c>
      <c r="AL219" s="2">
        <f t="shared" si="245"/>
        <v>150</v>
      </c>
      <c r="AM219" s="3">
        <f t="shared" si="254"/>
        <v>375</v>
      </c>
      <c r="AN219" s="2">
        <f t="shared" si="246"/>
        <v>5625</v>
      </c>
      <c r="AO219" s="4">
        <f t="shared" si="247"/>
        <v>150</v>
      </c>
      <c r="AP219" s="2">
        <f t="shared" si="248"/>
        <v>525</v>
      </c>
      <c r="AQ219" s="2">
        <f t="shared" si="249"/>
        <v>5475</v>
      </c>
      <c r="AR219" s="4">
        <f t="shared" si="250"/>
        <v>150</v>
      </c>
      <c r="AS219" s="5">
        <f t="shared" si="251"/>
        <v>675</v>
      </c>
      <c r="AT219" s="2">
        <f t="shared" si="252"/>
        <v>5325</v>
      </c>
    </row>
    <row r="220" spans="1:46" x14ac:dyDescent="0.2">
      <c r="A220" s="1" t="s">
        <v>231</v>
      </c>
      <c r="B220" s="3" t="s">
        <v>214</v>
      </c>
      <c r="C220" s="2">
        <v>16333.98</v>
      </c>
      <c r="D220" s="1" t="s">
        <v>61</v>
      </c>
      <c r="E220" s="2">
        <v>20</v>
      </c>
      <c r="G220" s="5"/>
      <c r="H220" s="5"/>
      <c r="I220" s="5"/>
      <c r="AG220" s="2">
        <f>AE220+AF220</f>
        <v>0</v>
      </c>
      <c r="AH220" s="2">
        <v>408.35</v>
      </c>
      <c r="AI220" s="2">
        <f>AG220+AH220</f>
        <v>408.35</v>
      </c>
      <c r="AJ220" s="2">
        <f>16334/20</f>
        <v>816.7</v>
      </c>
      <c r="AK220" s="2">
        <f t="shared" si="253"/>
        <v>1225.0500000000002</v>
      </c>
      <c r="AL220" s="2">
        <f t="shared" si="245"/>
        <v>816.7</v>
      </c>
      <c r="AM220" s="3">
        <f t="shared" si="254"/>
        <v>2041.7500000000002</v>
      </c>
      <c r="AN220" s="2">
        <f t="shared" si="246"/>
        <v>14292.23</v>
      </c>
      <c r="AO220" s="4">
        <f t="shared" si="247"/>
        <v>816.7</v>
      </c>
      <c r="AP220" s="2">
        <f t="shared" si="248"/>
        <v>2858.4500000000003</v>
      </c>
      <c r="AQ220" s="2">
        <f t="shared" si="249"/>
        <v>13475.529999999999</v>
      </c>
      <c r="AR220" s="4">
        <f t="shared" si="250"/>
        <v>816.7</v>
      </c>
      <c r="AS220" s="5">
        <f t="shared" si="251"/>
        <v>3675.1500000000005</v>
      </c>
      <c r="AT220" s="2">
        <f t="shared" si="252"/>
        <v>12658.829999999998</v>
      </c>
    </row>
    <row r="221" spans="1:46" x14ac:dyDescent="0.2">
      <c r="A221" s="1" t="s">
        <v>230</v>
      </c>
      <c r="B221" s="3" t="s">
        <v>218</v>
      </c>
      <c r="C221" s="2">
        <v>7742</v>
      </c>
      <c r="D221" s="1" t="s">
        <v>61</v>
      </c>
      <c r="E221" s="2">
        <v>20</v>
      </c>
      <c r="G221" s="5"/>
      <c r="H221" s="5"/>
      <c r="I221" s="5"/>
      <c r="AJ221" s="2">
        <v>194</v>
      </c>
      <c r="AK221" s="2">
        <v>194</v>
      </c>
      <c r="AL221" s="2">
        <f t="shared" si="245"/>
        <v>194</v>
      </c>
      <c r="AM221" s="3">
        <v>581</v>
      </c>
      <c r="AN221" s="2">
        <f t="shared" si="246"/>
        <v>7161</v>
      </c>
      <c r="AO221" s="4">
        <f t="shared" si="247"/>
        <v>194</v>
      </c>
      <c r="AP221" s="2">
        <v>968</v>
      </c>
      <c r="AQ221" s="2">
        <f t="shared" si="249"/>
        <v>6967</v>
      </c>
      <c r="AR221" s="4">
        <f t="shared" si="250"/>
        <v>194</v>
      </c>
      <c r="AS221" s="5">
        <f t="shared" si="251"/>
        <v>1162</v>
      </c>
      <c r="AT221" s="2">
        <f t="shared" si="252"/>
        <v>6580</v>
      </c>
    </row>
    <row r="222" spans="1:46" x14ac:dyDescent="0.2">
      <c r="A222" s="1" t="s">
        <v>230</v>
      </c>
      <c r="B222" s="3" t="s">
        <v>221</v>
      </c>
      <c r="C222" s="2">
        <v>11995</v>
      </c>
      <c r="D222" s="1" t="s">
        <v>61</v>
      </c>
      <c r="E222" s="2">
        <v>20</v>
      </c>
      <c r="G222" s="5"/>
      <c r="H222" s="5"/>
      <c r="I222" s="5"/>
      <c r="AL222" s="2">
        <f>SUM(C222/20/2)</f>
        <v>299.875</v>
      </c>
      <c r="AM222" s="3">
        <f t="shared" ref="AM222:AM230" si="255">SUM(AK222:AL222)</f>
        <v>299.875</v>
      </c>
      <c r="AN222" s="2">
        <f t="shared" si="246"/>
        <v>11695.125</v>
      </c>
      <c r="AO222" s="4">
        <f t="shared" si="247"/>
        <v>299.875</v>
      </c>
      <c r="AP222" s="2">
        <f>AM222+AO222</f>
        <v>599.75</v>
      </c>
      <c r="AQ222" s="2">
        <f t="shared" si="249"/>
        <v>11395.25</v>
      </c>
      <c r="AR222" s="4">
        <f t="shared" si="250"/>
        <v>299.875</v>
      </c>
      <c r="AS222" s="5">
        <f t="shared" si="251"/>
        <v>899.625</v>
      </c>
      <c r="AT222" s="2">
        <f t="shared" si="252"/>
        <v>11095.375</v>
      </c>
    </row>
    <row r="223" spans="1:46" x14ac:dyDescent="0.2">
      <c r="A223" s="3" t="s">
        <v>232</v>
      </c>
      <c r="B223" s="3" t="s">
        <v>233</v>
      </c>
      <c r="C223" s="2">
        <v>29116</v>
      </c>
      <c r="D223" s="1" t="s">
        <v>61</v>
      </c>
      <c r="E223" s="2">
        <v>20</v>
      </c>
      <c r="G223" s="5"/>
      <c r="H223" s="5"/>
      <c r="I223" s="5"/>
      <c r="AL223" s="2">
        <f>SUM(C223/E223/12*5.5)</f>
        <v>667.24166666666667</v>
      </c>
      <c r="AM223" s="3">
        <f t="shared" si="255"/>
        <v>667.24166666666667</v>
      </c>
      <c r="AN223" s="2">
        <f t="shared" si="246"/>
        <v>28448.758333333335</v>
      </c>
      <c r="AO223" s="4">
        <f t="shared" si="247"/>
        <v>667.24166666666667</v>
      </c>
      <c r="AP223" s="2">
        <f>AM223+AO223</f>
        <v>1334.4833333333333</v>
      </c>
      <c r="AQ223" s="2">
        <f t="shared" si="249"/>
        <v>27781.51666666667</v>
      </c>
      <c r="AR223" s="4">
        <f t="shared" si="250"/>
        <v>667.24166666666667</v>
      </c>
      <c r="AS223" s="5">
        <f t="shared" si="251"/>
        <v>2001.7249999999999</v>
      </c>
      <c r="AT223" s="2">
        <f t="shared" si="252"/>
        <v>27114.275000000001</v>
      </c>
    </row>
    <row r="224" spans="1:46" x14ac:dyDescent="0.2">
      <c r="A224" s="3" t="s">
        <v>234</v>
      </c>
      <c r="B224" s="3" t="s">
        <v>235</v>
      </c>
      <c r="C224" s="2">
        <v>68533</v>
      </c>
      <c r="D224" s="1" t="s">
        <v>61</v>
      </c>
      <c r="E224" s="2">
        <v>20</v>
      </c>
      <c r="G224" s="5"/>
      <c r="H224" s="5"/>
      <c r="I224" s="5"/>
      <c r="AL224" s="2">
        <f>SUM(C224/E224/12*4.5)</f>
        <v>1284.9937500000001</v>
      </c>
      <c r="AM224" s="3">
        <f t="shared" si="255"/>
        <v>1284.9937500000001</v>
      </c>
      <c r="AN224" s="2">
        <f t="shared" si="246"/>
        <v>67248.006250000006</v>
      </c>
      <c r="AO224" s="4">
        <f t="shared" si="247"/>
        <v>1284.9937500000001</v>
      </c>
      <c r="AP224" s="2">
        <f>AM224+AO224</f>
        <v>2569.9875000000002</v>
      </c>
      <c r="AQ224" s="2">
        <f t="shared" si="249"/>
        <v>65963.012500000012</v>
      </c>
      <c r="AR224" s="4">
        <f t="shared" si="250"/>
        <v>1284.9937500000001</v>
      </c>
      <c r="AS224" s="5">
        <f t="shared" si="251"/>
        <v>3854.9812500000003</v>
      </c>
      <c r="AT224" s="2">
        <f t="shared" si="252"/>
        <v>64678.018750000003</v>
      </c>
    </row>
    <row r="225" spans="1:46" x14ac:dyDescent="0.2">
      <c r="A225" s="3" t="s">
        <v>236</v>
      </c>
      <c r="B225" s="3" t="s">
        <v>237</v>
      </c>
      <c r="C225" s="2">
        <v>98885</v>
      </c>
      <c r="D225" s="1" t="s">
        <v>61</v>
      </c>
      <c r="E225" s="2">
        <v>20</v>
      </c>
      <c r="G225" s="5"/>
      <c r="H225" s="5"/>
      <c r="I225" s="5"/>
      <c r="AL225" s="2">
        <f>SUM(C225/E225/12*3.5)</f>
        <v>1442.0729166666665</v>
      </c>
      <c r="AM225" s="3">
        <f t="shared" si="255"/>
        <v>1442.0729166666665</v>
      </c>
      <c r="AN225" s="2">
        <f t="shared" si="246"/>
        <v>97442.927083333328</v>
      </c>
      <c r="AO225" s="4">
        <f t="shared" si="247"/>
        <v>1442.0729166666665</v>
      </c>
      <c r="AP225" s="2">
        <f>AM225+AO225</f>
        <v>2884.145833333333</v>
      </c>
      <c r="AQ225" s="2">
        <f t="shared" si="249"/>
        <v>96000.854166666657</v>
      </c>
      <c r="AR225" s="4">
        <f t="shared" si="250"/>
        <v>1442.0729166666665</v>
      </c>
      <c r="AS225" s="5">
        <f t="shared" si="251"/>
        <v>4326.21875</v>
      </c>
      <c r="AT225" s="2">
        <f t="shared" si="252"/>
        <v>94558.78125</v>
      </c>
    </row>
    <row r="226" spans="1:46" x14ac:dyDescent="0.2">
      <c r="A226" s="3" t="s">
        <v>238</v>
      </c>
      <c r="B226" s="3" t="s">
        <v>239</v>
      </c>
      <c r="C226" s="2">
        <v>124567</v>
      </c>
      <c r="D226" s="1" t="s">
        <v>61</v>
      </c>
      <c r="E226" s="2">
        <v>20</v>
      </c>
      <c r="G226" s="5"/>
      <c r="H226" s="5"/>
      <c r="I226" s="5"/>
      <c r="AL226" s="2">
        <f>SUM(C226/E226/12*2.5)</f>
        <v>1297.5729166666667</v>
      </c>
      <c r="AM226" s="3">
        <f t="shared" si="255"/>
        <v>1297.5729166666667</v>
      </c>
      <c r="AN226" s="2">
        <f t="shared" si="246"/>
        <v>123269.42708333333</v>
      </c>
      <c r="AO226" s="4">
        <f t="shared" si="247"/>
        <v>1297.5729166666667</v>
      </c>
      <c r="AP226" s="2">
        <v>2596</v>
      </c>
      <c r="AQ226" s="2">
        <f t="shared" si="249"/>
        <v>121971.85416666666</v>
      </c>
      <c r="AR226" s="4">
        <f t="shared" si="250"/>
        <v>1297.5729166666667</v>
      </c>
      <c r="AS226" s="5">
        <f t="shared" si="251"/>
        <v>3893.572916666667</v>
      </c>
      <c r="AT226" s="2">
        <f t="shared" si="252"/>
        <v>120673.42708333333</v>
      </c>
    </row>
    <row r="227" spans="1:46" x14ac:dyDescent="0.2">
      <c r="A227" s="3" t="s">
        <v>240</v>
      </c>
      <c r="B227" s="3" t="s">
        <v>241</v>
      </c>
      <c r="C227" s="2">
        <v>55760</v>
      </c>
      <c r="D227" s="1" t="s">
        <v>61</v>
      </c>
      <c r="E227" s="2">
        <v>20</v>
      </c>
      <c r="G227" s="5"/>
      <c r="H227" s="5"/>
      <c r="I227" s="5"/>
      <c r="AL227" s="2">
        <f>SUM(C227/E227/12*1.5)</f>
        <v>348.5</v>
      </c>
      <c r="AM227" s="3">
        <f t="shared" si="255"/>
        <v>348.5</v>
      </c>
      <c r="AN227" s="2">
        <f t="shared" si="246"/>
        <v>55411.5</v>
      </c>
      <c r="AO227" s="4">
        <f t="shared" si="247"/>
        <v>348.5</v>
      </c>
      <c r="AP227" s="2">
        <v>698</v>
      </c>
      <c r="AQ227" s="2">
        <f t="shared" si="249"/>
        <v>55063</v>
      </c>
      <c r="AR227" s="4">
        <f t="shared" si="250"/>
        <v>348.5</v>
      </c>
      <c r="AS227" s="5">
        <f t="shared" si="251"/>
        <v>1046.5</v>
      </c>
      <c r="AT227" s="2">
        <f t="shared" si="252"/>
        <v>54713.5</v>
      </c>
    </row>
    <row r="228" spans="1:46" x14ac:dyDescent="0.2">
      <c r="A228" s="3" t="s">
        <v>242</v>
      </c>
      <c r="B228" s="3" t="s">
        <v>243</v>
      </c>
      <c r="C228" s="2">
        <v>36944</v>
      </c>
      <c r="D228" s="1" t="s">
        <v>61</v>
      </c>
      <c r="E228" s="2">
        <v>20</v>
      </c>
      <c r="G228" s="5"/>
      <c r="H228" s="5"/>
      <c r="I228" s="5"/>
      <c r="AL228" s="2">
        <f>SUM(C228/E228/12*0.5)</f>
        <v>76.966666666666669</v>
      </c>
      <c r="AM228" s="3">
        <f t="shared" si="255"/>
        <v>76.966666666666669</v>
      </c>
      <c r="AN228" s="2">
        <f t="shared" si="246"/>
        <v>36867.033333333333</v>
      </c>
      <c r="AO228" s="4">
        <f t="shared" si="247"/>
        <v>76.966666666666669</v>
      </c>
      <c r="AP228" s="2">
        <f t="shared" ref="AP228:AP235" si="256">AM228+AO228</f>
        <v>153.93333333333334</v>
      </c>
      <c r="AQ228" s="2">
        <f t="shared" si="249"/>
        <v>36790.066666666666</v>
      </c>
      <c r="AR228" s="4">
        <f t="shared" si="250"/>
        <v>76.966666666666669</v>
      </c>
      <c r="AS228" s="5">
        <f t="shared" si="251"/>
        <v>230.9</v>
      </c>
      <c r="AT228" s="2">
        <f t="shared" si="252"/>
        <v>36713.1</v>
      </c>
    </row>
    <row r="229" spans="1:46" x14ac:dyDescent="0.2">
      <c r="A229" s="3" t="s">
        <v>244</v>
      </c>
      <c r="B229" s="3" t="s">
        <v>237</v>
      </c>
      <c r="C229" s="2">
        <v>1640</v>
      </c>
      <c r="D229" s="1" t="s">
        <v>61</v>
      </c>
      <c r="E229" s="2">
        <v>20</v>
      </c>
      <c r="G229" s="5"/>
      <c r="H229" s="5"/>
      <c r="I229" s="5"/>
      <c r="AL229" s="2">
        <f>SUM(C229/E229/12*3.5)</f>
        <v>23.916666666666664</v>
      </c>
      <c r="AM229" s="3">
        <f t="shared" si="255"/>
        <v>23.916666666666664</v>
      </c>
      <c r="AN229" s="2">
        <f t="shared" si="246"/>
        <v>1616.0833333333333</v>
      </c>
      <c r="AO229" s="4">
        <f t="shared" si="247"/>
        <v>23.916666666666664</v>
      </c>
      <c r="AP229" s="2">
        <f t="shared" si="256"/>
        <v>47.833333333333329</v>
      </c>
      <c r="AQ229" s="2">
        <f t="shared" si="249"/>
        <v>1592.1666666666665</v>
      </c>
      <c r="AR229" s="4">
        <f t="shared" si="250"/>
        <v>23.916666666666664</v>
      </c>
      <c r="AS229" s="5">
        <f t="shared" si="251"/>
        <v>71.75</v>
      </c>
      <c r="AT229" s="2">
        <f t="shared" si="252"/>
        <v>1568.25</v>
      </c>
    </row>
    <row r="230" spans="1:46" x14ac:dyDescent="0.2">
      <c r="A230" s="3" t="s">
        <v>245</v>
      </c>
      <c r="B230" s="3" t="s">
        <v>239</v>
      </c>
      <c r="C230" s="2">
        <v>1913</v>
      </c>
      <c r="D230" s="1" t="s">
        <v>61</v>
      </c>
      <c r="E230" s="2">
        <v>20</v>
      </c>
      <c r="G230" s="5"/>
      <c r="H230" s="5"/>
      <c r="I230" s="5"/>
      <c r="AL230" s="2">
        <f>SUM(C230/E230/12*2.5)</f>
        <v>19.927083333333336</v>
      </c>
      <c r="AM230" s="3">
        <f t="shared" si="255"/>
        <v>19.927083333333336</v>
      </c>
      <c r="AN230" s="2">
        <f t="shared" si="246"/>
        <v>1893.0729166666667</v>
      </c>
      <c r="AO230" s="4">
        <f t="shared" si="247"/>
        <v>19.927083333333336</v>
      </c>
      <c r="AP230" s="2">
        <f t="shared" si="256"/>
        <v>39.854166666666671</v>
      </c>
      <c r="AQ230" s="2">
        <f t="shared" si="249"/>
        <v>1873.1458333333335</v>
      </c>
      <c r="AR230" s="4">
        <f t="shared" si="250"/>
        <v>19.927083333333336</v>
      </c>
      <c r="AS230" s="5">
        <f t="shared" si="251"/>
        <v>59.781250000000007</v>
      </c>
      <c r="AT230" s="2">
        <f t="shared" si="252"/>
        <v>1853.21875</v>
      </c>
    </row>
    <row r="231" spans="1:46" x14ac:dyDescent="0.2">
      <c r="A231" s="1" t="s">
        <v>246</v>
      </c>
      <c r="B231" s="3" t="s">
        <v>247</v>
      </c>
      <c r="C231" s="2">
        <v>367339</v>
      </c>
      <c r="D231" s="1" t="s">
        <v>61</v>
      </c>
      <c r="E231" s="2">
        <v>20</v>
      </c>
      <c r="G231" s="5"/>
      <c r="H231" s="5"/>
      <c r="I231" s="5"/>
      <c r="AM231" s="3"/>
      <c r="AO231" s="4">
        <f>367339/20</f>
        <v>18366.95</v>
      </c>
      <c r="AP231" s="2">
        <f t="shared" si="256"/>
        <v>18366.95</v>
      </c>
      <c r="AQ231" s="2">
        <f>C231-AO231</f>
        <v>348972.05</v>
      </c>
      <c r="AR231" s="4">
        <f>367339/20</f>
        <v>18366.95</v>
      </c>
      <c r="AS231" s="5">
        <f t="shared" si="251"/>
        <v>36733.9</v>
      </c>
      <c r="AT231" s="2">
        <f t="shared" ref="AT231:AT236" si="257">AQ231-AR231</f>
        <v>330605.09999999998</v>
      </c>
    </row>
    <row r="232" spans="1:46" x14ac:dyDescent="0.2">
      <c r="A232" s="1" t="s">
        <v>230</v>
      </c>
      <c r="B232" s="1" t="s">
        <v>248</v>
      </c>
      <c r="C232" s="2">
        <v>13602</v>
      </c>
      <c r="D232" s="1" t="s">
        <v>61</v>
      </c>
      <c r="E232" s="2">
        <v>20</v>
      </c>
      <c r="G232" s="5">
        <f t="shared" ref="G232:R232" si="258">SUM(G211:G212)</f>
        <v>0</v>
      </c>
      <c r="H232" s="5">
        <f t="shared" si="258"/>
        <v>0</v>
      </c>
      <c r="I232" s="5">
        <f t="shared" si="258"/>
        <v>0</v>
      </c>
      <c r="J232" s="5">
        <f t="shared" si="258"/>
        <v>0</v>
      </c>
      <c r="K232" s="5">
        <f t="shared" si="258"/>
        <v>0</v>
      </c>
      <c r="L232" s="5">
        <f t="shared" si="258"/>
        <v>0</v>
      </c>
      <c r="M232" s="5">
        <f t="shared" si="258"/>
        <v>0</v>
      </c>
      <c r="N232" s="5">
        <f t="shared" si="258"/>
        <v>0</v>
      </c>
      <c r="O232" s="5">
        <f t="shared" si="258"/>
        <v>0</v>
      </c>
      <c r="P232" s="5">
        <f t="shared" si="258"/>
        <v>0</v>
      </c>
      <c r="Q232" s="5">
        <f t="shared" si="258"/>
        <v>0</v>
      </c>
      <c r="R232" s="5">
        <f t="shared" si="258"/>
        <v>312.69135802469134</v>
      </c>
      <c r="S232" s="5">
        <f>Q232+R232</f>
        <v>312.69135802469134</v>
      </c>
      <c r="T232" s="5">
        <f>SUM(T211:T212)</f>
        <v>440</v>
      </c>
      <c r="U232" s="5">
        <f>SUM(U211:U212)</f>
        <v>752.69135802469134</v>
      </c>
      <c r="V232" s="5">
        <f t="shared" ref="V232:AA232" si="259">SUM(V211:V215)</f>
        <v>686</v>
      </c>
      <c r="W232" s="5">
        <f t="shared" si="259"/>
        <v>1438.6913580246915</v>
      </c>
      <c r="X232" s="5">
        <f t="shared" si="259"/>
        <v>904.07500000000005</v>
      </c>
      <c r="Y232" s="5">
        <f t="shared" si="259"/>
        <v>2342.7663580246913</v>
      </c>
      <c r="Z232" s="5">
        <f t="shared" si="259"/>
        <v>1124.075</v>
      </c>
      <c r="AA232" s="5">
        <f t="shared" si="259"/>
        <v>3466.8413580246915</v>
      </c>
      <c r="AB232" s="5">
        <f>SUM(AB211:AB216)</f>
        <v>1311.075</v>
      </c>
      <c r="AC232" s="5">
        <f>SUM(AC211:AC216)</f>
        <v>4777.9163580246914</v>
      </c>
      <c r="AD232" s="2">
        <f>SUM(AD211:AD217)</f>
        <v>1466.575</v>
      </c>
      <c r="AE232" s="2">
        <f>SUM(AE211:AE217)</f>
        <v>6244.4913580246912</v>
      </c>
      <c r="AF232" s="2">
        <f>SUM(AF211:AF220)</f>
        <v>1631.575</v>
      </c>
      <c r="AG232" s="2">
        <f>SUM(AG211:AG220)</f>
        <v>7876.066358024691</v>
      </c>
      <c r="AH232" s="2">
        <f>SUM(AH211:AH220)</f>
        <v>2187.4250000000002</v>
      </c>
      <c r="AI232" s="2">
        <f>SUM(AI211:AI220)</f>
        <v>10063.491358024692</v>
      </c>
      <c r="AJ232" s="2">
        <f>SUM(AJ211:AJ231)</f>
        <v>2864.7750000000001</v>
      </c>
      <c r="AK232" s="2">
        <f>SUM(AK211:AK231)</f>
        <v>12928.264999999999</v>
      </c>
      <c r="AM232" s="3"/>
      <c r="AO232" s="4">
        <f>13602/20/12*5</f>
        <v>283.375</v>
      </c>
      <c r="AP232" s="2">
        <f t="shared" si="256"/>
        <v>283.375</v>
      </c>
      <c r="AQ232" s="2">
        <f>C232-AO232</f>
        <v>13318.625</v>
      </c>
      <c r="AR232" s="4">
        <f>AO232</f>
        <v>283.375</v>
      </c>
      <c r="AS232" s="5">
        <f t="shared" si="251"/>
        <v>566.75</v>
      </c>
      <c r="AT232" s="2">
        <f t="shared" si="257"/>
        <v>13035.25</v>
      </c>
    </row>
    <row r="233" spans="1:46" x14ac:dyDescent="0.2">
      <c r="A233" s="3" t="s">
        <v>230</v>
      </c>
      <c r="B233" s="1" t="s">
        <v>249</v>
      </c>
      <c r="C233" s="2">
        <v>3306</v>
      </c>
      <c r="D233" s="1" t="s">
        <v>61</v>
      </c>
      <c r="E233" s="2">
        <v>20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M233" s="3"/>
      <c r="AO233" s="4">
        <v>62</v>
      </c>
      <c r="AP233" s="2">
        <f t="shared" si="256"/>
        <v>62</v>
      </c>
      <c r="AQ233" s="2">
        <f>C233-AO233</f>
        <v>3244</v>
      </c>
      <c r="AR233" s="4">
        <f>3306/20</f>
        <v>165.3</v>
      </c>
      <c r="AS233" s="5">
        <f t="shared" si="251"/>
        <v>227.3</v>
      </c>
      <c r="AT233" s="2">
        <f t="shared" si="257"/>
        <v>3078.7</v>
      </c>
    </row>
    <row r="234" spans="1:46" x14ac:dyDescent="0.2">
      <c r="A234" s="3" t="s">
        <v>230</v>
      </c>
      <c r="B234" s="1" t="s">
        <v>250</v>
      </c>
      <c r="C234" s="2">
        <v>5512</v>
      </c>
      <c r="D234" s="1" t="s">
        <v>61</v>
      </c>
      <c r="E234" s="2">
        <v>20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M234" s="3"/>
      <c r="AO234" s="4">
        <v>5</v>
      </c>
      <c r="AP234" s="2">
        <f t="shared" si="256"/>
        <v>5</v>
      </c>
      <c r="AQ234" s="2">
        <f>C234-AO234</f>
        <v>5507</v>
      </c>
      <c r="AR234" s="4">
        <f>5512/20</f>
        <v>275.60000000000002</v>
      </c>
      <c r="AS234" s="5">
        <f t="shared" si="251"/>
        <v>280.60000000000002</v>
      </c>
      <c r="AT234" s="2">
        <f t="shared" si="257"/>
        <v>5231.3999999999996</v>
      </c>
    </row>
    <row r="235" spans="1:46" x14ac:dyDescent="0.2">
      <c r="A235" s="1" t="s">
        <v>230</v>
      </c>
      <c r="B235" s="1" t="s">
        <v>223</v>
      </c>
      <c r="C235" s="2">
        <v>8400</v>
      </c>
      <c r="D235" s="1" t="s">
        <v>61</v>
      </c>
      <c r="E235" s="2">
        <v>20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M235" s="3"/>
      <c r="AO235" s="4">
        <f>8400/20/2</f>
        <v>210</v>
      </c>
      <c r="AP235" s="2">
        <f t="shared" si="256"/>
        <v>210</v>
      </c>
      <c r="AQ235" s="2">
        <f>C235-AO235</f>
        <v>8190</v>
      </c>
      <c r="AR235" s="4">
        <f>8400/20</f>
        <v>420</v>
      </c>
      <c r="AS235" s="5">
        <f t="shared" si="251"/>
        <v>630</v>
      </c>
      <c r="AT235" s="2">
        <f t="shared" si="257"/>
        <v>7770</v>
      </c>
    </row>
    <row r="236" spans="1:46" x14ac:dyDescent="0.2">
      <c r="A236" s="1" t="s">
        <v>230</v>
      </c>
      <c r="B236" s="3" t="s">
        <v>225</v>
      </c>
      <c r="C236" s="2">
        <v>11600</v>
      </c>
      <c r="D236" s="1" t="s">
        <v>61</v>
      </c>
      <c r="E236" s="2">
        <v>20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M236" s="3"/>
      <c r="AO236" s="4"/>
      <c r="AQ236" s="2">
        <v>11600</v>
      </c>
      <c r="AR236" s="4">
        <f>11600/20/2</f>
        <v>290</v>
      </c>
      <c r="AS236" s="5">
        <f t="shared" si="251"/>
        <v>290</v>
      </c>
      <c r="AT236" s="2">
        <f t="shared" si="257"/>
        <v>11310</v>
      </c>
    </row>
    <row r="237" spans="1:46" x14ac:dyDescent="0.2">
      <c r="C237" s="2">
        <f>SUM(C211:C236)</f>
        <v>937334.98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L237" s="2">
        <f>SUM(AL211:AL236)</f>
        <v>8325.8416666666672</v>
      </c>
      <c r="AM237" s="3">
        <f>SUM(AM211:AM236)</f>
        <v>21447.416666666672</v>
      </c>
      <c r="AN237" s="2">
        <f>SUM(AN211:AN236)</f>
        <v>506128.5633333333</v>
      </c>
      <c r="AO237" s="6">
        <f>SUM(AO211:AO235)</f>
        <v>27253.166666666668</v>
      </c>
      <c r="AP237" s="2">
        <f>SUM(AP211:AP236)</f>
        <v>48895.4375</v>
      </c>
      <c r="AQ237" s="2">
        <f>SUM(AQ211:AQ236)</f>
        <v>888634.39666666673</v>
      </c>
      <c r="AR237" s="4">
        <f>SUM(AR211:AR236)</f>
        <v>28127.066666666666</v>
      </c>
      <c r="AS237" s="5">
        <f>SUM(AS211:AS236)</f>
        <v>77022.504166666666</v>
      </c>
      <c r="AT237" s="2">
        <f>SUM(AT211:AT236)</f>
        <v>860312.47583333321</v>
      </c>
    </row>
    <row r="238" spans="1:46" x14ac:dyDescent="0.2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M238" s="3"/>
      <c r="AO238" s="4"/>
      <c r="AR238" s="4"/>
      <c r="AS238" s="5"/>
    </row>
    <row r="239" spans="1:46" x14ac:dyDescent="0.2">
      <c r="A239" s="1" t="s">
        <v>251</v>
      </c>
      <c r="G239" s="5"/>
      <c r="H239" s="5"/>
      <c r="I239" s="5"/>
      <c r="M239" s="2">
        <f t="shared" ref="M239:M255" si="260">K239+L239</f>
        <v>0</v>
      </c>
      <c r="AM239" s="3"/>
      <c r="AO239" s="4"/>
      <c r="AR239" s="4"/>
      <c r="AS239" s="5"/>
    </row>
    <row r="240" spans="1:46" x14ac:dyDescent="0.2">
      <c r="M240" s="2">
        <f t="shared" si="260"/>
        <v>0</v>
      </c>
      <c r="AM240" s="3"/>
      <c r="AO240" s="4"/>
      <c r="AR240" s="4"/>
      <c r="AS240" s="5"/>
    </row>
    <row r="241" spans="1:48" x14ac:dyDescent="0.2">
      <c r="A241" s="1" t="s">
        <v>252</v>
      </c>
      <c r="B241" s="1" t="s">
        <v>60</v>
      </c>
      <c r="C241" s="2">
        <v>42198</v>
      </c>
      <c r="D241" s="1" t="s">
        <v>61</v>
      </c>
      <c r="E241" s="2">
        <v>40</v>
      </c>
      <c r="G241" s="2">
        <v>22406</v>
      </c>
      <c r="H241" s="2">
        <v>1055</v>
      </c>
      <c r="I241" s="2">
        <f t="shared" ref="I241:I253" si="261">SUM(G241:H241)</f>
        <v>23461</v>
      </c>
      <c r="J241" s="2">
        <f t="shared" ref="J241:J253" si="262">H241</f>
        <v>1055</v>
      </c>
      <c r="K241" s="2">
        <f t="shared" ref="K241:K254" si="263">I241+J241</f>
        <v>24516</v>
      </c>
      <c r="L241" s="2">
        <f t="shared" ref="L241:L253" si="264">J241</f>
        <v>1055</v>
      </c>
      <c r="M241" s="2">
        <f t="shared" si="260"/>
        <v>25571</v>
      </c>
      <c r="N241" s="2">
        <f t="shared" ref="N241:N254" si="265">L241</f>
        <v>1055</v>
      </c>
      <c r="O241" s="2">
        <f t="shared" ref="O241:O256" si="266">M241+N241</f>
        <v>26626</v>
      </c>
      <c r="P241" s="2">
        <f t="shared" ref="P241:P256" si="267">C241/E241</f>
        <v>1054.95</v>
      </c>
      <c r="Q241" s="2">
        <f t="shared" ref="Q241:Q257" si="268">O241+P241</f>
        <v>27680.95</v>
      </c>
      <c r="R241" s="2">
        <f t="shared" ref="R241:R257" si="269">SUM(C241/E241)</f>
        <v>1054.95</v>
      </c>
      <c r="S241" s="2">
        <f t="shared" ref="S241:S258" si="270">Q241+R241</f>
        <v>28735.9</v>
      </c>
      <c r="T241" s="2">
        <f t="shared" ref="T241:T257" si="271">R241</f>
        <v>1054.95</v>
      </c>
      <c r="U241" s="2">
        <f t="shared" ref="U241:U259" si="272">S241+T241</f>
        <v>29790.850000000002</v>
      </c>
      <c r="V241" s="2">
        <f t="shared" ref="V241:V258" si="273">T241</f>
        <v>1054.95</v>
      </c>
      <c r="W241" s="2">
        <f t="shared" ref="W241:W260" si="274">U241+V241</f>
        <v>30845.800000000003</v>
      </c>
      <c r="X241" s="2">
        <f t="shared" ref="X241:X259" si="275">V241</f>
        <v>1054.95</v>
      </c>
      <c r="Y241" s="2">
        <f t="shared" ref="Y241:Y262" si="276">SUM(W241:X241)</f>
        <v>31900.750000000004</v>
      </c>
      <c r="Z241" s="2">
        <f t="shared" ref="Z241:Z261" si="277">X241</f>
        <v>1054.95</v>
      </c>
      <c r="AA241" s="2">
        <f t="shared" ref="AA241:AA262" si="278">SUM(Y241:Z241)</f>
        <v>32955.700000000004</v>
      </c>
      <c r="AB241" s="2">
        <f t="shared" ref="AB241:AB262" si="279">Z241</f>
        <v>1054.95</v>
      </c>
      <c r="AC241" s="2">
        <f t="shared" ref="AC241:AC263" si="280">SUM(AA241:AB241)</f>
        <v>34010.65</v>
      </c>
      <c r="AD241" s="2">
        <f t="shared" ref="AD241:AD263" si="281">AB241</f>
        <v>1054.95</v>
      </c>
      <c r="AE241" s="2">
        <f t="shared" ref="AE241:AE265" si="282">AC241+AD241</f>
        <v>35065.599999999999</v>
      </c>
      <c r="AF241" s="2">
        <f t="shared" ref="AF241:AF264" si="283">AD241</f>
        <v>1054.95</v>
      </c>
      <c r="AG241" s="2">
        <f t="shared" ref="AG241:AG266" si="284">AE241+AF241</f>
        <v>36120.549999999996</v>
      </c>
      <c r="AH241" s="2">
        <f t="shared" ref="AH241:AH264" si="285">AF241</f>
        <v>1054.95</v>
      </c>
      <c r="AI241" s="2">
        <f t="shared" ref="AI241:AI266" si="286">AG241+AH241</f>
        <v>37175.499999999993</v>
      </c>
      <c r="AJ241" s="2">
        <f t="shared" ref="AJ241:AJ266" si="287">AH241</f>
        <v>1054.95</v>
      </c>
      <c r="AK241" s="2">
        <f t="shared" ref="AK241:AK267" si="288">SUM(AI241:AJ241)</f>
        <v>38230.44999999999</v>
      </c>
      <c r="AL241" s="2">
        <f t="shared" ref="AL241:AL266" si="289">AJ241</f>
        <v>1054.95</v>
      </c>
      <c r="AM241" s="3">
        <f t="shared" ref="AM241:AM269" si="290">SUM(AK241:AL241)</f>
        <v>39285.399999999987</v>
      </c>
      <c r="AN241" s="2">
        <f t="shared" ref="AN241:AN269" si="291">C241-AM241</f>
        <v>2912.6000000000131</v>
      </c>
      <c r="AO241" s="4">
        <f t="shared" ref="AO241:AO268" si="292">AL241</f>
        <v>1054.95</v>
      </c>
      <c r="AP241" s="2">
        <f t="shared" ref="AP241:AP271" si="293">AM241+AO241</f>
        <v>40340.349999999984</v>
      </c>
      <c r="AQ241" s="2">
        <f t="shared" ref="AQ241:AQ270" si="294">AN241-AO241</f>
        <v>1857.6500000000131</v>
      </c>
      <c r="AR241" s="4">
        <f t="shared" ref="AR241:AR269" si="295">AO241</f>
        <v>1054.95</v>
      </c>
      <c r="AS241" s="5">
        <f t="shared" ref="AS241:AS271" si="296">AP241+AR241</f>
        <v>41395.299999999981</v>
      </c>
      <c r="AT241" s="2">
        <f t="shared" ref="AT241:AT269" si="297">C241-AS241</f>
        <v>802.70000000001892</v>
      </c>
      <c r="AV241" s="8"/>
    </row>
    <row r="242" spans="1:48" x14ac:dyDescent="0.2">
      <c r="A242" s="1" t="s">
        <v>252</v>
      </c>
      <c r="B242" s="1" t="s">
        <v>145</v>
      </c>
      <c r="C242" s="2">
        <v>7300</v>
      </c>
      <c r="D242" s="1" t="s">
        <v>61</v>
      </c>
      <c r="E242" s="2">
        <v>40</v>
      </c>
      <c r="G242" s="2">
        <v>1830</v>
      </c>
      <c r="H242" s="2">
        <v>183</v>
      </c>
      <c r="I242" s="2">
        <f t="shared" si="261"/>
        <v>2013</v>
      </c>
      <c r="J242" s="2">
        <f t="shared" si="262"/>
        <v>183</v>
      </c>
      <c r="K242" s="2">
        <f t="shared" si="263"/>
        <v>2196</v>
      </c>
      <c r="L242" s="2">
        <f t="shared" si="264"/>
        <v>183</v>
      </c>
      <c r="M242" s="2">
        <f t="shared" si="260"/>
        <v>2379</v>
      </c>
      <c r="N242" s="2">
        <f t="shared" si="265"/>
        <v>183</v>
      </c>
      <c r="O242" s="2">
        <f t="shared" si="266"/>
        <v>2562</v>
      </c>
      <c r="P242" s="2">
        <f t="shared" si="267"/>
        <v>182.5</v>
      </c>
      <c r="Q242" s="2">
        <f t="shared" si="268"/>
        <v>2744.5</v>
      </c>
      <c r="R242" s="2">
        <f t="shared" si="269"/>
        <v>182.5</v>
      </c>
      <c r="S242" s="2">
        <f t="shared" si="270"/>
        <v>2927</v>
      </c>
      <c r="T242" s="2">
        <f t="shared" si="271"/>
        <v>182.5</v>
      </c>
      <c r="U242" s="2">
        <f t="shared" si="272"/>
        <v>3109.5</v>
      </c>
      <c r="V242" s="2">
        <f t="shared" si="273"/>
        <v>182.5</v>
      </c>
      <c r="W242" s="2">
        <f t="shared" si="274"/>
        <v>3292</v>
      </c>
      <c r="X242" s="2">
        <f t="shared" si="275"/>
        <v>182.5</v>
      </c>
      <c r="Y242" s="2">
        <f t="shared" si="276"/>
        <v>3474.5</v>
      </c>
      <c r="Z242" s="2">
        <f t="shared" si="277"/>
        <v>182.5</v>
      </c>
      <c r="AA242" s="2">
        <f t="shared" si="278"/>
        <v>3657</v>
      </c>
      <c r="AB242" s="2">
        <f t="shared" si="279"/>
        <v>182.5</v>
      </c>
      <c r="AC242" s="2">
        <f t="shared" si="280"/>
        <v>3839.5</v>
      </c>
      <c r="AD242" s="2">
        <f t="shared" si="281"/>
        <v>182.5</v>
      </c>
      <c r="AE242" s="2">
        <f t="shared" si="282"/>
        <v>4022</v>
      </c>
      <c r="AF242" s="2">
        <f t="shared" si="283"/>
        <v>182.5</v>
      </c>
      <c r="AG242" s="2">
        <f t="shared" si="284"/>
        <v>4204.5</v>
      </c>
      <c r="AH242" s="2">
        <f t="shared" si="285"/>
        <v>182.5</v>
      </c>
      <c r="AI242" s="2">
        <f t="shared" si="286"/>
        <v>4387</v>
      </c>
      <c r="AJ242" s="2">
        <f t="shared" si="287"/>
        <v>182.5</v>
      </c>
      <c r="AK242" s="2">
        <f t="shared" si="288"/>
        <v>4569.5</v>
      </c>
      <c r="AL242" s="2">
        <f t="shared" si="289"/>
        <v>182.5</v>
      </c>
      <c r="AM242" s="3">
        <f t="shared" si="290"/>
        <v>4752</v>
      </c>
      <c r="AN242" s="2">
        <f t="shared" si="291"/>
        <v>2548</v>
      </c>
      <c r="AO242" s="4">
        <f t="shared" si="292"/>
        <v>182.5</v>
      </c>
      <c r="AP242" s="2">
        <f t="shared" si="293"/>
        <v>4934.5</v>
      </c>
      <c r="AQ242" s="2">
        <f t="shared" si="294"/>
        <v>2365.5</v>
      </c>
      <c r="AR242" s="4">
        <f t="shared" si="295"/>
        <v>182.5</v>
      </c>
      <c r="AS242" s="5">
        <f t="shared" si="296"/>
        <v>5117</v>
      </c>
      <c r="AT242" s="2">
        <f t="shared" si="297"/>
        <v>2183</v>
      </c>
      <c r="AV242" s="8"/>
    </row>
    <row r="243" spans="1:48" x14ac:dyDescent="0.2">
      <c r="A243" s="1" t="s">
        <v>252</v>
      </c>
      <c r="B243" s="1" t="s">
        <v>171</v>
      </c>
      <c r="C243" s="2">
        <v>1620</v>
      </c>
      <c r="D243" s="1" t="s">
        <v>61</v>
      </c>
      <c r="E243" s="2">
        <v>40</v>
      </c>
      <c r="G243" s="2">
        <v>348</v>
      </c>
      <c r="H243" s="2">
        <v>41</v>
      </c>
      <c r="I243" s="2">
        <f t="shared" si="261"/>
        <v>389</v>
      </c>
      <c r="J243" s="2">
        <f t="shared" si="262"/>
        <v>41</v>
      </c>
      <c r="K243" s="2">
        <f t="shared" si="263"/>
        <v>430</v>
      </c>
      <c r="L243" s="2">
        <f t="shared" si="264"/>
        <v>41</v>
      </c>
      <c r="M243" s="2">
        <f t="shared" si="260"/>
        <v>471</v>
      </c>
      <c r="N243" s="2">
        <f t="shared" si="265"/>
        <v>41</v>
      </c>
      <c r="O243" s="2">
        <f t="shared" si="266"/>
        <v>512</v>
      </c>
      <c r="P243" s="2">
        <f t="shared" si="267"/>
        <v>40.5</v>
      </c>
      <c r="Q243" s="2">
        <f t="shared" si="268"/>
        <v>552.5</v>
      </c>
      <c r="R243" s="2">
        <f t="shared" si="269"/>
        <v>40.5</v>
      </c>
      <c r="S243" s="2">
        <f t="shared" si="270"/>
        <v>593</v>
      </c>
      <c r="T243" s="2">
        <f t="shared" si="271"/>
        <v>40.5</v>
      </c>
      <c r="U243" s="2">
        <f t="shared" si="272"/>
        <v>633.5</v>
      </c>
      <c r="V243" s="2">
        <f t="shared" si="273"/>
        <v>40.5</v>
      </c>
      <c r="W243" s="2">
        <f t="shared" si="274"/>
        <v>674</v>
      </c>
      <c r="X243" s="2">
        <f t="shared" si="275"/>
        <v>40.5</v>
      </c>
      <c r="Y243" s="2">
        <f t="shared" si="276"/>
        <v>714.5</v>
      </c>
      <c r="Z243" s="2">
        <f t="shared" si="277"/>
        <v>40.5</v>
      </c>
      <c r="AA243" s="2">
        <f t="shared" si="278"/>
        <v>755</v>
      </c>
      <c r="AB243" s="2">
        <f t="shared" si="279"/>
        <v>40.5</v>
      </c>
      <c r="AC243" s="2">
        <f t="shared" si="280"/>
        <v>795.5</v>
      </c>
      <c r="AD243" s="2">
        <f t="shared" si="281"/>
        <v>40.5</v>
      </c>
      <c r="AE243" s="2">
        <f t="shared" si="282"/>
        <v>836</v>
      </c>
      <c r="AF243" s="2">
        <f t="shared" si="283"/>
        <v>40.5</v>
      </c>
      <c r="AG243" s="2">
        <f t="shared" si="284"/>
        <v>876.5</v>
      </c>
      <c r="AH243" s="2">
        <f t="shared" si="285"/>
        <v>40.5</v>
      </c>
      <c r="AI243" s="2">
        <f t="shared" si="286"/>
        <v>917</v>
      </c>
      <c r="AJ243" s="2">
        <f t="shared" si="287"/>
        <v>40.5</v>
      </c>
      <c r="AK243" s="2">
        <f t="shared" si="288"/>
        <v>957.5</v>
      </c>
      <c r="AL243" s="2">
        <f t="shared" si="289"/>
        <v>40.5</v>
      </c>
      <c r="AM243" s="3">
        <f t="shared" si="290"/>
        <v>998</v>
      </c>
      <c r="AN243" s="2">
        <f t="shared" si="291"/>
        <v>622</v>
      </c>
      <c r="AO243" s="4">
        <f t="shared" si="292"/>
        <v>40.5</v>
      </c>
      <c r="AP243" s="2">
        <f t="shared" si="293"/>
        <v>1038.5</v>
      </c>
      <c r="AQ243" s="2">
        <f t="shared" si="294"/>
        <v>581.5</v>
      </c>
      <c r="AR243" s="4">
        <f t="shared" si="295"/>
        <v>40.5</v>
      </c>
      <c r="AS243" s="5">
        <f t="shared" si="296"/>
        <v>1079</v>
      </c>
      <c r="AT243" s="2">
        <f t="shared" si="297"/>
        <v>541</v>
      </c>
      <c r="AV243" s="8"/>
    </row>
    <row r="244" spans="1:48" x14ac:dyDescent="0.2">
      <c r="A244" s="1" t="s">
        <v>252</v>
      </c>
      <c r="B244" s="1" t="s">
        <v>38</v>
      </c>
      <c r="C244" s="2">
        <v>6950</v>
      </c>
      <c r="D244" s="1" t="s">
        <v>61</v>
      </c>
      <c r="E244" s="2">
        <v>40</v>
      </c>
      <c r="G244" s="2">
        <v>1479</v>
      </c>
      <c r="H244" s="2">
        <v>174</v>
      </c>
      <c r="I244" s="2">
        <f t="shared" si="261"/>
        <v>1653</v>
      </c>
      <c r="J244" s="2">
        <f t="shared" si="262"/>
        <v>174</v>
      </c>
      <c r="K244" s="2">
        <f t="shared" si="263"/>
        <v>1827</v>
      </c>
      <c r="L244" s="2">
        <f t="shared" si="264"/>
        <v>174</v>
      </c>
      <c r="M244" s="2">
        <f t="shared" si="260"/>
        <v>2001</v>
      </c>
      <c r="N244" s="2">
        <f t="shared" si="265"/>
        <v>174</v>
      </c>
      <c r="O244" s="2">
        <f t="shared" si="266"/>
        <v>2175</v>
      </c>
      <c r="P244" s="2">
        <f t="shared" si="267"/>
        <v>173.75</v>
      </c>
      <c r="Q244" s="2">
        <f t="shared" si="268"/>
        <v>2348.75</v>
      </c>
      <c r="R244" s="2">
        <f t="shared" si="269"/>
        <v>173.75</v>
      </c>
      <c r="S244" s="2">
        <f t="shared" si="270"/>
        <v>2522.5</v>
      </c>
      <c r="T244" s="2">
        <f t="shared" si="271"/>
        <v>173.75</v>
      </c>
      <c r="U244" s="2">
        <f t="shared" si="272"/>
        <v>2696.25</v>
      </c>
      <c r="V244" s="2">
        <f t="shared" si="273"/>
        <v>173.75</v>
      </c>
      <c r="W244" s="2">
        <f t="shared" si="274"/>
        <v>2870</v>
      </c>
      <c r="X244" s="2">
        <f t="shared" si="275"/>
        <v>173.75</v>
      </c>
      <c r="Y244" s="2">
        <f t="shared" si="276"/>
        <v>3043.75</v>
      </c>
      <c r="Z244" s="2">
        <f t="shared" si="277"/>
        <v>173.75</v>
      </c>
      <c r="AA244" s="2">
        <f t="shared" si="278"/>
        <v>3217.5</v>
      </c>
      <c r="AB244" s="2">
        <f t="shared" si="279"/>
        <v>173.75</v>
      </c>
      <c r="AC244" s="2">
        <f t="shared" si="280"/>
        <v>3391.25</v>
      </c>
      <c r="AD244" s="2">
        <f t="shared" si="281"/>
        <v>173.75</v>
      </c>
      <c r="AE244" s="2">
        <f t="shared" si="282"/>
        <v>3565</v>
      </c>
      <c r="AF244" s="2">
        <f t="shared" si="283"/>
        <v>173.75</v>
      </c>
      <c r="AG244" s="2">
        <f t="shared" si="284"/>
        <v>3738.75</v>
      </c>
      <c r="AH244" s="2">
        <f t="shared" si="285"/>
        <v>173.75</v>
      </c>
      <c r="AI244" s="2">
        <f t="shared" si="286"/>
        <v>3912.5</v>
      </c>
      <c r="AJ244" s="2">
        <f t="shared" si="287"/>
        <v>173.75</v>
      </c>
      <c r="AK244" s="2">
        <f t="shared" si="288"/>
        <v>4086.25</v>
      </c>
      <c r="AL244" s="2">
        <f t="shared" si="289"/>
        <v>173.75</v>
      </c>
      <c r="AM244" s="3">
        <f t="shared" si="290"/>
        <v>4260</v>
      </c>
      <c r="AN244" s="2">
        <f t="shared" si="291"/>
        <v>2690</v>
      </c>
      <c r="AO244" s="4">
        <f t="shared" si="292"/>
        <v>173.75</v>
      </c>
      <c r="AP244" s="2">
        <f t="shared" si="293"/>
        <v>4433.75</v>
      </c>
      <c r="AQ244" s="2">
        <f t="shared" si="294"/>
        <v>2516.25</v>
      </c>
      <c r="AR244" s="4">
        <f t="shared" si="295"/>
        <v>173.75</v>
      </c>
      <c r="AS244" s="5">
        <f t="shared" si="296"/>
        <v>4607.5</v>
      </c>
      <c r="AT244" s="2">
        <f t="shared" si="297"/>
        <v>2342.5</v>
      </c>
      <c r="AV244" s="8"/>
    </row>
    <row r="245" spans="1:48" x14ac:dyDescent="0.2">
      <c r="A245" s="1" t="s">
        <v>252</v>
      </c>
      <c r="B245" s="1" t="s">
        <v>64</v>
      </c>
      <c r="C245" s="2">
        <v>3341</v>
      </c>
      <c r="D245" s="1" t="s">
        <v>61</v>
      </c>
      <c r="E245" s="2">
        <v>40</v>
      </c>
      <c r="G245" s="2">
        <v>630</v>
      </c>
      <c r="H245" s="2">
        <v>84</v>
      </c>
      <c r="I245" s="2">
        <f t="shared" si="261"/>
        <v>714</v>
      </c>
      <c r="J245" s="2">
        <f t="shared" si="262"/>
        <v>84</v>
      </c>
      <c r="K245" s="2">
        <f t="shared" si="263"/>
        <v>798</v>
      </c>
      <c r="L245" s="2">
        <f t="shared" si="264"/>
        <v>84</v>
      </c>
      <c r="M245" s="2">
        <f t="shared" si="260"/>
        <v>882</v>
      </c>
      <c r="N245" s="2">
        <f t="shared" si="265"/>
        <v>84</v>
      </c>
      <c r="O245" s="2">
        <f t="shared" si="266"/>
        <v>966</v>
      </c>
      <c r="P245" s="2">
        <f t="shared" si="267"/>
        <v>83.525000000000006</v>
      </c>
      <c r="Q245" s="2">
        <f t="shared" si="268"/>
        <v>1049.5250000000001</v>
      </c>
      <c r="R245" s="2">
        <f t="shared" si="269"/>
        <v>83.525000000000006</v>
      </c>
      <c r="S245" s="2">
        <f t="shared" si="270"/>
        <v>1133.0500000000002</v>
      </c>
      <c r="T245" s="2">
        <f t="shared" si="271"/>
        <v>83.525000000000006</v>
      </c>
      <c r="U245" s="2">
        <f t="shared" si="272"/>
        <v>1216.5750000000003</v>
      </c>
      <c r="V245" s="2">
        <f t="shared" si="273"/>
        <v>83.525000000000006</v>
      </c>
      <c r="W245" s="2">
        <f t="shared" si="274"/>
        <v>1300.1000000000004</v>
      </c>
      <c r="X245" s="2">
        <f t="shared" si="275"/>
        <v>83.525000000000006</v>
      </c>
      <c r="Y245" s="2">
        <f t="shared" si="276"/>
        <v>1383.6250000000005</v>
      </c>
      <c r="Z245" s="2">
        <f t="shared" si="277"/>
        <v>83.525000000000006</v>
      </c>
      <c r="AA245" s="2">
        <f t="shared" si="278"/>
        <v>1467.1500000000005</v>
      </c>
      <c r="AB245" s="2">
        <f t="shared" si="279"/>
        <v>83.525000000000006</v>
      </c>
      <c r="AC245" s="2">
        <f t="shared" si="280"/>
        <v>1550.6750000000006</v>
      </c>
      <c r="AD245" s="2">
        <f t="shared" si="281"/>
        <v>83.525000000000006</v>
      </c>
      <c r="AE245" s="2">
        <f t="shared" si="282"/>
        <v>1634.2000000000007</v>
      </c>
      <c r="AF245" s="2">
        <f t="shared" si="283"/>
        <v>83.525000000000006</v>
      </c>
      <c r="AG245" s="2">
        <f t="shared" si="284"/>
        <v>1717.7250000000008</v>
      </c>
      <c r="AH245" s="2">
        <f t="shared" si="285"/>
        <v>83.525000000000006</v>
      </c>
      <c r="AI245" s="2">
        <f t="shared" si="286"/>
        <v>1801.2500000000009</v>
      </c>
      <c r="AJ245" s="2">
        <f t="shared" si="287"/>
        <v>83.525000000000006</v>
      </c>
      <c r="AK245" s="2">
        <f t="shared" si="288"/>
        <v>1884.775000000001</v>
      </c>
      <c r="AL245" s="2">
        <f t="shared" si="289"/>
        <v>83.525000000000006</v>
      </c>
      <c r="AM245" s="3">
        <f t="shared" si="290"/>
        <v>1968.3000000000011</v>
      </c>
      <c r="AN245" s="2">
        <f t="shared" si="291"/>
        <v>1372.6999999999989</v>
      </c>
      <c r="AO245" s="4">
        <f t="shared" si="292"/>
        <v>83.525000000000006</v>
      </c>
      <c r="AP245" s="2">
        <f t="shared" si="293"/>
        <v>2051.8250000000012</v>
      </c>
      <c r="AQ245" s="2">
        <f t="shared" si="294"/>
        <v>1289.1749999999988</v>
      </c>
      <c r="AR245" s="4">
        <f t="shared" si="295"/>
        <v>83.525000000000006</v>
      </c>
      <c r="AS245" s="5">
        <f t="shared" si="296"/>
        <v>2135.3500000000013</v>
      </c>
      <c r="AT245" s="2">
        <f t="shared" si="297"/>
        <v>1205.6499999999987</v>
      </c>
      <c r="AV245" s="8"/>
    </row>
    <row r="246" spans="1:48" x14ac:dyDescent="0.2">
      <c r="A246" s="1" t="s">
        <v>252</v>
      </c>
      <c r="B246" s="1" t="s">
        <v>65</v>
      </c>
      <c r="C246" s="2">
        <v>13800</v>
      </c>
      <c r="D246" s="1" t="s">
        <v>61</v>
      </c>
      <c r="E246" s="2">
        <v>40</v>
      </c>
      <c r="G246" s="2">
        <v>2243</v>
      </c>
      <c r="H246" s="2">
        <v>345</v>
      </c>
      <c r="I246" s="2">
        <f t="shared" si="261"/>
        <v>2588</v>
      </c>
      <c r="J246" s="2">
        <f t="shared" si="262"/>
        <v>345</v>
      </c>
      <c r="K246" s="2">
        <f t="shared" si="263"/>
        <v>2933</v>
      </c>
      <c r="L246" s="2">
        <f t="shared" si="264"/>
        <v>345</v>
      </c>
      <c r="M246" s="2">
        <f t="shared" si="260"/>
        <v>3278</v>
      </c>
      <c r="N246" s="2">
        <f t="shared" si="265"/>
        <v>345</v>
      </c>
      <c r="O246" s="2">
        <f t="shared" si="266"/>
        <v>3623</v>
      </c>
      <c r="P246" s="2">
        <f t="shared" si="267"/>
        <v>345</v>
      </c>
      <c r="Q246" s="2">
        <f t="shared" si="268"/>
        <v>3968</v>
      </c>
      <c r="R246" s="2">
        <f t="shared" si="269"/>
        <v>345</v>
      </c>
      <c r="S246" s="2">
        <f t="shared" si="270"/>
        <v>4313</v>
      </c>
      <c r="T246" s="2">
        <f t="shared" si="271"/>
        <v>345</v>
      </c>
      <c r="U246" s="2">
        <f t="shared" si="272"/>
        <v>4658</v>
      </c>
      <c r="V246" s="2">
        <f t="shared" si="273"/>
        <v>345</v>
      </c>
      <c r="W246" s="2">
        <f t="shared" si="274"/>
        <v>5003</v>
      </c>
      <c r="X246" s="2">
        <f t="shared" si="275"/>
        <v>345</v>
      </c>
      <c r="Y246" s="2">
        <f t="shared" si="276"/>
        <v>5348</v>
      </c>
      <c r="Z246" s="2">
        <f t="shared" si="277"/>
        <v>345</v>
      </c>
      <c r="AA246" s="2">
        <f t="shared" si="278"/>
        <v>5693</v>
      </c>
      <c r="AB246" s="2">
        <f t="shared" si="279"/>
        <v>345</v>
      </c>
      <c r="AC246" s="2">
        <f t="shared" si="280"/>
        <v>6038</v>
      </c>
      <c r="AD246" s="2">
        <f t="shared" si="281"/>
        <v>345</v>
      </c>
      <c r="AE246" s="2">
        <f t="shared" si="282"/>
        <v>6383</v>
      </c>
      <c r="AF246" s="2">
        <f t="shared" si="283"/>
        <v>345</v>
      </c>
      <c r="AG246" s="2">
        <f t="shared" si="284"/>
        <v>6728</v>
      </c>
      <c r="AH246" s="2">
        <f t="shared" si="285"/>
        <v>345</v>
      </c>
      <c r="AI246" s="2">
        <f t="shared" si="286"/>
        <v>7073</v>
      </c>
      <c r="AJ246" s="2">
        <f t="shared" si="287"/>
        <v>345</v>
      </c>
      <c r="AK246" s="2">
        <f t="shared" si="288"/>
        <v>7418</v>
      </c>
      <c r="AL246" s="2">
        <f t="shared" si="289"/>
        <v>345</v>
      </c>
      <c r="AM246" s="3">
        <f t="shared" si="290"/>
        <v>7763</v>
      </c>
      <c r="AN246" s="2">
        <f t="shared" si="291"/>
        <v>6037</v>
      </c>
      <c r="AO246" s="4">
        <f t="shared" si="292"/>
        <v>345</v>
      </c>
      <c r="AP246" s="2">
        <f t="shared" si="293"/>
        <v>8108</v>
      </c>
      <c r="AQ246" s="2">
        <f t="shared" si="294"/>
        <v>5692</v>
      </c>
      <c r="AR246" s="4">
        <f t="shared" si="295"/>
        <v>345</v>
      </c>
      <c r="AS246" s="5">
        <f t="shared" si="296"/>
        <v>8453</v>
      </c>
      <c r="AT246" s="2">
        <f t="shared" si="297"/>
        <v>5347</v>
      </c>
      <c r="AV246" s="8"/>
    </row>
    <row r="247" spans="1:48" x14ac:dyDescent="0.2">
      <c r="A247" s="1" t="s">
        <v>252</v>
      </c>
      <c r="B247" s="1" t="s">
        <v>66</v>
      </c>
      <c r="C247" s="2">
        <v>6975</v>
      </c>
      <c r="D247" s="1" t="s">
        <v>61</v>
      </c>
      <c r="E247" s="2">
        <v>40</v>
      </c>
      <c r="G247" s="2">
        <v>957</v>
      </c>
      <c r="H247" s="2">
        <v>174</v>
      </c>
      <c r="I247" s="2">
        <f t="shared" si="261"/>
        <v>1131</v>
      </c>
      <c r="J247" s="2">
        <f t="shared" si="262"/>
        <v>174</v>
      </c>
      <c r="K247" s="2">
        <f t="shared" si="263"/>
        <v>1305</v>
      </c>
      <c r="L247" s="2">
        <f t="shared" si="264"/>
        <v>174</v>
      </c>
      <c r="M247" s="2">
        <f t="shared" si="260"/>
        <v>1479</v>
      </c>
      <c r="N247" s="2">
        <f t="shared" si="265"/>
        <v>174</v>
      </c>
      <c r="O247" s="2">
        <f t="shared" si="266"/>
        <v>1653</v>
      </c>
      <c r="P247" s="2">
        <f t="shared" si="267"/>
        <v>174.375</v>
      </c>
      <c r="Q247" s="2">
        <f t="shared" si="268"/>
        <v>1827.375</v>
      </c>
      <c r="R247" s="2">
        <f t="shared" si="269"/>
        <v>174.375</v>
      </c>
      <c r="S247" s="2">
        <f t="shared" si="270"/>
        <v>2001.75</v>
      </c>
      <c r="T247" s="2">
        <f t="shared" si="271"/>
        <v>174.375</v>
      </c>
      <c r="U247" s="2">
        <f t="shared" si="272"/>
        <v>2176.125</v>
      </c>
      <c r="V247" s="2">
        <f t="shared" si="273"/>
        <v>174.375</v>
      </c>
      <c r="W247" s="2">
        <f t="shared" si="274"/>
        <v>2350.5</v>
      </c>
      <c r="X247" s="2">
        <f t="shared" si="275"/>
        <v>174.375</v>
      </c>
      <c r="Y247" s="2">
        <f t="shared" si="276"/>
        <v>2524.875</v>
      </c>
      <c r="Z247" s="2">
        <f t="shared" si="277"/>
        <v>174.375</v>
      </c>
      <c r="AA247" s="2">
        <f t="shared" si="278"/>
        <v>2699.25</v>
      </c>
      <c r="AB247" s="2">
        <f t="shared" si="279"/>
        <v>174.375</v>
      </c>
      <c r="AC247" s="2">
        <f t="shared" si="280"/>
        <v>2873.625</v>
      </c>
      <c r="AD247" s="2">
        <f t="shared" si="281"/>
        <v>174.375</v>
      </c>
      <c r="AE247" s="2">
        <f t="shared" si="282"/>
        <v>3048</v>
      </c>
      <c r="AF247" s="2">
        <f t="shared" si="283"/>
        <v>174.375</v>
      </c>
      <c r="AG247" s="2">
        <f t="shared" si="284"/>
        <v>3222.375</v>
      </c>
      <c r="AH247" s="2">
        <f t="shared" si="285"/>
        <v>174.375</v>
      </c>
      <c r="AI247" s="2">
        <f t="shared" si="286"/>
        <v>3396.75</v>
      </c>
      <c r="AJ247" s="2">
        <f t="shared" si="287"/>
        <v>174.375</v>
      </c>
      <c r="AK247" s="2">
        <f t="shared" si="288"/>
        <v>3571.125</v>
      </c>
      <c r="AL247" s="2">
        <f t="shared" si="289"/>
        <v>174.375</v>
      </c>
      <c r="AM247" s="3">
        <f t="shared" si="290"/>
        <v>3745.5</v>
      </c>
      <c r="AN247" s="2">
        <f t="shared" si="291"/>
        <v>3229.5</v>
      </c>
      <c r="AO247" s="4">
        <f t="shared" si="292"/>
        <v>174.375</v>
      </c>
      <c r="AP247" s="2">
        <f t="shared" si="293"/>
        <v>3919.875</v>
      </c>
      <c r="AQ247" s="2">
        <f t="shared" si="294"/>
        <v>3055.125</v>
      </c>
      <c r="AR247" s="4">
        <f t="shared" si="295"/>
        <v>174.375</v>
      </c>
      <c r="AS247" s="5">
        <f t="shared" si="296"/>
        <v>4094.25</v>
      </c>
      <c r="AT247" s="2">
        <f t="shared" si="297"/>
        <v>2880.75</v>
      </c>
      <c r="AV247" s="8"/>
    </row>
    <row r="248" spans="1:48" x14ac:dyDescent="0.2">
      <c r="A248" s="1" t="s">
        <v>252</v>
      </c>
      <c r="B248" s="1" t="s">
        <v>67</v>
      </c>
      <c r="C248" s="2">
        <v>12050</v>
      </c>
      <c r="D248" s="1" t="s">
        <v>61</v>
      </c>
      <c r="E248" s="2">
        <v>40</v>
      </c>
      <c r="G248" s="2">
        <v>1355</v>
      </c>
      <c r="H248" s="2">
        <v>301</v>
      </c>
      <c r="I248" s="2">
        <f t="shared" si="261"/>
        <v>1656</v>
      </c>
      <c r="J248" s="2">
        <f t="shared" si="262"/>
        <v>301</v>
      </c>
      <c r="K248" s="2">
        <f t="shared" si="263"/>
        <v>1957</v>
      </c>
      <c r="L248" s="2">
        <f t="shared" si="264"/>
        <v>301</v>
      </c>
      <c r="M248" s="2">
        <f t="shared" si="260"/>
        <v>2258</v>
      </c>
      <c r="N248" s="2">
        <f t="shared" si="265"/>
        <v>301</v>
      </c>
      <c r="O248" s="2">
        <f t="shared" si="266"/>
        <v>2559</v>
      </c>
      <c r="P248" s="2">
        <f t="shared" si="267"/>
        <v>301.25</v>
      </c>
      <c r="Q248" s="2">
        <f t="shared" si="268"/>
        <v>2860.25</v>
      </c>
      <c r="R248" s="2">
        <f t="shared" si="269"/>
        <v>301.25</v>
      </c>
      <c r="S248" s="2">
        <f t="shared" si="270"/>
        <v>3161.5</v>
      </c>
      <c r="T248" s="2">
        <f t="shared" si="271"/>
        <v>301.25</v>
      </c>
      <c r="U248" s="2">
        <f t="shared" si="272"/>
        <v>3462.75</v>
      </c>
      <c r="V248" s="2">
        <f t="shared" si="273"/>
        <v>301.25</v>
      </c>
      <c r="W248" s="2">
        <f t="shared" si="274"/>
        <v>3764</v>
      </c>
      <c r="X248" s="2">
        <f t="shared" si="275"/>
        <v>301.25</v>
      </c>
      <c r="Y248" s="2">
        <f t="shared" si="276"/>
        <v>4065.25</v>
      </c>
      <c r="Z248" s="2">
        <f t="shared" si="277"/>
        <v>301.25</v>
      </c>
      <c r="AA248" s="2">
        <f t="shared" si="278"/>
        <v>4366.5</v>
      </c>
      <c r="AB248" s="2">
        <f t="shared" si="279"/>
        <v>301.25</v>
      </c>
      <c r="AC248" s="2">
        <f t="shared" si="280"/>
        <v>4667.75</v>
      </c>
      <c r="AD248" s="2">
        <f t="shared" si="281"/>
        <v>301.25</v>
      </c>
      <c r="AE248" s="2">
        <f t="shared" si="282"/>
        <v>4969</v>
      </c>
      <c r="AF248" s="2">
        <f t="shared" si="283"/>
        <v>301.25</v>
      </c>
      <c r="AG248" s="2">
        <f t="shared" si="284"/>
        <v>5270.25</v>
      </c>
      <c r="AH248" s="2">
        <f t="shared" si="285"/>
        <v>301.25</v>
      </c>
      <c r="AI248" s="2">
        <f t="shared" si="286"/>
        <v>5571.5</v>
      </c>
      <c r="AJ248" s="2">
        <f t="shared" si="287"/>
        <v>301.25</v>
      </c>
      <c r="AK248" s="2">
        <f t="shared" si="288"/>
        <v>5872.75</v>
      </c>
      <c r="AL248" s="2">
        <f t="shared" si="289"/>
        <v>301.25</v>
      </c>
      <c r="AM248" s="3">
        <f t="shared" si="290"/>
        <v>6174</v>
      </c>
      <c r="AN248" s="2">
        <f t="shared" si="291"/>
        <v>5876</v>
      </c>
      <c r="AO248" s="4">
        <f t="shared" si="292"/>
        <v>301.25</v>
      </c>
      <c r="AP248" s="2">
        <f t="shared" si="293"/>
        <v>6475.25</v>
      </c>
      <c r="AQ248" s="2">
        <f t="shared" si="294"/>
        <v>5574.75</v>
      </c>
      <c r="AR248" s="4">
        <f t="shared" si="295"/>
        <v>301.25</v>
      </c>
      <c r="AS248" s="5">
        <f t="shared" si="296"/>
        <v>6776.5</v>
      </c>
      <c r="AT248" s="2">
        <f t="shared" si="297"/>
        <v>5273.5</v>
      </c>
      <c r="AV248" s="8"/>
    </row>
    <row r="249" spans="1:48" x14ac:dyDescent="0.2">
      <c r="A249" s="1" t="s">
        <v>252</v>
      </c>
      <c r="B249" s="1" t="s">
        <v>69</v>
      </c>
      <c r="C249" s="2">
        <v>9000</v>
      </c>
      <c r="D249" s="1" t="s">
        <v>61</v>
      </c>
      <c r="E249" s="2">
        <v>40</v>
      </c>
      <c r="G249" s="2">
        <v>788</v>
      </c>
      <c r="H249" s="2">
        <v>225</v>
      </c>
      <c r="I249" s="2">
        <f t="shared" si="261"/>
        <v>1013</v>
      </c>
      <c r="J249" s="2">
        <f t="shared" si="262"/>
        <v>225</v>
      </c>
      <c r="K249" s="2">
        <f t="shared" si="263"/>
        <v>1238</v>
      </c>
      <c r="L249" s="2">
        <f t="shared" si="264"/>
        <v>225</v>
      </c>
      <c r="M249" s="2">
        <f t="shared" si="260"/>
        <v>1463</v>
      </c>
      <c r="N249" s="2">
        <f t="shared" si="265"/>
        <v>225</v>
      </c>
      <c r="O249" s="2">
        <f t="shared" si="266"/>
        <v>1688</v>
      </c>
      <c r="P249" s="2">
        <f t="shared" si="267"/>
        <v>225</v>
      </c>
      <c r="Q249" s="2">
        <f t="shared" si="268"/>
        <v>1913</v>
      </c>
      <c r="R249" s="2">
        <f t="shared" si="269"/>
        <v>225</v>
      </c>
      <c r="S249" s="2">
        <f t="shared" si="270"/>
        <v>2138</v>
      </c>
      <c r="T249" s="2">
        <f t="shared" si="271"/>
        <v>225</v>
      </c>
      <c r="U249" s="2">
        <f t="shared" si="272"/>
        <v>2363</v>
      </c>
      <c r="V249" s="2">
        <f t="shared" si="273"/>
        <v>225</v>
      </c>
      <c r="W249" s="2">
        <f t="shared" si="274"/>
        <v>2588</v>
      </c>
      <c r="X249" s="2">
        <f t="shared" si="275"/>
        <v>225</v>
      </c>
      <c r="Y249" s="2">
        <f t="shared" si="276"/>
        <v>2813</v>
      </c>
      <c r="Z249" s="2">
        <f t="shared" si="277"/>
        <v>225</v>
      </c>
      <c r="AA249" s="2">
        <f t="shared" si="278"/>
        <v>3038</v>
      </c>
      <c r="AB249" s="2">
        <f t="shared" si="279"/>
        <v>225</v>
      </c>
      <c r="AC249" s="2">
        <f t="shared" si="280"/>
        <v>3263</v>
      </c>
      <c r="AD249" s="2">
        <f t="shared" si="281"/>
        <v>225</v>
      </c>
      <c r="AE249" s="2">
        <f t="shared" si="282"/>
        <v>3488</v>
      </c>
      <c r="AF249" s="2">
        <f t="shared" si="283"/>
        <v>225</v>
      </c>
      <c r="AG249" s="2">
        <f t="shared" si="284"/>
        <v>3713</v>
      </c>
      <c r="AH249" s="2">
        <f t="shared" si="285"/>
        <v>225</v>
      </c>
      <c r="AI249" s="2">
        <f t="shared" si="286"/>
        <v>3938</v>
      </c>
      <c r="AJ249" s="2">
        <f t="shared" si="287"/>
        <v>225</v>
      </c>
      <c r="AK249" s="2">
        <f t="shared" si="288"/>
        <v>4163</v>
      </c>
      <c r="AL249" s="2">
        <f t="shared" si="289"/>
        <v>225</v>
      </c>
      <c r="AM249" s="3">
        <f t="shared" si="290"/>
        <v>4388</v>
      </c>
      <c r="AN249" s="2">
        <f t="shared" si="291"/>
        <v>4612</v>
      </c>
      <c r="AO249" s="4">
        <f t="shared" si="292"/>
        <v>225</v>
      </c>
      <c r="AP249" s="2">
        <f t="shared" si="293"/>
        <v>4613</v>
      </c>
      <c r="AQ249" s="2">
        <f t="shared" si="294"/>
        <v>4387</v>
      </c>
      <c r="AR249" s="4">
        <f t="shared" si="295"/>
        <v>225</v>
      </c>
      <c r="AS249" s="5">
        <f t="shared" si="296"/>
        <v>4838</v>
      </c>
      <c r="AT249" s="2">
        <f t="shared" si="297"/>
        <v>4162</v>
      </c>
      <c r="AV249" s="8"/>
    </row>
    <row r="250" spans="1:48" x14ac:dyDescent="0.2">
      <c r="A250" s="1" t="s">
        <v>252</v>
      </c>
      <c r="B250" s="1" t="s">
        <v>40</v>
      </c>
      <c r="C250" s="2">
        <v>6950</v>
      </c>
      <c r="D250" s="1" t="s">
        <v>61</v>
      </c>
      <c r="E250" s="2">
        <v>40</v>
      </c>
      <c r="G250" s="2">
        <v>435</v>
      </c>
      <c r="H250" s="2">
        <v>174</v>
      </c>
      <c r="I250" s="2">
        <f t="shared" si="261"/>
        <v>609</v>
      </c>
      <c r="J250" s="2">
        <f t="shared" si="262"/>
        <v>174</v>
      </c>
      <c r="K250" s="2">
        <f t="shared" si="263"/>
        <v>783</v>
      </c>
      <c r="L250" s="2">
        <f t="shared" si="264"/>
        <v>174</v>
      </c>
      <c r="M250" s="2">
        <f t="shared" si="260"/>
        <v>957</v>
      </c>
      <c r="N250" s="2">
        <f t="shared" si="265"/>
        <v>174</v>
      </c>
      <c r="O250" s="2">
        <f t="shared" si="266"/>
        <v>1131</v>
      </c>
      <c r="P250" s="2">
        <f t="shared" si="267"/>
        <v>173.75</v>
      </c>
      <c r="Q250" s="2">
        <f t="shared" si="268"/>
        <v>1304.75</v>
      </c>
      <c r="R250" s="2">
        <f t="shared" si="269"/>
        <v>173.75</v>
      </c>
      <c r="S250" s="2">
        <f t="shared" si="270"/>
        <v>1478.5</v>
      </c>
      <c r="T250" s="2">
        <f t="shared" si="271"/>
        <v>173.75</v>
      </c>
      <c r="U250" s="2">
        <f t="shared" si="272"/>
        <v>1652.25</v>
      </c>
      <c r="V250" s="2">
        <f t="shared" si="273"/>
        <v>173.75</v>
      </c>
      <c r="W250" s="2">
        <f t="shared" si="274"/>
        <v>1826</v>
      </c>
      <c r="X250" s="2">
        <f t="shared" si="275"/>
        <v>173.75</v>
      </c>
      <c r="Y250" s="2">
        <f t="shared" si="276"/>
        <v>1999.75</v>
      </c>
      <c r="Z250" s="2">
        <f t="shared" si="277"/>
        <v>173.75</v>
      </c>
      <c r="AA250" s="2">
        <f t="shared" si="278"/>
        <v>2173.5</v>
      </c>
      <c r="AB250" s="2">
        <f t="shared" si="279"/>
        <v>173.75</v>
      </c>
      <c r="AC250" s="2">
        <f t="shared" si="280"/>
        <v>2347.25</v>
      </c>
      <c r="AD250" s="2">
        <f t="shared" si="281"/>
        <v>173.75</v>
      </c>
      <c r="AE250" s="2">
        <f t="shared" si="282"/>
        <v>2521</v>
      </c>
      <c r="AF250" s="2">
        <f t="shared" si="283"/>
        <v>173.75</v>
      </c>
      <c r="AG250" s="2">
        <f t="shared" si="284"/>
        <v>2694.75</v>
      </c>
      <c r="AH250" s="2">
        <f t="shared" si="285"/>
        <v>173.75</v>
      </c>
      <c r="AI250" s="2">
        <f t="shared" si="286"/>
        <v>2868.5</v>
      </c>
      <c r="AJ250" s="2">
        <f t="shared" si="287"/>
        <v>173.75</v>
      </c>
      <c r="AK250" s="2">
        <f t="shared" si="288"/>
        <v>3042.25</v>
      </c>
      <c r="AL250" s="2">
        <f t="shared" si="289"/>
        <v>173.75</v>
      </c>
      <c r="AM250" s="3">
        <f t="shared" si="290"/>
        <v>3216</v>
      </c>
      <c r="AN250" s="2">
        <f t="shared" si="291"/>
        <v>3734</v>
      </c>
      <c r="AO250" s="4">
        <f t="shared" si="292"/>
        <v>173.75</v>
      </c>
      <c r="AP250" s="2">
        <f t="shared" si="293"/>
        <v>3389.75</v>
      </c>
      <c r="AQ250" s="2">
        <f t="shared" si="294"/>
        <v>3560.25</v>
      </c>
      <c r="AR250" s="4">
        <f t="shared" si="295"/>
        <v>173.75</v>
      </c>
      <c r="AS250" s="5">
        <f t="shared" si="296"/>
        <v>3563.5</v>
      </c>
      <c r="AT250" s="2">
        <f t="shared" si="297"/>
        <v>3386.5</v>
      </c>
      <c r="AV250" s="8"/>
    </row>
    <row r="251" spans="1:48" x14ac:dyDescent="0.2">
      <c r="A251" s="1" t="s">
        <v>252</v>
      </c>
      <c r="B251" s="1" t="s">
        <v>172</v>
      </c>
      <c r="C251" s="2">
        <v>6800</v>
      </c>
      <c r="D251" s="1" t="s">
        <v>61</v>
      </c>
      <c r="E251" s="2">
        <v>40</v>
      </c>
      <c r="G251" s="2">
        <v>255</v>
      </c>
      <c r="H251" s="2">
        <v>170</v>
      </c>
      <c r="I251" s="2">
        <f t="shared" si="261"/>
        <v>425</v>
      </c>
      <c r="J251" s="2">
        <f t="shared" si="262"/>
        <v>170</v>
      </c>
      <c r="K251" s="2">
        <f t="shared" si="263"/>
        <v>595</v>
      </c>
      <c r="L251" s="2">
        <f t="shared" si="264"/>
        <v>170</v>
      </c>
      <c r="M251" s="2">
        <f t="shared" si="260"/>
        <v>765</v>
      </c>
      <c r="N251" s="2">
        <f t="shared" si="265"/>
        <v>170</v>
      </c>
      <c r="O251" s="2">
        <f t="shared" si="266"/>
        <v>935</v>
      </c>
      <c r="P251" s="2">
        <f t="shared" si="267"/>
        <v>170</v>
      </c>
      <c r="Q251" s="2">
        <f t="shared" si="268"/>
        <v>1105</v>
      </c>
      <c r="R251" s="2">
        <f t="shared" si="269"/>
        <v>170</v>
      </c>
      <c r="S251" s="2">
        <f t="shared" si="270"/>
        <v>1275</v>
      </c>
      <c r="T251" s="2">
        <f t="shared" si="271"/>
        <v>170</v>
      </c>
      <c r="U251" s="2">
        <f t="shared" si="272"/>
        <v>1445</v>
      </c>
      <c r="V251" s="2">
        <f t="shared" si="273"/>
        <v>170</v>
      </c>
      <c r="W251" s="2">
        <f t="shared" si="274"/>
        <v>1615</v>
      </c>
      <c r="X251" s="2">
        <f t="shared" si="275"/>
        <v>170</v>
      </c>
      <c r="Y251" s="2">
        <f t="shared" si="276"/>
        <v>1785</v>
      </c>
      <c r="Z251" s="2">
        <f t="shared" si="277"/>
        <v>170</v>
      </c>
      <c r="AA251" s="2">
        <f t="shared" si="278"/>
        <v>1955</v>
      </c>
      <c r="AB251" s="2">
        <f t="shared" si="279"/>
        <v>170</v>
      </c>
      <c r="AC251" s="2">
        <f t="shared" si="280"/>
        <v>2125</v>
      </c>
      <c r="AD251" s="2">
        <f t="shared" si="281"/>
        <v>170</v>
      </c>
      <c r="AE251" s="2">
        <f t="shared" si="282"/>
        <v>2295</v>
      </c>
      <c r="AF251" s="2">
        <f t="shared" si="283"/>
        <v>170</v>
      </c>
      <c r="AG251" s="2">
        <f t="shared" si="284"/>
        <v>2465</v>
      </c>
      <c r="AH251" s="2">
        <f t="shared" si="285"/>
        <v>170</v>
      </c>
      <c r="AI251" s="2">
        <f t="shared" si="286"/>
        <v>2635</v>
      </c>
      <c r="AJ251" s="2">
        <f t="shared" si="287"/>
        <v>170</v>
      </c>
      <c r="AK251" s="2">
        <f t="shared" si="288"/>
        <v>2805</v>
      </c>
      <c r="AL251" s="2">
        <f t="shared" si="289"/>
        <v>170</v>
      </c>
      <c r="AM251" s="3">
        <f t="shared" si="290"/>
        <v>2975</v>
      </c>
      <c r="AN251" s="2">
        <f t="shared" si="291"/>
        <v>3825</v>
      </c>
      <c r="AO251" s="4">
        <f t="shared" si="292"/>
        <v>170</v>
      </c>
      <c r="AP251" s="2">
        <f t="shared" si="293"/>
        <v>3145</v>
      </c>
      <c r="AQ251" s="2">
        <f t="shared" si="294"/>
        <v>3655</v>
      </c>
      <c r="AR251" s="4">
        <f t="shared" si="295"/>
        <v>170</v>
      </c>
      <c r="AS251" s="5">
        <f t="shared" si="296"/>
        <v>3315</v>
      </c>
      <c r="AT251" s="2">
        <f t="shared" si="297"/>
        <v>3485</v>
      </c>
      <c r="AV251" s="8"/>
    </row>
    <row r="252" spans="1:48" x14ac:dyDescent="0.2">
      <c r="A252" s="1" t="s">
        <v>252</v>
      </c>
      <c r="B252" s="1" t="s">
        <v>173</v>
      </c>
      <c r="C252" s="2">
        <v>6850</v>
      </c>
      <c r="D252" s="1" t="s">
        <v>61</v>
      </c>
      <c r="E252" s="2">
        <v>40</v>
      </c>
      <c r="G252" s="2">
        <v>86</v>
      </c>
      <c r="H252" s="2">
        <v>171</v>
      </c>
      <c r="I252" s="2">
        <f t="shared" si="261"/>
        <v>257</v>
      </c>
      <c r="J252" s="2">
        <f t="shared" si="262"/>
        <v>171</v>
      </c>
      <c r="K252" s="2">
        <f t="shared" si="263"/>
        <v>428</v>
      </c>
      <c r="L252" s="2">
        <f t="shared" si="264"/>
        <v>171</v>
      </c>
      <c r="M252" s="2">
        <f t="shared" si="260"/>
        <v>599</v>
      </c>
      <c r="N252" s="2">
        <f t="shared" si="265"/>
        <v>171</v>
      </c>
      <c r="O252" s="2">
        <f t="shared" si="266"/>
        <v>770</v>
      </c>
      <c r="P252" s="2">
        <f t="shared" si="267"/>
        <v>171.25</v>
      </c>
      <c r="Q252" s="2">
        <f t="shared" si="268"/>
        <v>941.25</v>
      </c>
      <c r="R252" s="2">
        <f t="shared" si="269"/>
        <v>171.25</v>
      </c>
      <c r="S252" s="2">
        <f t="shared" si="270"/>
        <v>1112.5</v>
      </c>
      <c r="T252" s="2">
        <f t="shared" si="271"/>
        <v>171.25</v>
      </c>
      <c r="U252" s="2">
        <f t="shared" si="272"/>
        <v>1283.75</v>
      </c>
      <c r="V252" s="2">
        <f t="shared" si="273"/>
        <v>171.25</v>
      </c>
      <c r="W252" s="2">
        <f t="shared" si="274"/>
        <v>1455</v>
      </c>
      <c r="X252" s="2">
        <f t="shared" si="275"/>
        <v>171.25</v>
      </c>
      <c r="Y252" s="2">
        <f t="shared" si="276"/>
        <v>1626.25</v>
      </c>
      <c r="Z252" s="2">
        <f t="shared" si="277"/>
        <v>171.25</v>
      </c>
      <c r="AA252" s="2">
        <f t="shared" si="278"/>
        <v>1797.5</v>
      </c>
      <c r="AB252" s="2">
        <f t="shared" si="279"/>
        <v>171.25</v>
      </c>
      <c r="AC252" s="2">
        <f t="shared" si="280"/>
        <v>1968.75</v>
      </c>
      <c r="AD252" s="2">
        <f t="shared" si="281"/>
        <v>171.25</v>
      </c>
      <c r="AE252" s="2">
        <f t="shared" si="282"/>
        <v>2140</v>
      </c>
      <c r="AF252" s="2">
        <f t="shared" si="283"/>
        <v>171.25</v>
      </c>
      <c r="AG252" s="2">
        <f t="shared" si="284"/>
        <v>2311.25</v>
      </c>
      <c r="AH252" s="2">
        <f t="shared" si="285"/>
        <v>171.25</v>
      </c>
      <c r="AI252" s="2">
        <f t="shared" si="286"/>
        <v>2482.5</v>
      </c>
      <c r="AJ252" s="2">
        <f t="shared" si="287"/>
        <v>171.25</v>
      </c>
      <c r="AK252" s="2">
        <f t="shared" si="288"/>
        <v>2653.75</v>
      </c>
      <c r="AL252" s="2">
        <f t="shared" si="289"/>
        <v>171.25</v>
      </c>
      <c r="AM252" s="3">
        <f t="shared" si="290"/>
        <v>2825</v>
      </c>
      <c r="AN252" s="2">
        <f t="shared" si="291"/>
        <v>4025</v>
      </c>
      <c r="AO252" s="4">
        <f t="shared" si="292"/>
        <v>171.25</v>
      </c>
      <c r="AP252" s="2">
        <f t="shared" si="293"/>
        <v>2996.25</v>
      </c>
      <c r="AQ252" s="2">
        <f t="shared" si="294"/>
        <v>3853.75</v>
      </c>
      <c r="AR252" s="4">
        <f t="shared" si="295"/>
        <v>171.25</v>
      </c>
      <c r="AS252" s="5">
        <f t="shared" si="296"/>
        <v>3167.5</v>
      </c>
      <c r="AT252" s="2">
        <f t="shared" si="297"/>
        <v>3682.5</v>
      </c>
      <c r="AV252" s="8"/>
    </row>
    <row r="253" spans="1:48" x14ac:dyDescent="0.2">
      <c r="A253" s="1" t="s">
        <v>252</v>
      </c>
      <c r="B253" s="1" t="s">
        <v>174</v>
      </c>
      <c r="C253" s="2">
        <v>18132</v>
      </c>
      <c r="D253" s="1" t="s">
        <v>61</v>
      </c>
      <c r="E253" s="2">
        <v>40</v>
      </c>
      <c r="H253" s="2">
        <v>227</v>
      </c>
      <c r="I253" s="2">
        <f t="shared" si="261"/>
        <v>227</v>
      </c>
      <c r="J253" s="2">
        <f t="shared" si="262"/>
        <v>227</v>
      </c>
      <c r="K253" s="2">
        <f t="shared" si="263"/>
        <v>454</v>
      </c>
      <c r="L253" s="2">
        <f t="shared" si="264"/>
        <v>227</v>
      </c>
      <c r="M253" s="2">
        <f t="shared" si="260"/>
        <v>681</v>
      </c>
      <c r="N253" s="2">
        <f t="shared" si="265"/>
        <v>227</v>
      </c>
      <c r="O253" s="2">
        <f t="shared" si="266"/>
        <v>908</v>
      </c>
      <c r="P253" s="2">
        <f t="shared" si="267"/>
        <v>453.3</v>
      </c>
      <c r="Q253" s="2">
        <f t="shared" si="268"/>
        <v>1361.3</v>
      </c>
      <c r="R253" s="2">
        <f t="shared" si="269"/>
        <v>453.3</v>
      </c>
      <c r="S253" s="2">
        <f t="shared" si="270"/>
        <v>1814.6</v>
      </c>
      <c r="T253" s="2">
        <f t="shared" si="271"/>
        <v>453.3</v>
      </c>
      <c r="U253" s="2">
        <f t="shared" si="272"/>
        <v>2267.9</v>
      </c>
      <c r="V253" s="2">
        <f t="shared" si="273"/>
        <v>453.3</v>
      </c>
      <c r="W253" s="2">
        <f t="shared" si="274"/>
        <v>2721.2000000000003</v>
      </c>
      <c r="X253" s="2">
        <f t="shared" si="275"/>
        <v>453.3</v>
      </c>
      <c r="Y253" s="2">
        <f t="shared" si="276"/>
        <v>3174.5000000000005</v>
      </c>
      <c r="Z253" s="2">
        <f t="shared" si="277"/>
        <v>453.3</v>
      </c>
      <c r="AA253" s="2">
        <f t="shared" si="278"/>
        <v>3627.8000000000006</v>
      </c>
      <c r="AB253" s="2">
        <f t="shared" si="279"/>
        <v>453.3</v>
      </c>
      <c r="AC253" s="2">
        <f t="shared" si="280"/>
        <v>4081.1000000000008</v>
      </c>
      <c r="AD253" s="2">
        <f t="shared" si="281"/>
        <v>453.3</v>
      </c>
      <c r="AE253" s="2">
        <f t="shared" si="282"/>
        <v>4534.4000000000005</v>
      </c>
      <c r="AF253" s="2">
        <f t="shared" si="283"/>
        <v>453.3</v>
      </c>
      <c r="AG253" s="2">
        <f t="shared" si="284"/>
        <v>4987.7000000000007</v>
      </c>
      <c r="AH253" s="2">
        <f t="shared" si="285"/>
        <v>453.3</v>
      </c>
      <c r="AI253" s="2">
        <f t="shared" si="286"/>
        <v>5441.0000000000009</v>
      </c>
      <c r="AJ253" s="2">
        <f t="shared" si="287"/>
        <v>453.3</v>
      </c>
      <c r="AK253" s="2">
        <f t="shared" si="288"/>
        <v>5894.3000000000011</v>
      </c>
      <c r="AL253" s="2">
        <f t="shared" si="289"/>
        <v>453.3</v>
      </c>
      <c r="AM253" s="3">
        <f t="shared" si="290"/>
        <v>6347.6000000000013</v>
      </c>
      <c r="AN253" s="2">
        <f t="shared" si="291"/>
        <v>11784.399999999998</v>
      </c>
      <c r="AO253" s="4">
        <f t="shared" si="292"/>
        <v>453.3</v>
      </c>
      <c r="AP253" s="2">
        <f t="shared" si="293"/>
        <v>6800.9000000000015</v>
      </c>
      <c r="AQ253" s="2">
        <f t="shared" si="294"/>
        <v>11331.099999999999</v>
      </c>
      <c r="AR253" s="4">
        <f t="shared" si="295"/>
        <v>453.3</v>
      </c>
      <c r="AS253" s="5">
        <f t="shared" si="296"/>
        <v>7254.2000000000016</v>
      </c>
      <c r="AT253" s="2">
        <f t="shared" si="297"/>
        <v>10877.8</v>
      </c>
      <c r="AV253" s="8"/>
    </row>
    <row r="254" spans="1:48" x14ac:dyDescent="0.2">
      <c r="A254" s="1" t="s">
        <v>252</v>
      </c>
      <c r="B254" s="1" t="s">
        <v>80</v>
      </c>
      <c r="C254" s="2">
        <v>17861</v>
      </c>
      <c r="D254" s="1" t="s">
        <v>61</v>
      </c>
      <c r="E254" s="2">
        <v>40</v>
      </c>
      <c r="G254" s="3"/>
      <c r="H254" s="3"/>
      <c r="I254" s="3"/>
      <c r="J254" s="2">
        <v>223</v>
      </c>
      <c r="K254" s="2">
        <f t="shared" si="263"/>
        <v>223</v>
      </c>
      <c r="L254" s="2">
        <f>C254/E254</f>
        <v>446.52499999999998</v>
      </c>
      <c r="M254" s="2">
        <f t="shared" si="260"/>
        <v>669.52499999999998</v>
      </c>
      <c r="N254" s="2">
        <f t="shared" si="265"/>
        <v>446.52499999999998</v>
      </c>
      <c r="O254" s="2">
        <f t="shared" si="266"/>
        <v>1116.05</v>
      </c>
      <c r="P254" s="2">
        <f t="shared" si="267"/>
        <v>446.52499999999998</v>
      </c>
      <c r="Q254" s="2">
        <f t="shared" si="268"/>
        <v>1562.5749999999998</v>
      </c>
      <c r="R254" s="2">
        <f t="shared" si="269"/>
        <v>446.52499999999998</v>
      </c>
      <c r="S254" s="2">
        <f t="shared" si="270"/>
        <v>2009.1</v>
      </c>
      <c r="T254" s="2">
        <f t="shared" si="271"/>
        <v>446.52499999999998</v>
      </c>
      <c r="U254" s="2">
        <f t="shared" si="272"/>
        <v>2455.625</v>
      </c>
      <c r="V254" s="2">
        <f t="shared" si="273"/>
        <v>446.52499999999998</v>
      </c>
      <c r="W254" s="2">
        <f t="shared" si="274"/>
        <v>2902.15</v>
      </c>
      <c r="X254" s="2">
        <f t="shared" si="275"/>
        <v>446.52499999999998</v>
      </c>
      <c r="Y254" s="2">
        <f t="shared" si="276"/>
        <v>3348.6750000000002</v>
      </c>
      <c r="Z254" s="2">
        <f t="shared" si="277"/>
        <v>446.52499999999998</v>
      </c>
      <c r="AA254" s="2">
        <f t="shared" si="278"/>
        <v>3795.2000000000003</v>
      </c>
      <c r="AB254" s="2">
        <f t="shared" si="279"/>
        <v>446.52499999999998</v>
      </c>
      <c r="AC254" s="2">
        <f t="shared" si="280"/>
        <v>4241.7250000000004</v>
      </c>
      <c r="AD254" s="2">
        <f t="shared" si="281"/>
        <v>446.52499999999998</v>
      </c>
      <c r="AE254" s="2">
        <f t="shared" si="282"/>
        <v>4688.25</v>
      </c>
      <c r="AF254" s="2">
        <f t="shared" si="283"/>
        <v>446.52499999999998</v>
      </c>
      <c r="AG254" s="2">
        <f t="shared" si="284"/>
        <v>5134.7749999999996</v>
      </c>
      <c r="AH254" s="2">
        <f t="shared" si="285"/>
        <v>446.52499999999998</v>
      </c>
      <c r="AI254" s="2">
        <f t="shared" si="286"/>
        <v>5581.2999999999993</v>
      </c>
      <c r="AJ254" s="2">
        <f t="shared" si="287"/>
        <v>446.52499999999998</v>
      </c>
      <c r="AK254" s="2">
        <f t="shared" si="288"/>
        <v>6027.8249999999989</v>
      </c>
      <c r="AL254" s="2">
        <f t="shared" si="289"/>
        <v>446.52499999999998</v>
      </c>
      <c r="AM254" s="3">
        <f t="shared" si="290"/>
        <v>6474.3499999999985</v>
      </c>
      <c r="AN254" s="2">
        <f t="shared" si="291"/>
        <v>11386.650000000001</v>
      </c>
      <c r="AO254" s="4">
        <f t="shared" si="292"/>
        <v>446.52499999999998</v>
      </c>
      <c r="AP254" s="2">
        <f t="shared" si="293"/>
        <v>6920.8749999999982</v>
      </c>
      <c r="AQ254" s="2">
        <f t="shared" si="294"/>
        <v>10940.125000000002</v>
      </c>
      <c r="AR254" s="4">
        <f t="shared" si="295"/>
        <v>446.52499999999998</v>
      </c>
      <c r="AS254" s="5">
        <f t="shared" si="296"/>
        <v>7367.3999999999978</v>
      </c>
      <c r="AT254" s="2">
        <f t="shared" si="297"/>
        <v>10493.600000000002</v>
      </c>
      <c r="AV254" s="8"/>
    </row>
    <row r="255" spans="1:48" x14ac:dyDescent="0.2">
      <c r="A255" s="1" t="s">
        <v>252</v>
      </c>
      <c r="B255" s="1" t="s">
        <v>179</v>
      </c>
      <c r="C255" s="2">
        <v>14014</v>
      </c>
      <c r="D255" s="1" t="s">
        <v>61</v>
      </c>
      <c r="E255" s="2">
        <v>40</v>
      </c>
      <c r="G255" s="3"/>
      <c r="H255" s="3"/>
      <c r="I255" s="3"/>
      <c r="L255" s="2">
        <f>14014/40*0.5</f>
        <v>175.17500000000001</v>
      </c>
      <c r="M255" s="2">
        <f t="shared" si="260"/>
        <v>175.17500000000001</v>
      </c>
      <c r="N255" s="2">
        <f>14014/40</f>
        <v>350.35</v>
      </c>
      <c r="O255" s="2">
        <f t="shared" si="266"/>
        <v>525.52500000000009</v>
      </c>
      <c r="P255" s="2">
        <f t="shared" si="267"/>
        <v>350.35</v>
      </c>
      <c r="Q255" s="2">
        <f t="shared" si="268"/>
        <v>875.87500000000011</v>
      </c>
      <c r="R255" s="2">
        <f t="shared" si="269"/>
        <v>350.35</v>
      </c>
      <c r="S255" s="2">
        <f t="shared" si="270"/>
        <v>1226.2250000000001</v>
      </c>
      <c r="T255" s="2">
        <f t="shared" si="271"/>
        <v>350.35</v>
      </c>
      <c r="U255" s="2">
        <f t="shared" si="272"/>
        <v>1576.5750000000003</v>
      </c>
      <c r="V255" s="2">
        <f t="shared" si="273"/>
        <v>350.35</v>
      </c>
      <c r="W255" s="2">
        <f t="shared" si="274"/>
        <v>1926.9250000000002</v>
      </c>
      <c r="X255" s="2">
        <f t="shared" si="275"/>
        <v>350.35</v>
      </c>
      <c r="Y255" s="2">
        <f t="shared" si="276"/>
        <v>2277.2750000000001</v>
      </c>
      <c r="Z255" s="2">
        <f t="shared" si="277"/>
        <v>350.35</v>
      </c>
      <c r="AA255" s="2">
        <f t="shared" si="278"/>
        <v>2627.625</v>
      </c>
      <c r="AB255" s="2">
        <f t="shared" si="279"/>
        <v>350.35</v>
      </c>
      <c r="AC255" s="2">
        <f t="shared" si="280"/>
        <v>2977.9749999999999</v>
      </c>
      <c r="AD255" s="2">
        <f t="shared" si="281"/>
        <v>350.35</v>
      </c>
      <c r="AE255" s="2">
        <f t="shared" si="282"/>
        <v>3328.3249999999998</v>
      </c>
      <c r="AF255" s="2">
        <f t="shared" si="283"/>
        <v>350.35</v>
      </c>
      <c r="AG255" s="2">
        <f t="shared" si="284"/>
        <v>3678.6749999999997</v>
      </c>
      <c r="AH255" s="2">
        <f t="shared" si="285"/>
        <v>350.35</v>
      </c>
      <c r="AI255" s="2">
        <f t="shared" si="286"/>
        <v>4029.0249999999996</v>
      </c>
      <c r="AJ255" s="2">
        <f t="shared" si="287"/>
        <v>350.35</v>
      </c>
      <c r="AK255" s="2">
        <f t="shared" si="288"/>
        <v>4379.375</v>
      </c>
      <c r="AL255" s="2">
        <f t="shared" si="289"/>
        <v>350.35</v>
      </c>
      <c r="AM255" s="3">
        <f t="shared" si="290"/>
        <v>4729.7250000000004</v>
      </c>
      <c r="AN255" s="2">
        <f t="shared" si="291"/>
        <v>9284.2749999999996</v>
      </c>
      <c r="AO255" s="4">
        <f t="shared" si="292"/>
        <v>350.35</v>
      </c>
      <c r="AP255" s="2">
        <f t="shared" si="293"/>
        <v>5080.0750000000007</v>
      </c>
      <c r="AQ255" s="2">
        <f t="shared" si="294"/>
        <v>8933.9249999999993</v>
      </c>
      <c r="AR255" s="4">
        <f t="shared" si="295"/>
        <v>350.35</v>
      </c>
      <c r="AS255" s="5">
        <f t="shared" si="296"/>
        <v>5430.4250000000011</v>
      </c>
      <c r="AT255" s="2">
        <f t="shared" si="297"/>
        <v>8583.5749999999989</v>
      </c>
      <c r="AV255" s="8"/>
    </row>
    <row r="256" spans="1:48" x14ac:dyDescent="0.2">
      <c r="A256" s="1" t="s">
        <v>252</v>
      </c>
      <c r="B256" s="1" t="s">
        <v>183</v>
      </c>
      <c r="C256" s="2">
        <v>8139</v>
      </c>
      <c r="D256" s="1" t="s">
        <v>61</v>
      </c>
      <c r="E256" s="2">
        <v>40</v>
      </c>
      <c r="G256" s="3"/>
      <c r="H256" s="3"/>
      <c r="I256" s="3"/>
      <c r="N256" s="2">
        <f>8139/40*0.5</f>
        <v>101.7375</v>
      </c>
      <c r="O256" s="2">
        <f t="shared" si="266"/>
        <v>101.7375</v>
      </c>
      <c r="P256" s="2">
        <f t="shared" si="267"/>
        <v>203.47499999999999</v>
      </c>
      <c r="Q256" s="2">
        <f t="shared" si="268"/>
        <v>305.21249999999998</v>
      </c>
      <c r="R256" s="2">
        <f t="shared" si="269"/>
        <v>203.47499999999999</v>
      </c>
      <c r="S256" s="2">
        <f t="shared" si="270"/>
        <v>508.6875</v>
      </c>
      <c r="T256" s="2">
        <f t="shared" si="271"/>
        <v>203.47499999999999</v>
      </c>
      <c r="U256" s="2">
        <f t="shared" si="272"/>
        <v>712.16250000000002</v>
      </c>
      <c r="V256" s="2">
        <f t="shared" si="273"/>
        <v>203.47499999999999</v>
      </c>
      <c r="W256" s="2">
        <f t="shared" si="274"/>
        <v>915.63750000000005</v>
      </c>
      <c r="X256" s="2">
        <f t="shared" si="275"/>
        <v>203.47499999999999</v>
      </c>
      <c r="Y256" s="2">
        <f t="shared" si="276"/>
        <v>1119.1125</v>
      </c>
      <c r="Z256" s="2">
        <f t="shared" si="277"/>
        <v>203.47499999999999</v>
      </c>
      <c r="AA256" s="2">
        <f t="shared" si="278"/>
        <v>1322.5874999999999</v>
      </c>
      <c r="AB256" s="2">
        <f t="shared" si="279"/>
        <v>203.47499999999999</v>
      </c>
      <c r="AC256" s="2">
        <f t="shared" si="280"/>
        <v>1526.0624999999998</v>
      </c>
      <c r="AD256" s="2">
        <f t="shared" si="281"/>
        <v>203.47499999999999</v>
      </c>
      <c r="AE256" s="2">
        <f t="shared" si="282"/>
        <v>1729.5374999999997</v>
      </c>
      <c r="AF256" s="2">
        <f t="shared" si="283"/>
        <v>203.47499999999999</v>
      </c>
      <c r="AG256" s="2">
        <f t="shared" si="284"/>
        <v>1933.0124999999996</v>
      </c>
      <c r="AH256" s="2">
        <f t="shared" si="285"/>
        <v>203.47499999999999</v>
      </c>
      <c r="AI256" s="2">
        <f t="shared" si="286"/>
        <v>2136.4874999999997</v>
      </c>
      <c r="AJ256" s="2">
        <f t="shared" si="287"/>
        <v>203.47499999999999</v>
      </c>
      <c r="AK256" s="2">
        <f t="shared" si="288"/>
        <v>2339.9624999999996</v>
      </c>
      <c r="AL256" s="2">
        <f t="shared" si="289"/>
        <v>203.47499999999999</v>
      </c>
      <c r="AM256" s="3">
        <f t="shared" si="290"/>
        <v>2543.4374999999995</v>
      </c>
      <c r="AN256" s="2">
        <f t="shared" si="291"/>
        <v>5595.5625</v>
      </c>
      <c r="AO256" s="4">
        <f t="shared" si="292"/>
        <v>203.47499999999999</v>
      </c>
      <c r="AP256" s="2">
        <f t="shared" si="293"/>
        <v>2746.9124999999995</v>
      </c>
      <c r="AQ256" s="2">
        <f t="shared" si="294"/>
        <v>5392.0874999999996</v>
      </c>
      <c r="AR256" s="4">
        <f t="shared" si="295"/>
        <v>203.47499999999999</v>
      </c>
      <c r="AS256" s="5">
        <f t="shared" si="296"/>
        <v>2950.3874999999994</v>
      </c>
      <c r="AT256" s="2">
        <f t="shared" si="297"/>
        <v>5188.6125000000011</v>
      </c>
      <c r="AV256" s="8"/>
    </row>
    <row r="257" spans="1:48" x14ac:dyDescent="0.2">
      <c r="A257" s="1" t="s">
        <v>252</v>
      </c>
      <c r="B257" s="3" t="s">
        <v>185</v>
      </c>
      <c r="C257" s="2">
        <v>7133</v>
      </c>
      <c r="D257" s="1" t="s">
        <v>61</v>
      </c>
      <c r="E257" s="2">
        <v>40</v>
      </c>
      <c r="G257" s="3"/>
      <c r="H257" s="3"/>
      <c r="I257" s="3"/>
      <c r="P257" s="2">
        <f>C257/E257/2</f>
        <v>89.162499999999994</v>
      </c>
      <c r="Q257" s="2">
        <f t="shared" si="268"/>
        <v>89.162499999999994</v>
      </c>
      <c r="R257" s="2">
        <f t="shared" si="269"/>
        <v>178.32499999999999</v>
      </c>
      <c r="S257" s="2">
        <f t="shared" si="270"/>
        <v>267.48749999999995</v>
      </c>
      <c r="T257" s="2">
        <f t="shared" si="271"/>
        <v>178.32499999999999</v>
      </c>
      <c r="U257" s="2">
        <f t="shared" si="272"/>
        <v>445.81249999999994</v>
      </c>
      <c r="V257" s="2">
        <f t="shared" si="273"/>
        <v>178.32499999999999</v>
      </c>
      <c r="W257" s="2">
        <f t="shared" si="274"/>
        <v>624.13749999999993</v>
      </c>
      <c r="X257" s="2">
        <f t="shared" si="275"/>
        <v>178.32499999999999</v>
      </c>
      <c r="Y257" s="2">
        <f t="shared" si="276"/>
        <v>802.46249999999986</v>
      </c>
      <c r="Z257" s="2">
        <f t="shared" si="277"/>
        <v>178.32499999999999</v>
      </c>
      <c r="AA257" s="2">
        <f t="shared" si="278"/>
        <v>980.78749999999991</v>
      </c>
      <c r="AB257" s="2">
        <f t="shared" si="279"/>
        <v>178.32499999999999</v>
      </c>
      <c r="AC257" s="2">
        <f t="shared" si="280"/>
        <v>1159.1125</v>
      </c>
      <c r="AD257" s="2">
        <f t="shared" si="281"/>
        <v>178.32499999999999</v>
      </c>
      <c r="AE257" s="2">
        <f t="shared" si="282"/>
        <v>1337.4375</v>
      </c>
      <c r="AF257" s="2">
        <f t="shared" si="283"/>
        <v>178.32499999999999</v>
      </c>
      <c r="AG257" s="2">
        <f t="shared" si="284"/>
        <v>1515.7625</v>
      </c>
      <c r="AH257" s="2">
        <f t="shared" si="285"/>
        <v>178.32499999999999</v>
      </c>
      <c r="AI257" s="2">
        <f t="shared" si="286"/>
        <v>1694.0875000000001</v>
      </c>
      <c r="AJ257" s="2">
        <f t="shared" si="287"/>
        <v>178.32499999999999</v>
      </c>
      <c r="AK257" s="2">
        <f t="shared" si="288"/>
        <v>1872.4125000000001</v>
      </c>
      <c r="AL257" s="2">
        <f t="shared" si="289"/>
        <v>178.32499999999999</v>
      </c>
      <c r="AM257" s="3">
        <f t="shared" si="290"/>
        <v>2050.7375000000002</v>
      </c>
      <c r="AN257" s="2">
        <f t="shared" si="291"/>
        <v>5082.2624999999998</v>
      </c>
      <c r="AO257" s="4">
        <f t="shared" si="292"/>
        <v>178.32499999999999</v>
      </c>
      <c r="AP257" s="2">
        <f t="shared" si="293"/>
        <v>2229.0625</v>
      </c>
      <c r="AQ257" s="2">
        <f t="shared" si="294"/>
        <v>4903.9375</v>
      </c>
      <c r="AR257" s="4">
        <f t="shared" si="295"/>
        <v>178.32499999999999</v>
      </c>
      <c r="AS257" s="5">
        <f t="shared" si="296"/>
        <v>2407.3874999999998</v>
      </c>
      <c r="AT257" s="2">
        <f t="shared" si="297"/>
        <v>4725.6125000000002</v>
      </c>
      <c r="AV257" s="8"/>
    </row>
    <row r="258" spans="1:48" x14ac:dyDescent="0.2">
      <c r="A258" s="1" t="s">
        <v>252</v>
      </c>
      <c r="B258" s="3" t="s">
        <v>187</v>
      </c>
      <c r="C258" s="2">
        <v>22107</v>
      </c>
      <c r="D258" s="1" t="s">
        <v>61</v>
      </c>
      <c r="E258" s="2">
        <v>40</v>
      </c>
      <c r="G258" s="3"/>
      <c r="H258" s="3"/>
      <c r="I258" s="3"/>
      <c r="R258" s="2">
        <f>22107/40*0.5</f>
        <v>276.33749999999998</v>
      </c>
      <c r="S258" s="2">
        <f t="shared" si="270"/>
        <v>276.33749999999998</v>
      </c>
      <c r="T258" s="2">
        <v>553</v>
      </c>
      <c r="U258" s="2">
        <f t="shared" si="272"/>
        <v>829.33749999999998</v>
      </c>
      <c r="V258" s="2">
        <f t="shared" si="273"/>
        <v>553</v>
      </c>
      <c r="W258" s="2">
        <f t="shared" si="274"/>
        <v>1382.3375000000001</v>
      </c>
      <c r="X258" s="2">
        <f t="shared" si="275"/>
        <v>553</v>
      </c>
      <c r="Y258" s="2">
        <f t="shared" si="276"/>
        <v>1935.3375000000001</v>
      </c>
      <c r="Z258" s="2">
        <f t="shared" si="277"/>
        <v>553</v>
      </c>
      <c r="AA258" s="2">
        <f t="shared" si="278"/>
        <v>2488.3375000000001</v>
      </c>
      <c r="AB258" s="2">
        <f t="shared" si="279"/>
        <v>553</v>
      </c>
      <c r="AC258" s="2">
        <f t="shared" si="280"/>
        <v>3041.3375000000001</v>
      </c>
      <c r="AD258" s="2">
        <f t="shared" si="281"/>
        <v>553</v>
      </c>
      <c r="AE258" s="2">
        <f t="shared" si="282"/>
        <v>3594.3375000000001</v>
      </c>
      <c r="AF258" s="2">
        <f t="shared" si="283"/>
        <v>553</v>
      </c>
      <c r="AG258" s="2">
        <f t="shared" si="284"/>
        <v>4147.3374999999996</v>
      </c>
      <c r="AH258" s="2">
        <f t="shared" si="285"/>
        <v>553</v>
      </c>
      <c r="AI258" s="2">
        <f t="shared" si="286"/>
        <v>4700.3374999999996</v>
      </c>
      <c r="AJ258" s="2">
        <f t="shared" si="287"/>
        <v>553</v>
      </c>
      <c r="AK258" s="2">
        <f t="shared" si="288"/>
        <v>5253.3374999999996</v>
      </c>
      <c r="AL258" s="2">
        <f t="shared" si="289"/>
        <v>553</v>
      </c>
      <c r="AM258" s="3">
        <f t="shared" si="290"/>
        <v>5806.3374999999996</v>
      </c>
      <c r="AN258" s="2">
        <f t="shared" si="291"/>
        <v>16300.6625</v>
      </c>
      <c r="AO258" s="4">
        <f t="shared" si="292"/>
        <v>553</v>
      </c>
      <c r="AP258" s="2">
        <f t="shared" si="293"/>
        <v>6359.3374999999996</v>
      </c>
      <c r="AQ258" s="2">
        <f t="shared" si="294"/>
        <v>15747.6625</v>
      </c>
      <c r="AR258" s="4">
        <f t="shared" si="295"/>
        <v>553</v>
      </c>
      <c r="AS258" s="5">
        <f t="shared" si="296"/>
        <v>6912.3374999999996</v>
      </c>
      <c r="AT258" s="2">
        <f t="shared" si="297"/>
        <v>15194.6625</v>
      </c>
      <c r="AV258" s="8"/>
    </row>
    <row r="259" spans="1:48" x14ac:dyDescent="0.2">
      <c r="A259" s="1" t="s">
        <v>252</v>
      </c>
      <c r="B259" s="3" t="s">
        <v>189</v>
      </c>
      <c r="C259" s="2">
        <v>4451.8599999999997</v>
      </c>
      <c r="D259" s="1" t="s">
        <v>61</v>
      </c>
      <c r="E259" s="2">
        <v>40</v>
      </c>
      <c r="G259" s="3"/>
      <c r="H259" s="3"/>
      <c r="I259" s="3"/>
      <c r="T259" s="2">
        <v>56</v>
      </c>
      <c r="U259" s="2">
        <f t="shared" si="272"/>
        <v>56</v>
      </c>
      <c r="V259" s="2">
        <f>4452/40</f>
        <v>111.3</v>
      </c>
      <c r="W259" s="2">
        <f t="shared" si="274"/>
        <v>167.3</v>
      </c>
      <c r="X259" s="2">
        <f t="shared" si="275"/>
        <v>111.3</v>
      </c>
      <c r="Y259" s="2">
        <f t="shared" si="276"/>
        <v>278.60000000000002</v>
      </c>
      <c r="Z259" s="2">
        <f t="shared" si="277"/>
        <v>111.3</v>
      </c>
      <c r="AA259" s="2">
        <f t="shared" si="278"/>
        <v>389.90000000000003</v>
      </c>
      <c r="AB259" s="2">
        <f t="shared" si="279"/>
        <v>111.3</v>
      </c>
      <c r="AC259" s="2">
        <f t="shared" si="280"/>
        <v>501.20000000000005</v>
      </c>
      <c r="AD259" s="2">
        <f t="shared" si="281"/>
        <v>111.3</v>
      </c>
      <c r="AE259" s="2">
        <f t="shared" si="282"/>
        <v>612.5</v>
      </c>
      <c r="AF259" s="2">
        <f t="shared" si="283"/>
        <v>111.3</v>
      </c>
      <c r="AG259" s="2">
        <f t="shared" si="284"/>
        <v>723.8</v>
      </c>
      <c r="AH259" s="2">
        <f t="shared" si="285"/>
        <v>111.3</v>
      </c>
      <c r="AI259" s="2">
        <f t="shared" si="286"/>
        <v>835.09999999999991</v>
      </c>
      <c r="AJ259" s="2">
        <f t="shared" si="287"/>
        <v>111.3</v>
      </c>
      <c r="AK259" s="2">
        <f t="shared" si="288"/>
        <v>946.39999999999986</v>
      </c>
      <c r="AL259" s="2">
        <f t="shared" si="289"/>
        <v>111.3</v>
      </c>
      <c r="AM259" s="3">
        <f t="shared" si="290"/>
        <v>1057.6999999999998</v>
      </c>
      <c r="AN259" s="2">
        <f t="shared" si="291"/>
        <v>3394.16</v>
      </c>
      <c r="AO259" s="4">
        <f t="shared" si="292"/>
        <v>111.3</v>
      </c>
      <c r="AP259" s="2">
        <f t="shared" si="293"/>
        <v>1168.9999999999998</v>
      </c>
      <c r="AQ259" s="2">
        <f t="shared" si="294"/>
        <v>3282.8599999999997</v>
      </c>
      <c r="AR259" s="4">
        <f t="shared" si="295"/>
        <v>111.3</v>
      </c>
      <c r="AS259" s="5">
        <f t="shared" si="296"/>
        <v>1280.2999999999997</v>
      </c>
      <c r="AT259" s="2">
        <f t="shared" si="297"/>
        <v>3171.56</v>
      </c>
      <c r="AV259" s="8"/>
    </row>
    <row r="260" spans="1:48" x14ac:dyDescent="0.2">
      <c r="A260" s="1" t="s">
        <v>252</v>
      </c>
      <c r="B260" s="3" t="s">
        <v>191</v>
      </c>
      <c r="C260" s="2">
        <v>5741</v>
      </c>
      <c r="D260" s="1" t="s">
        <v>61</v>
      </c>
      <c r="E260" s="2">
        <v>40</v>
      </c>
      <c r="G260" s="3"/>
      <c r="H260" s="3"/>
      <c r="I260" s="3"/>
      <c r="V260" s="2">
        <v>72</v>
      </c>
      <c r="W260" s="2">
        <f t="shared" si="274"/>
        <v>72</v>
      </c>
      <c r="X260" s="2">
        <f>5741/40</f>
        <v>143.52500000000001</v>
      </c>
      <c r="Y260" s="2">
        <f t="shared" si="276"/>
        <v>215.52500000000001</v>
      </c>
      <c r="Z260" s="2">
        <f t="shared" si="277"/>
        <v>143.52500000000001</v>
      </c>
      <c r="AA260" s="2">
        <f t="shared" si="278"/>
        <v>359.05</v>
      </c>
      <c r="AB260" s="2">
        <f t="shared" si="279"/>
        <v>143.52500000000001</v>
      </c>
      <c r="AC260" s="2">
        <f t="shared" si="280"/>
        <v>502.57500000000005</v>
      </c>
      <c r="AD260" s="2">
        <f t="shared" si="281"/>
        <v>143.52500000000001</v>
      </c>
      <c r="AE260" s="2">
        <f t="shared" si="282"/>
        <v>646.1</v>
      </c>
      <c r="AF260" s="2">
        <f t="shared" si="283"/>
        <v>143.52500000000001</v>
      </c>
      <c r="AG260" s="2">
        <f t="shared" si="284"/>
        <v>789.625</v>
      </c>
      <c r="AH260" s="2">
        <f t="shared" si="285"/>
        <v>143.52500000000001</v>
      </c>
      <c r="AI260" s="2">
        <f t="shared" si="286"/>
        <v>933.15</v>
      </c>
      <c r="AJ260" s="2">
        <f t="shared" si="287"/>
        <v>143.52500000000001</v>
      </c>
      <c r="AK260" s="2">
        <f t="shared" si="288"/>
        <v>1076.675</v>
      </c>
      <c r="AL260" s="2">
        <f t="shared" si="289"/>
        <v>143.52500000000001</v>
      </c>
      <c r="AM260" s="3">
        <f t="shared" si="290"/>
        <v>1220.2</v>
      </c>
      <c r="AN260" s="2">
        <f t="shared" si="291"/>
        <v>4520.8</v>
      </c>
      <c r="AO260" s="4">
        <f t="shared" si="292"/>
        <v>143.52500000000001</v>
      </c>
      <c r="AP260" s="2">
        <f t="shared" si="293"/>
        <v>1363.7250000000001</v>
      </c>
      <c r="AQ260" s="2">
        <f t="shared" si="294"/>
        <v>4377.2750000000005</v>
      </c>
      <c r="AR260" s="4">
        <f t="shared" si="295"/>
        <v>143.52500000000001</v>
      </c>
      <c r="AS260" s="5">
        <f t="shared" si="296"/>
        <v>1507.2500000000002</v>
      </c>
      <c r="AT260" s="2">
        <f t="shared" si="297"/>
        <v>4233.75</v>
      </c>
      <c r="AV260" s="8"/>
    </row>
    <row r="261" spans="1:48" x14ac:dyDescent="0.2">
      <c r="A261" s="1" t="s">
        <v>253</v>
      </c>
      <c r="B261" s="3" t="s">
        <v>191</v>
      </c>
      <c r="C261" s="2">
        <v>-7500</v>
      </c>
      <c r="G261" s="3"/>
      <c r="H261" s="3"/>
      <c r="I261" s="3"/>
      <c r="W261" s="2">
        <v>-3750</v>
      </c>
      <c r="Y261" s="2">
        <f t="shared" si="276"/>
        <v>-3750</v>
      </c>
      <c r="Z261" s="2">
        <f t="shared" si="277"/>
        <v>0</v>
      </c>
      <c r="AA261" s="2">
        <f t="shared" si="278"/>
        <v>-3750</v>
      </c>
      <c r="AB261" s="2">
        <f t="shared" si="279"/>
        <v>0</v>
      </c>
      <c r="AC261" s="2">
        <f t="shared" si="280"/>
        <v>-3750</v>
      </c>
      <c r="AD261" s="2">
        <f t="shared" si="281"/>
        <v>0</v>
      </c>
      <c r="AE261" s="2">
        <f t="shared" si="282"/>
        <v>-3750</v>
      </c>
      <c r="AF261" s="2">
        <f t="shared" si="283"/>
        <v>0</v>
      </c>
      <c r="AG261" s="2">
        <f t="shared" si="284"/>
        <v>-3750</v>
      </c>
      <c r="AH261" s="2">
        <f t="shared" si="285"/>
        <v>0</v>
      </c>
      <c r="AI261" s="2">
        <f t="shared" si="286"/>
        <v>-3750</v>
      </c>
      <c r="AJ261" s="2">
        <f t="shared" si="287"/>
        <v>0</v>
      </c>
      <c r="AK261" s="2">
        <f t="shared" si="288"/>
        <v>-3750</v>
      </c>
      <c r="AL261" s="2">
        <f t="shared" si="289"/>
        <v>0</v>
      </c>
      <c r="AM261" s="3">
        <f t="shared" si="290"/>
        <v>-3750</v>
      </c>
      <c r="AN261" s="2">
        <f t="shared" si="291"/>
        <v>-3750</v>
      </c>
      <c r="AO261" s="4">
        <f t="shared" si="292"/>
        <v>0</v>
      </c>
      <c r="AP261" s="2">
        <f t="shared" si="293"/>
        <v>-3750</v>
      </c>
      <c r="AQ261" s="2">
        <f t="shared" si="294"/>
        <v>-3750</v>
      </c>
      <c r="AR261" s="4">
        <f t="shared" si="295"/>
        <v>0</v>
      </c>
      <c r="AS261" s="5">
        <f t="shared" si="296"/>
        <v>-3750</v>
      </c>
      <c r="AT261" s="2">
        <f t="shared" si="297"/>
        <v>-3750</v>
      </c>
      <c r="AV261" s="8"/>
    </row>
    <row r="262" spans="1:48" x14ac:dyDescent="0.2">
      <c r="A262" s="1" t="s">
        <v>252</v>
      </c>
      <c r="B262" s="1" t="s">
        <v>204</v>
      </c>
      <c r="C262" s="2">
        <v>1026</v>
      </c>
      <c r="D262" s="1" t="s">
        <v>61</v>
      </c>
      <c r="E262" s="2">
        <v>40</v>
      </c>
      <c r="G262" s="3"/>
      <c r="H262" s="3"/>
      <c r="I262" s="3"/>
      <c r="X262" s="2">
        <f>1026/40/2</f>
        <v>12.824999999999999</v>
      </c>
      <c r="Y262" s="2">
        <f t="shared" si="276"/>
        <v>12.824999999999999</v>
      </c>
      <c r="Z262" s="2">
        <f>1026/40</f>
        <v>25.65</v>
      </c>
      <c r="AA262" s="2">
        <f t="shared" si="278"/>
        <v>38.474999999999994</v>
      </c>
      <c r="AB262" s="2">
        <f t="shared" si="279"/>
        <v>25.65</v>
      </c>
      <c r="AC262" s="2">
        <f t="shared" si="280"/>
        <v>64.125</v>
      </c>
      <c r="AD262" s="2">
        <f t="shared" si="281"/>
        <v>25.65</v>
      </c>
      <c r="AE262" s="2">
        <f t="shared" si="282"/>
        <v>89.775000000000006</v>
      </c>
      <c r="AF262" s="2">
        <f t="shared" si="283"/>
        <v>25.65</v>
      </c>
      <c r="AG262" s="2">
        <f t="shared" si="284"/>
        <v>115.42500000000001</v>
      </c>
      <c r="AH262" s="2">
        <f t="shared" si="285"/>
        <v>25.65</v>
      </c>
      <c r="AI262" s="2">
        <f t="shared" si="286"/>
        <v>141.07500000000002</v>
      </c>
      <c r="AJ262" s="2">
        <f t="shared" si="287"/>
        <v>25.65</v>
      </c>
      <c r="AK262" s="2">
        <f t="shared" si="288"/>
        <v>166.72500000000002</v>
      </c>
      <c r="AL262" s="2">
        <f t="shared" si="289"/>
        <v>25.65</v>
      </c>
      <c r="AM262" s="3">
        <f t="shared" si="290"/>
        <v>192.37500000000003</v>
      </c>
      <c r="AN262" s="2">
        <f t="shared" si="291"/>
        <v>833.625</v>
      </c>
      <c r="AO262" s="4">
        <f t="shared" si="292"/>
        <v>25.65</v>
      </c>
      <c r="AP262" s="2">
        <f t="shared" si="293"/>
        <v>218.02500000000003</v>
      </c>
      <c r="AQ262" s="2">
        <f t="shared" si="294"/>
        <v>807.97500000000002</v>
      </c>
      <c r="AR262" s="4">
        <f t="shared" si="295"/>
        <v>25.65</v>
      </c>
      <c r="AS262" s="5">
        <f t="shared" si="296"/>
        <v>243.67500000000004</v>
      </c>
      <c r="AT262" s="2">
        <f t="shared" si="297"/>
        <v>782.32499999999993</v>
      </c>
      <c r="AV262" s="8"/>
    </row>
    <row r="263" spans="1:48" x14ac:dyDescent="0.2">
      <c r="A263" s="1" t="s">
        <v>252</v>
      </c>
      <c r="B263" s="1" t="s">
        <v>206</v>
      </c>
      <c r="C263" s="2">
        <v>2063</v>
      </c>
      <c r="D263" s="1" t="s">
        <v>61</v>
      </c>
      <c r="E263" s="2">
        <v>40</v>
      </c>
      <c r="G263" s="3"/>
      <c r="H263" s="3"/>
      <c r="I263" s="3"/>
      <c r="Z263" s="2">
        <v>26</v>
      </c>
      <c r="AA263" s="2">
        <v>26</v>
      </c>
      <c r="AB263" s="2">
        <f>2063/40</f>
        <v>51.575000000000003</v>
      </c>
      <c r="AC263" s="2">
        <f t="shared" si="280"/>
        <v>77.575000000000003</v>
      </c>
      <c r="AD263" s="2">
        <f t="shared" si="281"/>
        <v>51.575000000000003</v>
      </c>
      <c r="AE263" s="2">
        <f t="shared" si="282"/>
        <v>129.15</v>
      </c>
      <c r="AF263" s="2">
        <f t="shared" si="283"/>
        <v>51.575000000000003</v>
      </c>
      <c r="AG263" s="2">
        <f t="shared" si="284"/>
        <v>180.72500000000002</v>
      </c>
      <c r="AH263" s="2">
        <f t="shared" si="285"/>
        <v>51.575000000000003</v>
      </c>
      <c r="AI263" s="2">
        <f t="shared" si="286"/>
        <v>232.3</v>
      </c>
      <c r="AJ263" s="2">
        <f t="shared" si="287"/>
        <v>51.575000000000003</v>
      </c>
      <c r="AK263" s="2">
        <f t="shared" si="288"/>
        <v>283.875</v>
      </c>
      <c r="AL263" s="2">
        <f t="shared" si="289"/>
        <v>51.575000000000003</v>
      </c>
      <c r="AM263" s="3">
        <f t="shared" si="290"/>
        <v>335.45</v>
      </c>
      <c r="AN263" s="2">
        <f t="shared" si="291"/>
        <v>1727.55</v>
      </c>
      <c r="AO263" s="4">
        <f t="shared" si="292"/>
        <v>51.575000000000003</v>
      </c>
      <c r="AP263" s="2">
        <f t="shared" si="293"/>
        <v>387.02499999999998</v>
      </c>
      <c r="AQ263" s="2">
        <f t="shared" si="294"/>
        <v>1675.9749999999999</v>
      </c>
      <c r="AR263" s="4">
        <f t="shared" si="295"/>
        <v>51.575000000000003</v>
      </c>
      <c r="AS263" s="5">
        <f t="shared" si="296"/>
        <v>438.59999999999997</v>
      </c>
      <c r="AT263" s="2">
        <f t="shared" si="297"/>
        <v>1624.4</v>
      </c>
      <c r="AV263" s="8"/>
    </row>
    <row r="264" spans="1:48" x14ac:dyDescent="0.2">
      <c r="A264" s="1" t="s">
        <v>252</v>
      </c>
      <c r="B264" s="1" t="s">
        <v>208</v>
      </c>
      <c r="C264" s="2">
        <v>513</v>
      </c>
      <c r="D264" s="1" t="s">
        <v>61</v>
      </c>
      <c r="E264" s="2">
        <v>40</v>
      </c>
      <c r="G264" s="3"/>
      <c r="H264" s="3"/>
      <c r="I264" s="3"/>
      <c r="AB264" s="2">
        <v>6</v>
      </c>
      <c r="AC264" s="2">
        <v>6</v>
      </c>
      <c r="AD264" s="2">
        <v>13</v>
      </c>
      <c r="AE264" s="2">
        <f t="shared" si="282"/>
        <v>19</v>
      </c>
      <c r="AF264" s="2">
        <f t="shared" si="283"/>
        <v>13</v>
      </c>
      <c r="AG264" s="2">
        <f t="shared" si="284"/>
        <v>32</v>
      </c>
      <c r="AH264" s="2">
        <f t="shared" si="285"/>
        <v>13</v>
      </c>
      <c r="AI264" s="2">
        <f t="shared" si="286"/>
        <v>45</v>
      </c>
      <c r="AJ264" s="2">
        <f t="shared" si="287"/>
        <v>13</v>
      </c>
      <c r="AK264" s="2">
        <f t="shared" si="288"/>
        <v>58</v>
      </c>
      <c r="AL264" s="2">
        <f t="shared" si="289"/>
        <v>13</v>
      </c>
      <c r="AM264" s="3">
        <f t="shared" si="290"/>
        <v>71</v>
      </c>
      <c r="AN264" s="2">
        <f t="shared" si="291"/>
        <v>442</v>
      </c>
      <c r="AO264" s="4">
        <f t="shared" si="292"/>
        <v>13</v>
      </c>
      <c r="AP264" s="2">
        <f t="shared" si="293"/>
        <v>84</v>
      </c>
      <c r="AQ264" s="2">
        <f t="shared" si="294"/>
        <v>429</v>
      </c>
      <c r="AR264" s="4">
        <f t="shared" si="295"/>
        <v>13</v>
      </c>
      <c r="AS264" s="5">
        <f t="shared" si="296"/>
        <v>97</v>
      </c>
      <c r="AT264" s="2">
        <f t="shared" si="297"/>
        <v>416</v>
      </c>
      <c r="AV264" s="8"/>
    </row>
    <row r="265" spans="1:48" x14ac:dyDescent="0.2">
      <c r="A265" s="1" t="s">
        <v>252</v>
      </c>
      <c r="B265" s="1" t="s">
        <v>102</v>
      </c>
      <c r="C265" s="2">
        <v>1187</v>
      </c>
      <c r="D265" s="1" t="s">
        <v>61</v>
      </c>
      <c r="E265" s="2">
        <v>40</v>
      </c>
      <c r="G265" s="3"/>
      <c r="H265" s="3"/>
      <c r="I265" s="3"/>
      <c r="AD265" s="2">
        <f>1187/40/2</f>
        <v>14.8375</v>
      </c>
      <c r="AE265" s="2">
        <f t="shared" si="282"/>
        <v>14.8375</v>
      </c>
      <c r="AF265" s="2">
        <f>1187/40</f>
        <v>29.675000000000001</v>
      </c>
      <c r="AG265" s="2">
        <f t="shared" si="284"/>
        <v>44.512500000000003</v>
      </c>
      <c r="AH265" s="2">
        <f>1187/40</f>
        <v>29.675000000000001</v>
      </c>
      <c r="AI265" s="2">
        <f t="shared" si="286"/>
        <v>74.1875</v>
      </c>
      <c r="AJ265" s="2">
        <f t="shared" si="287"/>
        <v>29.675000000000001</v>
      </c>
      <c r="AK265" s="2">
        <f t="shared" si="288"/>
        <v>103.8625</v>
      </c>
      <c r="AL265" s="2">
        <f t="shared" si="289"/>
        <v>29.675000000000001</v>
      </c>
      <c r="AM265" s="3">
        <f t="shared" si="290"/>
        <v>133.53749999999999</v>
      </c>
      <c r="AN265" s="2">
        <f t="shared" si="291"/>
        <v>1053.4625000000001</v>
      </c>
      <c r="AO265" s="4">
        <f t="shared" si="292"/>
        <v>29.675000000000001</v>
      </c>
      <c r="AP265" s="2">
        <f t="shared" si="293"/>
        <v>163.21250000000001</v>
      </c>
      <c r="AQ265" s="2">
        <f t="shared" si="294"/>
        <v>1023.7875000000001</v>
      </c>
      <c r="AR265" s="4">
        <f t="shared" si="295"/>
        <v>29.675000000000001</v>
      </c>
      <c r="AS265" s="5">
        <f t="shared" si="296"/>
        <v>192.88750000000002</v>
      </c>
      <c r="AT265" s="2">
        <f t="shared" si="297"/>
        <v>994.11249999999995</v>
      </c>
      <c r="AV265" s="8"/>
    </row>
    <row r="266" spans="1:48" x14ac:dyDescent="0.2">
      <c r="A266" s="1" t="s">
        <v>252</v>
      </c>
      <c r="B266" s="1" t="s">
        <v>212</v>
      </c>
      <c r="C266" s="2">
        <v>588</v>
      </c>
      <c r="D266" s="1" t="s">
        <v>61</v>
      </c>
      <c r="E266" s="2">
        <v>40</v>
      </c>
      <c r="G266" s="3"/>
      <c r="H266" s="3"/>
      <c r="I266" s="3"/>
      <c r="AF266" s="2">
        <f>588/40/2</f>
        <v>7.35</v>
      </c>
      <c r="AG266" s="2">
        <f t="shared" si="284"/>
        <v>7.35</v>
      </c>
      <c r="AH266" s="2">
        <f>588/40</f>
        <v>14.7</v>
      </c>
      <c r="AI266" s="2">
        <f t="shared" si="286"/>
        <v>22.049999999999997</v>
      </c>
      <c r="AJ266" s="2">
        <f t="shared" si="287"/>
        <v>14.7</v>
      </c>
      <c r="AK266" s="2">
        <f t="shared" si="288"/>
        <v>36.75</v>
      </c>
      <c r="AL266" s="2">
        <f t="shared" si="289"/>
        <v>14.7</v>
      </c>
      <c r="AM266" s="3">
        <f t="shared" si="290"/>
        <v>51.45</v>
      </c>
      <c r="AN266" s="2">
        <f t="shared" si="291"/>
        <v>536.54999999999995</v>
      </c>
      <c r="AO266" s="4">
        <f t="shared" si="292"/>
        <v>14.7</v>
      </c>
      <c r="AP266" s="2">
        <f t="shared" si="293"/>
        <v>66.150000000000006</v>
      </c>
      <c r="AQ266" s="2">
        <f t="shared" si="294"/>
        <v>521.84999999999991</v>
      </c>
      <c r="AR266" s="4">
        <f t="shared" si="295"/>
        <v>14.7</v>
      </c>
      <c r="AS266" s="5">
        <f t="shared" si="296"/>
        <v>80.850000000000009</v>
      </c>
      <c r="AT266" s="2">
        <f t="shared" si="297"/>
        <v>507.15</v>
      </c>
      <c r="AV266" s="8"/>
    </row>
    <row r="267" spans="1:48" x14ac:dyDescent="0.2">
      <c r="A267" s="1" t="s">
        <v>252</v>
      </c>
      <c r="B267" s="1" t="s">
        <v>214</v>
      </c>
      <c r="C267" s="2">
        <v>1645</v>
      </c>
      <c r="D267" s="1" t="s">
        <v>61</v>
      </c>
      <c r="E267" s="2">
        <v>40</v>
      </c>
      <c r="G267" s="3"/>
      <c r="H267" s="3"/>
      <c r="I267" s="3"/>
      <c r="AH267" s="2">
        <v>20.56</v>
      </c>
      <c r="AI267" s="2">
        <v>20.56</v>
      </c>
      <c r="AJ267" s="2">
        <f>1645/40</f>
        <v>41.125</v>
      </c>
      <c r="AK267" s="2">
        <f t="shared" si="288"/>
        <v>61.685000000000002</v>
      </c>
      <c r="AL267" s="2">
        <f>1645/40</f>
        <v>41.125</v>
      </c>
      <c r="AM267" s="3">
        <f t="shared" si="290"/>
        <v>102.81</v>
      </c>
      <c r="AN267" s="2">
        <f t="shared" si="291"/>
        <v>1542.19</v>
      </c>
      <c r="AO267" s="4">
        <f t="shared" si="292"/>
        <v>41.125</v>
      </c>
      <c r="AP267" s="2">
        <f t="shared" si="293"/>
        <v>143.935</v>
      </c>
      <c r="AQ267" s="2">
        <f t="shared" si="294"/>
        <v>1501.0650000000001</v>
      </c>
      <c r="AR267" s="4">
        <f t="shared" si="295"/>
        <v>41.125</v>
      </c>
      <c r="AS267" s="5">
        <f t="shared" si="296"/>
        <v>185.06</v>
      </c>
      <c r="AT267" s="2">
        <f t="shared" si="297"/>
        <v>1459.94</v>
      </c>
      <c r="AV267" s="8"/>
    </row>
    <row r="268" spans="1:48" x14ac:dyDescent="0.2">
      <c r="A268" s="1" t="s">
        <v>252</v>
      </c>
      <c r="B268" s="1" t="s">
        <v>218</v>
      </c>
      <c r="C268" s="2">
        <v>1926</v>
      </c>
      <c r="D268" s="1" t="s">
        <v>61</v>
      </c>
      <c r="E268" s="2">
        <v>40</v>
      </c>
      <c r="G268" s="3"/>
      <c r="H268" s="3"/>
      <c r="I268" s="3"/>
      <c r="AJ268" s="2">
        <v>48</v>
      </c>
      <c r="AK268" s="2">
        <v>48</v>
      </c>
      <c r="AL268" s="2">
        <f>1926/40</f>
        <v>48.15</v>
      </c>
      <c r="AM268" s="3">
        <f t="shared" si="290"/>
        <v>96.15</v>
      </c>
      <c r="AN268" s="2">
        <f t="shared" si="291"/>
        <v>1829.85</v>
      </c>
      <c r="AO268" s="4">
        <f t="shared" si="292"/>
        <v>48.15</v>
      </c>
      <c r="AP268" s="2">
        <f t="shared" si="293"/>
        <v>144.30000000000001</v>
      </c>
      <c r="AQ268" s="2">
        <f t="shared" si="294"/>
        <v>1781.6999999999998</v>
      </c>
      <c r="AR268" s="4">
        <f t="shared" si="295"/>
        <v>48.15</v>
      </c>
      <c r="AS268" s="5">
        <f t="shared" si="296"/>
        <v>192.45000000000002</v>
      </c>
      <c r="AT268" s="2">
        <f t="shared" si="297"/>
        <v>1733.55</v>
      </c>
      <c r="AV268" s="8"/>
    </row>
    <row r="269" spans="1:48" x14ac:dyDescent="0.2">
      <c r="A269" s="1" t="s">
        <v>252</v>
      </c>
      <c r="B269" s="3" t="s">
        <v>221</v>
      </c>
      <c r="C269" s="2">
        <v>2940</v>
      </c>
      <c r="D269" s="1" t="s">
        <v>61</v>
      </c>
      <c r="E269" s="2">
        <v>40</v>
      </c>
      <c r="G269" s="3"/>
      <c r="H269" s="3"/>
      <c r="I269" s="3"/>
      <c r="AL269" s="2">
        <f>SUM(C269/40/2)</f>
        <v>36.75</v>
      </c>
      <c r="AM269" s="3">
        <f t="shared" si="290"/>
        <v>36.75</v>
      </c>
      <c r="AN269" s="2">
        <f t="shared" si="291"/>
        <v>2903.25</v>
      </c>
      <c r="AO269" s="4">
        <f>2940/40</f>
        <v>73.5</v>
      </c>
      <c r="AP269" s="2">
        <f t="shared" si="293"/>
        <v>110.25</v>
      </c>
      <c r="AQ269" s="2">
        <f t="shared" si="294"/>
        <v>2829.75</v>
      </c>
      <c r="AR269" s="4">
        <f t="shared" si="295"/>
        <v>73.5</v>
      </c>
      <c r="AS269" s="5">
        <f t="shared" si="296"/>
        <v>183.75</v>
      </c>
      <c r="AT269" s="2">
        <f t="shared" si="297"/>
        <v>2756.25</v>
      </c>
      <c r="AV269" s="8"/>
    </row>
    <row r="270" spans="1:48" x14ac:dyDescent="0.2">
      <c r="A270" s="1" t="s">
        <v>252</v>
      </c>
      <c r="B270" s="3" t="s">
        <v>223</v>
      </c>
      <c r="C270" s="2">
        <v>2352</v>
      </c>
      <c r="D270" s="1" t="s">
        <v>61</v>
      </c>
      <c r="E270" s="2">
        <v>40</v>
      </c>
      <c r="G270" s="3"/>
      <c r="H270" s="3"/>
      <c r="I270" s="3"/>
      <c r="AM270" s="3"/>
      <c r="AN270" s="2">
        <v>2352</v>
      </c>
      <c r="AO270" s="4">
        <f>2352/40/12*6</f>
        <v>29.4</v>
      </c>
      <c r="AP270" s="2">
        <f t="shared" si="293"/>
        <v>29.4</v>
      </c>
      <c r="AQ270" s="2">
        <f t="shared" si="294"/>
        <v>2322.6</v>
      </c>
      <c r="AR270" s="4">
        <f>2352/40</f>
        <v>58.8</v>
      </c>
      <c r="AS270" s="5">
        <f t="shared" si="296"/>
        <v>88.199999999999989</v>
      </c>
      <c r="AT270" s="2">
        <f>AQ270-AR270</f>
        <v>2263.7999999999997</v>
      </c>
      <c r="AV270" s="8"/>
    </row>
    <row r="271" spans="1:48" x14ac:dyDescent="0.2">
      <c r="A271" s="1" t="s">
        <v>252</v>
      </c>
      <c r="B271" s="3" t="s">
        <v>225</v>
      </c>
      <c r="C271" s="2">
        <v>2352</v>
      </c>
      <c r="D271" s="1" t="s">
        <v>61</v>
      </c>
      <c r="E271" s="2">
        <v>40</v>
      </c>
      <c r="G271" s="3"/>
      <c r="H271" s="3"/>
      <c r="I271" s="3"/>
      <c r="AM271" s="3"/>
      <c r="AO271" s="4"/>
      <c r="AP271" s="2">
        <f t="shared" si="293"/>
        <v>0</v>
      </c>
      <c r="AQ271" s="2">
        <v>2352</v>
      </c>
      <c r="AR271" s="4">
        <f>2352/40/2</f>
        <v>29.4</v>
      </c>
      <c r="AS271" s="5">
        <f t="shared" si="296"/>
        <v>29.4</v>
      </c>
      <c r="AT271" s="2">
        <f>AQ271-AR271</f>
        <v>2322.6</v>
      </c>
      <c r="AV271" s="8"/>
    </row>
    <row r="272" spans="1:48" x14ac:dyDescent="0.2">
      <c r="B272" s="3"/>
      <c r="G272" s="3"/>
      <c r="H272" s="3"/>
      <c r="I272" s="3"/>
      <c r="AM272" s="3"/>
      <c r="AO272" s="4"/>
      <c r="AR272" s="4"/>
      <c r="AS272" s="5"/>
    </row>
    <row r="273" spans="1:48" x14ac:dyDescent="0.2">
      <c r="C273" s="5">
        <f>SUM(C241:C272)</f>
        <v>230504.86</v>
      </c>
      <c r="G273" s="5">
        <f t="shared" ref="G273:R273" si="298">SUM(G241:G262)</f>
        <v>32812</v>
      </c>
      <c r="H273" s="5">
        <f t="shared" si="298"/>
        <v>3324</v>
      </c>
      <c r="I273" s="5">
        <f t="shared" si="298"/>
        <v>36136</v>
      </c>
      <c r="J273" s="5">
        <f t="shared" si="298"/>
        <v>3547</v>
      </c>
      <c r="K273" s="5">
        <f t="shared" si="298"/>
        <v>39683</v>
      </c>
      <c r="L273" s="5">
        <f t="shared" si="298"/>
        <v>3945.7000000000003</v>
      </c>
      <c r="M273" s="5">
        <f t="shared" si="298"/>
        <v>43628.700000000004</v>
      </c>
      <c r="N273" s="5">
        <f t="shared" si="298"/>
        <v>4222.6125000000002</v>
      </c>
      <c r="O273" s="5">
        <f t="shared" si="298"/>
        <v>47851.312500000007</v>
      </c>
      <c r="P273" s="5">
        <f t="shared" si="298"/>
        <v>4638.6625000000013</v>
      </c>
      <c r="Q273" s="5">
        <f t="shared" si="298"/>
        <v>52489.974999999999</v>
      </c>
      <c r="R273" s="5">
        <f t="shared" si="298"/>
        <v>5004.1625000000004</v>
      </c>
      <c r="S273" s="5">
        <f>Q273+R273</f>
        <v>57494.137499999997</v>
      </c>
      <c r="T273" s="5">
        <f>SUM(T241:T259)</f>
        <v>5336.8250000000007</v>
      </c>
      <c r="U273" s="5">
        <f>SUM(U241:U259)</f>
        <v>62830.962500000001</v>
      </c>
      <c r="V273" s="5">
        <f>SUM(V241:V262)</f>
        <v>5464.1250000000009</v>
      </c>
      <c r="W273" s="5">
        <f>SUM(W241:W262)</f>
        <v>64545.087499999994</v>
      </c>
      <c r="X273" s="5">
        <f>SUM(X241:X262)</f>
        <v>5548.4750000000004</v>
      </c>
      <c r="Y273" s="5">
        <f>SUM(Y241:Y262)</f>
        <v>70093.562499999985</v>
      </c>
      <c r="Z273" s="5">
        <f>SUM(Z241:Z263)</f>
        <v>5587.3</v>
      </c>
      <c r="AA273" s="5">
        <f>SUM(AA241:AA263)</f>
        <v>75680.862500000003</v>
      </c>
      <c r="AB273" s="5">
        <f>SUM(AB241:AB264)</f>
        <v>5618.875</v>
      </c>
      <c r="AC273" s="5">
        <f>SUM(AC241:AC264)</f>
        <v>81299.737500000017</v>
      </c>
      <c r="AD273" s="2">
        <f>SUM(AD241:AD265)</f>
        <v>5640.7124999999996</v>
      </c>
      <c r="AE273" s="2">
        <f>SUM(AE241:AE265)</f>
        <v>86940.449999999983</v>
      </c>
      <c r="AF273" s="2">
        <f>SUM(AF241:AF266)</f>
        <v>5662.9000000000005</v>
      </c>
      <c r="AG273" s="2">
        <f>SUM(AG241:AG266)</f>
        <v>92603.349999999991</v>
      </c>
      <c r="AH273" s="2">
        <f>SUM(AH241:AH267)</f>
        <v>5690.81</v>
      </c>
      <c r="AI273" s="2">
        <f>SUM(AI241:AI267)</f>
        <v>98294.159999999989</v>
      </c>
      <c r="AJ273" s="5">
        <f>SUM(AJ241:AJ269)</f>
        <v>5759.375</v>
      </c>
      <c r="AK273" s="5">
        <f>SUM(AK241:AK269)</f>
        <v>104053.53499999999</v>
      </c>
      <c r="AL273" s="5">
        <f>SUM(AL241:AL272)</f>
        <v>5796.2749999999996</v>
      </c>
      <c r="AM273" s="5">
        <f>SUM(AM241:AM272)</f>
        <v>109849.80999999998</v>
      </c>
      <c r="AN273" s="5">
        <f>SUM(AN241:AN272)</f>
        <v>118303.05000000003</v>
      </c>
      <c r="AO273" s="6">
        <f>SUM(AO241:AO272)</f>
        <v>5862.4249999999993</v>
      </c>
      <c r="AP273" s="5">
        <f>SUM(AP241:AP271)</f>
        <v>115712.23499999996</v>
      </c>
      <c r="AQ273" s="5">
        <f>SUM(AQ241:AQ272)</f>
        <v>114792.62500000003</v>
      </c>
      <c r="AR273" s="6">
        <f>SUM(AR241:AR272)</f>
        <v>5921.2249999999995</v>
      </c>
      <c r="AS273" s="5">
        <f>SUM(AS241:AS271)</f>
        <v>121633.45999999996</v>
      </c>
      <c r="AT273" s="5">
        <f>SUM(AT241:AT272)</f>
        <v>108871.40000000004</v>
      </c>
      <c r="AV273" s="8"/>
    </row>
    <row r="274" spans="1:48" x14ac:dyDescent="0.2">
      <c r="G274" s="3"/>
      <c r="H274" s="3"/>
      <c r="I274" s="3"/>
      <c r="AM274" s="3"/>
      <c r="AO274" s="4">
        <f t="shared" ref="AO274:AO283" si="299">AL274</f>
        <v>0</v>
      </c>
      <c r="AQ274" s="2">
        <f t="shared" ref="AQ274:AQ283" si="300">AN274-AO274</f>
        <v>0</v>
      </c>
      <c r="AR274" s="4"/>
      <c r="AS274" s="5"/>
    </row>
    <row r="275" spans="1:48" x14ac:dyDescent="0.2">
      <c r="A275" s="1" t="s">
        <v>254</v>
      </c>
      <c r="G275" s="3"/>
      <c r="H275" s="3"/>
      <c r="I275" s="3"/>
      <c r="AM275" s="3"/>
      <c r="AO275" s="4">
        <f t="shared" si="299"/>
        <v>0</v>
      </c>
      <c r="AQ275" s="2">
        <f t="shared" si="300"/>
        <v>0</v>
      </c>
      <c r="AR275" s="4"/>
      <c r="AS275" s="5"/>
    </row>
    <row r="276" spans="1:48" x14ac:dyDescent="0.2">
      <c r="AM276" s="3"/>
      <c r="AO276" s="4">
        <f t="shared" si="299"/>
        <v>0</v>
      </c>
      <c r="AQ276" s="2">
        <f t="shared" si="300"/>
        <v>0</v>
      </c>
      <c r="AR276" s="4"/>
      <c r="AS276" s="5"/>
    </row>
    <row r="277" spans="1:48" x14ac:dyDescent="0.2">
      <c r="A277" s="1" t="s">
        <v>255</v>
      </c>
      <c r="B277" s="1" t="s">
        <v>256</v>
      </c>
      <c r="C277" s="2">
        <v>1350</v>
      </c>
      <c r="D277" s="1" t="s">
        <v>61</v>
      </c>
      <c r="E277" s="2">
        <v>10</v>
      </c>
      <c r="G277" s="2">
        <v>653</v>
      </c>
      <c r="H277" s="2">
        <v>135</v>
      </c>
      <c r="I277" s="2">
        <f>SUM(G277:H277)</f>
        <v>788</v>
      </c>
      <c r="J277" s="2">
        <v>135</v>
      </c>
      <c r="K277" s="2">
        <f>I277+J277</f>
        <v>923</v>
      </c>
      <c r="L277" s="2">
        <f>J277</f>
        <v>135</v>
      </c>
      <c r="M277" s="2">
        <f>K277+L277</f>
        <v>1058</v>
      </c>
      <c r="N277" s="2">
        <f>L277</f>
        <v>135</v>
      </c>
      <c r="O277" s="2">
        <f>M277+N277</f>
        <v>1193</v>
      </c>
      <c r="P277" s="2">
        <f>C277/E277</f>
        <v>135</v>
      </c>
      <c r="Q277" s="2">
        <f>O277+P277</f>
        <v>1328</v>
      </c>
      <c r="R277" s="2">
        <f>1350-1328</f>
        <v>22</v>
      </c>
      <c r="S277" s="2">
        <f>Q277+R277</f>
        <v>1350</v>
      </c>
      <c r="T277" s="2">
        <v>0</v>
      </c>
      <c r="U277" s="2">
        <f>S277+T277</f>
        <v>1350</v>
      </c>
      <c r="V277" s="2">
        <f>T277</f>
        <v>0</v>
      </c>
      <c r="W277" s="2">
        <f>U277+V277</f>
        <v>1350</v>
      </c>
      <c r="X277" s="2">
        <f>V277</f>
        <v>0</v>
      </c>
      <c r="Y277" s="2">
        <f>W277+V277</f>
        <v>1350</v>
      </c>
      <c r="Z277" s="2">
        <f>X277</f>
        <v>0</v>
      </c>
      <c r="AA277" s="2">
        <f>Y277+X277</f>
        <v>1350</v>
      </c>
      <c r="AB277" s="2">
        <f>Z277</f>
        <v>0</v>
      </c>
      <c r="AC277" s="2">
        <f t="shared" ref="AC277:AC283" si="301">SUM(AA277:AB277)</f>
        <v>1350</v>
      </c>
      <c r="AD277" s="2">
        <f t="shared" ref="AD277:AD283" si="302">AB277</f>
        <v>0</v>
      </c>
      <c r="AE277" s="2">
        <f t="shared" ref="AE277:AE283" si="303">AC277+AD277</f>
        <v>1350</v>
      </c>
      <c r="AF277" s="2">
        <f>AD277</f>
        <v>0</v>
      </c>
      <c r="AG277" s="2">
        <f t="shared" ref="AG277:AG283" si="304">AE277+AF277</f>
        <v>1350</v>
      </c>
      <c r="AH277" s="2">
        <f>AF277</f>
        <v>0</v>
      </c>
      <c r="AI277" s="2">
        <f t="shared" ref="AI277:AI283" si="305">AG277+AH277</f>
        <v>1350</v>
      </c>
      <c r="AJ277" s="2">
        <f>AH277</f>
        <v>0</v>
      </c>
      <c r="AK277" s="2">
        <f t="shared" ref="AK277:AK283" si="306">SUM(AI277:AJ277)</f>
        <v>1350</v>
      </c>
      <c r="AL277" s="2">
        <f>AJ277</f>
        <v>0</v>
      </c>
      <c r="AM277" s="3">
        <f t="shared" ref="AM277:AM283" si="307">SUM(AK277:AL277)</f>
        <v>1350</v>
      </c>
      <c r="AN277" s="2">
        <f t="shared" ref="AN277:AN283" si="308">C277-AM277</f>
        <v>0</v>
      </c>
      <c r="AO277" s="4">
        <f t="shared" si="299"/>
        <v>0</v>
      </c>
      <c r="AP277" s="2">
        <f t="shared" ref="AP277:AP284" si="309">AM277+AO277</f>
        <v>1350</v>
      </c>
      <c r="AQ277" s="2">
        <f t="shared" si="300"/>
        <v>0</v>
      </c>
      <c r="AR277" s="4">
        <f t="shared" ref="AR277:AR283" si="310">AO277</f>
        <v>0</v>
      </c>
      <c r="AS277" s="5">
        <f t="shared" ref="AS277:AS284" si="311">AP277+AR277</f>
        <v>1350</v>
      </c>
      <c r="AT277" s="2">
        <f t="shared" ref="AT277:AT283" si="312">AQ277-AR277</f>
        <v>0</v>
      </c>
    </row>
    <row r="278" spans="1:48" x14ac:dyDescent="0.2">
      <c r="A278" s="1" t="s">
        <v>257</v>
      </c>
      <c r="B278" s="1" t="s">
        <v>258</v>
      </c>
      <c r="C278" s="2">
        <v>955</v>
      </c>
      <c r="D278" s="1" t="s">
        <v>61</v>
      </c>
      <c r="E278" s="2">
        <v>10</v>
      </c>
      <c r="G278" s="2">
        <v>16</v>
      </c>
      <c r="H278" s="2">
        <v>96</v>
      </c>
      <c r="I278" s="2">
        <f>SUM(G278:H278)</f>
        <v>112</v>
      </c>
      <c r="J278" s="2">
        <v>96</v>
      </c>
      <c r="K278" s="2">
        <f>I278+J278</f>
        <v>208</v>
      </c>
      <c r="L278" s="2">
        <f>J278</f>
        <v>96</v>
      </c>
      <c r="M278" s="2">
        <f>K278+L278</f>
        <v>304</v>
      </c>
      <c r="N278" s="2">
        <f>L278</f>
        <v>96</v>
      </c>
      <c r="O278" s="2">
        <f>M278+N278</f>
        <v>400</v>
      </c>
      <c r="P278" s="2">
        <f>C278/E278</f>
        <v>95.5</v>
      </c>
      <c r="Q278" s="2">
        <f>O278+P278</f>
        <v>495.5</v>
      </c>
      <c r="R278" s="2">
        <f>SUM(C278/E278)</f>
        <v>95.5</v>
      </c>
      <c r="S278" s="2">
        <f>Q278+R278</f>
        <v>591</v>
      </c>
      <c r="T278" s="2">
        <f>R278</f>
        <v>95.5</v>
      </c>
      <c r="U278" s="2">
        <f>S278+T278</f>
        <v>686.5</v>
      </c>
      <c r="V278" s="2">
        <f>T278</f>
        <v>95.5</v>
      </c>
      <c r="W278" s="2">
        <f>U278+V278</f>
        <v>782</v>
      </c>
      <c r="X278" s="2">
        <f>V278</f>
        <v>95.5</v>
      </c>
      <c r="Y278" s="2">
        <f>W278+V278</f>
        <v>877.5</v>
      </c>
      <c r="Z278" s="2">
        <f>955-878</f>
        <v>77</v>
      </c>
      <c r="AA278" s="2">
        <f>878+77</f>
        <v>955</v>
      </c>
      <c r="AB278" s="2">
        <v>0</v>
      </c>
      <c r="AC278" s="2">
        <f t="shared" si="301"/>
        <v>955</v>
      </c>
      <c r="AD278" s="2">
        <f t="shared" si="302"/>
        <v>0</v>
      </c>
      <c r="AE278" s="2">
        <f t="shared" si="303"/>
        <v>955</v>
      </c>
      <c r="AF278" s="2">
        <f>AD278</f>
        <v>0</v>
      </c>
      <c r="AG278" s="2">
        <f t="shared" si="304"/>
        <v>955</v>
      </c>
      <c r="AH278" s="2">
        <f>AF278</f>
        <v>0</v>
      </c>
      <c r="AI278" s="2">
        <f t="shared" si="305"/>
        <v>955</v>
      </c>
      <c r="AJ278" s="2">
        <f>AH278</f>
        <v>0</v>
      </c>
      <c r="AK278" s="2">
        <f t="shared" si="306"/>
        <v>955</v>
      </c>
      <c r="AL278" s="2">
        <f>AJ278</f>
        <v>0</v>
      </c>
      <c r="AM278" s="3">
        <f t="shared" si="307"/>
        <v>955</v>
      </c>
      <c r="AN278" s="2">
        <f t="shared" si="308"/>
        <v>0</v>
      </c>
      <c r="AO278" s="4">
        <f t="shared" si="299"/>
        <v>0</v>
      </c>
      <c r="AP278" s="2">
        <f t="shared" si="309"/>
        <v>955</v>
      </c>
      <c r="AQ278" s="2">
        <f t="shared" si="300"/>
        <v>0</v>
      </c>
      <c r="AR278" s="4">
        <f t="shared" si="310"/>
        <v>0</v>
      </c>
      <c r="AS278" s="5">
        <f t="shared" si="311"/>
        <v>955</v>
      </c>
      <c r="AT278" s="2">
        <f t="shared" si="312"/>
        <v>0</v>
      </c>
    </row>
    <row r="279" spans="1:48" x14ac:dyDescent="0.2">
      <c r="A279" s="1" t="s">
        <v>259</v>
      </c>
      <c r="B279" s="1" t="s">
        <v>260</v>
      </c>
      <c r="C279" s="2">
        <v>1875</v>
      </c>
      <c r="D279" s="1" t="s">
        <v>61</v>
      </c>
      <c r="E279" s="2">
        <v>10</v>
      </c>
      <c r="J279" s="2">
        <v>47</v>
      </c>
      <c r="K279" s="2">
        <f>I279+J279</f>
        <v>47</v>
      </c>
      <c r="L279" s="2">
        <f>J279</f>
        <v>47</v>
      </c>
      <c r="M279" s="2">
        <f>K279+L279</f>
        <v>94</v>
      </c>
      <c r="N279" s="2">
        <f>L279</f>
        <v>47</v>
      </c>
      <c r="O279" s="2">
        <f>M279+N279</f>
        <v>141</v>
      </c>
      <c r="P279" s="2">
        <f>C279/E279</f>
        <v>187.5</v>
      </c>
      <c r="Q279" s="2">
        <f>O279+P279</f>
        <v>328.5</v>
      </c>
      <c r="R279" s="2">
        <f>SUM(C279/E279)</f>
        <v>187.5</v>
      </c>
      <c r="S279" s="2">
        <f>Q279+R279</f>
        <v>516</v>
      </c>
      <c r="T279" s="2">
        <f>R279</f>
        <v>187.5</v>
      </c>
      <c r="U279" s="2">
        <f>S279+T279</f>
        <v>703.5</v>
      </c>
      <c r="V279" s="2">
        <f>T279</f>
        <v>187.5</v>
      </c>
      <c r="W279" s="2">
        <f>891+18</f>
        <v>909</v>
      </c>
      <c r="X279" s="2">
        <f>V279</f>
        <v>187.5</v>
      </c>
      <c r="Y279" s="2">
        <f>W279+V279</f>
        <v>1096.5</v>
      </c>
      <c r="Z279" s="2">
        <f>X279</f>
        <v>187.5</v>
      </c>
      <c r="AA279" s="2">
        <f>Y279+X279</f>
        <v>1284</v>
      </c>
      <c r="AB279" s="2">
        <f>Z279</f>
        <v>187.5</v>
      </c>
      <c r="AC279" s="2">
        <f t="shared" si="301"/>
        <v>1471.5</v>
      </c>
      <c r="AD279" s="2">
        <f t="shared" si="302"/>
        <v>187.5</v>
      </c>
      <c r="AE279" s="2">
        <f t="shared" si="303"/>
        <v>1659</v>
      </c>
      <c r="AF279" s="2">
        <f>AD279</f>
        <v>187.5</v>
      </c>
      <c r="AG279" s="2">
        <f t="shared" si="304"/>
        <v>1846.5</v>
      </c>
      <c r="AH279" s="2">
        <f>1875-1846.5</f>
        <v>28.5</v>
      </c>
      <c r="AI279" s="2">
        <f t="shared" si="305"/>
        <v>1875</v>
      </c>
      <c r="AJ279" s="2">
        <v>0</v>
      </c>
      <c r="AK279" s="2">
        <f t="shared" si="306"/>
        <v>1875</v>
      </c>
      <c r="AL279" s="2">
        <v>0</v>
      </c>
      <c r="AM279" s="3">
        <f t="shared" si="307"/>
        <v>1875</v>
      </c>
      <c r="AN279" s="2">
        <f t="shared" si="308"/>
        <v>0</v>
      </c>
      <c r="AO279" s="4">
        <f t="shared" si="299"/>
        <v>0</v>
      </c>
      <c r="AP279" s="2">
        <f t="shared" si="309"/>
        <v>1875</v>
      </c>
      <c r="AQ279" s="2">
        <f t="shared" si="300"/>
        <v>0</v>
      </c>
      <c r="AR279" s="4">
        <f t="shared" si="310"/>
        <v>0</v>
      </c>
      <c r="AS279" s="5">
        <f t="shared" si="311"/>
        <v>1875</v>
      </c>
      <c r="AT279" s="2">
        <f t="shared" si="312"/>
        <v>0</v>
      </c>
    </row>
    <row r="280" spans="1:48" x14ac:dyDescent="0.2">
      <c r="A280" s="1" t="s">
        <v>79</v>
      </c>
      <c r="B280" s="1" t="s">
        <v>80</v>
      </c>
      <c r="C280" s="2">
        <v>968000</v>
      </c>
      <c r="D280" s="1" t="s">
        <v>61</v>
      </c>
      <c r="E280" s="2">
        <v>40</v>
      </c>
      <c r="J280" s="2">
        <f>968000/40/12*6</f>
        <v>12100</v>
      </c>
      <c r="K280" s="2">
        <f>I280+J280</f>
        <v>12100</v>
      </c>
      <c r="L280" s="2">
        <f>C280/E280</f>
        <v>24200</v>
      </c>
      <c r="M280" s="2">
        <f>K280+L280</f>
        <v>36300</v>
      </c>
      <c r="N280" s="2">
        <f>L280</f>
        <v>24200</v>
      </c>
      <c r="O280" s="2">
        <f>M280+N280</f>
        <v>60500</v>
      </c>
      <c r="P280" s="2">
        <f>C280/E280</f>
        <v>24200</v>
      </c>
      <c r="Q280" s="2">
        <f>O280+P280</f>
        <v>84700</v>
      </c>
      <c r="R280" s="2">
        <f>SUM(C280/E280)</f>
        <v>24200</v>
      </c>
      <c r="S280" s="2">
        <f>Q280+R280</f>
        <v>108900</v>
      </c>
      <c r="T280" s="2">
        <f>R280</f>
        <v>24200</v>
      </c>
      <c r="U280" s="2">
        <f>S280+T280</f>
        <v>133100</v>
      </c>
      <c r="V280" s="2">
        <f>T280</f>
        <v>24200</v>
      </c>
      <c r="W280" s="2">
        <f>U280+V280</f>
        <v>157300</v>
      </c>
      <c r="X280" s="2">
        <f>V280</f>
        <v>24200</v>
      </c>
      <c r="Y280" s="2">
        <f>W280+V280</f>
        <v>181500</v>
      </c>
      <c r="Z280" s="2">
        <f>X280</f>
        <v>24200</v>
      </c>
      <c r="AA280" s="2">
        <f>Y280+X280</f>
        <v>205700</v>
      </c>
      <c r="AB280" s="2">
        <f>Z280</f>
        <v>24200</v>
      </c>
      <c r="AC280" s="2">
        <f t="shared" si="301"/>
        <v>229900</v>
      </c>
      <c r="AD280" s="2">
        <f t="shared" si="302"/>
        <v>24200</v>
      </c>
      <c r="AE280" s="2">
        <f t="shared" si="303"/>
        <v>254100</v>
      </c>
      <c r="AF280" s="2">
        <f>AD280</f>
        <v>24200</v>
      </c>
      <c r="AG280" s="2">
        <f t="shared" si="304"/>
        <v>278300</v>
      </c>
      <c r="AH280" s="2">
        <f>AF280</f>
        <v>24200</v>
      </c>
      <c r="AI280" s="2">
        <f t="shared" si="305"/>
        <v>302500</v>
      </c>
      <c r="AJ280" s="2">
        <f>AH280</f>
        <v>24200</v>
      </c>
      <c r="AK280" s="2">
        <f t="shared" si="306"/>
        <v>326700</v>
      </c>
      <c r="AL280" s="2">
        <f>AJ280</f>
        <v>24200</v>
      </c>
      <c r="AM280" s="3">
        <f t="shared" si="307"/>
        <v>350900</v>
      </c>
      <c r="AN280" s="2">
        <f t="shared" si="308"/>
        <v>617100</v>
      </c>
      <c r="AO280" s="4">
        <f t="shared" si="299"/>
        <v>24200</v>
      </c>
      <c r="AP280" s="2">
        <f t="shared" si="309"/>
        <v>375100</v>
      </c>
      <c r="AQ280" s="2">
        <f t="shared" si="300"/>
        <v>592900</v>
      </c>
      <c r="AR280" s="4">
        <f t="shared" si="310"/>
        <v>24200</v>
      </c>
      <c r="AS280" s="5">
        <f t="shared" si="311"/>
        <v>399300</v>
      </c>
      <c r="AT280" s="2">
        <f t="shared" si="312"/>
        <v>568700</v>
      </c>
    </row>
    <row r="281" spans="1:48" x14ac:dyDescent="0.2">
      <c r="A281" s="1" t="s">
        <v>261</v>
      </c>
      <c r="B281" s="1" t="s">
        <v>262</v>
      </c>
      <c r="C281" s="2">
        <v>919</v>
      </c>
      <c r="D281" s="1" t="s">
        <v>61</v>
      </c>
      <c r="E281" s="2">
        <v>10</v>
      </c>
      <c r="L281" s="2">
        <f>919/10*0.5</f>
        <v>45.95</v>
      </c>
      <c r="M281" s="2">
        <f>K281+L281</f>
        <v>45.95</v>
      </c>
      <c r="N281" s="2">
        <f>919/10</f>
        <v>91.9</v>
      </c>
      <c r="O281" s="2">
        <f>M281+N281</f>
        <v>137.85000000000002</v>
      </c>
      <c r="P281" s="2">
        <f>C281/E281</f>
        <v>91.9</v>
      </c>
      <c r="Q281" s="2">
        <f>O281+P281</f>
        <v>229.75000000000003</v>
      </c>
      <c r="R281" s="2">
        <f>SUM(C281/E281)</f>
        <v>91.9</v>
      </c>
      <c r="S281" s="2">
        <f>Q281+R281</f>
        <v>321.65000000000003</v>
      </c>
      <c r="T281" s="2">
        <f>R281</f>
        <v>91.9</v>
      </c>
      <c r="U281" s="2">
        <f>S281+T281</f>
        <v>413.55000000000007</v>
      </c>
      <c r="V281" s="2">
        <f>T281</f>
        <v>91.9</v>
      </c>
      <c r="W281" s="2">
        <f>U281+V281</f>
        <v>505.45000000000005</v>
      </c>
      <c r="X281" s="2">
        <f>V281</f>
        <v>91.9</v>
      </c>
      <c r="Y281" s="2">
        <f>W281+V281</f>
        <v>597.35</v>
      </c>
      <c r="Z281" s="2">
        <f>X281</f>
        <v>91.9</v>
      </c>
      <c r="AA281" s="2">
        <f>Y281+X281</f>
        <v>689.25</v>
      </c>
      <c r="AB281" s="2">
        <f>Z281</f>
        <v>91.9</v>
      </c>
      <c r="AC281" s="2">
        <f t="shared" si="301"/>
        <v>781.15</v>
      </c>
      <c r="AD281" s="2">
        <f t="shared" si="302"/>
        <v>91.9</v>
      </c>
      <c r="AE281" s="2">
        <f t="shared" si="303"/>
        <v>873.05</v>
      </c>
      <c r="AF281" s="2">
        <f>919-873</f>
        <v>46</v>
      </c>
      <c r="AG281" s="2">
        <f t="shared" si="304"/>
        <v>919.05</v>
      </c>
      <c r="AH281" s="2">
        <v>0</v>
      </c>
      <c r="AI281" s="2">
        <f t="shared" si="305"/>
        <v>919.05</v>
      </c>
      <c r="AJ281" s="2">
        <f>AH281</f>
        <v>0</v>
      </c>
      <c r="AK281" s="2">
        <f t="shared" si="306"/>
        <v>919.05</v>
      </c>
      <c r="AL281" s="2">
        <f>AJ281</f>
        <v>0</v>
      </c>
      <c r="AM281" s="3">
        <f t="shared" si="307"/>
        <v>919.05</v>
      </c>
      <c r="AN281" s="2">
        <f t="shared" si="308"/>
        <v>-4.9999999999954525E-2</v>
      </c>
      <c r="AO281" s="4">
        <f t="shared" si="299"/>
        <v>0</v>
      </c>
      <c r="AP281" s="2">
        <f t="shared" si="309"/>
        <v>919.05</v>
      </c>
      <c r="AQ281" s="2">
        <f t="shared" si="300"/>
        <v>-4.9999999999954525E-2</v>
      </c>
      <c r="AR281" s="4">
        <f t="shared" si="310"/>
        <v>0</v>
      </c>
      <c r="AS281" s="5">
        <f t="shared" si="311"/>
        <v>919.05</v>
      </c>
      <c r="AT281" s="2">
        <f t="shared" si="312"/>
        <v>-4.9999999999954525E-2</v>
      </c>
    </row>
    <row r="282" spans="1:48" x14ac:dyDescent="0.2">
      <c r="A282" s="1" t="s">
        <v>263</v>
      </c>
      <c r="B282" s="1" t="s">
        <v>264</v>
      </c>
      <c r="C282" s="2">
        <v>3096</v>
      </c>
      <c r="D282" s="1" t="s">
        <v>61</v>
      </c>
      <c r="E282" s="2">
        <v>10</v>
      </c>
      <c r="Z282" s="2">
        <v>154</v>
      </c>
      <c r="AA282" s="2">
        <v>154</v>
      </c>
      <c r="AB282" s="2">
        <f>3096/10</f>
        <v>309.60000000000002</v>
      </c>
      <c r="AC282" s="2">
        <f t="shared" si="301"/>
        <v>463.6</v>
      </c>
      <c r="AD282" s="2">
        <f t="shared" si="302"/>
        <v>309.60000000000002</v>
      </c>
      <c r="AE282" s="2">
        <f t="shared" si="303"/>
        <v>773.2</v>
      </c>
      <c r="AF282" s="2">
        <f>AD282</f>
        <v>309.60000000000002</v>
      </c>
      <c r="AG282" s="2">
        <f t="shared" si="304"/>
        <v>1082.8000000000002</v>
      </c>
      <c r="AH282" s="2">
        <f>AF282</f>
        <v>309.60000000000002</v>
      </c>
      <c r="AI282" s="2">
        <f t="shared" si="305"/>
        <v>1392.4</v>
      </c>
      <c r="AJ282" s="2">
        <f>AH282</f>
        <v>309.60000000000002</v>
      </c>
      <c r="AK282" s="2">
        <f t="shared" si="306"/>
        <v>1702</v>
      </c>
      <c r="AL282" s="2">
        <f>AJ282</f>
        <v>309.60000000000002</v>
      </c>
      <c r="AM282" s="3">
        <f t="shared" si="307"/>
        <v>2011.6</v>
      </c>
      <c r="AN282" s="2">
        <f t="shared" si="308"/>
        <v>1084.4000000000001</v>
      </c>
      <c r="AO282" s="4">
        <f t="shared" si="299"/>
        <v>309.60000000000002</v>
      </c>
      <c r="AP282" s="2">
        <f t="shared" si="309"/>
        <v>2321.1999999999998</v>
      </c>
      <c r="AQ282" s="2">
        <f t="shared" si="300"/>
        <v>774.80000000000007</v>
      </c>
      <c r="AR282" s="4">
        <f t="shared" si="310"/>
        <v>309.60000000000002</v>
      </c>
      <c r="AS282" s="5">
        <f t="shared" si="311"/>
        <v>2630.7999999999997</v>
      </c>
      <c r="AT282" s="2">
        <f t="shared" si="312"/>
        <v>465.20000000000005</v>
      </c>
    </row>
    <row r="283" spans="1:48" x14ac:dyDescent="0.2">
      <c r="A283" s="1" t="s">
        <v>265</v>
      </c>
      <c r="B283" s="1" t="s">
        <v>266</v>
      </c>
      <c r="C283" s="2">
        <v>3345</v>
      </c>
      <c r="D283" s="1" t="s">
        <v>61</v>
      </c>
      <c r="E283" s="2">
        <v>10</v>
      </c>
      <c r="Z283" s="2">
        <v>139</v>
      </c>
      <c r="AA283" s="2">
        <v>139</v>
      </c>
      <c r="AB283" s="2">
        <f>3345/10</f>
        <v>334.5</v>
      </c>
      <c r="AC283" s="2">
        <f t="shared" si="301"/>
        <v>473.5</v>
      </c>
      <c r="AD283" s="2">
        <f t="shared" si="302"/>
        <v>334.5</v>
      </c>
      <c r="AE283" s="2">
        <f t="shared" si="303"/>
        <v>808</v>
      </c>
      <c r="AF283" s="2">
        <f>AD283</f>
        <v>334.5</v>
      </c>
      <c r="AG283" s="2">
        <f t="shared" si="304"/>
        <v>1142.5</v>
      </c>
      <c r="AH283" s="2">
        <f>AF283</f>
        <v>334.5</v>
      </c>
      <c r="AI283" s="2">
        <f t="shared" si="305"/>
        <v>1477</v>
      </c>
      <c r="AJ283" s="2">
        <f>AH283</f>
        <v>334.5</v>
      </c>
      <c r="AK283" s="2">
        <f t="shared" si="306"/>
        <v>1811.5</v>
      </c>
      <c r="AL283" s="2">
        <f>AJ283</f>
        <v>334.5</v>
      </c>
      <c r="AM283" s="3">
        <f t="shared" si="307"/>
        <v>2146</v>
      </c>
      <c r="AN283" s="2">
        <f t="shared" si="308"/>
        <v>1199</v>
      </c>
      <c r="AO283" s="4">
        <f t="shared" si="299"/>
        <v>334.5</v>
      </c>
      <c r="AP283" s="2">
        <f t="shared" si="309"/>
        <v>2480.5</v>
      </c>
      <c r="AQ283" s="2">
        <f t="shared" si="300"/>
        <v>864.5</v>
      </c>
      <c r="AR283" s="4">
        <f t="shared" si="310"/>
        <v>334.5</v>
      </c>
      <c r="AS283" s="5">
        <f t="shared" si="311"/>
        <v>2815</v>
      </c>
      <c r="AT283" s="2">
        <f t="shared" si="312"/>
        <v>530</v>
      </c>
    </row>
    <row r="284" spans="1:48" x14ac:dyDescent="0.2">
      <c r="AM284" s="3"/>
      <c r="AO284" s="4"/>
      <c r="AP284" s="2">
        <f t="shared" si="309"/>
        <v>0</v>
      </c>
      <c r="AR284" s="4"/>
      <c r="AS284" s="5">
        <f t="shared" si="311"/>
        <v>0</v>
      </c>
    </row>
    <row r="285" spans="1:48" x14ac:dyDescent="0.2">
      <c r="C285" s="5">
        <f>SUM(C277:C284)</f>
        <v>979540</v>
      </c>
      <c r="G285" s="5">
        <f t="shared" ref="G285:R285" si="313">SUM(G277:G281)</f>
        <v>669</v>
      </c>
      <c r="H285" s="5">
        <f t="shared" si="313"/>
        <v>231</v>
      </c>
      <c r="I285" s="5">
        <f t="shared" si="313"/>
        <v>900</v>
      </c>
      <c r="J285" s="5">
        <f t="shared" si="313"/>
        <v>12378</v>
      </c>
      <c r="K285" s="5">
        <f t="shared" si="313"/>
        <v>13278</v>
      </c>
      <c r="L285" s="5">
        <f t="shared" si="313"/>
        <v>24523.95</v>
      </c>
      <c r="M285" s="5">
        <f t="shared" si="313"/>
        <v>37801.949999999997</v>
      </c>
      <c r="N285" s="5">
        <f t="shared" si="313"/>
        <v>24569.9</v>
      </c>
      <c r="O285" s="5">
        <f t="shared" si="313"/>
        <v>62371.85</v>
      </c>
      <c r="P285" s="5">
        <f t="shared" si="313"/>
        <v>24709.9</v>
      </c>
      <c r="Q285" s="5">
        <f t="shared" si="313"/>
        <v>87081.75</v>
      </c>
      <c r="R285" s="5">
        <f t="shared" si="313"/>
        <v>24596.9</v>
      </c>
      <c r="S285" s="5">
        <f>Q285+R285</f>
        <v>111678.65</v>
      </c>
      <c r="T285" s="5">
        <f>SUM(T277:T281)</f>
        <v>24574.9</v>
      </c>
      <c r="U285" s="5">
        <f>SUM(U277:U281)</f>
        <v>136253.54999999999</v>
      </c>
      <c r="V285" s="5">
        <f>SUM(V277:V281)</f>
        <v>24574.9</v>
      </c>
      <c r="W285" s="5">
        <f>SUM(W277:W281)</f>
        <v>160846.45000000001</v>
      </c>
      <c r="X285" s="5">
        <f>V285</f>
        <v>24574.9</v>
      </c>
      <c r="Y285" s="5">
        <f>W285+V285</f>
        <v>185421.35</v>
      </c>
      <c r="Z285" s="5">
        <f>SUM(Z277:Z283)</f>
        <v>24849.4</v>
      </c>
      <c r="AA285" s="5">
        <f>SUM(AA277:AA283)</f>
        <v>210271.25</v>
      </c>
      <c r="AB285" s="5">
        <f>SUM(AB277:AB283)</f>
        <v>25123.5</v>
      </c>
      <c r="AC285" s="5">
        <f>SUM(AC277:AC283)</f>
        <v>235394.75</v>
      </c>
      <c r="AD285" s="2">
        <f>AB285</f>
        <v>25123.5</v>
      </c>
      <c r="AE285" s="2">
        <f t="shared" ref="AE285:AE314" si="314">AC285+AD285</f>
        <v>260518.25</v>
      </c>
      <c r="AF285" s="2">
        <f t="shared" ref="AF285:AT285" si="315">SUM(AF277:AF283)</f>
        <v>25077.599999999999</v>
      </c>
      <c r="AG285" s="2">
        <f t="shared" si="315"/>
        <v>285595.84999999998</v>
      </c>
      <c r="AH285" s="2">
        <f t="shared" si="315"/>
        <v>24872.6</v>
      </c>
      <c r="AI285" s="2">
        <f t="shared" si="315"/>
        <v>310468.45</v>
      </c>
      <c r="AJ285" s="2">
        <f t="shared" si="315"/>
        <v>24844.1</v>
      </c>
      <c r="AK285" s="2">
        <f t="shared" si="315"/>
        <v>335312.55</v>
      </c>
      <c r="AL285" s="2">
        <f t="shared" si="315"/>
        <v>24844.1</v>
      </c>
      <c r="AM285" s="3">
        <f t="shared" si="315"/>
        <v>360156.64999999997</v>
      </c>
      <c r="AN285" s="2">
        <f t="shared" si="315"/>
        <v>619383.35</v>
      </c>
      <c r="AO285" s="6">
        <f t="shared" si="315"/>
        <v>24844.1</v>
      </c>
      <c r="AP285" s="2">
        <f t="shared" si="315"/>
        <v>385000.75</v>
      </c>
      <c r="AQ285" s="2">
        <f t="shared" si="315"/>
        <v>594539.25</v>
      </c>
      <c r="AR285" s="4">
        <f t="shared" si="315"/>
        <v>24844.1</v>
      </c>
      <c r="AS285" s="5">
        <f t="shared" si="315"/>
        <v>409844.85</v>
      </c>
      <c r="AT285" s="2">
        <f t="shared" si="315"/>
        <v>569695.14999999991</v>
      </c>
    </row>
    <row r="286" spans="1:48" x14ac:dyDescent="0.2">
      <c r="G286" s="3"/>
      <c r="H286" s="3"/>
      <c r="I286" s="3"/>
      <c r="AE286" s="2">
        <f t="shared" si="314"/>
        <v>0</v>
      </c>
      <c r="AM286" s="3"/>
      <c r="AO286" s="4"/>
      <c r="AR286" s="4"/>
      <c r="AS286" s="5"/>
    </row>
    <row r="287" spans="1:48" x14ac:dyDescent="0.2">
      <c r="G287" s="5"/>
      <c r="H287" s="5"/>
      <c r="I287" s="5"/>
      <c r="AE287" s="2">
        <f t="shared" si="314"/>
        <v>0</v>
      </c>
      <c r="AM287" s="3"/>
      <c r="AO287" s="4"/>
      <c r="AR287" s="4"/>
      <c r="AS287" s="5"/>
    </row>
    <row r="288" spans="1:48" x14ac:dyDescent="0.2">
      <c r="A288" s="1" t="s">
        <v>267</v>
      </c>
      <c r="G288" s="5"/>
      <c r="H288" s="5"/>
      <c r="I288" s="5"/>
      <c r="AE288" s="2">
        <f t="shared" si="314"/>
        <v>0</v>
      </c>
      <c r="AM288" s="3"/>
      <c r="AO288" s="4"/>
      <c r="AR288" s="4"/>
      <c r="AS288" s="5"/>
    </row>
    <row r="289" spans="1:46" x14ac:dyDescent="0.2">
      <c r="AE289" s="2">
        <f t="shared" si="314"/>
        <v>0</v>
      </c>
      <c r="AM289" s="3"/>
      <c r="AO289" s="4"/>
      <c r="AR289" s="4"/>
      <c r="AS289" s="5"/>
    </row>
    <row r="290" spans="1:46" x14ac:dyDescent="0.2">
      <c r="A290" s="1" t="s">
        <v>268</v>
      </c>
      <c r="B290" s="1" t="s">
        <v>269</v>
      </c>
      <c r="C290" s="2">
        <v>15679</v>
      </c>
      <c r="D290" s="1" t="s">
        <v>61</v>
      </c>
      <c r="E290" s="2">
        <v>10</v>
      </c>
      <c r="G290" s="2">
        <v>8190</v>
      </c>
      <c r="H290" s="2">
        <v>1568</v>
      </c>
      <c r="I290" s="2">
        <f t="shared" ref="I290:I305" si="316">SUM(G290:H290)</f>
        <v>9758</v>
      </c>
      <c r="J290" s="2">
        <f>H290</f>
        <v>1568</v>
      </c>
      <c r="K290" s="2">
        <f t="shared" ref="K290:K306" si="317">I290+J290</f>
        <v>11326</v>
      </c>
      <c r="L290" s="2">
        <f t="shared" ref="L290:L296" si="318">J290</f>
        <v>1568</v>
      </c>
      <c r="M290" s="2">
        <f t="shared" ref="M290:M307" si="319">K290+L290</f>
        <v>12894</v>
      </c>
      <c r="N290" s="2">
        <f t="shared" ref="N290:N296" si="320">L290</f>
        <v>1568</v>
      </c>
      <c r="O290" s="2">
        <f t="shared" ref="O290:O308" si="321">M290+N290</f>
        <v>14462</v>
      </c>
      <c r="P290" s="2">
        <f>15679-14462</f>
        <v>1217</v>
      </c>
      <c r="Q290" s="2">
        <f t="shared" ref="Q290:Q308" si="322">O290+P290</f>
        <v>15679</v>
      </c>
      <c r="R290" s="2">
        <v>0</v>
      </c>
      <c r="S290" s="2">
        <f t="shared" ref="S290:S309" si="323">Q290+R290</f>
        <v>15679</v>
      </c>
      <c r="T290" s="2">
        <f t="shared" ref="T290:T308" si="324">R290</f>
        <v>0</v>
      </c>
      <c r="U290" s="2">
        <f t="shared" ref="U290:U311" si="325">S290+T290</f>
        <v>15679</v>
      </c>
      <c r="V290" s="2">
        <f t="shared" ref="V290:V304" si="326">T290</f>
        <v>0</v>
      </c>
      <c r="W290" s="2">
        <f t="shared" ref="W290:W311" si="327">U290+V290</f>
        <v>15679</v>
      </c>
      <c r="X290" s="2">
        <f t="shared" ref="X290:X304" si="328">V290</f>
        <v>0</v>
      </c>
      <c r="Y290" s="2">
        <f t="shared" ref="Y290:Y308" si="329">SUM(W290:X290)</f>
        <v>15679</v>
      </c>
      <c r="Z290" s="2">
        <f t="shared" ref="Z290:Z304" si="330">X290</f>
        <v>0</v>
      </c>
      <c r="AA290" s="2">
        <f t="shared" ref="AA290:AA305" si="331">Y290+X290</f>
        <v>15679</v>
      </c>
      <c r="AB290" s="2">
        <f t="shared" ref="AB290:AB311" si="332">Z290</f>
        <v>0</v>
      </c>
      <c r="AC290" s="2">
        <f t="shared" ref="AC290:AC311" si="333">SUM(AA290:AB290)</f>
        <v>15679</v>
      </c>
      <c r="AD290" s="2">
        <f t="shared" ref="AD290:AD305" si="334">AB290</f>
        <v>0</v>
      </c>
      <c r="AE290" s="2">
        <f t="shared" si="314"/>
        <v>15679</v>
      </c>
      <c r="AF290" s="2">
        <f t="shared" ref="AF290:AF312" si="335">AD290</f>
        <v>0</v>
      </c>
      <c r="AG290" s="2">
        <f t="shared" ref="AG290:AG312" si="336">AE290+AF290</f>
        <v>15679</v>
      </c>
      <c r="AH290" s="2">
        <f t="shared" ref="AH290:AH305" si="337">AF290</f>
        <v>0</v>
      </c>
      <c r="AI290" s="2">
        <f t="shared" ref="AI290:AI312" si="338">AG290+AH290</f>
        <v>15679</v>
      </c>
      <c r="AJ290" s="2">
        <f t="shared" ref="AJ290:AJ305" si="339">AH290</f>
        <v>0</v>
      </c>
      <c r="AK290" s="2">
        <f t="shared" ref="AK290:AK312" si="340">SUM(AI290:AJ290)</f>
        <v>15679</v>
      </c>
      <c r="AL290" s="2">
        <f t="shared" ref="AL290:AL305" si="341">AJ290</f>
        <v>0</v>
      </c>
      <c r="AM290" s="3">
        <f t="shared" ref="AM290:AM309" si="342">SUM(AK290:AL290)</f>
        <v>15679</v>
      </c>
      <c r="AN290" s="2">
        <f t="shared" ref="AN290:AN312" si="343">C290-AM290</f>
        <v>0</v>
      </c>
      <c r="AO290" s="4">
        <f t="shared" ref="AO290:AO308" si="344">AL290</f>
        <v>0</v>
      </c>
      <c r="AP290" s="2">
        <f t="shared" ref="AP290:AP312" si="345">AM290+AO290</f>
        <v>15679</v>
      </c>
      <c r="AQ290" s="2">
        <f t="shared" ref="AQ290:AQ312" si="346">AN290-AO290</f>
        <v>0</v>
      </c>
      <c r="AR290" s="4">
        <f t="shared" ref="AR290:AR309" si="347">AO290</f>
        <v>0</v>
      </c>
      <c r="AS290" s="5">
        <f t="shared" ref="AS290:AS312" si="348">AP290+AR290</f>
        <v>15679</v>
      </c>
      <c r="AT290" s="2">
        <f t="shared" ref="AT290:AT312" si="349">AQ290-AR290</f>
        <v>0</v>
      </c>
    </row>
    <row r="291" spans="1:46" x14ac:dyDescent="0.2">
      <c r="A291" s="1" t="s">
        <v>270</v>
      </c>
      <c r="B291" s="1" t="s">
        <v>271</v>
      </c>
      <c r="C291" s="2">
        <v>1634</v>
      </c>
      <c r="D291" s="1" t="s">
        <v>61</v>
      </c>
      <c r="E291" s="2">
        <v>10</v>
      </c>
      <c r="G291" s="2">
        <v>1634</v>
      </c>
      <c r="I291" s="2">
        <f t="shared" si="316"/>
        <v>1634</v>
      </c>
      <c r="K291" s="2">
        <f t="shared" si="317"/>
        <v>1634</v>
      </c>
      <c r="L291" s="2">
        <f t="shared" si="318"/>
        <v>0</v>
      </c>
      <c r="M291" s="2">
        <f t="shared" si="319"/>
        <v>1634</v>
      </c>
      <c r="N291" s="2">
        <f t="shared" si="320"/>
        <v>0</v>
      </c>
      <c r="O291" s="2">
        <f t="shared" si="321"/>
        <v>1634</v>
      </c>
      <c r="P291" s="2">
        <f t="shared" ref="P291:P296" si="350">N291</f>
        <v>0</v>
      </c>
      <c r="Q291" s="2">
        <f t="shared" si="322"/>
        <v>1634</v>
      </c>
      <c r="R291" s="2">
        <f t="shared" ref="R291:R303" si="351">P291</f>
        <v>0</v>
      </c>
      <c r="S291" s="2">
        <f t="shared" si="323"/>
        <v>1634</v>
      </c>
      <c r="T291" s="2">
        <f t="shared" si="324"/>
        <v>0</v>
      </c>
      <c r="U291" s="2">
        <f t="shared" si="325"/>
        <v>1634</v>
      </c>
      <c r="V291" s="2">
        <f t="shared" si="326"/>
        <v>0</v>
      </c>
      <c r="W291" s="2">
        <f t="shared" si="327"/>
        <v>1634</v>
      </c>
      <c r="X291" s="2">
        <f t="shared" si="328"/>
        <v>0</v>
      </c>
      <c r="Y291" s="2">
        <f t="shared" si="329"/>
        <v>1634</v>
      </c>
      <c r="Z291" s="2">
        <f t="shared" si="330"/>
        <v>0</v>
      </c>
      <c r="AA291" s="2">
        <f t="shared" si="331"/>
        <v>1634</v>
      </c>
      <c r="AB291" s="2">
        <f t="shared" si="332"/>
        <v>0</v>
      </c>
      <c r="AC291" s="2">
        <f t="shared" si="333"/>
        <v>1634</v>
      </c>
      <c r="AD291" s="2">
        <f t="shared" si="334"/>
        <v>0</v>
      </c>
      <c r="AE291" s="2">
        <f t="shared" si="314"/>
        <v>1634</v>
      </c>
      <c r="AF291" s="2">
        <f t="shared" si="335"/>
        <v>0</v>
      </c>
      <c r="AG291" s="2">
        <f t="shared" si="336"/>
        <v>1634</v>
      </c>
      <c r="AH291" s="2">
        <f t="shared" si="337"/>
        <v>0</v>
      </c>
      <c r="AI291" s="2">
        <f t="shared" si="338"/>
        <v>1634</v>
      </c>
      <c r="AJ291" s="2">
        <f t="shared" si="339"/>
        <v>0</v>
      </c>
      <c r="AK291" s="2">
        <f t="shared" si="340"/>
        <v>1634</v>
      </c>
      <c r="AL291" s="2">
        <f t="shared" si="341"/>
        <v>0</v>
      </c>
      <c r="AM291" s="3">
        <f t="shared" si="342"/>
        <v>1634</v>
      </c>
      <c r="AN291" s="2">
        <f t="shared" si="343"/>
        <v>0</v>
      </c>
      <c r="AO291" s="4">
        <f t="shared" si="344"/>
        <v>0</v>
      </c>
      <c r="AP291" s="2">
        <f t="shared" si="345"/>
        <v>1634</v>
      </c>
      <c r="AQ291" s="2">
        <f t="shared" si="346"/>
        <v>0</v>
      </c>
      <c r="AR291" s="4">
        <f t="shared" si="347"/>
        <v>0</v>
      </c>
      <c r="AS291" s="5">
        <f t="shared" si="348"/>
        <v>1634</v>
      </c>
      <c r="AT291" s="2">
        <f t="shared" si="349"/>
        <v>0</v>
      </c>
    </row>
    <row r="292" spans="1:46" x14ac:dyDescent="0.2">
      <c r="A292" s="1" t="s">
        <v>272</v>
      </c>
      <c r="B292" s="1" t="s">
        <v>273</v>
      </c>
      <c r="C292" s="2">
        <v>895</v>
      </c>
      <c r="D292" s="1" t="s">
        <v>61</v>
      </c>
      <c r="E292" s="2">
        <v>10</v>
      </c>
      <c r="G292" s="2">
        <v>895</v>
      </c>
      <c r="I292" s="2">
        <f t="shared" si="316"/>
        <v>895</v>
      </c>
      <c r="K292" s="2">
        <f t="shared" si="317"/>
        <v>895</v>
      </c>
      <c r="L292" s="2">
        <f t="shared" si="318"/>
        <v>0</v>
      </c>
      <c r="M292" s="2">
        <f t="shared" si="319"/>
        <v>895</v>
      </c>
      <c r="N292" s="2">
        <f t="shared" si="320"/>
        <v>0</v>
      </c>
      <c r="O292" s="2">
        <f t="shared" si="321"/>
        <v>895</v>
      </c>
      <c r="P292" s="2">
        <f t="shared" si="350"/>
        <v>0</v>
      </c>
      <c r="Q292" s="2">
        <f t="shared" si="322"/>
        <v>895</v>
      </c>
      <c r="R292" s="2">
        <f t="shared" si="351"/>
        <v>0</v>
      </c>
      <c r="S292" s="2">
        <f t="shared" si="323"/>
        <v>895</v>
      </c>
      <c r="T292" s="2">
        <f t="shared" si="324"/>
        <v>0</v>
      </c>
      <c r="U292" s="2">
        <f t="shared" si="325"/>
        <v>895</v>
      </c>
      <c r="V292" s="2">
        <f t="shared" si="326"/>
        <v>0</v>
      </c>
      <c r="W292" s="2">
        <f t="shared" si="327"/>
        <v>895</v>
      </c>
      <c r="X292" s="2">
        <f t="shared" si="328"/>
        <v>0</v>
      </c>
      <c r="Y292" s="2">
        <f t="shared" si="329"/>
        <v>895</v>
      </c>
      <c r="Z292" s="2">
        <f t="shared" si="330"/>
        <v>0</v>
      </c>
      <c r="AA292" s="2">
        <f t="shared" si="331"/>
        <v>895</v>
      </c>
      <c r="AB292" s="2">
        <f t="shared" si="332"/>
        <v>0</v>
      </c>
      <c r="AC292" s="2">
        <f t="shared" si="333"/>
        <v>895</v>
      </c>
      <c r="AD292" s="2">
        <f t="shared" si="334"/>
        <v>0</v>
      </c>
      <c r="AE292" s="2">
        <f t="shared" si="314"/>
        <v>895</v>
      </c>
      <c r="AF292" s="2">
        <f t="shared" si="335"/>
        <v>0</v>
      </c>
      <c r="AG292" s="2">
        <f t="shared" si="336"/>
        <v>895</v>
      </c>
      <c r="AH292" s="2">
        <f t="shared" si="337"/>
        <v>0</v>
      </c>
      <c r="AI292" s="2">
        <f t="shared" si="338"/>
        <v>895</v>
      </c>
      <c r="AJ292" s="2">
        <f t="shared" si="339"/>
        <v>0</v>
      </c>
      <c r="AK292" s="2">
        <f t="shared" si="340"/>
        <v>895</v>
      </c>
      <c r="AL292" s="2">
        <f t="shared" si="341"/>
        <v>0</v>
      </c>
      <c r="AM292" s="3">
        <f t="shared" si="342"/>
        <v>895</v>
      </c>
      <c r="AN292" s="2">
        <f t="shared" si="343"/>
        <v>0</v>
      </c>
      <c r="AO292" s="4">
        <f t="shared" si="344"/>
        <v>0</v>
      </c>
      <c r="AP292" s="2">
        <f t="shared" si="345"/>
        <v>895</v>
      </c>
      <c r="AQ292" s="2">
        <f t="shared" si="346"/>
        <v>0</v>
      </c>
      <c r="AR292" s="4">
        <f t="shared" si="347"/>
        <v>0</v>
      </c>
      <c r="AS292" s="5">
        <f t="shared" si="348"/>
        <v>895</v>
      </c>
      <c r="AT292" s="2">
        <f t="shared" si="349"/>
        <v>0</v>
      </c>
    </row>
    <row r="293" spans="1:46" x14ac:dyDescent="0.2">
      <c r="A293" s="1" t="s">
        <v>274</v>
      </c>
      <c r="B293" s="1" t="s">
        <v>273</v>
      </c>
      <c r="C293" s="2">
        <v>575</v>
      </c>
      <c r="D293" s="1" t="s">
        <v>61</v>
      </c>
      <c r="E293" s="2">
        <v>10</v>
      </c>
      <c r="G293" s="2">
        <v>575</v>
      </c>
      <c r="I293" s="2">
        <f t="shared" si="316"/>
        <v>575</v>
      </c>
      <c r="K293" s="2">
        <f t="shared" si="317"/>
        <v>575</v>
      </c>
      <c r="L293" s="2">
        <f t="shared" si="318"/>
        <v>0</v>
      </c>
      <c r="M293" s="2">
        <f t="shared" si="319"/>
        <v>575</v>
      </c>
      <c r="N293" s="2">
        <f t="shared" si="320"/>
        <v>0</v>
      </c>
      <c r="O293" s="2">
        <f t="shared" si="321"/>
        <v>575</v>
      </c>
      <c r="P293" s="2">
        <f t="shared" si="350"/>
        <v>0</v>
      </c>
      <c r="Q293" s="2">
        <f t="shared" si="322"/>
        <v>575</v>
      </c>
      <c r="R293" s="2">
        <f t="shared" si="351"/>
        <v>0</v>
      </c>
      <c r="S293" s="2">
        <f t="shared" si="323"/>
        <v>575</v>
      </c>
      <c r="T293" s="2">
        <f t="shared" si="324"/>
        <v>0</v>
      </c>
      <c r="U293" s="2">
        <f t="shared" si="325"/>
        <v>575</v>
      </c>
      <c r="V293" s="2">
        <f t="shared" si="326"/>
        <v>0</v>
      </c>
      <c r="W293" s="2">
        <f t="shared" si="327"/>
        <v>575</v>
      </c>
      <c r="X293" s="2">
        <f t="shared" si="328"/>
        <v>0</v>
      </c>
      <c r="Y293" s="2">
        <f t="shared" si="329"/>
        <v>575</v>
      </c>
      <c r="Z293" s="2">
        <f t="shared" si="330"/>
        <v>0</v>
      </c>
      <c r="AA293" s="2">
        <f t="shared" si="331"/>
        <v>575</v>
      </c>
      <c r="AB293" s="2">
        <f t="shared" si="332"/>
        <v>0</v>
      </c>
      <c r="AC293" s="2">
        <f t="shared" si="333"/>
        <v>575</v>
      </c>
      <c r="AD293" s="2">
        <f t="shared" si="334"/>
        <v>0</v>
      </c>
      <c r="AE293" s="2">
        <f t="shared" si="314"/>
        <v>575</v>
      </c>
      <c r="AF293" s="2">
        <f t="shared" si="335"/>
        <v>0</v>
      </c>
      <c r="AG293" s="2">
        <f t="shared" si="336"/>
        <v>575</v>
      </c>
      <c r="AH293" s="2">
        <f t="shared" si="337"/>
        <v>0</v>
      </c>
      <c r="AI293" s="2">
        <f t="shared" si="338"/>
        <v>575</v>
      </c>
      <c r="AJ293" s="2">
        <f t="shared" si="339"/>
        <v>0</v>
      </c>
      <c r="AK293" s="2">
        <f t="shared" si="340"/>
        <v>575</v>
      </c>
      <c r="AL293" s="2">
        <f t="shared" si="341"/>
        <v>0</v>
      </c>
      <c r="AM293" s="3">
        <f t="shared" si="342"/>
        <v>575</v>
      </c>
      <c r="AN293" s="2">
        <f t="shared" si="343"/>
        <v>0</v>
      </c>
      <c r="AO293" s="4">
        <f t="shared" si="344"/>
        <v>0</v>
      </c>
      <c r="AP293" s="2">
        <f t="shared" si="345"/>
        <v>575</v>
      </c>
      <c r="AQ293" s="2">
        <f t="shared" si="346"/>
        <v>0</v>
      </c>
      <c r="AR293" s="4">
        <f t="shared" si="347"/>
        <v>0</v>
      </c>
      <c r="AS293" s="5">
        <f t="shared" si="348"/>
        <v>575</v>
      </c>
      <c r="AT293" s="2">
        <f t="shared" si="349"/>
        <v>0</v>
      </c>
    </row>
    <row r="294" spans="1:46" x14ac:dyDescent="0.2">
      <c r="A294" s="1" t="s">
        <v>147</v>
      </c>
      <c r="B294" s="1" t="s">
        <v>275</v>
      </c>
      <c r="C294" s="2">
        <v>10091</v>
      </c>
      <c r="D294" s="1" t="s">
        <v>61</v>
      </c>
      <c r="E294" s="2">
        <v>10</v>
      </c>
      <c r="G294" s="2">
        <v>10091</v>
      </c>
      <c r="I294" s="2">
        <f t="shared" si="316"/>
        <v>10091</v>
      </c>
      <c r="K294" s="2">
        <f t="shared" si="317"/>
        <v>10091</v>
      </c>
      <c r="L294" s="2">
        <f t="shared" si="318"/>
        <v>0</v>
      </c>
      <c r="M294" s="2">
        <f t="shared" si="319"/>
        <v>10091</v>
      </c>
      <c r="N294" s="2">
        <f t="shared" si="320"/>
        <v>0</v>
      </c>
      <c r="O294" s="2">
        <f t="shared" si="321"/>
        <v>10091</v>
      </c>
      <c r="P294" s="2">
        <f t="shared" si="350"/>
        <v>0</v>
      </c>
      <c r="Q294" s="2">
        <f t="shared" si="322"/>
        <v>10091</v>
      </c>
      <c r="R294" s="2">
        <f t="shared" si="351"/>
        <v>0</v>
      </c>
      <c r="S294" s="2">
        <f t="shared" si="323"/>
        <v>10091</v>
      </c>
      <c r="T294" s="2">
        <f t="shared" si="324"/>
        <v>0</v>
      </c>
      <c r="U294" s="2">
        <f t="shared" si="325"/>
        <v>10091</v>
      </c>
      <c r="V294" s="2">
        <f t="shared" si="326"/>
        <v>0</v>
      </c>
      <c r="W294" s="2">
        <f t="shared" si="327"/>
        <v>10091</v>
      </c>
      <c r="X294" s="2">
        <f t="shared" si="328"/>
        <v>0</v>
      </c>
      <c r="Y294" s="2">
        <f t="shared" si="329"/>
        <v>10091</v>
      </c>
      <c r="Z294" s="2">
        <f t="shared" si="330"/>
        <v>0</v>
      </c>
      <c r="AA294" s="2">
        <f t="shared" si="331"/>
        <v>10091</v>
      </c>
      <c r="AB294" s="2">
        <f t="shared" si="332"/>
        <v>0</v>
      </c>
      <c r="AC294" s="2">
        <f t="shared" si="333"/>
        <v>10091</v>
      </c>
      <c r="AD294" s="2">
        <f t="shared" si="334"/>
        <v>0</v>
      </c>
      <c r="AE294" s="2">
        <f t="shared" si="314"/>
        <v>10091</v>
      </c>
      <c r="AF294" s="2">
        <f t="shared" si="335"/>
        <v>0</v>
      </c>
      <c r="AG294" s="2">
        <f t="shared" si="336"/>
        <v>10091</v>
      </c>
      <c r="AH294" s="2">
        <f t="shared" si="337"/>
        <v>0</v>
      </c>
      <c r="AI294" s="2">
        <f t="shared" si="338"/>
        <v>10091</v>
      </c>
      <c r="AJ294" s="2">
        <f t="shared" si="339"/>
        <v>0</v>
      </c>
      <c r="AK294" s="2">
        <f t="shared" si="340"/>
        <v>10091</v>
      </c>
      <c r="AL294" s="2">
        <f t="shared" si="341"/>
        <v>0</v>
      </c>
      <c r="AM294" s="3">
        <f t="shared" si="342"/>
        <v>10091</v>
      </c>
      <c r="AN294" s="2">
        <f t="shared" si="343"/>
        <v>0</v>
      </c>
      <c r="AO294" s="4">
        <f t="shared" si="344"/>
        <v>0</v>
      </c>
      <c r="AP294" s="2">
        <f t="shared" si="345"/>
        <v>10091</v>
      </c>
      <c r="AQ294" s="2">
        <f t="shared" si="346"/>
        <v>0</v>
      </c>
      <c r="AR294" s="4">
        <f t="shared" si="347"/>
        <v>0</v>
      </c>
      <c r="AS294" s="5">
        <f t="shared" si="348"/>
        <v>10091</v>
      </c>
      <c r="AT294" s="2">
        <f t="shared" si="349"/>
        <v>0</v>
      </c>
    </row>
    <row r="295" spans="1:46" x14ac:dyDescent="0.2">
      <c r="A295" s="1" t="s">
        <v>276</v>
      </c>
      <c r="B295" s="1" t="s">
        <v>145</v>
      </c>
      <c r="C295" s="2">
        <v>429</v>
      </c>
      <c r="D295" s="1" t="s">
        <v>61</v>
      </c>
      <c r="E295" s="2">
        <v>10</v>
      </c>
      <c r="G295" s="2">
        <v>429</v>
      </c>
      <c r="I295" s="2">
        <f t="shared" si="316"/>
        <v>429</v>
      </c>
      <c r="K295" s="2">
        <f t="shared" si="317"/>
        <v>429</v>
      </c>
      <c r="L295" s="2">
        <f t="shared" si="318"/>
        <v>0</v>
      </c>
      <c r="M295" s="2">
        <f t="shared" si="319"/>
        <v>429</v>
      </c>
      <c r="N295" s="2">
        <f t="shared" si="320"/>
        <v>0</v>
      </c>
      <c r="O295" s="2">
        <f t="shared" si="321"/>
        <v>429</v>
      </c>
      <c r="P295" s="2">
        <f t="shared" si="350"/>
        <v>0</v>
      </c>
      <c r="Q295" s="2">
        <f t="shared" si="322"/>
        <v>429</v>
      </c>
      <c r="R295" s="2">
        <f t="shared" si="351"/>
        <v>0</v>
      </c>
      <c r="S295" s="2">
        <f t="shared" si="323"/>
        <v>429</v>
      </c>
      <c r="T295" s="2">
        <f t="shared" si="324"/>
        <v>0</v>
      </c>
      <c r="U295" s="2">
        <f t="shared" si="325"/>
        <v>429</v>
      </c>
      <c r="V295" s="2">
        <f t="shared" si="326"/>
        <v>0</v>
      </c>
      <c r="W295" s="2">
        <f t="shared" si="327"/>
        <v>429</v>
      </c>
      <c r="X295" s="2">
        <f t="shared" si="328"/>
        <v>0</v>
      </c>
      <c r="Y295" s="2">
        <f t="shared" si="329"/>
        <v>429</v>
      </c>
      <c r="Z295" s="2">
        <f t="shared" si="330"/>
        <v>0</v>
      </c>
      <c r="AA295" s="2">
        <f t="shared" si="331"/>
        <v>429</v>
      </c>
      <c r="AB295" s="2">
        <f t="shared" si="332"/>
        <v>0</v>
      </c>
      <c r="AC295" s="2">
        <f t="shared" si="333"/>
        <v>429</v>
      </c>
      <c r="AD295" s="2">
        <f t="shared" si="334"/>
        <v>0</v>
      </c>
      <c r="AE295" s="2">
        <f t="shared" si="314"/>
        <v>429</v>
      </c>
      <c r="AF295" s="2">
        <f t="shared" si="335"/>
        <v>0</v>
      </c>
      <c r="AG295" s="2">
        <f t="shared" si="336"/>
        <v>429</v>
      </c>
      <c r="AH295" s="2">
        <f t="shared" si="337"/>
        <v>0</v>
      </c>
      <c r="AI295" s="2">
        <f t="shared" si="338"/>
        <v>429</v>
      </c>
      <c r="AJ295" s="2">
        <f t="shared" si="339"/>
        <v>0</v>
      </c>
      <c r="AK295" s="2">
        <f t="shared" si="340"/>
        <v>429</v>
      </c>
      <c r="AL295" s="2">
        <f t="shared" si="341"/>
        <v>0</v>
      </c>
      <c r="AM295" s="3">
        <f t="shared" si="342"/>
        <v>429</v>
      </c>
      <c r="AN295" s="2">
        <f t="shared" si="343"/>
        <v>0</v>
      </c>
      <c r="AO295" s="4">
        <f t="shared" si="344"/>
        <v>0</v>
      </c>
      <c r="AP295" s="2">
        <f t="shared" si="345"/>
        <v>429</v>
      </c>
      <c r="AQ295" s="2">
        <f t="shared" si="346"/>
        <v>0</v>
      </c>
      <c r="AR295" s="4">
        <f t="shared" si="347"/>
        <v>0</v>
      </c>
      <c r="AS295" s="5">
        <f t="shared" si="348"/>
        <v>429</v>
      </c>
      <c r="AT295" s="2">
        <f t="shared" si="349"/>
        <v>0</v>
      </c>
    </row>
    <row r="296" spans="1:46" x14ac:dyDescent="0.2">
      <c r="A296" s="1" t="s">
        <v>277</v>
      </c>
      <c r="B296" s="1" t="s">
        <v>145</v>
      </c>
      <c r="C296" s="2">
        <v>500</v>
      </c>
      <c r="D296" s="1" t="s">
        <v>61</v>
      </c>
      <c r="E296" s="2">
        <v>10</v>
      </c>
      <c r="G296" s="2">
        <v>500</v>
      </c>
      <c r="I296" s="2">
        <f t="shared" si="316"/>
        <v>500</v>
      </c>
      <c r="K296" s="2">
        <f t="shared" si="317"/>
        <v>500</v>
      </c>
      <c r="L296" s="2">
        <f t="shared" si="318"/>
        <v>0</v>
      </c>
      <c r="M296" s="2">
        <f t="shared" si="319"/>
        <v>500</v>
      </c>
      <c r="N296" s="2">
        <f t="shared" si="320"/>
        <v>0</v>
      </c>
      <c r="O296" s="2">
        <f t="shared" si="321"/>
        <v>500</v>
      </c>
      <c r="P296" s="2">
        <f t="shared" si="350"/>
        <v>0</v>
      </c>
      <c r="Q296" s="2">
        <f t="shared" si="322"/>
        <v>500</v>
      </c>
      <c r="R296" s="2">
        <f t="shared" si="351"/>
        <v>0</v>
      </c>
      <c r="S296" s="2">
        <f t="shared" si="323"/>
        <v>500</v>
      </c>
      <c r="T296" s="2">
        <f t="shared" si="324"/>
        <v>0</v>
      </c>
      <c r="U296" s="2">
        <f t="shared" si="325"/>
        <v>500</v>
      </c>
      <c r="V296" s="2">
        <f t="shared" si="326"/>
        <v>0</v>
      </c>
      <c r="W296" s="2">
        <f t="shared" si="327"/>
        <v>500</v>
      </c>
      <c r="X296" s="2">
        <f t="shared" si="328"/>
        <v>0</v>
      </c>
      <c r="Y296" s="2">
        <f t="shared" si="329"/>
        <v>500</v>
      </c>
      <c r="Z296" s="2">
        <f t="shared" si="330"/>
        <v>0</v>
      </c>
      <c r="AA296" s="2">
        <f t="shared" si="331"/>
        <v>500</v>
      </c>
      <c r="AB296" s="2">
        <f t="shared" si="332"/>
        <v>0</v>
      </c>
      <c r="AC296" s="2">
        <f t="shared" si="333"/>
        <v>500</v>
      </c>
      <c r="AD296" s="2">
        <f t="shared" si="334"/>
        <v>0</v>
      </c>
      <c r="AE296" s="2">
        <f t="shared" si="314"/>
        <v>500</v>
      </c>
      <c r="AF296" s="2">
        <f t="shared" si="335"/>
        <v>0</v>
      </c>
      <c r="AG296" s="2">
        <f t="shared" si="336"/>
        <v>500</v>
      </c>
      <c r="AH296" s="2">
        <f t="shared" si="337"/>
        <v>0</v>
      </c>
      <c r="AI296" s="2">
        <f t="shared" si="338"/>
        <v>500</v>
      </c>
      <c r="AJ296" s="2">
        <f t="shared" si="339"/>
        <v>0</v>
      </c>
      <c r="AK296" s="2">
        <f t="shared" si="340"/>
        <v>500</v>
      </c>
      <c r="AL296" s="2">
        <f t="shared" si="341"/>
        <v>0</v>
      </c>
      <c r="AM296" s="3">
        <f t="shared" si="342"/>
        <v>500</v>
      </c>
      <c r="AN296" s="2">
        <f t="shared" si="343"/>
        <v>0</v>
      </c>
      <c r="AO296" s="4">
        <f t="shared" si="344"/>
        <v>0</v>
      </c>
      <c r="AP296" s="2">
        <f t="shared" si="345"/>
        <v>500</v>
      </c>
      <c r="AQ296" s="2">
        <f t="shared" si="346"/>
        <v>0</v>
      </c>
      <c r="AR296" s="4">
        <f t="shared" si="347"/>
        <v>0</v>
      </c>
      <c r="AS296" s="5">
        <f t="shared" si="348"/>
        <v>500</v>
      </c>
      <c r="AT296" s="2">
        <f t="shared" si="349"/>
        <v>0</v>
      </c>
    </row>
    <row r="297" spans="1:46" x14ac:dyDescent="0.2">
      <c r="A297" s="1" t="s">
        <v>278</v>
      </c>
      <c r="B297" s="1" t="s">
        <v>38</v>
      </c>
      <c r="C297" s="2">
        <v>5400</v>
      </c>
      <c r="D297" s="1" t="s">
        <v>61</v>
      </c>
      <c r="E297" s="2">
        <v>10</v>
      </c>
      <c r="G297" s="2">
        <v>4050</v>
      </c>
      <c r="H297" s="2">
        <v>540</v>
      </c>
      <c r="I297" s="2">
        <f t="shared" si="316"/>
        <v>4590</v>
      </c>
      <c r="J297" s="2">
        <v>540</v>
      </c>
      <c r="K297" s="2">
        <f t="shared" si="317"/>
        <v>5130</v>
      </c>
      <c r="L297" s="2">
        <f>5400-5130</f>
        <v>270</v>
      </c>
      <c r="M297" s="2">
        <f t="shared" si="319"/>
        <v>5400</v>
      </c>
      <c r="N297" s="2">
        <v>0</v>
      </c>
      <c r="O297" s="2">
        <f t="shared" si="321"/>
        <v>5400</v>
      </c>
      <c r="P297" s="2">
        <v>0</v>
      </c>
      <c r="Q297" s="2">
        <f t="shared" si="322"/>
        <v>5400</v>
      </c>
      <c r="R297" s="2">
        <f t="shared" si="351"/>
        <v>0</v>
      </c>
      <c r="S297" s="2">
        <f t="shared" si="323"/>
        <v>5400</v>
      </c>
      <c r="T297" s="2">
        <f t="shared" si="324"/>
        <v>0</v>
      </c>
      <c r="U297" s="2">
        <f t="shared" si="325"/>
        <v>5400</v>
      </c>
      <c r="V297" s="2">
        <f t="shared" si="326"/>
        <v>0</v>
      </c>
      <c r="W297" s="2">
        <f t="shared" si="327"/>
        <v>5400</v>
      </c>
      <c r="X297" s="2">
        <f t="shared" si="328"/>
        <v>0</v>
      </c>
      <c r="Y297" s="2">
        <f t="shared" si="329"/>
        <v>5400</v>
      </c>
      <c r="Z297" s="2">
        <f t="shared" si="330"/>
        <v>0</v>
      </c>
      <c r="AA297" s="2">
        <f t="shared" si="331"/>
        <v>5400</v>
      </c>
      <c r="AB297" s="2">
        <f t="shared" si="332"/>
        <v>0</v>
      </c>
      <c r="AC297" s="2">
        <f t="shared" si="333"/>
        <v>5400</v>
      </c>
      <c r="AD297" s="2">
        <f t="shared" si="334"/>
        <v>0</v>
      </c>
      <c r="AE297" s="2">
        <f t="shared" si="314"/>
        <v>5400</v>
      </c>
      <c r="AF297" s="2">
        <f t="shared" si="335"/>
        <v>0</v>
      </c>
      <c r="AG297" s="2">
        <f t="shared" si="336"/>
        <v>5400</v>
      </c>
      <c r="AH297" s="2">
        <f t="shared" si="337"/>
        <v>0</v>
      </c>
      <c r="AI297" s="2">
        <f t="shared" si="338"/>
        <v>5400</v>
      </c>
      <c r="AJ297" s="2">
        <f t="shared" si="339"/>
        <v>0</v>
      </c>
      <c r="AK297" s="2">
        <f t="shared" si="340"/>
        <v>5400</v>
      </c>
      <c r="AL297" s="2">
        <f t="shared" si="341"/>
        <v>0</v>
      </c>
      <c r="AM297" s="3">
        <f t="shared" si="342"/>
        <v>5400</v>
      </c>
      <c r="AN297" s="2">
        <f t="shared" si="343"/>
        <v>0</v>
      </c>
      <c r="AO297" s="4">
        <f t="shared" si="344"/>
        <v>0</v>
      </c>
      <c r="AP297" s="2">
        <f t="shared" si="345"/>
        <v>5400</v>
      </c>
      <c r="AQ297" s="2">
        <f t="shared" si="346"/>
        <v>0</v>
      </c>
      <c r="AR297" s="4">
        <f t="shared" si="347"/>
        <v>0</v>
      </c>
      <c r="AS297" s="5">
        <f t="shared" si="348"/>
        <v>5400</v>
      </c>
      <c r="AT297" s="2">
        <f t="shared" si="349"/>
        <v>0</v>
      </c>
    </row>
    <row r="298" spans="1:46" x14ac:dyDescent="0.2">
      <c r="A298" s="1" t="s">
        <v>279</v>
      </c>
      <c r="B298" s="1" t="s">
        <v>64</v>
      </c>
      <c r="C298" s="2">
        <v>11930</v>
      </c>
      <c r="D298" s="1" t="s">
        <v>61</v>
      </c>
      <c r="E298" s="2">
        <v>10</v>
      </c>
      <c r="G298" s="2">
        <v>8948</v>
      </c>
      <c r="H298" s="2">
        <v>1193</v>
      </c>
      <c r="I298" s="2">
        <f t="shared" si="316"/>
        <v>10141</v>
      </c>
      <c r="J298" s="2">
        <v>1193</v>
      </c>
      <c r="K298" s="2">
        <f t="shared" si="317"/>
        <v>11334</v>
      </c>
      <c r="L298" s="2">
        <f>11930-11334</f>
        <v>596</v>
      </c>
      <c r="M298" s="2">
        <f t="shared" si="319"/>
        <v>11930</v>
      </c>
      <c r="N298" s="2">
        <v>0</v>
      </c>
      <c r="O298" s="2">
        <f t="shared" si="321"/>
        <v>11930</v>
      </c>
      <c r="P298" s="2">
        <v>0</v>
      </c>
      <c r="Q298" s="2">
        <f t="shared" si="322"/>
        <v>11930</v>
      </c>
      <c r="R298" s="2">
        <f t="shared" si="351"/>
        <v>0</v>
      </c>
      <c r="S298" s="2">
        <f t="shared" si="323"/>
        <v>11930</v>
      </c>
      <c r="T298" s="2">
        <f t="shared" si="324"/>
        <v>0</v>
      </c>
      <c r="U298" s="2">
        <f t="shared" si="325"/>
        <v>11930</v>
      </c>
      <c r="V298" s="2">
        <f t="shared" si="326"/>
        <v>0</v>
      </c>
      <c r="W298" s="2">
        <f t="shared" si="327"/>
        <v>11930</v>
      </c>
      <c r="X298" s="2">
        <f t="shared" si="328"/>
        <v>0</v>
      </c>
      <c r="Y298" s="2">
        <f t="shared" si="329"/>
        <v>11930</v>
      </c>
      <c r="Z298" s="2">
        <f t="shared" si="330"/>
        <v>0</v>
      </c>
      <c r="AA298" s="2">
        <f t="shared" si="331"/>
        <v>11930</v>
      </c>
      <c r="AB298" s="2">
        <f t="shared" si="332"/>
        <v>0</v>
      </c>
      <c r="AC298" s="2">
        <f t="shared" si="333"/>
        <v>11930</v>
      </c>
      <c r="AD298" s="2">
        <f t="shared" si="334"/>
        <v>0</v>
      </c>
      <c r="AE298" s="2">
        <f t="shared" si="314"/>
        <v>11930</v>
      </c>
      <c r="AF298" s="2">
        <f t="shared" si="335"/>
        <v>0</v>
      </c>
      <c r="AG298" s="2">
        <f t="shared" si="336"/>
        <v>11930</v>
      </c>
      <c r="AH298" s="2">
        <f t="shared" si="337"/>
        <v>0</v>
      </c>
      <c r="AI298" s="2">
        <f t="shared" si="338"/>
        <v>11930</v>
      </c>
      <c r="AJ298" s="2">
        <f t="shared" si="339"/>
        <v>0</v>
      </c>
      <c r="AK298" s="2">
        <f t="shared" si="340"/>
        <v>11930</v>
      </c>
      <c r="AL298" s="2">
        <f t="shared" si="341"/>
        <v>0</v>
      </c>
      <c r="AM298" s="3">
        <f t="shared" si="342"/>
        <v>11930</v>
      </c>
      <c r="AN298" s="2">
        <f t="shared" si="343"/>
        <v>0</v>
      </c>
      <c r="AO298" s="4">
        <f t="shared" si="344"/>
        <v>0</v>
      </c>
      <c r="AP298" s="2">
        <f t="shared" si="345"/>
        <v>11930</v>
      </c>
      <c r="AQ298" s="2">
        <f t="shared" si="346"/>
        <v>0</v>
      </c>
      <c r="AR298" s="4">
        <f t="shared" si="347"/>
        <v>0</v>
      </c>
      <c r="AS298" s="5">
        <f t="shared" si="348"/>
        <v>11930</v>
      </c>
      <c r="AT298" s="2">
        <f t="shared" si="349"/>
        <v>0</v>
      </c>
    </row>
    <row r="299" spans="1:46" x14ac:dyDescent="0.2">
      <c r="A299" s="1" t="s">
        <v>280</v>
      </c>
      <c r="B299" s="1" t="s">
        <v>65</v>
      </c>
      <c r="C299" s="2">
        <v>660</v>
      </c>
      <c r="D299" s="1" t="s">
        <v>61</v>
      </c>
      <c r="E299" s="2">
        <v>10</v>
      </c>
      <c r="G299" s="2">
        <v>429</v>
      </c>
      <c r="H299" s="2">
        <v>66</v>
      </c>
      <c r="I299" s="2">
        <f t="shared" si="316"/>
        <v>495</v>
      </c>
      <c r="J299" s="2">
        <v>66</v>
      </c>
      <c r="K299" s="2">
        <f t="shared" si="317"/>
        <v>561</v>
      </c>
      <c r="L299" s="2">
        <f>J299</f>
        <v>66</v>
      </c>
      <c r="M299" s="2">
        <f t="shared" si="319"/>
        <v>627</v>
      </c>
      <c r="N299" s="2">
        <f>660-627</f>
        <v>33</v>
      </c>
      <c r="O299" s="2">
        <f t="shared" si="321"/>
        <v>660</v>
      </c>
      <c r="P299" s="2">
        <v>0</v>
      </c>
      <c r="Q299" s="2">
        <f t="shared" si="322"/>
        <v>660</v>
      </c>
      <c r="R299" s="2">
        <f t="shared" si="351"/>
        <v>0</v>
      </c>
      <c r="S299" s="2">
        <f t="shared" si="323"/>
        <v>660</v>
      </c>
      <c r="T299" s="2">
        <f t="shared" si="324"/>
        <v>0</v>
      </c>
      <c r="U299" s="2">
        <f t="shared" si="325"/>
        <v>660</v>
      </c>
      <c r="V299" s="2">
        <f t="shared" si="326"/>
        <v>0</v>
      </c>
      <c r="W299" s="2">
        <f t="shared" si="327"/>
        <v>660</v>
      </c>
      <c r="X299" s="2">
        <f t="shared" si="328"/>
        <v>0</v>
      </c>
      <c r="Y299" s="2">
        <f t="shared" si="329"/>
        <v>660</v>
      </c>
      <c r="Z299" s="2">
        <f t="shared" si="330"/>
        <v>0</v>
      </c>
      <c r="AA299" s="2">
        <f t="shared" si="331"/>
        <v>660</v>
      </c>
      <c r="AB299" s="2">
        <f t="shared" si="332"/>
        <v>0</v>
      </c>
      <c r="AC299" s="2">
        <f t="shared" si="333"/>
        <v>660</v>
      </c>
      <c r="AD299" s="2">
        <f t="shared" si="334"/>
        <v>0</v>
      </c>
      <c r="AE299" s="2">
        <f t="shared" si="314"/>
        <v>660</v>
      </c>
      <c r="AF299" s="2">
        <f t="shared" si="335"/>
        <v>0</v>
      </c>
      <c r="AG299" s="2">
        <f t="shared" si="336"/>
        <v>660</v>
      </c>
      <c r="AH299" s="2">
        <f t="shared" si="337"/>
        <v>0</v>
      </c>
      <c r="AI299" s="2">
        <f t="shared" si="338"/>
        <v>660</v>
      </c>
      <c r="AJ299" s="2">
        <f t="shared" si="339"/>
        <v>0</v>
      </c>
      <c r="AK299" s="2">
        <f t="shared" si="340"/>
        <v>660</v>
      </c>
      <c r="AL299" s="2">
        <f t="shared" si="341"/>
        <v>0</v>
      </c>
      <c r="AM299" s="3">
        <f t="shared" si="342"/>
        <v>660</v>
      </c>
      <c r="AN299" s="2">
        <f t="shared" si="343"/>
        <v>0</v>
      </c>
      <c r="AO299" s="4">
        <f t="shared" si="344"/>
        <v>0</v>
      </c>
      <c r="AP299" s="2">
        <f t="shared" si="345"/>
        <v>660</v>
      </c>
      <c r="AQ299" s="2">
        <f t="shared" si="346"/>
        <v>0</v>
      </c>
      <c r="AR299" s="4">
        <f t="shared" si="347"/>
        <v>0</v>
      </c>
      <c r="AS299" s="5">
        <f t="shared" si="348"/>
        <v>660</v>
      </c>
      <c r="AT299" s="2">
        <f t="shared" si="349"/>
        <v>0</v>
      </c>
    </row>
    <row r="300" spans="1:46" x14ac:dyDescent="0.2">
      <c r="A300" s="1" t="s">
        <v>281</v>
      </c>
      <c r="B300" s="1" t="s">
        <v>65</v>
      </c>
      <c r="C300" s="2">
        <v>366</v>
      </c>
      <c r="D300" s="1" t="s">
        <v>61</v>
      </c>
      <c r="E300" s="2">
        <v>10</v>
      </c>
      <c r="G300" s="2">
        <v>240</v>
      </c>
      <c r="H300" s="2">
        <v>37</v>
      </c>
      <c r="I300" s="2">
        <f t="shared" si="316"/>
        <v>277</v>
      </c>
      <c r="J300" s="2">
        <v>37</v>
      </c>
      <c r="K300" s="2">
        <f t="shared" si="317"/>
        <v>314</v>
      </c>
      <c r="L300" s="2">
        <f>J300</f>
        <v>37</v>
      </c>
      <c r="M300" s="2">
        <f t="shared" si="319"/>
        <v>351</v>
      </c>
      <c r="N300" s="2">
        <f>366-351</f>
        <v>15</v>
      </c>
      <c r="O300" s="2">
        <f t="shared" si="321"/>
        <v>366</v>
      </c>
      <c r="P300" s="2">
        <v>0</v>
      </c>
      <c r="Q300" s="2">
        <f t="shared" si="322"/>
        <v>366</v>
      </c>
      <c r="R300" s="2">
        <f t="shared" si="351"/>
        <v>0</v>
      </c>
      <c r="S300" s="2">
        <f t="shared" si="323"/>
        <v>366</v>
      </c>
      <c r="T300" s="2">
        <f t="shared" si="324"/>
        <v>0</v>
      </c>
      <c r="U300" s="2">
        <f t="shared" si="325"/>
        <v>366</v>
      </c>
      <c r="V300" s="2">
        <f t="shared" si="326"/>
        <v>0</v>
      </c>
      <c r="W300" s="2">
        <f t="shared" si="327"/>
        <v>366</v>
      </c>
      <c r="X300" s="2">
        <f t="shared" si="328"/>
        <v>0</v>
      </c>
      <c r="Y300" s="2">
        <f t="shared" si="329"/>
        <v>366</v>
      </c>
      <c r="Z300" s="2">
        <f t="shared" si="330"/>
        <v>0</v>
      </c>
      <c r="AA300" s="2">
        <f t="shared" si="331"/>
        <v>366</v>
      </c>
      <c r="AB300" s="2">
        <f t="shared" si="332"/>
        <v>0</v>
      </c>
      <c r="AC300" s="2">
        <f t="shared" si="333"/>
        <v>366</v>
      </c>
      <c r="AD300" s="2">
        <f t="shared" si="334"/>
        <v>0</v>
      </c>
      <c r="AE300" s="2">
        <f t="shared" si="314"/>
        <v>366</v>
      </c>
      <c r="AF300" s="2">
        <f t="shared" si="335"/>
        <v>0</v>
      </c>
      <c r="AG300" s="2">
        <f t="shared" si="336"/>
        <v>366</v>
      </c>
      <c r="AH300" s="2">
        <f t="shared" si="337"/>
        <v>0</v>
      </c>
      <c r="AI300" s="2">
        <f t="shared" si="338"/>
        <v>366</v>
      </c>
      <c r="AJ300" s="2">
        <f t="shared" si="339"/>
        <v>0</v>
      </c>
      <c r="AK300" s="2">
        <f t="shared" si="340"/>
        <v>366</v>
      </c>
      <c r="AL300" s="2">
        <f t="shared" si="341"/>
        <v>0</v>
      </c>
      <c r="AM300" s="3">
        <f t="shared" si="342"/>
        <v>366</v>
      </c>
      <c r="AN300" s="2">
        <f t="shared" si="343"/>
        <v>0</v>
      </c>
      <c r="AO300" s="4">
        <f t="shared" si="344"/>
        <v>0</v>
      </c>
      <c r="AP300" s="2">
        <f t="shared" si="345"/>
        <v>366</v>
      </c>
      <c r="AQ300" s="2">
        <f t="shared" si="346"/>
        <v>0</v>
      </c>
      <c r="AR300" s="4">
        <f t="shared" si="347"/>
        <v>0</v>
      </c>
      <c r="AS300" s="5">
        <f t="shared" si="348"/>
        <v>366</v>
      </c>
      <c r="AT300" s="2">
        <f t="shared" si="349"/>
        <v>0</v>
      </c>
    </row>
    <row r="301" spans="1:46" x14ac:dyDescent="0.2">
      <c r="A301" s="1" t="s">
        <v>282</v>
      </c>
      <c r="B301" s="1" t="s">
        <v>283</v>
      </c>
      <c r="C301" s="2">
        <v>1179</v>
      </c>
      <c r="D301" s="1" t="s">
        <v>61</v>
      </c>
      <c r="E301" s="2">
        <v>10</v>
      </c>
      <c r="G301" s="2">
        <v>1179</v>
      </c>
      <c r="I301" s="2">
        <f t="shared" si="316"/>
        <v>1179</v>
      </c>
      <c r="K301" s="2">
        <f t="shared" si="317"/>
        <v>1179</v>
      </c>
      <c r="L301" s="2">
        <f>J301</f>
        <v>0</v>
      </c>
      <c r="M301" s="2">
        <f t="shared" si="319"/>
        <v>1179</v>
      </c>
      <c r="N301" s="2">
        <f>L301</f>
        <v>0</v>
      </c>
      <c r="O301" s="2">
        <f t="shared" si="321"/>
        <v>1179</v>
      </c>
      <c r="P301" s="2">
        <f>N301</f>
        <v>0</v>
      </c>
      <c r="Q301" s="2">
        <f t="shared" si="322"/>
        <v>1179</v>
      </c>
      <c r="R301" s="2">
        <f t="shared" si="351"/>
        <v>0</v>
      </c>
      <c r="S301" s="2">
        <f t="shared" si="323"/>
        <v>1179</v>
      </c>
      <c r="T301" s="2">
        <f t="shared" si="324"/>
        <v>0</v>
      </c>
      <c r="U301" s="2">
        <f t="shared" si="325"/>
        <v>1179</v>
      </c>
      <c r="V301" s="2">
        <f t="shared" si="326"/>
        <v>0</v>
      </c>
      <c r="W301" s="2">
        <f t="shared" si="327"/>
        <v>1179</v>
      </c>
      <c r="X301" s="2">
        <f t="shared" si="328"/>
        <v>0</v>
      </c>
      <c r="Y301" s="2">
        <f t="shared" si="329"/>
        <v>1179</v>
      </c>
      <c r="Z301" s="2">
        <f t="shared" si="330"/>
        <v>0</v>
      </c>
      <c r="AA301" s="2">
        <f t="shared" si="331"/>
        <v>1179</v>
      </c>
      <c r="AB301" s="2">
        <f t="shared" si="332"/>
        <v>0</v>
      </c>
      <c r="AC301" s="2">
        <f t="shared" si="333"/>
        <v>1179</v>
      </c>
      <c r="AD301" s="2">
        <f t="shared" si="334"/>
        <v>0</v>
      </c>
      <c r="AE301" s="2">
        <f t="shared" si="314"/>
        <v>1179</v>
      </c>
      <c r="AF301" s="2">
        <f t="shared" si="335"/>
        <v>0</v>
      </c>
      <c r="AG301" s="2">
        <f t="shared" si="336"/>
        <v>1179</v>
      </c>
      <c r="AH301" s="2">
        <f t="shared" si="337"/>
        <v>0</v>
      </c>
      <c r="AI301" s="2">
        <f t="shared" si="338"/>
        <v>1179</v>
      </c>
      <c r="AJ301" s="2">
        <f t="shared" si="339"/>
        <v>0</v>
      </c>
      <c r="AK301" s="2">
        <f t="shared" si="340"/>
        <v>1179</v>
      </c>
      <c r="AL301" s="2">
        <f t="shared" si="341"/>
        <v>0</v>
      </c>
      <c r="AM301" s="3">
        <f t="shared" si="342"/>
        <v>1179</v>
      </c>
      <c r="AN301" s="2">
        <f t="shared" si="343"/>
        <v>0</v>
      </c>
      <c r="AO301" s="4">
        <f t="shared" si="344"/>
        <v>0</v>
      </c>
      <c r="AP301" s="2">
        <f t="shared" si="345"/>
        <v>1179</v>
      </c>
      <c r="AQ301" s="2">
        <f t="shared" si="346"/>
        <v>0</v>
      </c>
      <c r="AR301" s="4">
        <f t="shared" si="347"/>
        <v>0</v>
      </c>
      <c r="AS301" s="5">
        <f t="shared" si="348"/>
        <v>1179</v>
      </c>
      <c r="AT301" s="2">
        <f t="shared" si="349"/>
        <v>0</v>
      </c>
    </row>
    <row r="302" spans="1:46" x14ac:dyDescent="0.2">
      <c r="A302" s="1" t="s">
        <v>284</v>
      </c>
      <c r="B302" s="1" t="s">
        <v>285</v>
      </c>
      <c r="C302" s="2">
        <v>1506</v>
      </c>
      <c r="D302" s="1" t="s">
        <v>61</v>
      </c>
      <c r="E302" s="2">
        <v>10</v>
      </c>
      <c r="G302" s="2">
        <v>665</v>
      </c>
      <c r="H302" s="2">
        <v>301</v>
      </c>
      <c r="I302" s="2">
        <f t="shared" si="316"/>
        <v>966</v>
      </c>
      <c r="J302" s="2">
        <v>301</v>
      </c>
      <c r="K302" s="2">
        <f t="shared" si="317"/>
        <v>1267</v>
      </c>
      <c r="L302" s="2">
        <f>1506-1267</f>
        <v>239</v>
      </c>
      <c r="M302" s="2">
        <f t="shared" si="319"/>
        <v>1506</v>
      </c>
      <c r="N302" s="2">
        <v>0</v>
      </c>
      <c r="O302" s="2">
        <f t="shared" si="321"/>
        <v>1506</v>
      </c>
      <c r="P302" s="2">
        <v>0</v>
      </c>
      <c r="Q302" s="2">
        <f t="shared" si="322"/>
        <v>1506</v>
      </c>
      <c r="R302" s="2">
        <f t="shared" si="351"/>
        <v>0</v>
      </c>
      <c r="S302" s="2">
        <f t="shared" si="323"/>
        <v>1506</v>
      </c>
      <c r="T302" s="2">
        <f t="shared" si="324"/>
        <v>0</v>
      </c>
      <c r="U302" s="2">
        <f t="shared" si="325"/>
        <v>1506</v>
      </c>
      <c r="V302" s="2">
        <f t="shared" si="326"/>
        <v>0</v>
      </c>
      <c r="W302" s="2">
        <f t="shared" si="327"/>
        <v>1506</v>
      </c>
      <c r="X302" s="2">
        <f t="shared" si="328"/>
        <v>0</v>
      </c>
      <c r="Y302" s="2">
        <f t="shared" si="329"/>
        <v>1506</v>
      </c>
      <c r="Z302" s="2">
        <f t="shared" si="330"/>
        <v>0</v>
      </c>
      <c r="AA302" s="2">
        <f t="shared" si="331"/>
        <v>1506</v>
      </c>
      <c r="AB302" s="2">
        <f t="shared" si="332"/>
        <v>0</v>
      </c>
      <c r="AC302" s="2">
        <f t="shared" si="333"/>
        <v>1506</v>
      </c>
      <c r="AD302" s="2">
        <f t="shared" si="334"/>
        <v>0</v>
      </c>
      <c r="AE302" s="2">
        <f t="shared" si="314"/>
        <v>1506</v>
      </c>
      <c r="AF302" s="2">
        <f t="shared" si="335"/>
        <v>0</v>
      </c>
      <c r="AG302" s="2">
        <f t="shared" si="336"/>
        <v>1506</v>
      </c>
      <c r="AH302" s="2">
        <f t="shared" si="337"/>
        <v>0</v>
      </c>
      <c r="AI302" s="2">
        <f t="shared" si="338"/>
        <v>1506</v>
      </c>
      <c r="AJ302" s="2">
        <f t="shared" si="339"/>
        <v>0</v>
      </c>
      <c r="AK302" s="2">
        <f t="shared" si="340"/>
        <v>1506</v>
      </c>
      <c r="AL302" s="2">
        <f t="shared" si="341"/>
        <v>0</v>
      </c>
      <c r="AM302" s="3">
        <f t="shared" si="342"/>
        <v>1506</v>
      </c>
      <c r="AN302" s="2">
        <f t="shared" si="343"/>
        <v>0</v>
      </c>
      <c r="AO302" s="4">
        <f t="shared" si="344"/>
        <v>0</v>
      </c>
      <c r="AP302" s="2">
        <f t="shared" si="345"/>
        <v>1506</v>
      </c>
      <c r="AQ302" s="2">
        <f t="shared" si="346"/>
        <v>0</v>
      </c>
      <c r="AR302" s="4">
        <f t="shared" si="347"/>
        <v>0</v>
      </c>
      <c r="AS302" s="5">
        <f t="shared" si="348"/>
        <v>1506</v>
      </c>
      <c r="AT302" s="2">
        <f t="shared" si="349"/>
        <v>0</v>
      </c>
    </row>
    <row r="303" spans="1:46" x14ac:dyDescent="0.2">
      <c r="A303" s="1" t="s">
        <v>286</v>
      </c>
      <c r="B303" s="1" t="s">
        <v>172</v>
      </c>
      <c r="C303" s="2">
        <v>380</v>
      </c>
      <c r="D303" s="1" t="s">
        <v>61</v>
      </c>
      <c r="E303" s="2">
        <v>10</v>
      </c>
      <c r="G303" s="2">
        <v>114</v>
      </c>
      <c r="H303" s="2">
        <v>76</v>
      </c>
      <c r="I303" s="2">
        <f t="shared" si="316"/>
        <v>190</v>
      </c>
      <c r="J303" s="2">
        <v>76</v>
      </c>
      <c r="K303" s="2">
        <f t="shared" si="317"/>
        <v>266</v>
      </c>
      <c r="L303" s="2">
        <f>J303</f>
        <v>76</v>
      </c>
      <c r="M303" s="2">
        <f t="shared" si="319"/>
        <v>342</v>
      </c>
      <c r="N303" s="2">
        <f>380-342</f>
        <v>38</v>
      </c>
      <c r="O303" s="2">
        <f t="shared" si="321"/>
        <v>380</v>
      </c>
      <c r="P303" s="2">
        <v>0</v>
      </c>
      <c r="Q303" s="2">
        <f t="shared" si="322"/>
        <v>380</v>
      </c>
      <c r="R303" s="2">
        <f t="shared" si="351"/>
        <v>0</v>
      </c>
      <c r="S303" s="2">
        <f t="shared" si="323"/>
        <v>380</v>
      </c>
      <c r="T303" s="2">
        <f t="shared" si="324"/>
        <v>0</v>
      </c>
      <c r="U303" s="2">
        <f t="shared" si="325"/>
        <v>380</v>
      </c>
      <c r="V303" s="2">
        <f t="shared" si="326"/>
        <v>0</v>
      </c>
      <c r="W303" s="2">
        <f t="shared" si="327"/>
        <v>380</v>
      </c>
      <c r="X303" s="2">
        <f t="shared" si="328"/>
        <v>0</v>
      </c>
      <c r="Y303" s="2">
        <f t="shared" si="329"/>
        <v>380</v>
      </c>
      <c r="Z303" s="2">
        <f t="shared" si="330"/>
        <v>0</v>
      </c>
      <c r="AA303" s="2">
        <f t="shared" si="331"/>
        <v>380</v>
      </c>
      <c r="AB303" s="2">
        <f t="shared" si="332"/>
        <v>0</v>
      </c>
      <c r="AC303" s="2">
        <f t="shared" si="333"/>
        <v>380</v>
      </c>
      <c r="AD303" s="2">
        <f t="shared" si="334"/>
        <v>0</v>
      </c>
      <c r="AE303" s="2">
        <f t="shared" si="314"/>
        <v>380</v>
      </c>
      <c r="AF303" s="2">
        <f t="shared" si="335"/>
        <v>0</v>
      </c>
      <c r="AG303" s="2">
        <f t="shared" si="336"/>
        <v>380</v>
      </c>
      <c r="AH303" s="2">
        <f t="shared" si="337"/>
        <v>0</v>
      </c>
      <c r="AI303" s="2">
        <f t="shared" si="338"/>
        <v>380</v>
      </c>
      <c r="AJ303" s="2">
        <f t="shared" si="339"/>
        <v>0</v>
      </c>
      <c r="AK303" s="2">
        <f t="shared" si="340"/>
        <v>380</v>
      </c>
      <c r="AL303" s="2">
        <f t="shared" si="341"/>
        <v>0</v>
      </c>
      <c r="AM303" s="3">
        <f t="shared" si="342"/>
        <v>380</v>
      </c>
      <c r="AN303" s="2">
        <f t="shared" si="343"/>
        <v>0</v>
      </c>
      <c r="AO303" s="4">
        <f t="shared" si="344"/>
        <v>0</v>
      </c>
      <c r="AP303" s="2">
        <f t="shared" si="345"/>
        <v>380</v>
      </c>
      <c r="AQ303" s="2">
        <f t="shared" si="346"/>
        <v>0</v>
      </c>
      <c r="AR303" s="4">
        <f t="shared" si="347"/>
        <v>0</v>
      </c>
      <c r="AS303" s="5">
        <f t="shared" si="348"/>
        <v>380</v>
      </c>
      <c r="AT303" s="2">
        <f t="shared" si="349"/>
        <v>0</v>
      </c>
    </row>
    <row r="304" spans="1:46" x14ac:dyDescent="0.2">
      <c r="A304" s="1" t="s">
        <v>287</v>
      </c>
      <c r="B304" s="1" t="s">
        <v>288</v>
      </c>
      <c r="C304" s="2">
        <v>1818</v>
      </c>
      <c r="D304" s="1" t="s">
        <v>61</v>
      </c>
      <c r="E304" s="2">
        <v>10</v>
      </c>
      <c r="G304" s="2">
        <v>30</v>
      </c>
      <c r="H304" s="2">
        <v>364</v>
      </c>
      <c r="I304" s="2">
        <f t="shared" si="316"/>
        <v>394</v>
      </c>
      <c r="J304" s="2">
        <v>364</v>
      </c>
      <c r="K304" s="2">
        <f t="shared" si="317"/>
        <v>758</v>
      </c>
      <c r="L304" s="2">
        <f>J304</f>
        <v>364</v>
      </c>
      <c r="M304" s="2">
        <f t="shared" si="319"/>
        <v>1122</v>
      </c>
      <c r="N304" s="2">
        <f>L304</f>
        <v>364</v>
      </c>
      <c r="O304" s="2">
        <f t="shared" si="321"/>
        <v>1486</v>
      </c>
      <c r="P304" s="2">
        <f>1818-1486</f>
        <v>332</v>
      </c>
      <c r="Q304" s="2">
        <f t="shared" si="322"/>
        <v>1818</v>
      </c>
      <c r="R304" s="2">
        <v>0</v>
      </c>
      <c r="S304" s="2">
        <f t="shared" si="323"/>
        <v>1818</v>
      </c>
      <c r="T304" s="2">
        <f t="shared" si="324"/>
        <v>0</v>
      </c>
      <c r="U304" s="2">
        <f t="shared" si="325"/>
        <v>1818</v>
      </c>
      <c r="V304" s="2">
        <f t="shared" si="326"/>
        <v>0</v>
      </c>
      <c r="W304" s="2">
        <f t="shared" si="327"/>
        <v>1818</v>
      </c>
      <c r="X304" s="2">
        <f t="shared" si="328"/>
        <v>0</v>
      </c>
      <c r="Y304" s="2">
        <f t="shared" si="329"/>
        <v>1818</v>
      </c>
      <c r="Z304" s="2">
        <f t="shared" si="330"/>
        <v>0</v>
      </c>
      <c r="AA304" s="2">
        <f t="shared" si="331"/>
        <v>1818</v>
      </c>
      <c r="AB304" s="2">
        <f t="shared" si="332"/>
        <v>0</v>
      </c>
      <c r="AC304" s="2">
        <f t="shared" si="333"/>
        <v>1818</v>
      </c>
      <c r="AD304" s="2">
        <f t="shared" si="334"/>
        <v>0</v>
      </c>
      <c r="AE304" s="2">
        <f t="shared" si="314"/>
        <v>1818</v>
      </c>
      <c r="AF304" s="2">
        <f t="shared" si="335"/>
        <v>0</v>
      </c>
      <c r="AG304" s="2">
        <f t="shared" si="336"/>
        <v>1818</v>
      </c>
      <c r="AH304" s="2">
        <f t="shared" si="337"/>
        <v>0</v>
      </c>
      <c r="AI304" s="2">
        <f t="shared" si="338"/>
        <v>1818</v>
      </c>
      <c r="AJ304" s="2">
        <f t="shared" si="339"/>
        <v>0</v>
      </c>
      <c r="AK304" s="2">
        <f t="shared" si="340"/>
        <v>1818</v>
      </c>
      <c r="AL304" s="2">
        <f t="shared" si="341"/>
        <v>0</v>
      </c>
      <c r="AM304" s="3">
        <f t="shared" si="342"/>
        <v>1818</v>
      </c>
      <c r="AN304" s="2">
        <f t="shared" si="343"/>
        <v>0</v>
      </c>
      <c r="AO304" s="4">
        <f t="shared" si="344"/>
        <v>0</v>
      </c>
      <c r="AP304" s="2">
        <f t="shared" si="345"/>
        <v>1818</v>
      </c>
      <c r="AQ304" s="2">
        <f t="shared" si="346"/>
        <v>0</v>
      </c>
      <c r="AR304" s="4">
        <f t="shared" si="347"/>
        <v>0</v>
      </c>
      <c r="AS304" s="5">
        <f t="shared" si="348"/>
        <v>1818</v>
      </c>
      <c r="AT304" s="2">
        <f t="shared" si="349"/>
        <v>0</v>
      </c>
    </row>
    <row r="305" spans="1:46" x14ac:dyDescent="0.2">
      <c r="A305" s="1" t="s">
        <v>287</v>
      </c>
      <c r="B305" s="1" t="s">
        <v>289</v>
      </c>
      <c r="C305" s="2">
        <v>2390</v>
      </c>
      <c r="D305" s="1" t="s">
        <v>61</v>
      </c>
      <c r="E305" s="2">
        <v>10</v>
      </c>
      <c r="H305" s="2">
        <v>398</v>
      </c>
      <c r="I305" s="2">
        <f t="shared" si="316"/>
        <v>398</v>
      </c>
      <c r="J305" s="2">
        <v>398</v>
      </c>
      <c r="K305" s="2">
        <f t="shared" si="317"/>
        <v>796</v>
      </c>
      <c r="L305" s="2">
        <f>J305</f>
        <v>398</v>
      </c>
      <c r="M305" s="2">
        <f t="shared" si="319"/>
        <v>1194</v>
      </c>
      <c r="N305" s="2">
        <f>L305</f>
        <v>398</v>
      </c>
      <c r="O305" s="2">
        <f t="shared" si="321"/>
        <v>1592</v>
      </c>
      <c r="P305" s="2">
        <f>C305/E305</f>
        <v>239</v>
      </c>
      <c r="Q305" s="2">
        <f t="shared" si="322"/>
        <v>1831</v>
      </c>
      <c r="R305" s="2">
        <f>SUM(C305/E305)</f>
        <v>239</v>
      </c>
      <c r="S305" s="2">
        <f t="shared" si="323"/>
        <v>2070</v>
      </c>
      <c r="T305" s="2">
        <f t="shared" si="324"/>
        <v>239</v>
      </c>
      <c r="U305" s="2">
        <f t="shared" si="325"/>
        <v>2309</v>
      </c>
      <c r="V305" s="2">
        <f>2390-2309</f>
        <v>81</v>
      </c>
      <c r="W305" s="2">
        <f t="shared" si="327"/>
        <v>2390</v>
      </c>
      <c r="X305" s="2">
        <v>0</v>
      </c>
      <c r="Y305" s="2">
        <f t="shared" si="329"/>
        <v>2390</v>
      </c>
      <c r="Z305" s="2">
        <v>0</v>
      </c>
      <c r="AA305" s="2">
        <f t="shared" si="331"/>
        <v>2390</v>
      </c>
      <c r="AB305" s="2">
        <f t="shared" si="332"/>
        <v>0</v>
      </c>
      <c r="AC305" s="2">
        <f t="shared" si="333"/>
        <v>2390</v>
      </c>
      <c r="AD305" s="2">
        <f t="shared" si="334"/>
        <v>0</v>
      </c>
      <c r="AE305" s="2">
        <f t="shared" si="314"/>
        <v>2390</v>
      </c>
      <c r="AF305" s="2">
        <f t="shared" si="335"/>
        <v>0</v>
      </c>
      <c r="AG305" s="2">
        <f t="shared" si="336"/>
        <v>2390</v>
      </c>
      <c r="AH305" s="2">
        <f t="shared" si="337"/>
        <v>0</v>
      </c>
      <c r="AI305" s="2">
        <f t="shared" si="338"/>
        <v>2390</v>
      </c>
      <c r="AJ305" s="2">
        <f t="shared" si="339"/>
        <v>0</v>
      </c>
      <c r="AK305" s="2">
        <f t="shared" si="340"/>
        <v>2390</v>
      </c>
      <c r="AL305" s="2">
        <f t="shared" si="341"/>
        <v>0</v>
      </c>
      <c r="AM305" s="3">
        <f t="shared" si="342"/>
        <v>2390</v>
      </c>
      <c r="AN305" s="2">
        <f t="shared" si="343"/>
        <v>0</v>
      </c>
      <c r="AO305" s="4">
        <f t="shared" si="344"/>
        <v>0</v>
      </c>
      <c r="AP305" s="2">
        <f t="shared" si="345"/>
        <v>2390</v>
      </c>
      <c r="AQ305" s="2">
        <f t="shared" si="346"/>
        <v>0</v>
      </c>
      <c r="AR305" s="4">
        <f t="shared" si="347"/>
        <v>0</v>
      </c>
      <c r="AS305" s="5">
        <f t="shared" si="348"/>
        <v>2390</v>
      </c>
      <c r="AT305" s="2">
        <f t="shared" si="349"/>
        <v>0</v>
      </c>
    </row>
    <row r="306" spans="1:46" x14ac:dyDescent="0.2">
      <c r="A306" s="1" t="s">
        <v>290</v>
      </c>
      <c r="B306" s="1" t="s">
        <v>291</v>
      </c>
      <c r="C306" s="2">
        <v>505</v>
      </c>
      <c r="D306" s="1" t="s">
        <v>61</v>
      </c>
      <c r="E306" s="2">
        <v>10</v>
      </c>
      <c r="G306" s="3"/>
      <c r="H306" s="3"/>
      <c r="I306" s="3"/>
      <c r="J306" s="2">
        <v>25</v>
      </c>
      <c r="K306" s="2">
        <f t="shared" si="317"/>
        <v>25</v>
      </c>
      <c r="L306" s="2">
        <f>C306/E306</f>
        <v>50.5</v>
      </c>
      <c r="M306" s="2">
        <f t="shared" si="319"/>
        <v>75.5</v>
      </c>
      <c r="N306" s="2">
        <f>L306</f>
        <v>50.5</v>
      </c>
      <c r="O306" s="2">
        <f t="shared" si="321"/>
        <v>126</v>
      </c>
      <c r="P306" s="2">
        <f>C306/E306</f>
        <v>50.5</v>
      </c>
      <c r="Q306" s="2">
        <f t="shared" si="322"/>
        <v>176.5</v>
      </c>
      <c r="R306" s="2">
        <f>SUM(C306/E306)</f>
        <v>50.5</v>
      </c>
      <c r="S306" s="2">
        <f t="shared" si="323"/>
        <v>227</v>
      </c>
      <c r="T306" s="2">
        <f t="shared" si="324"/>
        <v>50.5</v>
      </c>
      <c r="U306" s="2">
        <f t="shared" si="325"/>
        <v>277.5</v>
      </c>
      <c r="V306" s="2">
        <f>T306</f>
        <v>50.5</v>
      </c>
      <c r="W306" s="2">
        <f t="shared" si="327"/>
        <v>328</v>
      </c>
      <c r="X306" s="2">
        <f>V306</f>
        <v>50.5</v>
      </c>
      <c r="Y306" s="2">
        <f t="shared" si="329"/>
        <v>378.5</v>
      </c>
      <c r="Z306" s="2">
        <f t="shared" ref="Z306:Z311" si="352">X306</f>
        <v>50.5</v>
      </c>
      <c r="AA306" s="2">
        <f>Y306+X306-25</f>
        <v>404</v>
      </c>
      <c r="AB306" s="2">
        <f t="shared" si="332"/>
        <v>50.5</v>
      </c>
      <c r="AC306" s="2">
        <f t="shared" si="333"/>
        <v>454.5</v>
      </c>
      <c r="AD306" s="2">
        <f>505-480</f>
        <v>25</v>
      </c>
      <c r="AE306" s="2">
        <f t="shared" si="314"/>
        <v>479.5</v>
      </c>
      <c r="AF306" s="2">
        <f t="shared" si="335"/>
        <v>25</v>
      </c>
      <c r="AG306" s="2">
        <f t="shared" si="336"/>
        <v>504.5</v>
      </c>
      <c r="AH306" s="2">
        <v>0.5</v>
      </c>
      <c r="AI306" s="2">
        <f t="shared" si="338"/>
        <v>505</v>
      </c>
      <c r="AK306" s="2">
        <f t="shared" si="340"/>
        <v>505</v>
      </c>
      <c r="AM306" s="3">
        <f t="shared" si="342"/>
        <v>505</v>
      </c>
      <c r="AN306" s="2">
        <f t="shared" si="343"/>
        <v>0</v>
      </c>
      <c r="AO306" s="4">
        <f t="shared" si="344"/>
        <v>0</v>
      </c>
      <c r="AP306" s="2">
        <f t="shared" si="345"/>
        <v>505</v>
      </c>
      <c r="AQ306" s="2">
        <f t="shared" si="346"/>
        <v>0</v>
      </c>
      <c r="AR306" s="4">
        <f t="shared" si="347"/>
        <v>0</v>
      </c>
      <c r="AS306" s="5">
        <f t="shared" si="348"/>
        <v>505</v>
      </c>
      <c r="AT306" s="2">
        <f t="shared" si="349"/>
        <v>0</v>
      </c>
    </row>
    <row r="307" spans="1:46" x14ac:dyDescent="0.2">
      <c r="A307" s="1" t="s">
        <v>292</v>
      </c>
      <c r="B307" s="1" t="s">
        <v>293</v>
      </c>
      <c r="C307" s="2">
        <v>1641</v>
      </c>
      <c r="D307" s="1" t="s">
        <v>61</v>
      </c>
      <c r="E307" s="2">
        <v>10</v>
      </c>
      <c r="G307" s="3"/>
      <c r="H307" s="3"/>
      <c r="I307" s="3"/>
      <c r="L307" s="2">
        <f>1641/10*0.5</f>
        <v>82.05</v>
      </c>
      <c r="M307" s="2">
        <f t="shared" si="319"/>
        <v>82.05</v>
      </c>
      <c r="N307" s="2">
        <f>1641/10</f>
        <v>164.1</v>
      </c>
      <c r="O307" s="2">
        <f t="shared" si="321"/>
        <v>246.14999999999998</v>
      </c>
      <c r="P307" s="2">
        <f>C307/E307</f>
        <v>164.1</v>
      </c>
      <c r="Q307" s="2">
        <f t="shared" si="322"/>
        <v>410.25</v>
      </c>
      <c r="R307" s="2">
        <f>SUM(C307/E307)</f>
        <v>164.1</v>
      </c>
      <c r="S307" s="2">
        <f t="shared" si="323"/>
        <v>574.35</v>
      </c>
      <c r="T307" s="2">
        <f t="shared" si="324"/>
        <v>164.1</v>
      </c>
      <c r="U307" s="2">
        <f t="shared" si="325"/>
        <v>738.45</v>
      </c>
      <c r="V307" s="2">
        <f>T307</f>
        <v>164.1</v>
      </c>
      <c r="W307" s="2">
        <f t="shared" si="327"/>
        <v>902.55000000000007</v>
      </c>
      <c r="X307" s="2">
        <v>164</v>
      </c>
      <c r="Y307" s="2">
        <f t="shared" si="329"/>
        <v>1066.5500000000002</v>
      </c>
      <c r="Z307" s="2">
        <f t="shared" si="352"/>
        <v>164</v>
      </c>
      <c r="AA307" s="2">
        <f>Y307+X307-82</f>
        <v>1148.5500000000002</v>
      </c>
      <c r="AB307" s="2">
        <f t="shared" si="332"/>
        <v>164</v>
      </c>
      <c r="AC307" s="2">
        <f t="shared" si="333"/>
        <v>1312.5500000000002</v>
      </c>
      <c r="AD307" s="2">
        <f>AB307</f>
        <v>164</v>
      </c>
      <c r="AE307" s="2">
        <f t="shared" si="314"/>
        <v>1476.5500000000002</v>
      </c>
      <c r="AF307" s="2">
        <f t="shared" si="335"/>
        <v>164</v>
      </c>
      <c r="AG307" s="2">
        <f t="shared" si="336"/>
        <v>1640.5500000000002</v>
      </c>
      <c r="AH307" s="2">
        <v>0.45</v>
      </c>
      <c r="AI307" s="2">
        <f t="shared" si="338"/>
        <v>1641.0000000000002</v>
      </c>
      <c r="AK307" s="2">
        <f t="shared" si="340"/>
        <v>1641.0000000000002</v>
      </c>
      <c r="AM307" s="3">
        <f t="shared" si="342"/>
        <v>1641.0000000000002</v>
      </c>
      <c r="AN307" s="2">
        <f t="shared" si="343"/>
        <v>0</v>
      </c>
      <c r="AO307" s="4">
        <f t="shared" si="344"/>
        <v>0</v>
      </c>
      <c r="AP307" s="2">
        <f t="shared" si="345"/>
        <v>1641.0000000000002</v>
      </c>
      <c r="AQ307" s="2">
        <f t="shared" si="346"/>
        <v>0</v>
      </c>
      <c r="AR307" s="4">
        <f t="shared" si="347"/>
        <v>0</v>
      </c>
      <c r="AS307" s="5">
        <f t="shared" si="348"/>
        <v>1641.0000000000002</v>
      </c>
      <c r="AT307" s="2">
        <f t="shared" si="349"/>
        <v>0</v>
      </c>
    </row>
    <row r="308" spans="1:46" x14ac:dyDescent="0.2">
      <c r="A308" s="1" t="s">
        <v>294</v>
      </c>
      <c r="B308" s="1" t="s">
        <v>295</v>
      </c>
      <c r="C308" s="2">
        <v>5932</v>
      </c>
      <c r="D308" s="1" t="s">
        <v>61</v>
      </c>
      <c r="E308" s="2">
        <v>10</v>
      </c>
      <c r="G308" s="3"/>
      <c r="H308" s="3"/>
      <c r="I308" s="3"/>
      <c r="N308" s="2">
        <f>5932/10/12*3</f>
        <v>148.30000000000001</v>
      </c>
      <c r="O308" s="2">
        <f t="shared" si="321"/>
        <v>148.30000000000001</v>
      </c>
      <c r="P308" s="2">
        <f>C308/E308</f>
        <v>593.20000000000005</v>
      </c>
      <c r="Q308" s="2">
        <f t="shared" si="322"/>
        <v>741.5</v>
      </c>
      <c r="R308" s="2">
        <f>SUM(C308/E308)</f>
        <v>593.20000000000005</v>
      </c>
      <c r="S308" s="2">
        <f t="shared" si="323"/>
        <v>1334.7</v>
      </c>
      <c r="T308" s="2">
        <f t="shared" si="324"/>
        <v>593.20000000000005</v>
      </c>
      <c r="U308" s="2">
        <f t="shared" si="325"/>
        <v>1927.9</v>
      </c>
      <c r="V308" s="2">
        <f>T308</f>
        <v>593.20000000000005</v>
      </c>
      <c r="W308" s="2">
        <f t="shared" si="327"/>
        <v>2521.1000000000004</v>
      </c>
      <c r="X308" s="2">
        <v>593</v>
      </c>
      <c r="Y308" s="2">
        <f t="shared" si="329"/>
        <v>3114.1000000000004</v>
      </c>
      <c r="Z308" s="2">
        <f t="shared" si="352"/>
        <v>593</v>
      </c>
      <c r="AA308" s="2">
        <f>Y308+X308</f>
        <v>3707.1000000000004</v>
      </c>
      <c r="AB308" s="2">
        <f t="shared" si="332"/>
        <v>593</v>
      </c>
      <c r="AC308" s="2">
        <f t="shared" si="333"/>
        <v>4300.1000000000004</v>
      </c>
      <c r="AD308" s="2">
        <f>AB308</f>
        <v>593</v>
      </c>
      <c r="AE308" s="2">
        <f t="shared" si="314"/>
        <v>4893.1000000000004</v>
      </c>
      <c r="AF308" s="2">
        <f t="shared" si="335"/>
        <v>593</v>
      </c>
      <c r="AG308" s="2">
        <f t="shared" si="336"/>
        <v>5486.1</v>
      </c>
      <c r="AH308" s="2">
        <f>5932-5486.1</f>
        <v>445.89999999999964</v>
      </c>
      <c r="AI308" s="2">
        <f t="shared" si="338"/>
        <v>5932</v>
      </c>
      <c r="AK308" s="2">
        <f t="shared" si="340"/>
        <v>5932</v>
      </c>
      <c r="AM308" s="3">
        <f t="shared" si="342"/>
        <v>5932</v>
      </c>
      <c r="AN308" s="2">
        <f t="shared" si="343"/>
        <v>0</v>
      </c>
      <c r="AO308" s="4">
        <f t="shared" si="344"/>
        <v>0</v>
      </c>
      <c r="AP308" s="2">
        <f t="shared" si="345"/>
        <v>5932</v>
      </c>
      <c r="AQ308" s="2">
        <f t="shared" si="346"/>
        <v>0</v>
      </c>
      <c r="AR308" s="4">
        <f t="shared" si="347"/>
        <v>0</v>
      </c>
      <c r="AS308" s="5">
        <f t="shared" si="348"/>
        <v>5932</v>
      </c>
      <c r="AT308" s="2">
        <f t="shared" si="349"/>
        <v>0</v>
      </c>
    </row>
    <row r="309" spans="1:46" x14ac:dyDescent="0.2">
      <c r="A309" s="1" t="s">
        <v>296</v>
      </c>
      <c r="B309" s="1" t="s">
        <v>297</v>
      </c>
      <c r="C309" s="2">
        <v>24881</v>
      </c>
      <c r="D309" s="1" t="s">
        <v>61</v>
      </c>
      <c r="E309" s="2">
        <v>10</v>
      </c>
      <c r="G309" s="3"/>
      <c r="H309" s="3"/>
      <c r="I309" s="3"/>
      <c r="R309" s="2">
        <f>C309/10/12*9</f>
        <v>1866.075</v>
      </c>
      <c r="S309" s="2">
        <f t="shared" si="323"/>
        <v>1866.075</v>
      </c>
      <c r="T309" s="2">
        <v>2488</v>
      </c>
      <c r="U309" s="2">
        <f t="shared" si="325"/>
        <v>4354.0749999999998</v>
      </c>
      <c r="V309" s="2">
        <f>T309</f>
        <v>2488</v>
      </c>
      <c r="W309" s="2">
        <f t="shared" si="327"/>
        <v>6842.0749999999998</v>
      </c>
      <c r="X309" s="2">
        <f>V309</f>
        <v>2488</v>
      </c>
      <c r="Y309" s="2">
        <v>9411</v>
      </c>
      <c r="Z309" s="2">
        <f t="shared" si="352"/>
        <v>2488</v>
      </c>
      <c r="AA309" s="2">
        <f>Y309+X309+107</f>
        <v>12006</v>
      </c>
      <c r="AB309" s="2">
        <f t="shared" si="332"/>
        <v>2488</v>
      </c>
      <c r="AC309" s="2">
        <f t="shared" si="333"/>
        <v>14494</v>
      </c>
      <c r="AD309" s="2">
        <f>AB309</f>
        <v>2488</v>
      </c>
      <c r="AE309" s="2">
        <f t="shared" si="314"/>
        <v>16982</v>
      </c>
      <c r="AF309" s="2">
        <f t="shared" si="335"/>
        <v>2488</v>
      </c>
      <c r="AG309" s="2">
        <f t="shared" si="336"/>
        <v>19470</v>
      </c>
      <c r="AH309" s="2">
        <f>AF309</f>
        <v>2488</v>
      </c>
      <c r="AI309" s="2">
        <f t="shared" si="338"/>
        <v>21958</v>
      </c>
      <c r="AJ309" s="2">
        <f>AH309</f>
        <v>2488</v>
      </c>
      <c r="AK309" s="2">
        <f t="shared" si="340"/>
        <v>24446</v>
      </c>
      <c r="AL309" s="2">
        <f>24881-24446</f>
        <v>435</v>
      </c>
      <c r="AM309" s="3">
        <f t="shared" si="342"/>
        <v>24881</v>
      </c>
      <c r="AN309" s="2">
        <f t="shared" si="343"/>
        <v>0</v>
      </c>
      <c r="AO309" s="4">
        <v>0</v>
      </c>
      <c r="AP309" s="2">
        <f t="shared" si="345"/>
        <v>24881</v>
      </c>
      <c r="AQ309" s="2">
        <f t="shared" si="346"/>
        <v>0</v>
      </c>
      <c r="AR309" s="4">
        <f t="shared" si="347"/>
        <v>0</v>
      </c>
      <c r="AS309" s="5">
        <f t="shared" si="348"/>
        <v>24881</v>
      </c>
      <c r="AT309" s="2">
        <f t="shared" si="349"/>
        <v>0</v>
      </c>
    </row>
    <row r="310" spans="1:46" x14ac:dyDescent="0.2">
      <c r="A310" s="1" t="s">
        <v>298</v>
      </c>
      <c r="B310" s="1" t="s">
        <v>299</v>
      </c>
      <c r="C310" s="2">
        <v>12014</v>
      </c>
      <c r="D310" s="1" t="s">
        <v>61</v>
      </c>
      <c r="E310" s="2">
        <v>10</v>
      </c>
      <c r="G310" s="3"/>
      <c r="H310" s="3"/>
      <c r="I310" s="3"/>
      <c r="T310" s="2">
        <f>12014/10/12*8</f>
        <v>800.93333333333339</v>
      </c>
      <c r="U310" s="2">
        <f t="shared" si="325"/>
        <v>800.93333333333339</v>
      </c>
      <c r="V310" s="2">
        <f>T310</f>
        <v>800.93333333333339</v>
      </c>
      <c r="W310" s="2">
        <f t="shared" si="327"/>
        <v>1601.8666666666668</v>
      </c>
      <c r="X310" s="2">
        <f>V310</f>
        <v>800.93333333333339</v>
      </c>
      <c r="Y310" s="2">
        <f>SUM(W310:X310)</f>
        <v>2402.8000000000002</v>
      </c>
      <c r="Z310" s="2">
        <f t="shared" si="352"/>
        <v>800.93333333333339</v>
      </c>
      <c r="AA310" s="2">
        <f>Y310+X310</f>
        <v>3203.7333333333336</v>
      </c>
      <c r="AB310" s="2">
        <f t="shared" si="332"/>
        <v>800.93333333333339</v>
      </c>
      <c r="AC310" s="2">
        <f t="shared" si="333"/>
        <v>4004.666666666667</v>
      </c>
      <c r="AD310" s="2">
        <f>AB310</f>
        <v>800.93333333333339</v>
      </c>
      <c r="AE310" s="2">
        <f t="shared" si="314"/>
        <v>4805.6000000000004</v>
      </c>
      <c r="AF310" s="2">
        <f t="shared" si="335"/>
        <v>800.93333333333339</v>
      </c>
      <c r="AG310" s="2">
        <f t="shared" si="336"/>
        <v>5606.5333333333338</v>
      </c>
      <c r="AH310" s="2">
        <f>AF310</f>
        <v>800.93333333333339</v>
      </c>
      <c r="AI310" s="2">
        <f t="shared" si="338"/>
        <v>6407.4666666666672</v>
      </c>
      <c r="AJ310" s="2">
        <f>AH310</f>
        <v>800.93333333333339</v>
      </c>
      <c r="AK310" s="2">
        <f t="shared" si="340"/>
        <v>7208.4000000000005</v>
      </c>
      <c r="AL310" s="2">
        <f>AJ310</f>
        <v>800.93333333333339</v>
      </c>
      <c r="AM310" s="3">
        <v>10957</v>
      </c>
      <c r="AN310" s="2">
        <f t="shared" si="343"/>
        <v>1057</v>
      </c>
      <c r="AO310" s="4">
        <f>AL310</f>
        <v>800.93333333333339</v>
      </c>
      <c r="AP310" s="2">
        <f t="shared" si="345"/>
        <v>11757.933333333334</v>
      </c>
      <c r="AQ310" s="2">
        <f t="shared" si="346"/>
        <v>256.06666666666661</v>
      </c>
      <c r="AR310" s="4">
        <v>256</v>
      </c>
      <c r="AS310" s="5">
        <f t="shared" si="348"/>
        <v>12013.933333333334</v>
      </c>
      <c r="AT310" s="2">
        <f t="shared" si="349"/>
        <v>6.6666666666606034E-2</v>
      </c>
    </row>
    <row r="311" spans="1:46" x14ac:dyDescent="0.2">
      <c r="A311" s="1" t="s">
        <v>300</v>
      </c>
      <c r="B311" s="1" t="s">
        <v>301</v>
      </c>
      <c r="C311" s="2">
        <v>11482</v>
      </c>
      <c r="D311" s="1" t="s">
        <v>61</v>
      </c>
      <c r="E311" s="2">
        <v>10</v>
      </c>
      <c r="G311" s="3"/>
      <c r="H311" s="3"/>
      <c r="I311" s="3"/>
      <c r="T311" s="2">
        <f>C311/10/12*5.5</f>
        <v>526.25833333333333</v>
      </c>
      <c r="U311" s="2">
        <f t="shared" si="325"/>
        <v>526.25833333333333</v>
      </c>
      <c r="V311" s="2">
        <f>11482/10</f>
        <v>1148.2</v>
      </c>
      <c r="W311" s="2">
        <f t="shared" si="327"/>
        <v>1674.4583333333335</v>
      </c>
      <c r="X311" s="2">
        <f>V311</f>
        <v>1148.2</v>
      </c>
      <c r="Y311" s="2">
        <f>SUM(W311:X311)</f>
        <v>2822.6583333333338</v>
      </c>
      <c r="Z311" s="2">
        <f t="shared" si="352"/>
        <v>1148.2</v>
      </c>
      <c r="AA311" s="2">
        <f>Y311+X311</f>
        <v>3970.8583333333336</v>
      </c>
      <c r="AB311" s="2">
        <f t="shared" si="332"/>
        <v>1148.2</v>
      </c>
      <c r="AC311" s="2">
        <f t="shared" si="333"/>
        <v>5119.0583333333334</v>
      </c>
      <c r="AD311" s="2">
        <f>AB311</f>
        <v>1148.2</v>
      </c>
      <c r="AE311" s="2">
        <f t="shared" si="314"/>
        <v>6267.2583333333332</v>
      </c>
      <c r="AF311" s="2">
        <f t="shared" si="335"/>
        <v>1148.2</v>
      </c>
      <c r="AG311" s="2">
        <f t="shared" si="336"/>
        <v>7415.458333333333</v>
      </c>
      <c r="AH311" s="2">
        <f>AF311</f>
        <v>1148.2</v>
      </c>
      <c r="AI311" s="2">
        <f t="shared" si="338"/>
        <v>8563.6583333333328</v>
      </c>
      <c r="AJ311" s="2">
        <f>AH311</f>
        <v>1148.2</v>
      </c>
      <c r="AK311" s="2">
        <f t="shared" si="340"/>
        <v>9711.8583333333336</v>
      </c>
      <c r="AL311" s="2">
        <f>AJ311</f>
        <v>1148.2</v>
      </c>
      <c r="AM311" s="3">
        <f>SUM(AK311:AL311)</f>
        <v>10860.058333333334</v>
      </c>
      <c r="AN311" s="2">
        <f t="shared" si="343"/>
        <v>621.9416666666657</v>
      </c>
      <c r="AO311" s="4">
        <v>622</v>
      </c>
      <c r="AP311" s="2">
        <f t="shared" si="345"/>
        <v>11482.058333333334</v>
      </c>
      <c r="AQ311" s="2">
        <f t="shared" si="346"/>
        <v>-5.8333333334303461E-2</v>
      </c>
      <c r="AR311" s="4">
        <v>0</v>
      </c>
      <c r="AS311" s="5">
        <f t="shared" si="348"/>
        <v>11482.058333333334</v>
      </c>
      <c r="AT311" s="2">
        <f t="shared" si="349"/>
        <v>-5.8333333334303461E-2</v>
      </c>
    </row>
    <row r="312" spans="1:46" x14ac:dyDescent="0.2">
      <c r="A312" s="1" t="s">
        <v>302</v>
      </c>
      <c r="B312" s="1" t="s">
        <v>303</v>
      </c>
      <c r="C312" s="2">
        <v>9306</v>
      </c>
      <c r="D312" s="1" t="s">
        <v>61</v>
      </c>
      <c r="E312" s="2">
        <v>10</v>
      </c>
      <c r="AD312" s="2">
        <v>931</v>
      </c>
      <c r="AE312" s="2">
        <f t="shared" si="314"/>
        <v>931</v>
      </c>
      <c r="AF312" s="2">
        <f t="shared" si="335"/>
        <v>931</v>
      </c>
      <c r="AG312" s="2">
        <f t="shared" si="336"/>
        <v>1862</v>
      </c>
      <c r="AH312" s="2">
        <f>AF312</f>
        <v>931</v>
      </c>
      <c r="AI312" s="2">
        <f t="shared" si="338"/>
        <v>2793</v>
      </c>
      <c r="AJ312" s="2">
        <f>AH312</f>
        <v>931</v>
      </c>
      <c r="AK312" s="2">
        <f t="shared" si="340"/>
        <v>3724</v>
      </c>
      <c r="AL312" s="2">
        <f>AJ312</f>
        <v>931</v>
      </c>
      <c r="AM312" s="3">
        <f>SUM(AK312:AL312)</f>
        <v>4655</v>
      </c>
      <c r="AN312" s="2">
        <f t="shared" si="343"/>
        <v>4651</v>
      </c>
      <c r="AO312" s="4">
        <f>AL312</f>
        <v>931</v>
      </c>
      <c r="AP312" s="2">
        <f t="shared" si="345"/>
        <v>5586</v>
      </c>
      <c r="AQ312" s="2">
        <f t="shared" si="346"/>
        <v>3720</v>
      </c>
      <c r="AR312" s="4">
        <f>AO312</f>
        <v>931</v>
      </c>
      <c r="AS312" s="5">
        <f t="shared" si="348"/>
        <v>6517</v>
      </c>
      <c r="AT312" s="2">
        <f t="shared" si="349"/>
        <v>2789</v>
      </c>
    </row>
    <row r="313" spans="1:46" x14ac:dyDescent="0.2">
      <c r="G313" s="3"/>
      <c r="H313" s="3"/>
      <c r="I313" s="3"/>
      <c r="AE313" s="2">
        <f t="shared" si="314"/>
        <v>0</v>
      </c>
      <c r="AM313" s="3"/>
      <c r="AO313" s="4"/>
      <c r="AR313" s="4"/>
      <c r="AS313" s="5"/>
    </row>
    <row r="314" spans="1:46" x14ac:dyDescent="0.2">
      <c r="G314" s="3"/>
      <c r="H314" s="3"/>
      <c r="I314" s="3"/>
      <c r="AE314" s="2">
        <f t="shared" si="314"/>
        <v>0</v>
      </c>
      <c r="AM314" s="3"/>
      <c r="AO314" s="4"/>
      <c r="AR314" s="4"/>
      <c r="AS314" s="5"/>
    </row>
    <row r="315" spans="1:46" x14ac:dyDescent="0.2">
      <c r="C315" s="5">
        <f>SUM(C290:C312)</f>
        <v>121193</v>
      </c>
      <c r="G315" s="5">
        <f t="shared" ref="G315:Q315" si="353">SUM(G290:G308)</f>
        <v>37969</v>
      </c>
      <c r="H315" s="5">
        <f t="shared" si="353"/>
        <v>4543</v>
      </c>
      <c r="I315" s="5">
        <f t="shared" si="353"/>
        <v>42512</v>
      </c>
      <c r="J315" s="5">
        <f t="shared" si="353"/>
        <v>4568</v>
      </c>
      <c r="K315" s="5">
        <f t="shared" si="353"/>
        <v>47080</v>
      </c>
      <c r="L315" s="5">
        <f t="shared" si="353"/>
        <v>3746.55</v>
      </c>
      <c r="M315" s="5">
        <f t="shared" si="353"/>
        <v>50826.55</v>
      </c>
      <c r="N315" s="5">
        <f t="shared" si="353"/>
        <v>2778.9</v>
      </c>
      <c r="O315" s="5">
        <f t="shared" si="353"/>
        <v>53605.450000000004</v>
      </c>
      <c r="P315" s="5">
        <f t="shared" si="353"/>
        <v>2595.8000000000002</v>
      </c>
      <c r="Q315" s="5">
        <f t="shared" si="353"/>
        <v>56201.25</v>
      </c>
      <c r="R315" s="5">
        <f>SUM(R290:R309)</f>
        <v>2912.875</v>
      </c>
      <c r="S315" s="5">
        <f>Q315+R315</f>
        <v>59114.125</v>
      </c>
      <c r="T315" s="5">
        <f>SUM(T290:T311)</f>
        <v>4861.9916666666668</v>
      </c>
      <c r="U315" s="5">
        <f>SUM(U290:U311)</f>
        <v>63976.116666666661</v>
      </c>
      <c r="V315" s="5">
        <f>SUM(V290:V311)</f>
        <v>5325.9333333333334</v>
      </c>
      <c r="W315" s="5">
        <f>SUM(W290:W311)</f>
        <v>69302.05</v>
      </c>
      <c r="X315" s="5">
        <f>V315</f>
        <v>5325.9333333333334</v>
      </c>
      <c r="Y315" s="5">
        <f>W315+V315</f>
        <v>74627.983333333337</v>
      </c>
      <c r="Z315" s="5">
        <v>5326</v>
      </c>
      <c r="AA315" s="5">
        <f>SUM(AA290:AA311)</f>
        <v>79872.241666666669</v>
      </c>
      <c r="AB315" s="5">
        <f>SUM(AB290:AB312)</f>
        <v>5244.6333333333332</v>
      </c>
      <c r="AC315" s="5">
        <f>SUM(AA315:AB315)</f>
        <v>85116.875</v>
      </c>
      <c r="AD315" s="2">
        <f>SUM(AD290:AD312)</f>
        <v>6150.1333333333332</v>
      </c>
      <c r="AE315" s="2">
        <f>SUM(AE290:AE313)</f>
        <v>91267.008333333331</v>
      </c>
      <c r="AF315" s="2">
        <f>SUM(AF290:AF312)</f>
        <v>6150.1333333333332</v>
      </c>
      <c r="AG315" s="2">
        <f>SUM(AG290:AG312)</f>
        <v>97417.141666666663</v>
      </c>
      <c r="AH315" s="2">
        <f>SUM(AH290:AH312)</f>
        <v>5814.9833333333327</v>
      </c>
      <c r="AI315" s="2">
        <f>SUM(AI290:AI312)</f>
        <v>103232.125</v>
      </c>
      <c r="AJ315" s="2">
        <f>AH315</f>
        <v>5814.9833333333327</v>
      </c>
      <c r="AK315" s="2">
        <f>SUM(AI315:AJ315)</f>
        <v>109047.10833333334</v>
      </c>
      <c r="AL315" s="2">
        <f t="shared" ref="AL315:AT315" si="354">SUM(AL290:AL312)</f>
        <v>3315.1333333333332</v>
      </c>
      <c r="AM315" s="3">
        <f t="shared" si="354"/>
        <v>114863.05833333333</v>
      </c>
      <c r="AN315" s="2">
        <f t="shared" si="354"/>
        <v>6329.9416666666657</v>
      </c>
      <c r="AO315" s="4">
        <f t="shared" si="354"/>
        <v>2353.9333333333334</v>
      </c>
      <c r="AP315" s="2">
        <f t="shared" si="354"/>
        <v>117216.99166666667</v>
      </c>
      <c r="AQ315" s="2">
        <f t="shared" si="354"/>
        <v>3976.0083333333323</v>
      </c>
      <c r="AR315" s="4">
        <f t="shared" si="354"/>
        <v>1187</v>
      </c>
      <c r="AS315" s="5">
        <f t="shared" si="354"/>
        <v>118403.99166666667</v>
      </c>
      <c r="AT315" s="2">
        <f t="shared" si="354"/>
        <v>2789.0083333333323</v>
      </c>
    </row>
    <row r="316" spans="1:46" x14ac:dyDescent="0.2">
      <c r="G316" s="5"/>
      <c r="H316" s="5"/>
      <c r="I316" s="5"/>
      <c r="M316" s="2">
        <f>K316+L316</f>
        <v>0</v>
      </c>
      <c r="AE316" s="2">
        <f t="shared" ref="AE316:AE323" si="355">AC316+AD316</f>
        <v>0</v>
      </c>
      <c r="AM316" s="3"/>
      <c r="AO316" s="4"/>
      <c r="AR316" s="4"/>
      <c r="AS316" s="5"/>
    </row>
    <row r="317" spans="1:46" x14ac:dyDescent="0.2">
      <c r="A317" s="1" t="s">
        <v>304</v>
      </c>
      <c r="G317" s="5"/>
      <c r="H317" s="5"/>
      <c r="I317" s="5"/>
      <c r="M317" s="2">
        <f>K317+L317</f>
        <v>0</v>
      </c>
      <c r="AE317" s="2">
        <f t="shared" si="355"/>
        <v>0</v>
      </c>
      <c r="AM317" s="3"/>
      <c r="AO317" s="4"/>
      <c r="AR317" s="4"/>
      <c r="AS317" s="5"/>
    </row>
    <row r="318" spans="1:46" x14ac:dyDescent="0.2">
      <c r="M318" s="2">
        <f>K318+L318</f>
        <v>0</v>
      </c>
      <c r="AE318" s="2">
        <f t="shared" si="355"/>
        <v>0</v>
      </c>
      <c r="AM318" s="3"/>
      <c r="AO318" s="4"/>
      <c r="AR318" s="4"/>
      <c r="AS318" s="5"/>
    </row>
    <row r="319" spans="1:46" x14ac:dyDescent="0.2">
      <c r="AE319" s="2">
        <f t="shared" si="355"/>
        <v>0</v>
      </c>
      <c r="AM319" s="3"/>
      <c r="AO319" s="4"/>
      <c r="AR319" s="4"/>
      <c r="AS319" s="5"/>
    </row>
    <row r="320" spans="1:46" x14ac:dyDescent="0.2">
      <c r="AE320" s="2">
        <f t="shared" si="355"/>
        <v>0</v>
      </c>
      <c r="AM320" s="3"/>
      <c r="AO320" s="4"/>
      <c r="AR320" s="4"/>
      <c r="AS320" s="5"/>
    </row>
    <row r="321" spans="1:46" x14ac:dyDescent="0.2">
      <c r="A321" s="1" t="s">
        <v>305</v>
      </c>
      <c r="B321" s="1" t="s">
        <v>145</v>
      </c>
      <c r="C321" s="2">
        <v>10950</v>
      </c>
      <c r="D321" s="1" t="s">
        <v>61</v>
      </c>
      <c r="E321" s="2">
        <v>5</v>
      </c>
      <c r="G321" s="2">
        <v>10950</v>
      </c>
      <c r="I321" s="2">
        <f>SUM(G321:H321)</f>
        <v>10950</v>
      </c>
      <c r="K321" s="2">
        <f>I321+J321</f>
        <v>10950</v>
      </c>
      <c r="M321" s="2">
        <f>K321+L321</f>
        <v>10950</v>
      </c>
      <c r="N321" s="2">
        <f>L321</f>
        <v>0</v>
      </c>
      <c r="O321" s="2">
        <f>M321+N321</f>
        <v>10950</v>
      </c>
      <c r="P321" s="2">
        <f>N321</f>
        <v>0</v>
      </c>
      <c r="Q321" s="2">
        <f>O321+P321</f>
        <v>10950</v>
      </c>
      <c r="R321" s="2">
        <f>SUM(P321)</f>
        <v>0</v>
      </c>
      <c r="S321" s="2">
        <f>Q321+R321</f>
        <v>10950</v>
      </c>
      <c r="T321" s="2">
        <f>R321</f>
        <v>0</v>
      </c>
      <c r="U321" s="2">
        <f>S321+T321</f>
        <v>10950</v>
      </c>
      <c r="V321" s="2">
        <f>T321</f>
        <v>0</v>
      </c>
      <c r="W321" s="2">
        <f>U321+V321</f>
        <v>10950</v>
      </c>
      <c r="X321" s="2">
        <f>V321</f>
        <v>0</v>
      </c>
      <c r="Y321" s="2">
        <f>SUM(W321:X321)</f>
        <v>10950</v>
      </c>
      <c r="Z321" s="2">
        <f>X321</f>
        <v>0</v>
      </c>
      <c r="AA321" s="2">
        <f>Y321+X321</f>
        <v>10950</v>
      </c>
      <c r="AB321" s="2">
        <f>Z321</f>
        <v>0</v>
      </c>
      <c r="AC321" s="2">
        <f>SUM(AA321:AB321)</f>
        <v>10950</v>
      </c>
      <c r="AD321" s="2">
        <f>AB321</f>
        <v>0</v>
      </c>
      <c r="AE321" s="2">
        <f t="shared" si="355"/>
        <v>10950</v>
      </c>
      <c r="AF321" s="2">
        <f>AD321</f>
        <v>0</v>
      </c>
      <c r="AG321" s="2">
        <f>AE321+AF321</f>
        <v>10950</v>
      </c>
      <c r="AH321" s="2">
        <f>AF321</f>
        <v>0</v>
      </c>
      <c r="AI321" s="2">
        <f>AG321+AH321</f>
        <v>10950</v>
      </c>
      <c r="AJ321" s="2">
        <f>AH321</f>
        <v>0</v>
      </c>
      <c r="AK321" s="2">
        <f>SUM(AI321:AJ321)</f>
        <v>10950</v>
      </c>
      <c r="AL321" s="2">
        <f>AJ321</f>
        <v>0</v>
      </c>
      <c r="AM321" s="3">
        <f>SUM(AK321:AL321)</f>
        <v>10950</v>
      </c>
      <c r="AN321" s="2">
        <f>C321-AM321</f>
        <v>0</v>
      </c>
      <c r="AO321" s="4">
        <f>AL321</f>
        <v>0</v>
      </c>
      <c r="AP321" s="2">
        <f t="shared" ref="AP321:AP328" si="356">AM321+AO321</f>
        <v>10950</v>
      </c>
      <c r="AQ321" s="2">
        <f>AN321-AO321</f>
        <v>0</v>
      </c>
      <c r="AR321" s="4">
        <f>AO321</f>
        <v>0</v>
      </c>
      <c r="AS321" s="5">
        <f t="shared" ref="AS321:AS328" si="357">AP321+AR321</f>
        <v>10950</v>
      </c>
      <c r="AT321" s="2">
        <f>AQ321-AR321</f>
        <v>0</v>
      </c>
    </row>
    <row r="322" spans="1:46" x14ac:dyDescent="0.2">
      <c r="O322" s="2">
        <f>M322+N322</f>
        <v>0</v>
      </c>
      <c r="T322" s="2">
        <f>R322</f>
        <v>0</v>
      </c>
      <c r="U322" s="2">
        <f>S322+T322</f>
        <v>0</v>
      </c>
      <c r="V322" s="2">
        <f>T322</f>
        <v>0</v>
      </c>
      <c r="AE322" s="2">
        <f t="shared" si="355"/>
        <v>0</v>
      </c>
      <c r="AF322" s="2">
        <f>AD322</f>
        <v>0</v>
      </c>
      <c r="AG322" s="2">
        <f>AE322+AF322</f>
        <v>0</v>
      </c>
      <c r="AH322" s="2">
        <f>AF322</f>
        <v>0</v>
      </c>
      <c r="AI322" s="2">
        <f>AG322+AH322</f>
        <v>0</v>
      </c>
      <c r="AJ322" s="2">
        <f>AH322</f>
        <v>0</v>
      </c>
      <c r="AK322" s="2">
        <f>SUM(AI322:AJ322)</f>
        <v>0</v>
      </c>
      <c r="AL322" s="2">
        <f>AJ322</f>
        <v>0</v>
      </c>
      <c r="AM322" s="3">
        <f>SUM(AK322:AL322)</f>
        <v>0</v>
      </c>
      <c r="AN322" s="2">
        <f>C322-AM322</f>
        <v>0</v>
      </c>
      <c r="AO322" s="4">
        <f>AL322</f>
        <v>0</v>
      </c>
      <c r="AP322" s="2">
        <f t="shared" si="356"/>
        <v>0</v>
      </c>
      <c r="AQ322" s="2">
        <f>AN322-AO322</f>
        <v>0</v>
      </c>
      <c r="AR322" s="4">
        <f>AO322</f>
        <v>0</v>
      </c>
      <c r="AS322" s="5">
        <f t="shared" si="357"/>
        <v>0</v>
      </c>
      <c r="AT322" s="2">
        <f>AQ322-AR322</f>
        <v>0</v>
      </c>
    </row>
    <row r="323" spans="1:46" x14ac:dyDescent="0.2">
      <c r="A323" s="1" t="s">
        <v>306</v>
      </c>
      <c r="B323" s="1" t="s">
        <v>64</v>
      </c>
      <c r="C323" s="2">
        <v>650</v>
      </c>
      <c r="D323" s="1" t="s">
        <v>61</v>
      </c>
      <c r="E323" s="2">
        <v>5</v>
      </c>
      <c r="G323" s="2">
        <v>650</v>
      </c>
      <c r="I323" s="2">
        <f>SUM(G323:H323)</f>
        <v>650</v>
      </c>
      <c r="K323" s="2">
        <f>I323+J323</f>
        <v>650</v>
      </c>
      <c r="M323" s="2">
        <f>K323+L323</f>
        <v>650</v>
      </c>
      <c r="N323" s="2">
        <f>L323</f>
        <v>0</v>
      </c>
      <c r="O323" s="2">
        <f>M323+N323</f>
        <v>650</v>
      </c>
      <c r="P323" s="2">
        <f>N323</f>
        <v>0</v>
      </c>
      <c r="Q323" s="2">
        <f>O323+P323</f>
        <v>650</v>
      </c>
      <c r="R323" s="2">
        <f>SUM(P323)</f>
        <v>0</v>
      </c>
      <c r="S323" s="2">
        <f>Q323+R323</f>
        <v>650</v>
      </c>
      <c r="T323" s="2">
        <f>R323</f>
        <v>0</v>
      </c>
      <c r="U323" s="2">
        <f>S323+T323</f>
        <v>650</v>
      </c>
      <c r="V323" s="2">
        <f>T323</f>
        <v>0</v>
      </c>
      <c r="W323" s="2">
        <f>U323+V323</f>
        <v>650</v>
      </c>
      <c r="X323" s="2">
        <f>V323</f>
        <v>0</v>
      </c>
      <c r="Y323" s="2">
        <f>SUM(W323:X323)</f>
        <v>650</v>
      </c>
      <c r="Z323" s="2">
        <f>X323</f>
        <v>0</v>
      </c>
      <c r="AA323" s="2">
        <f>Y323+X323</f>
        <v>650</v>
      </c>
      <c r="AB323" s="2">
        <f>Z323</f>
        <v>0</v>
      </c>
      <c r="AC323" s="2">
        <f>SUM(AA323:AB323)</f>
        <v>650</v>
      </c>
      <c r="AD323" s="2">
        <f>AB323</f>
        <v>0</v>
      </c>
      <c r="AE323" s="2">
        <f t="shared" si="355"/>
        <v>650</v>
      </c>
      <c r="AF323" s="2">
        <f>AD323</f>
        <v>0</v>
      </c>
      <c r="AG323" s="2">
        <f>AE323+AF323</f>
        <v>650</v>
      </c>
      <c r="AH323" s="2">
        <f>AF323</f>
        <v>0</v>
      </c>
      <c r="AI323" s="2">
        <f>AG323+AH323</f>
        <v>650</v>
      </c>
      <c r="AJ323" s="2">
        <f>AH323</f>
        <v>0</v>
      </c>
      <c r="AK323" s="2">
        <f>SUM(AI323:AJ323)</f>
        <v>650</v>
      </c>
      <c r="AL323" s="2">
        <f>AJ323</f>
        <v>0</v>
      </c>
      <c r="AM323" s="3">
        <f>SUM(AK323:AL323)</f>
        <v>650</v>
      </c>
      <c r="AN323" s="2">
        <f>C323-AM323</f>
        <v>0</v>
      </c>
      <c r="AO323" s="4">
        <f>AL323</f>
        <v>0</v>
      </c>
      <c r="AP323" s="2">
        <f t="shared" si="356"/>
        <v>650</v>
      </c>
      <c r="AQ323" s="2">
        <f>AN323-AO323</f>
        <v>0</v>
      </c>
      <c r="AR323" s="4">
        <f>AO323</f>
        <v>0</v>
      </c>
      <c r="AS323" s="5">
        <f t="shared" si="357"/>
        <v>650</v>
      </c>
      <c r="AT323" s="2">
        <f>AQ323-AR323</f>
        <v>0</v>
      </c>
    </row>
    <row r="324" spans="1:46" x14ac:dyDescent="0.2">
      <c r="AM324" s="3"/>
      <c r="AO324" s="4"/>
      <c r="AP324" s="2">
        <f t="shared" si="356"/>
        <v>0</v>
      </c>
      <c r="AR324" s="4"/>
      <c r="AS324" s="5">
        <f t="shared" si="357"/>
        <v>0</v>
      </c>
    </row>
    <row r="325" spans="1:46" x14ac:dyDescent="0.2">
      <c r="G325" s="3"/>
      <c r="H325" s="3"/>
      <c r="AM325" s="3"/>
      <c r="AO325" s="4"/>
      <c r="AP325" s="2">
        <f t="shared" si="356"/>
        <v>0</v>
      </c>
      <c r="AR325" s="4"/>
      <c r="AS325" s="5">
        <f t="shared" si="357"/>
        <v>0</v>
      </c>
    </row>
    <row r="326" spans="1:46" x14ac:dyDescent="0.2">
      <c r="A326" s="1" t="s">
        <v>307</v>
      </c>
      <c r="B326" s="1" t="s">
        <v>308</v>
      </c>
      <c r="C326" s="2">
        <v>14539</v>
      </c>
      <c r="D326" s="1" t="s">
        <v>61</v>
      </c>
      <c r="E326" s="2">
        <v>5</v>
      </c>
      <c r="G326" s="5"/>
      <c r="H326" s="2">
        <v>969</v>
      </c>
      <c r="I326" s="2">
        <f>SUM(G326:H326)</f>
        <v>969</v>
      </c>
      <c r="J326" s="2">
        <v>2908</v>
      </c>
      <c r="K326" s="2">
        <f>I326+J326</f>
        <v>3877</v>
      </c>
      <c r="L326" s="2">
        <v>2908</v>
      </c>
      <c r="M326" s="2">
        <f>K326+L326</f>
        <v>6785</v>
      </c>
      <c r="N326" s="2">
        <f>L326</f>
        <v>2908</v>
      </c>
      <c r="O326" s="2">
        <f>M326+N326</f>
        <v>9693</v>
      </c>
      <c r="P326" s="2">
        <f>C326/E326</f>
        <v>2907.8</v>
      </c>
      <c r="Q326" s="2">
        <f>O326+P326</f>
        <v>12600.8</v>
      </c>
      <c r="R326" s="2">
        <v>1938</v>
      </c>
      <c r="S326" s="2">
        <f>Q326+R326</f>
        <v>14538.8</v>
      </c>
      <c r="T326" s="2">
        <v>0</v>
      </c>
      <c r="U326" s="2">
        <f>S326+T326</f>
        <v>14538.8</v>
      </c>
      <c r="V326" s="2">
        <f>T326</f>
        <v>0</v>
      </c>
      <c r="W326" s="2">
        <f>U326+V326</f>
        <v>14538.8</v>
      </c>
      <c r="X326" s="2">
        <f>V326</f>
        <v>0</v>
      </c>
      <c r="Y326" s="2">
        <f>SUM(W326:X326)</f>
        <v>14538.8</v>
      </c>
      <c r="Z326" s="2">
        <f>X326</f>
        <v>0</v>
      </c>
      <c r="AA326" s="2">
        <f>Y326+X326</f>
        <v>14538.8</v>
      </c>
      <c r="AB326" s="2">
        <f>Z326</f>
        <v>0</v>
      </c>
      <c r="AC326" s="2">
        <f>SUM(AA326:AB326)</f>
        <v>14538.8</v>
      </c>
      <c r="AD326" s="2">
        <f>AB326</f>
        <v>0</v>
      </c>
      <c r="AE326" s="2">
        <f>AC326+AD326</f>
        <v>14538.8</v>
      </c>
      <c r="AF326" s="2">
        <f>AD326</f>
        <v>0</v>
      </c>
      <c r="AG326" s="2">
        <f>AE326+AF326</f>
        <v>14538.8</v>
      </c>
      <c r="AH326" s="2">
        <f>AF326</f>
        <v>0</v>
      </c>
      <c r="AI326" s="2">
        <f>AG326+AH326</f>
        <v>14538.8</v>
      </c>
      <c r="AJ326" s="2">
        <f>AH326</f>
        <v>0</v>
      </c>
      <c r="AK326" s="2">
        <f>SUM(AI326:AJ326)</f>
        <v>14538.8</v>
      </c>
      <c r="AL326" s="2">
        <f>AJ326</f>
        <v>0</v>
      </c>
      <c r="AM326" s="3">
        <f>SUM(AK326:AL326)</f>
        <v>14538.8</v>
      </c>
      <c r="AN326" s="2">
        <f>C326-AM326</f>
        <v>0.2000000000007276</v>
      </c>
      <c r="AO326" s="4">
        <f>AL326</f>
        <v>0</v>
      </c>
      <c r="AP326" s="2">
        <f t="shared" si="356"/>
        <v>14538.8</v>
      </c>
      <c r="AQ326" s="2">
        <f>AN326-AO326</f>
        <v>0.2000000000007276</v>
      </c>
      <c r="AR326" s="4">
        <f>AO326</f>
        <v>0</v>
      </c>
      <c r="AS326" s="5">
        <f t="shared" si="357"/>
        <v>14538.8</v>
      </c>
      <c r="AT326" s="2">
        <f>AQ326-AR326</f>
        <v>0.2000000000007276</v>
      </c>
    </row>
    <row r="327" spans="1:46" x14ac:dyDescent="0.2">
      <c r="A327" s="1" t="s">
        <v>309</v>
      </c>
      <c r="B327" s="1" t="s">
        <v>310</v>
      </c>
      <c r="C327" s="2">
        <v>6000</v>
      </c>
      <c r="D327" s="1" t="s">
        <v>61</v>
      </c>
      <c r="E327" s="2">
        <v>5</v>
      </c>
      <c r="G327" s="5"/>
      <c r="L327" s="2">
        <f>6000/5*0.5</f>
        <v>600</v>
      </c>
      <c r="M327" s="2">
        <v>1200</v>
      </c>
      <c r="N327" s="2">
        <v>1200</v>
      </c>
      <c r="O327" s="2">
        <f>M327+N327</f>
        <v>2400</v>
      </c>
      <c r="P327" s="2">
        <f>C327/E327</f>
        <v>1200</v>
      </c>
      <c r="Q327" s="2">
        <f>O327+P327</f>
        <v>3600</v>
      </c>
      <c r="R327" s="2">
        <f>SUM(C327/E327)</f>
        <v>1200</v>
      </c>
      <c r="S327" s="2">
        <f>Q327+R327</f>
        <v>4800</v>
      </c>
      <c r="T327" s="2">
        <f>R327</f>
        <v>1200</v>
      </c>
      <c r="U327" s="2">
        <f>S327+T327</f>
        <v>6000</v>
      </c>
      <c r="V327" s="2">
        <v>0</v>
      </c>
      <c r="W327" s="2">
        <f>U327+V327</f>
        <v>6000</v>
      </c>
      <c r="X327" s="2">
        <f>V327</f>
        <v>0</v>
      </c>
      <c r="Y327" s="2">
        <f>SUM(W327:X327)</f>
        <v>6000</v>
      </c>
      <c r="Z327" s="2">
        <f>X327</f>
        <v>0</v>
      </c>
      <c r="AA327" s="2">
        <f>Y327+X327</f>
        <v>6000</v>
      </c>
      <c r="AB327" s="2">
        <f>Z327</f>
        <v>0</v>
      </c>
      <c r="AC327" s="2">
        <f>SUM(AA327:AB327)</f>
        <v>6000</v>
      </c>
      <c r="AD327" s="2">
        <f>AB327</f>
        <v>0</v>
      </c>
      <c r="AE327" s="2">
        <f>AC327+AD327</f>
        <v>6000</v>
      </c>
      <c r="AF327" s="2">
        <f>AD327</f>
        <v>0</v>
      </c>
      <c r="AG327" s="2">
        <f>AE327+AF327</f>
        <v>6000</v>
      </c>
      <c r="AH327" s="2">
        <f>AF327</f>
        <v>0</v>
      </c>
      <c r="AI327" s="2">
        <f>AG327+AH327</f>
        <v>6000</v>
      </c>
      <c r="AJ327" s="2">
        <f>AH327</f>
        <v>0</v>
      </c>
      <c r="AK327" s="2">
        <f>SUM(AI327:AJ327)</f>
        <v>6000</v>
      </c>
      <c r="AL327" s="2">
        <f>AJ327</f>
        <v>0</v>
      </c>
      <c r="AM327" s="3">
        <f>SUM(AK327:AL327)</f>
        <v>6000</v>
      </c>
      <c r="AN327" s="2">
        <f>C327-AM327</f>
        <v>0</v>
      </c>
      <c r="AO327" s="4">
        <f>AL327</f>
        <v>0</v>
      </c>
      <c r="AP327" s="2">
        <f t="shared" si="356"/>
        <v>6000</v>
      </c>
      <c r="AQ327" s="2">
        <f>AN327-AO327</f>
        <v>0</v>
      </c>
      <c r="AR327" s="4">
        <f>AO327</f>
        <v>0</v>
      </c>
      <c r="AS327" s="5">
        <f t="shared" si="357"/>
        <v>6000</v>
      </c>
      <c r="AT327" s="2">
        <f>AQ327-AR327</f>
        <v>0</v>
      </c>
    </row>
    <row r="328" spans="1:46" x14ac:dyDescent="0.2">
      <c r="A328" s="1" t="s">
        <v>311</v>
      </c>
      <c r="B328" s="1" t="s">
        <v>262</v>
      </c>
      <c r="C328" s="2">
        <v>9000</v>
      </c>
      <c r="D328" s="1" t="s">
        <v>61</v>
      </c>
      <c r="E328" s="2">
        <v>5</v>
      </c>
      <c r="G328" s="5"/>
      <c r="H328" s="5"/>
      <c r="I328" s="5"/>
      <c r="L328" s="2">
        <f>9000/5*0.5</f>
        <v>900</v>
      </c>
      <c r="M328" s="2">
        <v>1800</v>
      </c>
      <c r="N328" s="2">
        <f>9000/5</f>
        <v>1800</v>
      </c>
      <c r="O328" s="2">
        <f>M328+N328</f>
        <v>3600</v>
      </c>
      <c r="P328" s="2">
        <f>C328/E328</f>
        <v>1800</v>
      </c>
      <c r="Q328" s="2">
        <f>O328+P328</f>
        <v>5400</v>
      </c>
      <c r="R328" s="2">
        <f>SUM(C328/E328)</f>
        <v>1800</v>
      </c>
      <c r="S328" s="2">
        <f>Q328+R328</f>
        <v>7200</v>
      </c>
      <c r="T328" s="2">
        <f>R328</f>
        <v>1800</v>
      </c>
      <c r="U328" s="2">
        <f>S328+T328</f>
        <v>9000</v>
      </c>
      <c r="V328" s="2">
        <v>0</v>
      </c>
      <c r="W328" s="2">
        <f>U328+V328</f>
        <v>9000</v>
      </c>
      <c r="X328" s="2">
        <f>V328</f>
        <v>0</v>
      </c>
      <c r="Y328" s="2">
        <f>SUM(W328:X328)</f>
        <v>9000</v>
      </c>
      <c r="Z328" s="2">
        <f>X328</f>
        <v>0</v>
      </c>
      <c r="AA328" s="2">
        <f>Y328+X328</f>
        <v>9000</v>
      </c>
      <c r="AB328" s="2">
        <f>Z328</f>
        <v>0</v>
      </c>
      <c r="AC328" s="2">
        <f>SUM(AA328:AB328)</f>
        <v>9000</v>
      </c>
      <c r="AD328" s="2">
        <f>AB328</f>
        <v>0</v>
      </c>
      <c r="AE328" s="2">
        <f>AC328+AD328</f>
        <v>9000</v>
      </c>
      <c r="AF328" s="2">
        <f>AD328</f>
        <v>0</v>
      </c>
      <c r="AG328" s="2">
        <f>AE328+AF328</f>
        <v>9000</v>
      </c>
      <c r="AH328" s="2">
        <f>AF328</f>
        <v>0</v>
      </c>
      <c r="AI328" s="2">
        <f>AG328+AH328</f>
        <v>9000</v>
      </c>
      <c r="AJ328" s="2">
        <f>AH328</f>
        <v>0</v>
      </c>
      <c r="AK328" s="2">
        <f>SUM(AI328:AJ328)</f>
        <v>9000</v>
      </c>
      <c r="AL328" s="2">
        <f>AJ328</f>
        <v>0</v>
      </c>
      <c r="AM328" s="3">
        <f>SUM(AK328:AL328)</f>
        <v>9000</v>
      </c>
      <c r="AN328" s="2">
        <f>C328-AM328</f>
        <v>0</v>
      </c>
      <c r="AO328" s="4">
        <f>AL328</f>
        <v>0</v>
      </c>
      <c r="AP328" s="2">
        <f t="shared" si="356"/>
        <v>9000</v>
      </c>
      <c r="AQ328" s="2">
        <f>AN328-AO328</f>
        <v>0</v>
      </c>
      <c r="AR328" s="4">
        <f>AO328</f>
        <v>0</v>
      </c>
      <c r="AS328" s="5">
        <f t="shared" si="357"/>
        <v>9000</v>
      </c>
      <c r="AT328" s="2">
        <f>AQ328-AR328</f>
        <v>0</v>
      </c>
    </row>
    <row r="329" spans="1:46" x14ac:dyDescent="0.2">
      <c r="A329" s="3"/>
      <c r="G329" s="5"/>
      <c r="H329" s="5"/>
      <c r="I329" s="5"/>
      <c r="AM329" s="3"/>
      <c r="AO329" s="4"/>
      <c r="AR329" s="4"/>
      <c r="AS329" s="5"/>
    </row>
    <row r="330" spans="1:46" x14ac:dyDescent="0.2">
      <c r="A330" s="1" t="s">
        <v>312</v>
      </c>
      <c r="B330" s="3" t="s">
        <v>313</v>
      </c>
      <c r="C330" s="2">
        <v>21064</v>
      </c>
      <c r="D330" s="1" t="s">
        <v>61</v>
      </c>
      <c r="E330" s="2">
        <v>5</v>
      </c>
      <c r="G330" s="5"/>
      <c r="H330" s="5"/>
      <c r="I330" s="5"/>
      <c r="M330" s="2">
        <v>4212</v>
      </c>
      <c r="N330" s="2">
        <v>4213</v>
      </c>
      <c r="P330" s="2">
        <v>2106</v>
      </c>
      <c r="Q330" s="2">
        <v>2106</v>
      </c>
      <c r="R330" s="2">
        <f>SUM(C330/E330)</f>
        <v>4212.8</v>
      </c>
      <c r="S330" s="2">
        <v>6319</v>
      </c>
      <c r="T330" s="2">
        <f>R330</f>
        <v>4212.8</v>
      </c>
      <c r="U330" s="2">
        <v>21064</v>
      </c>
      <c r="V330" s="2">
        <v>0</v>
      </c>
      <c r="W330" s="2">
        <f>U330+V330</f>
        <v>21064</v>
      </c>
      <c r="X330" s="2">
        <v>0</v>
      </c>
      <c r="Y330" s="2">
        <f>SUM(W330:X330)</f>
        <v>21064</v>
      </c>
      <c r="Z330" s="2">
        <v>0</v>
      </c>
      <c r="AA330" s="2">
        <f>Y330+X330</f>
        <v>21064</v>
      </c>
      <c r="AB330" s="2">
        <f>Z330</f>
        <v>0</v>
      </c>
      <c r="AC330" s="2">
        <f>SUM(AA330:AB330)</f>
        <v>21064</v>
      </c>
      <c r="AD330" s="2">
        <f>AB330</f>
        <v>0</v>
      </c>
      <c r="AE330" s="2">
        <f>AC330+AD330</f>
        <v>21064</v>
      </c>
      <c r="AF330" s="2">
        <f>AD330</f>
        <v>0</v>
      </c>
      <c r="AG330" s="2">
        <f>AE330+AF330</f>
        <v>21064</v>
      </c>
      <c r="AH330" s="2">
        <f>AF330</f>
        <v>0</v>
      </c>
      <c r="AI330" s="2">
        <f>AG330+AH330</f>
        <v>21064</v>
      </c>
      <c r="AJ330" s="2">
        <f>AH330</f>
        <v>0</v>
      </c>
      <c r="AK330" s="2">
        <f>SUM(AI330:AJ330)</f>
        <v>21064</v>
      </c>
      <c r="AL330" s="2">
        <f>AJ330</f>
        <v>0</v>
      </c>
      <c r="AM330" s="3">
        <f>SUM(AK330:AL330)</f>
        <v>21064</v>
      </c>
      <c r="AN330" s="2">
        <f>C330-AM330</f>
        <v>0</v>
      </c>
      <c r="AO330" s="4">
        <f>AL330</f>
        <v>0</v>
      </c>
      <c r="AP330" s="2">
        <f>AM330+AO330</f>
        <v>21064</v>
      </c>
      <c r="AQ330" s="2">
        <f t="shared" ref="AQ330:AQ345" si="358">AN330-AO330</f>
        <v>0</v>
      </c>
      <c r="AR330" s="4">
        <f>AO330</f>
        <v>0</v>
      </c>
      <c r="AS330" s="5">
        <f t="shared" ref="AS330:AS345" si="359">AP330+AR330</f>
        <v>21064</v>
      </c>
      <c r="AT330" s="2">
        <f t="shared" ref="AT330:AT337" si="360">AQ330-AR330</f>
        <v>0</v>
      </c>
    </row>
    <row r="331" spans="1:46" x14ac:dyDescent="0.2">
      <c r="A331" s="1" t="s">
        <v>314</v>
      </c>
      <c r="B331" s="1" t="s">
        <v>315</v>
      </c>
      <c r="C331" s="2">
        <v>36534</v>
      </c>
      <c r="D331" s="1" t="s">
        <v>61</v>
      </c>
      <c r="E331" s="2">
        <v>5</v>
      </c>
      <c r="G331" s="5"/>
      <c r="H331" s="5"/>
      <c r="I331" s="5"/>
      <c r="O331" s="2">
        <f>M331+N331</f>
        <v>0</v>
      </c>
      <c r="S331" s="2">
        <f>Q331+R331</f>
        <v>0</v>
      </c>
      <c r="T331" s="2">
        <v>4871</v>
      </c>
      <c r="U331" s="2">
        <f>6202+4871</f>
        <v>11073</v>
      </c>
      <c r="V331" s="2">
        <v>7307</v>
      </c>
      <c r="W331" s="2">
        <f>U331+V331</f>
        <v>18380</v>
      </c>
      <c r="X331" s="2">
        <f>V331</f>
        <v>7307</v>
      </c>
      <c r="Y331" s="2">
        <f>SUM(W331:X331)</f>
        <v>25687</v>
      </c>
      <c r="Z331" s="2">
        <f>X331</f>
        <v>7307</v>
      </c>
      <c r="AA331" s="2">
        <f>Y331+X331-18351</f>
        <v>14643</v>
      </c>
      <c r="AB331" s="2">
        <v>7307</v>
      </c>
      <c r="AC331" s="2">
        <f>SUM(AA331:AB331)</f>
        <v>21950</v>
      </c>
      <c r="AD331" s="2">
        <v>7307</v>
      </c>
      <c r="AE331" s="2">
        <f>AC331+AD331</f>
        <v>29257</v>
      </c>
      <c r="AF331" s="2">
        <v>7307</v>
      </c>
      <c r="AG331" s="2">
        <f>AE331+AF331-30</f>
        <v>36534</v>
      </c>
      <c r="AH331" s="2">
        <v>0</v>
      </c>
      <c r="AI331" s="2">
        <f>AG331+AH331</f>
        <v>36534</v>
      </c>
      <c r="AJ331" s="2">
        <f>AH331</f>
        <v>0</v>
      </c>
      <c r="AK331" s="2">
        <f>SUM(AI331:AJ331)</f>
        <v>36534</v>
      </c>
      <c r="AL331" s="2">
        <f>AJ331</f>
        <v>0</v>
      </c>
      <c r="AM331" s="3">
        <f>SUM(AK331:AL331)</f>
        <v>36534</v>
      </c>
      <c r="AN331" s="2">
        <f>C331-AM331</f>
        <v>0</v>
      </c>
      <c r="AO331" s="4">
        <f>AL331</f>
        <v>0</v>
      </c>
      <c r="AP331" s="2">
        <f>AM331+AO331</f>
        <v>36534</v>
      </c>
      <c r="AQ331" s="2">
        <f t="shared" si="358"/>
        <v>0</v>
      </c>
      <c r="AR331" s="4">
        <f>AO331</f>
        <v>0</v>
      </c>
      <c r="AS331" s="5">
        <f t="shared" si="359"/>
        <v>36534</v>
      </c>
      <c r="AT331" s="2">
        <f t="shared" si="360"/>
        <v>0</v>
      </c>
    </row>
    <row r="332" spans="1:46" x14ac:dyDescent="0.2">
      <c r="A332" s="1" t="s">
        <v>316</v>
      </c>
      <c r="B332" s="1" t="s">
        <v>317</v>
      </c>
      <c r="C332" s="2">
        <v>9200</v>
      </c>
      <c r="D332" s="1" t="s">
        <v>61</v>
      </c>
      <c r="E332" s="2">
        <v>5</v>
      </c>
      <c r="G332" s="5"/>
      <c r="H332" s="5"/>
      <c r="I332" s="5"/>
      <c r="AM332" s="3"/>
      <c r="AN332" s="2">
        <v>9200</v>
      </c>
      <c r="AO332" s="4">
        <f>9200/5/364*6</f>
        <v>30.329670329670328</v>
      </c>
      <c r="AP332" s="2">
        <v>25</v>
      </c>
      <c r="AQ332" s="2">
        <f t="shared" si="358"/>
        <v>9169.670329670329</v>
      </c>
      <c r="AR332" s="4">
        <f>9200/5</f>
        <v>1840</v>
      </c>
      <c r="AS332" s="5">
        <f t="shared" si="359"/>
        <v>1865</v>
      </c>
      <c r="AT332" s="2">
        <f t="shared" si="360"/>
        <v>7329.670329670329</v>
      </c>
    </row>
    <row r="333" spans="1:46" x14ac:dyDescent="0.2">
      <c r="A333" s="1" t="s">
        <v>318</v>
      </c>
      <c r="B333" s="1" t="s">
        <v>319</v>
      </c>
      <c r="C333" s="2">
        <v>33439</v>
      </c>
      <c r="D333" s="1" t="s">
        <v>61</v>
      </c>
      <c r="E333" s="2">
        <v>5</v>
      </c>
      <c r="G333" s="5"/>
      <c r="H333" s="5"/>
      <c r="I333" s="5"/>
      <c r="V333" s="2">
        <f>557+4213</f>
        <v>4770</v>
      </c>
      <c r="W333" s="2">
        <f>U333+V333</f>
        <v>4770</v>
      </c>
      <c r="X333" s="2">
        <v>6688</v>
      </c>
      <c r="Y333" s="2">
        <f>SUM(W333:X333)</f>
        <v>11458</v>
      </c>
      <c r="Z333" s="2">
        <f>X333</f>
        <v>6688</v>
      </c>
      <c r="AA333" s="2">
        <f>Y333+X333-4771</f>
        <v>13375</v>
      </c>
      <c r="AB333" s="2">
        <f>Z333</f>
        <v>6688</v>
      </c>
      <c r="AC333" s="2">
        <f>SUM(AA333:AB333)</f>
        <v>20063</v>
      </c>
      <c r="AD333" s="2">
        <f>AB333</f>
        <v>6688</v>
      </c>
      <c r="AE333" s="2">
        <f>AC333+AD333</f>
        <v>26751</v>
      </c>
      <c r="AF333" s="2">
        <v>6688</v>
      </c>
      <c r="AG333" s="2">
        <f>AE333+AF333</f>
        <v>33439</v>
      </c>
      <c r="AH333" s="2">
        <v>0</v>
      </c>
      <c r="AI333" s="2">
        <f t="shared" ref="AI333:AI339" si="361">AG333+AH333</f>
        <v>33439</v>
      </c>
      <c r="AJ333" s="2">
        <f>AH333</f>
        <v>0</v>
      </c>
      <c r="AK333" s="2">
        <f>SUM(AI333:AJ333)</f>
        <v>33439</v>
      </c>
      <c r="AL333" s="2">
        <f>AJ333</f>
        <v>0</v>
      </c>
      <c r="AM333" s="3">
        <f>SUM(AK333:AL333)</f>
        <v>33439</v>
      </c>
      <c r="AN333" s="2">
        <f t="shared" ref="AN333:AN345" si="362">C333-AM333</f>
        <v>0</v>
      </c>
      <c r="AO333" s="4">
        <f t="shared" ref="AO333:AO344" si="363">AL333</f>
        <v>0</v>
      </c>
      <c r="AP333" s="2">
        <f t="shared" ref="AP333:AP343" si="364">AM333+AO333</f>
        <v>33439</v>
      </c>
      <c r="AQ333" s="2">
        <f t="shared" si="358"/>
        <v>0</v>
      </c>
      <c r="AR333" s="4">
        <f>AO333</f>
        <v>0</v>
      </c>
      <c r="AS333" s="5">
        <f t="shared" si="359"/>
        <v>33439</v>
      </c>
      <c r="AT333" s="2">
        <f t="shared" si="360"/>
        <v>0</v>
      </c>
    </row>
    <row r="334" spans="1:46" x14ac:dyDescent="0.2">
      <c r="A334" s="1" t="s">
        <v>320</v>
      </c>
      <c r="B334" s="1" t="s">
        <v>321</v>
      </c>
      <c r="C334" s="2">
        <v>7430</v>
      </c>
      <c r="D334" s="1" t="s">
        <v>61</v>
      </c>
      <c r="E334" s="2">
        <v>5</v>
      </c>
      <c r="G334" s="5"/>
      <c r="H334" s="5"/>
      <c r="I334" s="5"/>
      <c r="X334" s="2">
        <f>7430/5/12*2</f>
        <v>247.66666666666666</v>
      </c>
      <c r="Y334" s="2">
        <f>SUM(W334:X334)</f>
        <v>247.66666666666666</v>
      </c>
      <c r="Z334" s="2">
        <f>7430/5</f>
        <v>1486</v>
      </c>
      <c r="AA334" s="2">
        <f>SUM(Y334:Z334)</f>
        <v>1733.6666666666667</v>
      </c>
      <c r="AB334" s="2">
        <f>Z334</f>
        <v>1486</v>
      </c>
      <c r="AC334" s="2">
        <f>SUM(AA334:AB334)</f>
        <v>3219.666666666667</v>
      </c>
      <c r="AD334" s="2">
        <f>AB334</f>
        <v>1486</v>
      </c>
      <c r="AE334" s="2">
        <f>AC334+AD334</f>
        <v>4705.666666666667</v>
      </c>
      <c r="AF334" s="2">
        <f>AD334</f>
        <v>1486</v>
      </c>
      <c r="AG334" s="2">
        <f>AE334+AF334+30</f>
        <v>6221.666666666667</v>
      </c>
      <c r="AH334" s="2">
        <f>7430-6221.67</f>
        <v>1208.33</v>
      </c>
      <c r="AI334" s="2">
        <f t="shared" si="361"/>
        <v>7429.9966666666669</v>
      </c>
      <c r="AJ334" s="2">
        <v>0</v>
      </c>
      <c r="AK334" s="2">
        <v>7430</v>
      </c>
      <c r="AL334" s="2">
        <v>0</v>
      </c>
      <c r="AM334" s="3">
        <v>7430</v>
      </c>
      <c r="AN334" s="2">
        <f t="shared" si="362"/>
        <v>0</v>
      </c>
      <c r="AO334" s="4">
        <f t="shared" si="363"/>
        <v>0</v>
      </c>
      <c r="AP334" s="2">
        <f t="shared" si="364"/>
        <v>7430</v>
      </c>
      <c r="AQ334" s="2">
        <f t="shared" si="358"/>
        <v>0</v>
      </c>
      <c r="AR334" s="4">
        <f>AO334</f>
        <v>0</v>
      </c>
      <c r="AS334" s="5">
        <f t="shared" si="359"/>
        <v>7430</v>
      </c>
      <c r="AT334" s="2">
        <f t="shared" si="360"/>
        <v>0</v>
      </c>
    </row>
    <row r="335" spans="1:46" x14ac:dyDescent="0.2">
      <c r="A335" s="1" t="s">
        <v>322</v>
      </c>
      <c r="B335" s="1" t="s">
        <v>323</v>
      </c>
      <c r="C335" s="2">
        <v>5065</v>
      </c>
      <c r="D335" s="1" t="s">
        <v>61</v>
      </c>
      <c r="E335" s="2">
        <v>5</v>
      </c>
      <c r="G335" s="5"/>
      <c r="H335" s="5"/>
      <c r="I335" s="5"/>
      <c r="Z335" s="2">
        <v>338</v>
      </c>
      <c r="AA335" s="2">
        <v>338</v>
      </c>
      <c r="AB335" s="2">
        <f>5065/5</f>
        <v>1013</v>
      </c>
      <c r="AC335" s="2">
        <f>SUM(AA335:AB335)</f>
        <v>1351</v>
      </c>
      <c r="AD335" s="2">
        <f>AB335</f>
        <v>1013</v>
      </c>
      <c r="AE335" s="2">
        <f>AC335+AD335</f>
        <v>2364</v>
      </c>
      <c r="AF335" s="2">
        <f>AD335</f>
        <v>1013</v>
      </c>
      <c r="AG335" s="2">
        <f>AE335+AF335</f>
        <v>3377</v>
      </c>
      <c r="AH335" s="2">
        <f>AF335</f>
        <v>1013</v>
      </c>
      <c r="AI335" s="2">
        <f t="shared" si="361"/>
        <v>4390</v>
      </c>
      <c r="AJ335" s="2">
        <f>5065-4390</f>
        <v>675</v>
      </c>
      <c r="AK335" s="2">
        <f t="shared" ref="AK335:AK341" si="365">SUM(AI335:AJ335)</f>
        <v>5065</v>
      </c>
      <c r="AL335" s="2">
        <v>0</v>
      </c>
      <c r="AM335" s="3">
        <f t="shared" ref="AM335:AM345" si="366">SUM(AK335:AL335)</f>
        <v>5065</v>
      </c>
      <c r="AN335" s="2">
        <f t="shared" si="362"/>
        <v>0</v>
      </c>
      <c r="AO335" s="4">
        <f t="shared" si="363"/>
        <v>0</v>
      </c>
      <c r="AP335" s="2">
        <f t="shared" si="364"/>
        <v>5065</v>
      </c>
      <c r="AQ335" s="2">
        <f t="shared" si="358"/>
        <v>0</v>
      </c>
      <c r="AR335" s="4">
        <f>AO335</f>
        <v>0</v>
      </c>
      <c r="AS335" s="5">
        <f t="shared" si="359"/>
        <v>5065</v>
      </c>
      <c r="AT335" s="2">
        <f t="shared" si="360"/>
        <v>0</v>
      </c>
    </row>
    <row r="336" spans="1:46" x14ac:dyDescent="0.2">
      <c r="A336" s="1" t="s">
        <v>324</v>
      </c>
      <c r="B336" s="1" t="s">
        <v>325</v>
      </c>
      <c r="C336" s="2">
        <v>7500</v>
      </c>
      <c r="D336" s="1" t="s">
        <v>61</v>
      </c>
      <c r="E336" s="2">
        <v>5</v>
      </c>
      <c r="G336" s="5"/>
      <c r="H336" s="5"/>
      <c r="I336" s="5"/>
      <c r="Z336" s="2">
        <v>375</v>
      </c>
      <c r="AA336" s="2">
        <v>375</v>
      </c>
      <c r="AB336" s="2">
        <f>7500/5</f>
        <v>1500</v>
      </c>
      <c r="AC336" s="2">
        <f>SUM(AA336:AB336)</f>
        <v>1875</v>
      </c>
      <c r="AD336" s="2">
        <f>AB336</f>
        <v>1500</v>
      </c>
      <c r="AE336" s="2">
        <f>AC336+AD336</f>
        <v>3375</v>
      </c>
      <c r="AF336" s="2">
        <f>AD336</f>
        <v>1500</v>
      </c>
      <c r="AG336" s="2">
        <f>AE336+AF336</f>
        <v>4875</v>
      </c>
      <c r="AH336" s="2">
        <f>AF336</f>
        <v>1500</v>
      </c>
      <c r="AI336" s="2">
        <f t="shared" si="361"/>
        <v>6375</v>
      </c>
      <c r="AJ336" s="2">
        <f>7500-6375</f>
        <v>1125</v>
      </c>
      <c r="AK336" s="2">
        <f t="shared" si="365"/>
        <v>7500</v>
      </c>
      <c r="AL336" s="2">
        <v>0</v>
      </c>
      <c r="AM336" s="3">
        <f t="shared" si="366"/>
        <v>7500</v>
      </c>
      <c r="AN336" s="2">
        <f t="shared" si="362"/>
        <v>0</v>
      </c>
      <c r="AO336" s="4">
        <f t="shared" si="363"/>
        <v>0</v>
      </c>
      <c r="AP336" s="2">
        <f t="shared" si="364"/>
        <v>7500</v>
      </c>
      <c r="AQ336" s="2">
        <f t="shared" si="358"/>
        <v>0</v>
      </c>
      <c r="AR336" s="4">
        <f>AO336</f>
        <v>0</v>
      </c>
      <c r="AS336" s="5">
        <f t="shared" si="359"/>
        <v>7500</v>
      </c>
      <c r="AT336" s="2">
        <f t="shared" si="360"/>
        <v>0</v>
      </c>
    </row>
    <row r="337" spans="1:46" x14ac:dyDescent="0.2">
      <c r="A337" s="1" t="s">
        <v>326</v>
      </c>
      <c r="B337" s="1" t="s">
        <v>327</v>
      </c>
      <c r="C337" s="2">
        <v>10000</v>
      </c>
      <c r="D337" s="1" t="s">
        <v>328</v>
      </c>
      <c r="G337" s="5"/>
      <c r="H337" s="5"/>
      <c r="I337" s="5"/>
      <c r="AC337" s="2">
        <v>2500</v>
      </c>
      <c r="AD337" s="2">
        <f>10000/5</f>
        <v>2000</v>
      </c>
      <c r="AE337" s="2">
        <f>AC337+AD337</f>
        <v>4500</v>
      </c>
      <c r="AF337" s="2">
        <f>AD337</f>
        <v>2000</v>
      </c>
      <c r="AG337" s="2">
        <f>AE337+AF337</f>
        <v>6500</v>
      </c>
      <c r="AH337" s="2">
        <f>AF337</f>
        <v>2000</v>
      </c>
      <c r="AI337" s="2">
        <f t="shared" si="361"/>
        <v>8500</v>
      </c>
      <c r="AJ337" s="2">
        <v>1500</v>
      </c>
      <c r="AK337" s="2">
        <f t="shared" si="365"/>
        <v>10000</v>
      </c>
      <c r="AL337" s="2">
        <v>0</v>
      </c>
      <c r="AM337" s="3">
        <f t="shared" si="366"/>
        <v>10000</v>
      </c>
      <c r="AN337" s="2">
        <f t="shared" si="362"/>
        <v>0</v>
      </c>
      <c r="AO337" s="4">
        <f t="shared" si="363"/>
        <v>0</v>
      </c>
      <c r="AP337" s="2">
        <f t="shared" si="364"/>
        <v>10000</v>
      </c>
      <c r="AQ337" s="2">
        <f t="shared" si="358"/>
        <v>0</v>
      </c>
      <c r="AR337" s="4">
        <f>AO337</f>
        <v>0</v>
      </c>
      <c r="AS337" s="5">
        <f t="shared" si="359"/>
        <v>10000</v>
      </c>
      <c r="AT337" s="2">
        <f t="shared" si="360"/>
        <v>0</v>
      </c>
    </row>
    <row r="338" spans="1:46" x14ac:dyDescent="0.2">
      <c r="A338" s="1" t="s">
        <v>329</v>
      </c>
      <c r="B338" s="1" t="s">
        <v>330</v>
      </c>
      <c r="C338" s="2">
        <v>14900</v>
      </c>
      <c r="D338" s="1" t="s">
        <v>61</v>
      </c>
      <c r="E338" s="2">
        <v>5</v>
      </c>
      <c r="G338" s="5"/>
      <c r="H338" s="5"/>
      <c r="I338" s="5"/>
      <c r="AF338" s="2">
        <f>14900/5/12*4.5</f>
        <v>1117.5</v>
      </c>
      <c r="AG338" s="2">
        <f>AE338+AF338</f>
        <v>1117.5</v>
      </c>
      <c r="AH338" s="2">
        <f>14900/5</f>
        <v>2980</v>
      </c>
      <c r="AI338" s="2">
        <f t="shared" si="361"/>
        <v>4097.5</v>
      </c>
      <c r="AJ338" s="2">
        <f>AH338</f>
        <v>2980</v>
      </c>
      <c r="AK338" s="2">
        <f t="shared" si="365"/>
        <v>7077.5</v>
      </c>
      <c r="AL338" s="2">
        <f>AJ338</f>
        <v>2980</v>
      </c>
      <c r="AM338" s="3">
        <f t="shared" si="366"/>
        <v>10057.5</v>
      </c>
      <c r="AN338" s="2">
        <f t="shared" si="362"/>
        <v>4842.5</v>
      </c>
      <c r="AO338" s="4">
        <f t="shared" si="363"/>
        <v>2980</v>
      </c>
      <c r="AP338" s="2">
        <f t="shared" si="364"/>
        <v>13037.5</v>
      </c>
      <c r="AQ338" s="2">
        <f t="shared" si="358"/>
        <v>1862.5</v>
      </c>
      <c r="AR338" s="4">
        <v>1863</v>
      </c>
      <c r="AS338" s="5">
        <f t="shared" si="359"/>
        <v>14900.5</v>
      </c>
      <c r="AT338" s="2">
        <v>0</v>
      </c>
    </row>
    <row r="339" spans="1:46" x14ac:dyDescent="0.2">
      <c r="A339" s="1" t="s">
        <v>331</v>
      </c>
      <c r="B339" s="1" t="s">
        <v>332</v>
      </c>
      <c r="C339" s="2">
        <v>6990</v>
      </c>
      <c r="D339" s="1" t="s">
        <v>61</v>
      </c>
      <c r="E339" s="2">
        <v>5</v>
      </c>
      <c r="G339" s="5"/>
      <c r="H339" s="5"/>
      <c r="I339" s="5"/>
      <c r="AF339" s="2">
        <v>425</v>
      </c>
      <c r="AG339" s="2">
        <v>425</v>
      </c>
      <c r="AH339" s="2">
        <f>6990/5</f>
        <v>1398</v>
      </c>
      <c r="AI339" s="2">
        <f t="shared" si="361"/>
        <v>1823</v>
      </c>
      <c r="AJ339" s="2">
        <f>AH339</f>
        <v>1398</v>
      </c>
      <c r="AK339" s="2">
        <f t="shared" si="365"/>
        <v>3221</v>
      </c>
      <c r="AL339" s="2">
        <f>AJ339</f>
        <v>1398</v>
      </c>
      <c r="AM339" s="3">
        <f t="shared" si="366"/>
        <v>4619</v>
      </c>
      <c r="AN339" s="2">
        <f t="shared" si="362"/>
        <v>2371</v>
      </c>
      <c r="AO339" s="4">
        <f t="shared" si="363"/>
        <v>1398</v>
      </c>
      <c r="AP339" s="2">
        <f t="shared" si="364"/>
        <v>6017</v>
      </c>
      <c r="AQ339" s="2">
        <f t="shared" si="358"/>
        <v>973</v>
      </c>
      <c r="AR339" s="4">
        <v>973</v>
      </c>
      <c r="AS339" s="5">
        <f t="shared" si="359"/>
        <v>6990</v>
      </c>
      <c r="AT339" s="2">
        <f t="shared" ref="AT339:AT345" si="367">AQ339-AR339</f>
        <v>0</v>
      </c>
    </row>
    <row r="340" spans="1:46" x14ac:dyDescent="0.2">
      <c r="A340" s="1" t="s">
        <v>326</v>
      </c>
      <c r="B340" s="1" t="s">
        <v>333</v>
      </c>
      <c r="C340" s="2">
        <v>18900</v>
      </c>
      <c r="D340" s="1" t="s">
        <v>61</v>
      </c>
      <c r="E340" s="2">
        <v>5</v>
      </c>
      <c r="G340" s="5"/>
      <c r="H340" s="5"/>
      <c r="I340" s="5"/>
      <c r="AH340" s="2">
        <v>2992.93</v>
      </c>
      <c r="AI340" s="2">
        <v>2992.93</v>
      </c>
      <c r="AJ340" s="2">
        <f>18900/5</f>
        <v>3780</v>
      </c>
      <c r="AK340" s="2">
        <f t="shared" si="365"/>
        <v>6772.93</v>
      </c>
      <c r="AL340" s="2">
        <f>18900/5</f>
        <v>3780</v>
      </c>
      <c r="AM340" s="3">
        <f t="shared" si="366"/>
        <v>10552.93</v>
      </c>
      <c r="AN340" s="2">
        <f t="shared" si="362"/>
        <v>8347.07</v>
      </c>
      <c r="AO340" s="4">
        <f t="shared" si="363"/>
        <v>3780</v>
      </c>
      <c r="AP340" s="2">
        <f t="shared" si="364"/>
        <v>14332.93</v>
      </c>
      <c r="AQ340" s="2">
        <f t="shared" si="358"/>
        <v>4567.07</v>
      </c>
      <c r="AR340" s="4">
        <f t="shared" ref="AR340:AR345" si="368">AO340</f>
        <v>3780</v>
      </c>
      <c r="AS340" s="5">
        <f t="shared" si="359"/>
        <v>18112.93</v>
      </c>
      <c r="AT340" s="2">
        <f t="shared" si="367"/>
        <v>787.06999999999971</v>
      </c>
    </row>
    <row r="341" spans="1:46" x14ac:dyDescent="0.2">
      <c r="A341" s="1" t="s">
        <v>334</v>
      </c>
      <c r="B341" s="1" t="s">
        <v>335</v>
      </c>
      <c r="C341" s="2">
        <v>15500</v>
      </c>
      <c r="D341" s="1" t="s">
        <v>61</v>
      </c>
      <c r="E341" s="2">
        <v>5</v>
      </c>
      <c r="G341" s="5"/>
      <c r="H341" s="5"/>
      <c r="I341" s="5"/>
      <c r="AH341" s="2">
        <v>76.44</v>
      </c>
      <c r="AI341" s="2">
        <v>76.44</v>
      </c>
      <c r="AJ341" s="2">
        <f>15500/5</f>
        <v>3100</v>
      </c>
      <c r="AK341" s="2">
        <f t="shared" si="365"/>
        <v>3176.44</v>
      </c>
      <c r="AL341" s="2">
        <f>15500/5</f>
        <v>3100</v>
      </c>
      <c r="AM341" s="3">
        <f t="shared" si="366"/>
        <v>6276.4400000000005</v>
      </c>
      <c r="AN341" s="2">
        <f t="shared" si="362"/>
        <v>9223.56</v>
      </c>
      <c r="AO341" s="4">
        <f t="shared" si="363"/>
        <v>3100</v>
      </c>
      <c r="AP341" s="2">
        <f t="shared" si="364"/>
        <v>9376.44</v>
      </c>
      <c r="AQ341" s="2">
        <f t="shared" si="358"/>
        <v>6123.5599999999995</v>
      </c>
      <c r="AR341" s="4">
        <f t="shared" si="368"/>
        <v>3100</v>
      </c>
      <c r="AS341" s="5">
        <f t="shared" si="359"/>
        <v>12476.44</v>
      </c>
      <c r="AT341" s="2">
        <f t="shared" si="367"/>
        <v>3023.5599999999995</v>
      </c>
    </row>
    <row r="342" spans="1:46" x14ac:dyDescent="0.2">
      <c r="A342" s="1" t="s">
        <v>336</v>
      </c>
      <c r="B342" s="1" t="s">
        <v>337</v>
      </c>
      <c r="C342" s="2">
        <v>13000</v>
      </c>
      <c r="D342" s="1" t="s">
        <v>61</v>
      </c>
      <c r="E342" s="2">
        <v>5</v>
      </c>
      <c r="G342" s="5"/>
      <c r="H342" s="5"/>
      <c r="I342" s="5"/>
      <c r="AJ342" s="2">
        <v>217</v>
      </c>
      <c r="AK342" s="2">
        <v>217</v>
      </c>
      <c r="AL342" s="2">
        <f>13000/5</f>
        <v>2600</v>
      </c>
      <c r="AM342" s="3">
        <f t="shared" si="366"/>
        <v>2817</v>
      </c>
      <c r="AN342" s="2">
        <f t="shared" si="362"/>
        <v>10183</v>
      </c>
      <c r="AO342" s="4">
        <f t="shared" si="363"/>
        <v>2600</v>
      </c>
      <c r="AP342" s="2">
        <f t="shared" si="364"/>
        <v>5417</v>
      </c>
      <c r="AQ342" s="2">
        <f t="shared" si="358"/>
        <v>7583</v>
      </c>
      <c r="AR342" s="4">
        <f t="shared" si="368"/>
        <v>2600</v>
      </c>
      <c r="AS342" s="5">
        <f t="shared" si="359"/>
        <v>8017</v>
      </c>
      <c r="AT342" s="2">
        <f t="shared" si="367"/>
        <v>4983</v>
      </c>
    </row>
    <row r="343" spans="1:46" x14ac:dyDescent="0.2">
      <c r="A343" s="1" t="s">
        <v>326</v>
      </c>
      <c r="B343" s="1" t="s">
        <v>338</v>
      </c>
      <c r="C343" s="2">
        <v>28356</v>
      </c>
      <c r="D343" s="1" t="s">
        <v>61</v>
      </c>
      <c r="E343" s="2">
        <v>5</v>
      </c>
      <c r="G343" s="5"/>
      <c r="H343" s="5"/>
      <c r="I343" s="5"/>
      <c r="AJ343" s="2">
        <v>236</v>
      </c>
      <c r="AK343" s="2">
        <v>236</v>
      </c>
      <c r="AL343" s="2">
        <f>28356/5</f>
        <v>5671.2</v>
      </c>
      <c r="AM343" s="3">
        <f t="shared" si="366"/>
        <v>5907.2</v>
      </c>
      <c r="AN343" s="2">
        <f t="shared" si="362"/>
        <v>22448.799999999999</v>
      </c>
      <c r="AO343" s="4">
        <f t="shared" si="363"/>
        <v>5671.2</v>
      </c>
      <c r="AP343" s="2">
        <f t="shared" si="364"/>
        <v>11578.4</v>
      </c>
      <c r="AQ343" s="2">
        <f t="shared" si="358"/>
        <v>16777.599999999999</v>
      </c>
      <c r="AR343" s="4">
        <f t="shared" si="368"/>
        <v>5671.2</v>
      </c>
      <c r="AS343" s="5">
        <f t="shared" si="359"/>
        <v>17249.599999999999</v>
      </c>
      <c r="AT343" s="2">
        <f t="shared" si="367"/>
        <v>11106.399999999998</v>
      </c>
    </row>
    <row r="344" spans="1:46" x14ac:dyDescent="0.2">
      <c r="A344" s="1" t="s">
        <v>339</v>
      </c>
      <c r="B344" s="1" t="s">
        <v>340</v>
      </c>
      <c r="C344" s="2">
        <v>11000</v>
      </c>
      <c r="D344" s="1" t="s">
        <v>61</v>
      </c>
      <c r="E344" s="2">
        <v>5</v>
      </c>
      <c r="G344" s="5"/>
      <c r="H344" s="5"/>
      <c r="I344" s="5"/>
      <c r="AL344" s="2">
        <f>SUM(C344/E344/12*10)</f>
        <v>1833.3333333333335</v>
      </c>
      <c r="AM344" s="3">
        <f t="shared" si="366"/>
        <v>1833.3333333333335</v>
      </c>
      <c r="AN344" s="2">
        <f t="shared" si="362"/>
        <v>9166.6666666666661</v>
      </c>
      <c r="AO344" s="4">
        <f t="shared" si="363"/>
        <v>1833.3333333333335</v>
      </c>
      <c r="AP344" s="2">
        <v>4033</v>
      </c>
      <c r="AQ344" s="2">
        <f t="shared" si="358"/>
        <v>7333.3333333333321</v>
      </c>
      <c r="AR344" s="4">
        <f t="shared" si="368"/>
        <v>1833.3333333333335</v>
      </c>
      <c r="AS344" s="5">
        <f t="shared" si="359"/>
        <v>5866.3333333333339</v>
      </c>
      <c r="AT344" s="2">
        <f t="shared" si="367"/>
        <v>5499.9999999999982</v>
      </c>
    </row>
    <row r="345" spans="1:46" x14ac:dyDescent="0.2">
      <c r="A345" s="1" t="s">
        <v>316</v>
      </c>
      <c r="B345" s="1" t="s">
        <v>341</v>
      </c>
      <c r="C345" s="2">
        <v>18000</v>
      </c>
      <c r="D345" s="1" t="s">
        <v>61</v>
      </c>
      <c r="E345" s="2">
        <v>5</v>
      </c>
      <c r="G345" s="5"/>
      <c r="H345" s="5"/>
      <c r="I345" s="5"/>
      <c r="AL345" s="2">
        <v>750</v>
      </c>
      <c r="AM345" s="3">
        <f t="shared" si="366"/>
        <v>750</v>
      </c>
      <c r="AN345" s="2">
        <f t="shared" si="362"/>
        <v>17250</v>
      </c>
      <c r="AO345" s="4">
        <f>18000/5</f>
        <v>3600</v>
      </c>
      <c r="AP345" s="2">
        <f>AM345+AO345</f>
        <v>4350</v>
      </c>
      <c r="AQ345" s="2">
        <f t="shared" si="358"/>
        <v>13650</v>
      </c>
      <c r="AR345" s="4">
        <f t="shared" si="368"/>
        <v>3600</v>
      </c>
      <c r="AS345" s="5">
        <f t="shared" si="359"/>
        <v>7950</v>
      </c>
      <c r="AT345" s="2">
        <f t="shared" si="367"/>
        <v>10050</v>
      </c>
    </row>
    <row r="346" spans="1:46" x14ac:dyDescent="0.2">
      <c r="A346" s="3"/>
      <c r="G346" s="5"/>
      <c r="H346" s="5"/>
      <c r="I346" s="5"/>
      <c r="AM346" s="3"/>
      <c r="AO346" s="4"/>
      <c r="AR346" s="4"/>
      <c r="AS346" s="5"/>
    </row>
    <row r="347" spans="1:46" x14ac:dyDescent="0.2">
      <c r="A347" s="3" t="s">
        <v>342</v>
      </c>
      <c r="B347" s="1" t="s">
        <v>343</v>
      </c>
      <c r="C347" s="2">
        <v>12500</v>
      </c>
      <c r="D347" s="1" t="s">
        <v>61</v>
      </c>
      <c r="E347" s="2">
        <v>5</v>
      </c>
      <c r="G347" s="5"/>
      <c r="H347" s="5"/>
      <c r="I347" s="5"/>
      <c r="AM347" s="3"/>
      <c r="AO347" s="4"/>
      <c r="AQ347" s="2">
        <v>12500</v>
      </c>
      <c r="AR347" s="4">
        <f>C347/5/12*10</f>
        <v>2083.3333333333335</v>
      </c>
      <c r="AS347" s="5">
        <f>AP347+AR347</f>
        <v>2083.3333333333335</v>
      </c>
      <c r="AT347" s="2">
        <f>AQ347-AR347</f>
        <v>10416.666666666666</v>
      </c>
    </row>
    <row r="348" spans="1:46" x14ac:dyDescent="0.2">
      <c r="A348" s="3"/>
      <c r="G348" s="5"/>
      <c r="H348" s="5"/>
      <c r="I348" s="5"/>
      <c r="AM348" s="3"/>
      <c r="AO348" s="4"/>
      <c r="AR348" s="4"/>
      <c r="AS348" s="5"/>
    </row>
    <row r="349" spans="1:46" x14ac:dyDescent="0.2">
      <c r="G349" s="5"/>
      <c r="H349" s="5"/>
      <c r="I349" s="5"/>
      <c r="AM349" s="3"/>
      <c r="AO349" s="4">
        <f>AL349</f>
        <v>0</v>
      </c>
      <c r="AQ349" s="2">
        <f>AN349-AO349</f>
        <v>0</v>
      </c>
      <c r="AR349" s="4">
        <f>AO349</f>
        <v>0</v>
      </c>
      <c r="AS349" s="5"/>
      <c r="AT349" s="2">
        <f>AQ349-AR349</f>
        <v>0</v>
      </c>
    </row>
    <row r="350" spans="1:46" x14ac:dyDescent="0.2">
      <c r="C350" s="5">
        <f>SUM(C321:C349)</f>
        <v>310517</v>
      </c>
      <c r="G350" s="5">
        <f>SUM(G319:G330)</f>
        <v>11600</v>
      </c>
      <c r="H350" s="5">
        <f>SUM(H319:H330)</f>
        <v>969</v>
      </c>
      <c r="I350" s="5">
        <f>SUM(I319:I330)</f>
        <v>12569</v>
      </c>
      <c r="J350" s="5">
        <f>SUM(J319:J330)</f>
        <v>2908</v>
      </c>
      <c r="K350" s="5">
        <f>SUM(K319:K330)</f>
        <v>15477</v>
      </c>
      <c r="L350" s="5">
        <f t="shared" ref="L350:Q350" si="369">SUM(L321:L331)</f>
        <v>4408</v>
      </c>
      <c r="M350" s="5">
        <f t="shared" si="369"/>
        <v>25597</v>
      </c>
      <c r="N350" s="5">
        <f t="shared" si="369"/>
        <v>10121</v>
      </c>
      <c r="O350" s="5">
        <f t="shared" si="369"/>
        <v>27293</v>
      </c>
      <c r="P350" s="5">
        <f t="shared" si="369"/>
        <v>8013.8</v>
      </c>
      <c r="Q350" s="5">
        <f t="shared" si="369"/>
        <v>35306.800000000003</v>
      </c>
      <c r="R350" s="5">
        <f>SUM(R319:R330)</f>
        <v>9150.7999999999993</v>
      </c>
      <c r="S350" s="5">
        <v>195940</v>
      </c>
      <c r="T350" s="5">
        <v>10567</v>
      </c>
      <c r="U350" s="5">
        <f>SUM(U321:U331)</f>
        <v>73275.8</v>
      </c>
      <c r="V350" s="5">
        <f>SUM(V330:V334)</f>
        <v>12077</v>
      </c>
      <c r="W350" s="5">
        <f>SUM(W321:W333)</f>
        <v>85352.8</v>
      </c>
      <c r="X350" s="5">
        <f>SUM(X321:X334)</f>
        <v>14242.666666666666</v>
      </c>
      <c r="Y350" s="5">
        <f>SUM(Y321:Y334)</f>
        <v>99595.466666666674</v>
      </c>
      <c r="Z350" s="5">
        <f>SUM(Z321:Z336)</f>
        <v>16194</v>
      </c>
      <c r="AA350" s="5">
        <f>SUM(AA321:AA336)</f>
        <v>92667.466666666674</v>
      </c>
      <c r="AB350" s="5">
        <f>SUM(AB321:AB336)</f>
        <v>17994</v>
      </c>
      <c r="AC350" s="5">
        <f>SUM(AC321:AC337)</f>
        <v>113161.46666666667</v>
      </c>
      <c r="AD350" s="2">
        <f>SUM(AD330:AD337)</f>
        <v>19994</v>
      </c>
      <c r="AE350" s="2">
        <f>AC350+AD350</f>
        <v>133155.46666666667</v>
      </c>
      <c r="AF350" s="2">
        <f>SUM(AF321:AF349)</f>
        <v>21536.5</v>
      </c>
      <c r="AG350" s="2">
        <f>SUM(AG321:AG349)</f>
        <v>154691.96666666665</v>
      </c>
      <c r="AH350" s="2">
        <f>SUM(AH321:AH349)</f>
        <v>13168.7</v>
      </c>
      <c r="AI350" s="2">
        <f>SUM(AI321:AI341)</f>
        <v>167860.66666666666</v>
      </c>
      <c r="AJ350" s="2">
        <f>SUM(AJ321:AJ343)</f>
        <v>15011</v>
      </c>
      <c r="AK350" s="2">
        <f>SUM(AK321:AK343)</f>
        <v>182871.66999999998</v>
      </c>
      <c r="AL350" s="5">
        <f>SUM(AL321:AL349)</f>
        <v>22112.533333333333</v>
      </c>
      <c r="AM350" s="5">
        <f>SUM(AM321:AM349)</f>
        <v>204984.20333333334</v>
      </c>
      <c r="AN350" s="5">
        <f>SUM(AN321:AN349)</f>
        <v>93032.796666666676</v>
      </c>
      <c r="AO350" s="6">
        <f>SUM(AO321:AO349)</f>
        <v>24992.863003663002</v>
      </c>
      <c r="AP350" s="5">
        <f>SUM(AP321:AP346)</f>
        <v>230338.06999999998</v>
      </c>
      <c r="AQ350" s="5">
        <f>SUM(AQ321:AQ349)</f>
        <v>80539.933663003656</v>
      </c>
      <c r="AR350" s="6">
        <f>SUM(AR321:AR349)</f>
        <v>27343.866666666665</v>
      </c>
      <c r="AS350" s="5">
        <f>SUM(AS321:AS349)</f>
        <v>257681.93666666668</v>
      </c>
      <c r="AT350" s="5">
        <f>SUM(AT321:AT349)</f>
        <v>53196.566996336987</v>
      </c>
    </row>
    <row r="351" spans="1:46" x14ac:dyDescent="0.2">
      <c r="A351" s="1" t="s">
        <v>344</v>
      </c>
      <c r="M351" s="2">
        <f>K351+L351</f>
        <v>0</v>
      </c>
      <c r="AE351" s="2">
        <f>AC351+AD351</f>
        <v>0</v>
      </c>
      <c r="AM351" s="3"/>
      <c r="AO351" s="4"/>
      <c r="AR351" s="4"/>
      <c r="AS351" s="5"/>
    </row>
    <row r="352" spans="1:46" x14ac:dyDescent="0.2">
      <c r="M352" s="2">
        <f>K352+L352</f>
        <v>0</v>
      </c>
      <c r="AE352" s="2">
        <f>AC352+AD352</f>
        <v>0</v>
      </c>
      <c r="AM352" s="3"/>
      <c r="AO352" s="4"/>
      <c r="AR352" s="4"/>
      <c r="AS352" s="5"/>
    </row>
    <row r="353" spans="1:46" x14ac:dyDescent="0.2">
      <c r="A353" s="1" t="s">
        <v>345</v>
      </c>
      <c r="B353" s="1" t="s">
        <v>346</v>
      </c>
      <c r="C353" s="2">
        <v>49552</v>
      </c>
      <c r="D353" s="1" t="s">
        <v>61</v>
      </c>
      <c r="E353" s="2">
        <v>10</v>
      </c>
      <c r="G353" s="2">
        <v>49552</v>
      </c>
      <c r="H353" s="2">
        <v>0</v>
      </c>
      <c r="I353" s="2">
        <f>SUM(G353:H353)</f>
        <v>49552</v>
      </c>
      <c r="K353" s="2">
        <f>I353+J353</f>
        <v>49552</v>
      </c>
      <c r="M353" s="2">
        <f>K353+L353</f>
        <v>49552</v>
      </c>
      <c r="N353" s="2">
        <f>L353</f>
        <v>0</v>
      </c>
      <c r="O353" s="2">
        <f>M353+N353</f>
        <v>49552</v>
      </c>
      <c r="P353" s="2">
        <f>N353</f>
        <v>0</v>
      </c>
      <c r="Q353" s="2">
        <f>O353+P353</f>
        <v>49552</v>
      </c>
      <c r="R353" s="2">
        <v>0</v>
      </c>
      <c r="S353" s="2">
        <f>Q353+R353</f>
        <v>49552</v>
      </c>
      <c r="T353" s="2">
        <f>R353</f>
        <v>0</v>
      </c>
      <c r="U353" s="2">
        <f>S353+T353</f>
        <v>49552</v>
      </c>
      <c r="V353" s="2">
        <f>T353</f>
        <v>0</v>
      </c>
      <c r="W353" s="2">
        <f>U353+V353</f>
        <v>49552</v>
      </c>
      <c r="X353" s="2">
        <f>V353</f>
        <v>0</v>
      </c>
      <c r="Y353" s="2">
        <f>SUM(W353:X353)</f>
        <v>49552</v>
      </c>
      <c r="Z353" s="2">
        <v>0</v>
      </c>
      <c r="AA353" s="2">
        <v>49552</v>
      </c>
      <c r="AC353" s="2">
        <f>SUM(AA353:AB353)</f>
        <v>49552</v>
      </c>
      <c r="AD353" s="2">
        <f>AB353</f>
        <v>0</v>
      </c>
      <c r="AE353" s="2">
        <f>AC353+AD353</f>
        <v>49552</v>
      </c>
      <c r="AF353" s="2">
        <f>AD353</f>
        <v>0</v>
      </c>
      <c r="AG353" s="2">
        <f>AE353+AF353</f>
        <v>49552</v>
      </c>
      <c r="AH353" s="2">
        <f>AF353</f>
        <v>0</v>
      </c>
      <c r="AI353" s="2">
        <f>AG353+AH353</f>
        <v>49552</v>
      </c>
      <c r="AJ353" s="2">
        <v>0</v>
      </c>
      <c r="AK353" s="2">
        <v>49552</v>
      </c>
      <c r="AL353" s="2">
        <v>0</v>
      </c>
      <c r="AM353" s="3">
        <v>49552</v>
      </c>
      <c r="AN353" s="2">
        <f>C353-AM353</f>
        <v>0</v>
      </c>
      <c r="AO353" s="4">
        <f>AL353</f>
        <v>0</v>
      </c>
      <c r="AP353" s="2">
        <v>49552</v>
      </c>
      <c r="AQ353" s="2">
        <f>AN353-AO353</f>
        <v>0</v>
      </c>
      <c r="AR353" s="4">
        <f>AO353</f>
        <v>0</v>
      </c>
      <c r="AS353" s="5">
        <f>AP353+AR353</f>
        <v>49552</v>
      </c>
      <c r="AT353" s="2">
        <f>AQ353-AR353</f>
        <v>0</v>
      </c>
    </row>
    <row r="354" spans="1:46" x14ac:dyDescent="0.2">
      <c r="M354" s="2">
        <f>K354+L354</f>
        <v>0</v>
      </c>
      <c r="N354" s="2">
        <f>L354</f>
        <v>0</v>
      </c>
      <c r="O354" s="2">
        <f>M354+N354</f>
        <v>0</v>
      </c>
      <c r="P354" s="2">
        <f>N354</f>
        <v>0</v>
      </c>
      <c r="Q354" s="2">
        <f>O354+P354</f>
        <v>0</v>
      </c>
      <c r="S354" s="2">
        <f>Q354+R354</f>
        <v>0</v>
      </c>
      <c r="T354" s="2">
        <f>R354</f>
        <v>0</v>
      </c>
      <c r="U354" s="2">
        <f>S354+T354</f>
        <v>0</v>
      </c>
      <c r="V354" s="2">
        <f>T354</f>
        <v>0</v>
      </c>
      <c r="W354" s="2">
        <f>U354+V354</f>
        <v>0</v>
      </c>
      <c r="X354" s="2">
        <f>V354</f>
        <v>0</v>
      </c>
      <c r="Y354" s="2">
        <f>W354+V354</f>
        <v>0</v>
      </c>
      <c r="AM354" s="3"/>
      <c r="AO354" s="4"/>
      <c r="AR354" s="4"/>
      <c r="AS354" s="5"/>
    </row>
    <row r="355" spans="1:46" x14ac:dyDescent="0.2">
      <c r="C355" s="5">
        <f>SUM(C353:C354)</f>
        <v>49552</v>
      </c>
      <c r="G355" s="5">
        <f t="shared" ref="G355:R355" si="370">SUM(G353:G354)</f>
        <v>49552</v>
      </c>
      <c r="H355" s="5">
        <f t="shared" si="370"/>
        <v>0</v>
      </c>
      <c r="I355" s="5">
        <f t="shared" si="370"/>
        <v>49552</v>
      </c>
      <c r="J355" s="5">
        <f t="shared" si="370"/>
        <v>0</v>
      </c>
      <c r="K355" s="5">
        <f t="shared" si="370"/>
        <v>49552</v>
      </c>
      <c r="L355" s="5">
        <f t="shared" si="370"/>
        <v>0</v>
      </c>
      <c r="M355" s="5">
        <f t="shared" si="370"/>
        <v>49552</v>
      </c>
      <c r="N355" s="5">
        <f t="shared" si="370"/>
        <v>0</v>
      </c>
      <c r="O355" s="5">
        <f t="shared" si="370"/>
        <v>49552</v>
      </c>
      <c r="P355" s="5">
        <f t="shared" si="370"/>
        <v>0</v>
      </c>
      <c r="Q355" s="5">
        <f t="shared" si="370"/>
        <v>49552</v>
      </c>
      <c r="R355" s="5">
        <f t="shared" si="370"/>
        <v>0</v>
      </c>
      <c r="S355" s="5">
        <f>Q355+R355</f>
        <v>49552</v>
      </c>
      <c r="T355" s="5">
        <f>SUM(T353:T354)</f>
        <v>0</v>
      </c>
      <c r="U355" s="5">
        <f>SUM(U353:U354)</f>
        <v>49552</v>
      </c>
      <c r="V355" s="5">
        <f>SUM(V353:V354)</f>
        <v>0</v>
      </c>
      <c r="W355" s="5">
        <f>SUM(W353:W354)</f>
        <v>49552</v>
      </c>
      <c r="X355" s="5">
        <v>60</v>
      </c>
      <c r="Y355" s="5">
        <f>SUM(Y353:Y353)</f>
        <v>49552</v>
      </c>
      <c r="AA355" s="5">
        <v>50272</v>
      </c>
      <c r="AC355" s="5">
        <f>SUM(AA355:AB355)</f>
        <v>50272</v>
      </c>
      <c r="AD355" s="2">
        <f>AB355</f>
        <v>0</v>
      </c>
      <c r="AE355" s="2">
        <f>AC355+AD355</f>
        <v>50272</v>
      </c>
      <c r="AF355" s="2">
        <f>AD355</f>
        <v>0</v>
      </c>
      <c r="AG355" s="2">
        <v>49552</v>
      </c>
      <c r="AH355" s="2">
        <f>AF355</f>
        <v>0</v>
      </c>
      <c r="AI355" s="2">
        <f>AG355+AH355</f>
        <v>49552</v>
      </c>
      <c r="AJ355" s="2">
        <v>0</v>
      </c>
      <c r="AK355" s="2">
        <v>49552</v>
      </c>
      <c r="AL355" s="2">
        <v>0</v>
      </c>
      <c r="AM355" s="3">
        <v>49552</v>
      </c>
      <c r="AN355" s="2">
        <f>C355-AM355</f>
        <v>0</v>
      </c>
      <c r="AO355" s="4"/>
      <c r="AP355" s="2">
        <v>49552</v>
      </c>
      <c r="AR355" s="4"/>
      <c r="AS355" s="5">
        <v>49552</v>
      </c>
    </row>
    <row r="356" spans="1:46" x14ac:dyDescent="0.2">
      <c r="A356" s="1" t="s">
        <v>347</v>
      </c>
      <c r="C356" s="5"/>
      <c r="G356" s="5"/>
      <c r="H356" s="5"/>
      <c r="I356" s="5"/>
      <c r="J356" s="5"/>
      <c r="K356" s="5"/>
      <c r="M356" s="2">
        <f>K356+L356</f>
        <v>0</v>
      </c>
      <c r="X356" s="2">
        <f>V356</f>
        <v>0</v>
      </c>
      <c r="AM356" s="3"/>
      <c r="AO356" s="4"/>
      <c r="AR356" s="4"/>
      <c r="AS356" s="5"/>
    </row>
    <row r="357" spans="1:46" x14ac:dyDescent="0.2">
      <c r="A357" s="1" t="s">
        <v>348</v>
      </c>
      <c r="B357" s="1" t="s">
        <v>80</v>
      </c>
      <c r="C357" s="3">
        <v>78000</v>
      </c>
      <c r="D357" s="1" t="s">
        <v>61</v>
      </c>
      <c r="E357" s="2">
        <v>10</v>
      </c>
      <c r="G357" s="5"/>
      <c r="H357" s="5"/>
      <c r="I357" s="5"/>
      <c r="J357" s="3">
        <f>78000/10*0.5</f>
        <v>3900</v>
      </c>
      <c r="K357" s="3">
        <f>78000/10*0.5</f>
        <v>3900</v>
      </c>
      <c r="L357" s="3">
        <f>78000/10</f>
        <v>7800</v>
      </c>
      <c r="M357" s="3">
        <f>K357+L357</f>
        <v>11700</v>
      </c>
      <c r="N357" s="3">
        <v>7800</v>
      </c>
      <c r="O357" s="3">
        <f>11700+7800</f>
        <v>19500</v>
      </c>
      <c r="P357" s="3">
        <f>C357/E357</f>
        <v>7800</v>
      </c>
      <c r="Q357" s="3">
        <f>SUM(O357+P357)</f>
        <v>27300</v>
      </c>
      <c r="R357" s="2">
        <f>SUM(C357/E357)</f>
        <v>7800</v>
      </c>
      <c r="S357" s="2">
        <f>Q357+R357</f>
        <v>35100</v>
      </c>
      <c r="T357" s="2">
        <f>R357</f>
        <v>7800</v>
      </c>
      <c r="U357" s="2">
        <f>S357+T357</f>
        <v>42900</v>
      </c>
      <c r="V357" s="2">
        <f>T357</f>
        <v>7800</v>
      </c>
      <c r="W357" s="2">
        <f>U357+V357</f>
        <v>50700</v>
      </c>
      <c r="X357" s="2">
        <f>V357</f>
        <v>7800</v>
      </c>
      <c r="Y357" s="2">
        <f>W357+V357</f>
        <v>58500</v>
      </c>
      <c r="Z357" s="2">
        <v>7800</v>
      </c>
      <c r="AA357" s="2">
        <f>SUM(Y357:Z357)-3900</f>
        <v>62400</v>
      </c>
      <c r="AB357" s="2">
        <v>7800</v>
      </c>
      <c r="AC357" s="2">
        <f>SUM(AA357:AB357)</f>
        <v>70200</v>
      </c>
      <c r="AD357" s="2">
        <f>AB357</f>
        <v>7800</v>
      </c>
      <c r="AE357" s="2">
        <f>AC357+AD357</f>
        <v>78000</v>
      </c>
      <c r="AG357" s="2">
        <f>AE357+AF357</f>
        <v>78000</v>
      </c>
      <c r="AH357" s="2">
        <v>0</v>
      </c>
      <c r="AI357" s="2">
        <v>78000</v>
      </c>
      <c r="AJ357" s="2">
        <v>0</v>
      </c>
      <c r="AK357" s="2">
        <v>78000</v>
      </c>
      <c r="AL357" s="2">
        <v>0</v>
      </c>
      <c r="AM357" s="3">
        <v>78000</v>
      </c>
      <c r="AN357" s="2">
        <f>C357-AM357</f>
        <v>0</v>
      </c>
      <c r="AO357" s="4">
        <f>AL357</f>
        <v>0</v>
      </c>
      <c r="AP357" s="2">
        <v>78000</v>
      </c>
      <c r="AQ357" s="2">
        <f>AN357-AO357</f>
        <v>0</v>
      </c>
      <c r="AR357" s="4">
        <v>0</v>
      </c>
      <c r="AS357" s="5">
        <v>78000</v>
      </c>
      <c r="AT357" s="2">
        <v>0</v>
      </c>
    </row>
    <row r="358" spans="1:46" x14ac:dyDescent="0.2">
      <c r="C358" s="3"/>
      <c r="G358" s="5"/>
      <c r="H358" s="5"/>
      <c r="I358" s="5"/>
      <c r="J358" s="5"/>
      <c r="K358" s="5"/>
      <c r="L358" s="5"/>
      <c r="M358" s="5"/>
      <c r="N358" s="5"/>
      <c r="O358" s="3"/>
      <c r="P358" s="3">
        <f>SUM(C358/10*0.5)</f>
        <v>0</v>
      </c>
      <c r="Q358" s="3">
        <f>SUM(O358+P358)</f>
        <v>0</v>
      </c>
      <c r="S358" s="2">
        <f>Q358+R358</f>
        <v>0</v>
      </c>
      <c r="V358" s="2">
        <f>T358</f>
        <v>0</v>
      </c>
      <c r="AM358" s="3"/>
      <c r="AO358" s="4"/>
      <c r="AR358" s="4"/>
      <c r="AS358" s="5"/>
    </row>
    <row r="359" spans="1:46" x14ac:dyDescent="0.2">
      <c r="A359" s="5"/>
      <c r="B359" s="5"/>
      <c r="C359" s="5">
        <f>SUM(C357:C358)</f>
        <v>78000</v>
      </c>
      <c r="D359" s="5"/>
      <c r="E359" s="5"/>
      <c r="F359" s="5"/>
      <c r="G359" s="5">
        <v>0</v>
      </c>
      <c r="H359" s="5">
        <v>0</v>
      </c>
      <c r="I359" s="5">
        <v>0</v>
      </c>
      <c r="J359" s="5">
        <f t="shared" ref="J359:R359" si="371">SUM(J357+J358)</f>
        <v>3900</v>
      </c>
      <c r="K359" s="5">
        <f t="shared" si="371"/>
        <v>3900</v>
      </c>
      <c r="L359" s="5">
        <f t="shared" si="371"/>
        <v>7800</v>
      </c>
      <c r="M359" s="5">
        <f t="shared" si="371"/>
        <v>11700</v>
      </c>
      <c r="N359" s="5">
        <f t="shared" si="371"/>
        <v>7800</v>
      </c>
      <c r="O359" s="5">
        <f t="shared" si="371"/>
        <v>19500</v>
      </c>
      <c r="P359" s="5">
        <f t="shared" si="371"/>
        <v>7800</v>
      </c>
      <c r="Q359" s="5">
        <f t="shared" si="371"/>
        <v>27300</v>
      </c>
      <c r="R359" s="5">
        <f t="shared" si="371"/>
        <v>7800</v>
      </c>
      <c r="S359" s="5">
        <f>Q359+R359</f>
        <v>35100</v>
      </c>
      <c r="T359" s="5">
        <f>SUM(T357+T358)</f>
        <v>7800</v>
      </c>
      <c r="U359" s="5">
        <f>S359+T359</f>
        <v>42900</v>
      </c>
      <c r="V359" s="5">
        <f>SUM(V357:V358)</f>
        <v>7800</v>
      </c>
      <c r="W359" s="5">
        <f>SUM(W357:W358)</f>
        <v>50700</v>
      </c>
      <c r="X359" s="5">
        <f>V359</f>
        <v>7800</v>
      </c>
      <c r="Y359" s="5">
        <f>W359+V359</f>
        <v>58500</v>
      </c>
      <c r="Z359" s="5">
        <v>7800</v>
      </c>
      <c r="AA359" s="5">
        <f>66300-3900</f>
        <v>62400</v>
      </c>
      <c r="AB359" s="5">
        <v>7800</v>
      </c>
      <c r="AC359" s="5">
        <f>SUM(AA359:AB359)</f>
        <v>70200</v>
      </c>
      <c r="AD359" s="2">
        <f>AB359</f>
        <v>7800</v>
      </c>
      <c r="AE359" s="2">
        <f>AC359+AD359</f>
        <v>78000</v>
      </c>
      <c r="AM359" s="3"/>
      <c r="AN359" s="2">
        <f>C359-AM359</f>
        <v>78000</v>
      </c>
      <c r="AO359" s="4"/>
      <c r="AP359" s="2">
        <f>AP357</f>
        <v>78000</v>
      </c>
      <c r="AQ359" s="2">
        <v>0</v>
      </c>
      <c r="AR359" s="4">
        <v>0</v>
      </c>
      <c r="AS359" s="5">
        <f>AS357</f>
        <v>78000</v>
      </c>
    </row>
    <row r="360" spans="1:46" x14ac:dyDescent="0.2">
      <c r="A360" s="1" t="s">
        <v>349</v>
      </c>
      <c r="G360" s="5"/>
      <c r="H360" s="5"/>
      <c r="I360" s="5"/>
      <c r="AM360" s="3"/>
      <c r="AO360" s="4"/>
      <c r="AR360" s="4"/>
      <c r="AS360" s="5"/>
    </row>
    <row r="361" spans="1:46" x14ac:dyDescent="0.2">
      <c r="AM361" s="3"/>
      <c r="AO361" s="4"/>
      <c r="AR361" s="4"/>
      <c r="AS361" s="5"/>
    </row>
    <row r="362" spans="1:46" x14ac:dyDescent="0.2">
      <c r="A362" s="1" t="s">
        <v>350</v>
      </c>
      <c r="B362" s="1" t="s">
        <v>351</v>
      </c>
      <c r="C362" s="2">
        <v>51672</v>
      </c>
      <c r="D362" s="1" t="s">
        <v>61</v>
      </c>
      <c r="E362" s="2">
        <v>10</v>
      </c>
      <c r="G362" s="2">
        <v>3014</v>
      </c>
      <c r="H362" s="2">
        <v>5167</v>
      </c>
      <c r="I362" s="2">
        <f>SUM(G362:H362)</f>
        <v>8181</v>
      </c>
      <c r="J362" s="2">
        <v>5167</v>
      </c>
      <c r="K362" s="2">
        <f>I362+J362</f>
        <v>13348</v>
      </c>
      <c r="L362" s="2">
        <f>J362</f>
        <v>5167</v>
      </c>
      <c r="M362" s="2">
        <f>K362+L362</f>
        <v>18515</v>
      </c>
      <c r="N362" s="2">
        <f>L362</f>
        <v>5167</v>
      </c>
      <c r="O362" s="2">
        <f>M362+N362</f>
        <v>23682</v>
      </c>
      <c r="P362" s="2">
        <f>C362/E362</f>
        <v>5167.2</v>
      </c>
      <c r="Q362" s="2">
        <f>O362+P362</f>
        <v>28849.200000000001</v>
      </c>
      <c r="R362" s="2">
        <f>SUM(C362/E362)</f>
        <v>5167.2</v>
      </c>
      <c r="S362" s="2">
        <f>Q362+R362</f>
        <v>34016.400000000001</v>
      </c>
      <c r="T362" s="2">
        <f>R362</f>
        <v>5167.2</v>
      </c>
      <c r="U362" s="2">
        <f>S362+T362</f>
        <v>39183.599999999999</v>
      </c>
      <c r="V362" s="2">
        <f>T362</f>
        <v>5167.2</v>
      </c>
      <c r="W362" s="2">
        <f>U362+V362</f>
        <v>44350.799999999996</v>
      </c>
      <c r="X362" s="2">
        <f>V362</f>
        <v>5167.2</v>
      </c>
      <c r="Y362" s="2">
        <f>SUM(W362:X362)</f>
        <v>49517.999999999993</v>
      </c>
      <c r="Z362" s="2">
        <f>51672-49518</f>
        <v>2154</v>
      </c>
      <c r="AA362" s="2">
        <f>SUM(Y362:Z362)</f>
        <v>51671.999999999993</v>
      </c>
      <c r="AB362" s="2">
        <v>0</v>
      </c>
      <c r="AC362" s="2">
        <f>SUM(AA362:AB362)</f>
        <v>51671.999999999993</v>
      </c>
      <c r="AD362" s="2">
        <f>AB362</f>
        <v>0</v>
      </c>
      <c r="AE362" s="2">
        <f>AC362+AD362</f>
        <v>51671.999999999993</v>
      </c>
      <c r="AF362" s="2">
        <f>AD362</f>
        <v>0</v>
      </c>
      <c r="AG362" s="2">
        <f>AE362+AF362</f>
        <v>51671.999999999993</v>
      </c>
      <c r="AH362" s="2">
        <f>AF362</f>
        <v>0</v>
      </c>
      <c r="AI362" s="2">
        <f>AG362+AH362</f>
        <v>51671.999999999993</v>
      </c>
      <c r="AJ362" s="2">
        <f>AH362</f>
        <v>0</v>
      </c>
      <c r="AK362" s="2">
        <f>SUM(AI362:AJ362)</f>
        <v>51671.999999999993</v>
      </c>
      <c r="AL362" s="2">
        <f>AJ362</f>
        <v>0</v>
      </c>
      <c r="AM362" s="3">
        <f>SUM(AK362:AL362)</f>
        <v>51671.999999999993</v>
      </c>
      <c r="AN362" s="2">
        <f>C362-AM362</f>
        <v>0</v>
      </c>
      <c r="AO362" s="4">
        <f>AL362</f>
        <v>0</v>
      </c>
      <c r="AP362" s="2">
        <f t="shared" ref="AP362:AP384" si="372">AM362+AO362</f>
        <v>51671.999999999993</v>
      </c>
      <c r="AQ362" s="2">
        <f t="shared" ref="AQ362:AQ382" si="373">AN362-AO362</f>
        <v>0</v>
      </c>
      <c r="AR362" s="4">
        <f t="shared" ref="AR362:AR377" si="374">AO362</f>
        <v>0</v>
      </c>
      <c r="AS362" s="5">
        <f t="shared" ref="AS362:AS385" si="375">AP362+AR362</f>
        <v>51671.999999999993</v>
      </c>
      <c r="AT362" s="2">
        <f t="shared" ref="AT362:AT378" si="376">AQ362-AR362</f>
        <v>0</v>
      </c>
    </row>
    <row r="363" spans="1:46" x14ac:dyDescent="0.2">
      <c r="AM363" s="3"/>
      <c r="AO363" s="4"/>
      <c r="AP363" s="2">
        <f t="shared" si="372"/>
        <v>0</v>
      </c>
      <c r="AQ363" s="2">
        <f t="shared" si="373"/>
        <v>0</v>
      </c>
      <c r="AR363" s="4">
        <f t="shared" si="374"/>
        <v>0</v>
      </c>
      <c r="AS363" s="5">
        <f t="shared" si="375"/>
        <v>0</v>
      </c>
      <c r="AT363" s="2">
        <f t="shared" si="376"/>
        <v>0</v>
      </c>
    </row>
    <row r="364" spans="1:46" x14ac:dyDescent="0.2">
      <c r="AM364" s="3"/>
      <c r="AO364" s="4"/>
      <c r="AP364" s="2">
        <f t="shared" si="372"/>
        <v>0</v>
      </c>
      <c r="AQ364" s="2">
        <f t="shared" si="373"/>
        <v>0</v>
      </c>
      <c r="AR364" s="4">
        <f t="shared" si="374"/>
        <v>0</v>
      </c>
      <c r="AS364" s="5">
        <f t="shared" si="375"/>
        <v>0</v>
      </c>
      <c r="AT364" s="2">
        <f t="shared" si="376"/>
        <v>0</v>
      </c>
    </row>
    <row r="365" spans="1:46" x14ac:dyDescent="0.2">
      <c r="A365" s="1" t="s">
        <v>352</v>
      </c>
      <c r="B365" s="1" t="s">
        <v>145</v>
      </c>
      <c r="C365" s="2">
        <v>2500</v>
      </c>
      <c r="D365" s="1" t="s">
        <v>61</v>
      </c>
      <c r="E365" s="2">
        <v>10</v>
      </c>
      <c r="G365" s="2">
        <v>2438</v>
      </c>
      <c r="H365" s="2">
        <v>62</v>
      </c>
      <c r="I365" s="2">
        <f>SUM(G365:H365)</f>
        <v>2500</v>
      </c>
      <c r="K365" s="2">
        <f>I365+J365</f>
        <v>2500</v>
      </c>
      <c r="L365" s="2">
        <f>J365</f>
        <v>0</v>
      </c>
      <c r="M365" s="2">
        <f>K365+L365</f>
        <v>2500</v>
      </c>
      <c r="N365" s="2">
        <f>L365</f>
        <v>0</v>
      </c>
      <c r="O365" s="2">
        <f>M365+N365</f>
        <v>2500</v>
      </c>
      <c r="P365" s="2">
        <f>N365</f>
        <v>0</v>
      </c>
      <c r="Q365" s="2">
        <f>O365+P365</f>
        <v>2500</v>
      </c>
      <c r="R365" s="2">
        <v>0</v>
      </c>
      <c r="S365" s="2">
        <f>Q365+R365</f>
        <v>2500</v>
      </c>
      <c r="T365" s="2">
        <f>R365</f>
        <v>0</v>
      </c>
      <c r="U365" s="2">
        <f>S365+T365</f>
        <v>2500</v>
      </c>
      <c r="V365" s="2">
        <f>T365</f>
        <v>0</v>
      </c>
      <c r="W365" s="2">
        <f>U365+V365</f>
        <v>2500</v>
      </c>
      <c r="X365" s="2">
        <f>V365</f>
        <v>0</v>
      </c>
      <c r="Y365" s="2">
        <f>SUM(W365:X365)</f>
        <v>2500</v>
      </c>
      <c r="Z365" s="2">
        <f>X365</f>
        <v>0</v>
      </c>
      <c r="AA365" s="2">
        <f>SUM(Y365:Z365)</f>
        <v>2500</v>
      </c>
      <c r="AB365" s="2">
        <v>0</v>
      </c>
      <c r="AC365" s="2">
        <f>SUM(AA365:AB365)</f>
        <v>2500</v>
      </c>
      <c r="AD365" s="2">
        <f>AB365</f>
        <v>0</v>
      </c>
      <c r="AE365" s="2">
        <f>AC365+AD365</f>
        <v>2500</v>
      </c>
      <c r="AF365" s="2">
        <f>AD365</f>
        <v>0</v>
      </c>
      <c r="AG365" s="2">
        <f>AE365+AF365</f>
        <v>2500</v>
      </c>
      <c r="AH365" s="2">
        <f>AF365</f>
        <v>0</v>
      </c>
      <c r="AI365" s="2">
        <f>AG365+AH365</f>
        <v>2500</v>
      </c>
      <c r="AJ365" s="2">
        <f>AH365</f>
        <v>0</v>
      </c>
      <c r="AK365" s="2">
        <f>SUM(AI365:AJ365)</f>
        <v>2500</v>
      </c>
      <c r="AL365" s="2">
        <f>AJ365</f>
        <v>0</v>
      </c>
      <c r="AM365" s="3">
        <f>SUM(AK365:AL365)</f>
        <v>2500</v>
      </c>
      <c r="AN365" s="2">
        <f>C365-AM365</f>
        <v>0</v>
      </c>
      <c r="AO365" s="4">
        <f t="shared" ref="AO365:AO372" si="377">AL365</f>
        <v>0</v>
      </c>
      <c r="AP365" s="2">
        <f t="shared" si="372"/>
        <v>2500</v>
      </c>
      <c r="AQ365" s="2">
        <f t="shared" si="373"/>
        <v>0</v>
      </c>
      <c r="AR365" s="4">
        <f t="shared" si="374"/>
        <v>0</v>
      </c>
      <c r="AS365" s="5">
        <f t="shared" si="375"/>
        <v>2500</v>
      </c>
      <c r="AT365" s="2">
        <f t="shared" si="376"/>
        <v>0</v>
      </c>
    </row>
    <row r="366" spans="1:46" x14ac:dyDescent="0.2">
      <c r="AM366" s="3"/>
      <c r="AO366" s="4">
        <f t="shared" si="377"/>
        <v>0</v>
      </c>
      <c r="AP366" s="2">
        <f t="shared" si="372"/>
        <v>0</v>
      </c>
      <c r="AQ366" s="2">
        <f t="shared" si="373"/>
        <v>0</v>
      </c>
      <c r="AR366" s="4">
        <f t="shared" si="374"/>
        <v>0</v>
      </c>
      <c r="AS366" s="5">
        <f t="shared" si="375"/>
        <v>0</v>
      </c>
      <c r="AT366" s="2">
        <f t="shared" si="376"/>
        <v>0</v>
      </c>
    </row>
    <row r="367" spans="1:46" x14ac:dyDescent="0.2">
      <c r="A367" s="1" t="s">
        <v>352</v>
      </c>
      <c r="B367" s="1" t="s">
        <v>171</v>
      </c>
      <c r="C367" s="2">
        <v>8500</v>
      </c>
      <c r="D367" s="1" t="s">
        <v>61</v>
      </c>
      <c r="E367" s="2">
        <v>10</v>
      </c>
      <c r="G367" s="2">
        <v>7154</v>
      </c>
      <c r="H367" s="2">
        <v>850</v>
      </c>
      <c r="I367" s="2">
        <f>SUM(G367:H367)</f>
        <v>8004</v>
      </c>
      <c r="J367" s="2">
        <f>8500-8004</f>
        <v>496</v>
      </c>
      <c r="K367" s="2">
        <f>I367+J367</f>
        <v>8500</v>
      </c>
      <c r="L367" s="2">
        <v>0</v>
      </c>
      <c r="M367" s="2">
        <f>K367+L367</f>
        <v>8500</v>
      </c>
      <c r="N367" s="2">
        <f>L367</f>
        <v>0</v>
      </c>
      <c r="O367" s="2">
        <f t="shared" ref="O367:O372" si="378">M367+N367</f>
        <v>8500</v>
      </c>
      <c r="P367" s="2">
        <f>N367</f>
        <v>0</v>
      </c>
      <c r="Q367" s="2">
        <f>O367+P367</f>
        <v>8500</v>
      </c>
      <c r="R367" s="2">
        <v>0</v>
      </c>
      <c r="S367" s="2">
        <f>Q367+R367</f>
        <v>8500</v>
      </c>
      <c r="T367" s="2">
        <f t="shared" ref="T367:T372" si="379">R367</f>
        <v>0</v>
      </c>
      <c r="U367" s="2">
        <f>S367+T367</f>
        <v>8500</v>
      </c>
      <c r="V367" s="2">
        <f>T367</f>
        <v>0</v>
      </c>
      <c r="W367" s="2">
        <f>U367+V367</f>
        <v>8500</v>
      </c>
      <c r="X367" s="2">
        <f>V367</f>
        <v>0</v>
      </c>
      <c r="Y367" s="2">
        <f t="shared" ref="Y367:Y379" si="380">SUM(W367:X367)</f>
        <v>8500</v>
      </c>
      <c r="Z367" s="2">
        <f t="shared" ref="Z367:Z377" si="381">X367</f>
        <v>0</v>
      </c>
      <c r="AA367" s="2">
        <f t="shared" ref="AA367:AA376" si="382">SUM(Y367:Z367)</f>
        <v>8500</v>
      </c>
      <c r="AB367" s="2">
        <v>0</v>
      </c>
      <c r="AC367" s="2">
        <f t="shared" ref="AC367:AC381" si="383">SUM(AA367:AB367)</f>
        <v>8500</v>
      </c>
      <c r="AD367" s="2">
        <f>AB367</f>
        <v>0</v>
      </c>
      <c r="AE367" s="2">
        <f t="shared" ref="AE367:AE381" si="384">AC367+AD367</f>
        <v>8500</v>
      </c>
      <c r="AF367" s="2">
        <f>AD367</f>
        <v>0</v>
      </c>
      <c r="AG367" s="2">
        <f t="shared" ref="AG367:AG372" si="385">AE367+AF367</f>
        <v>8500</v>
      </c>
      <c r="AH367" s="2">
        <f>AF367</f>
        <v>0</v>
      </c>
      <c r="AI367" s="2">
        <f t="shared" ref="AI367:AI381" si="386">AG367+AH367</f>
        <v>8500</v>
      </c>
      <c r="AJ367" s="2">
        <f>AH367</f>
        <v>0</v>
      </c>
      <c r="AK367" s="2">
        <f t="shared" ref="AK367:AK375" si="387">SUM(AI367:AJ367)</f>
        <v>8500</v>
      </c>
      <c r="AL367" s="2">
        <f>AJ367</f>
        <v>0</v>
      </c>
      <c r="AM367" s="3">
        <f t="shared" ref="AM367:AM382" si="388">SUM(AK367:AL367)</f>
        <v>8500</v>
      </c>
      <c r="AN367" s="2">
        <f t="shared" ref="AN367:AN382" si="389">C367-AM367</f>
        <v>0</v>
      </c>
      <c r="AO367" s="4">
        <f t="shared" si="377"/>
        <v>0</v>
      </c>
      <c r="AP367" s="2">
        <f t="shared" si="372"/>
        <v>8500</v>
      </c>
      <c r="AQ367" s="2">
        <f t="shared" si="373"/>
        <v>0</v>
      </c>
      <c r="AR367" s="4">
        <f t="shared" si="374"/>
        <v>0</v>
      </c>
      <c r="AS367" s="5">
        <f t="shared" si="375"/>
        <v>8500</v>
      </c>
      <c r="AT367" s="2">
        <f t="shared" si="376"/>
        <v>0</v>
      </c>
    </row>
    <row r="368" spans="1:46" x14ac:dyDescent="0.2">
      <c r="A368" s="1" t="s">
        <v>353</v>
      </c>
      <c r="B368" s="1" t="s">
        <v>38</v>
      </c>
      <c r="C368" s="2">
        <v>18000</v>
      </c>
      <c r="D368" s="1" t="s">
        <v>61</v>
      </c>
      <c r="E368" s="2">
        <v>10</v>
      </c>
      <c r="G368" s="2">
        <v>15300</v>
      </c>
      <c r="H368" s="2">
        <v>1800</v>
      </c>
      <c r="I368" s="2">
        <f>SUM(G368:H368)</f>
        <v>17100</v>
      </c>
      <c r="J368" s="2">
        <v>900</v>
      </c>
      <c r="K368" s="2">
        <f>I368+J368</f>
        <v>18000</v>
      </c>
      <c r="L368" s="2">
        <v>0</v>
      </c>
      <c r="M368" s="2">
        <f>K368+L368</f>
        <v>18000</v>
      </c>
      <c r="N368" s="2">
        <f>L368</f>
        <v>0</v>
      </c>
      <c r="O368" s="2">
        <f t="shared" si="378"/>
        <v>18000</v>
      </c>
      <c r="P368" s="2">
        <f>N368</f>
        <v>0</v>
      </c>
      <c r="Q368" s="2">
        <f>O368+P368</f>
        <v>18000</v>
      </c>
      <c r="R368" s="2">
        <v>0</v>
      </c>
      <c r="S368" s="2">
        <f>Q368+R368</f>
        <v>18000</v>
      </c>
      <c r="T368" s="2">
        <f t="shared" si="379"/>
        <v>0</v>
      </c>
      <c r="U368" s="2">
        <f>S368+T368</f>
        <v>18000</v>
      </c>
      <c r="V368" s="2">
        <f>T368</f>
        <v>0</v>
      </c>
      <c r="W368" s="2">
        <f>U368+V368</f>
        <v>18000</v>
      </c>
      <c r="X368" s="2">
        <f>V368</f>
        <v>0</v>
      </c>
      <c r="Y368" s="2">
        <f t="shared" si="380"/>
        <v>18000</v>
      </c>
      <c r="Z368" s="2">
        <f t="shared" si="381"/>
        <v>0</v>
      </c>
      <c r="AA368" s="2">
        <f t="shared" si="382"/>
        <v>18000</v>
      </c>
      <c r="AB368" s="2">
        <v>0</v>
      </c>
      <c r="AC368" s="2">
        <f t="shared" si="383"/>
        <v>18000</v>
      </c>
      <c r="AD368" s="2">
        <f>AB368</f>
        <v>0</v>
      </c>
      <c r="AE368" s="2">
        <f t="shared" si="384"/>
        <v>18000</v>
      </c>
      <c r="AF368" s="2">
        <f>AD368</f>
        <v>0</v>
      </c>
      <c r="AG368" s="2">
        <f t="shared" si="385"/>
        <v>18000</v>
      </c>
      <c r="AH368" s="2">
        <f>AF368</f>
        <v>0</v>
      </c>
      <c r="AI368" s="2">
        <f t="shared" si="386"/>
        <v>18000</v>
      </c>
      <c r="AJ368" s="2">
        <f>AH368</f>
        <v>0</v>
      </c>
      <c r="AK368" s="2">
        <f t="shared" si="387"/>
        <v>18000</v>
      </c>
      <c r="AL368" s="2">
        <f>AJ368</f>
        <v>0</v>
      </c>
      <c r="AM368" s="3">
        <f t="shared" si="388"/>
        <v>18000</v>
      </c>
      <c r="AN368" s="2">
        <f t="shared" si="389"/>
        <v>0</v>
      </c>
      <c r="AO368" s="4">
        <f t="shared" si="377"/>
        <v>0</v>
      </c>
      <c r="AP368" s="2">
        <f t="shared" si="372"/>
        <v>18000</v>
      </c>
      <c r="AQ368" s="2">
        <f t="shared" si="373"/>
        <v>0</v>
      </c>
      <c r="AR368" s="4">
        <f t="shared" si="374"/>
        <v>0</v>
      </c>
      <c r="AS368" s="5">
        <f t="shared" si="375"/>
        <v>18000</v>
      </c>
      <c r="AT368" s="2">
        <f t="shared" si="376"/>
        <v>0</v>
      </c>
    </row>
    <row r="369" spans="1:46" x14ac:dyDescent="0.2">
      <c r="A369" s="1" t="s">
        <v>354</v>
      </c>
      <c r="B369" s="1" t="s">
        <v>355</v>
      </c>
      <c r="C369" s="2">
        <v>72713</v>
      </c>
      <c r="D369" s="1" t="s">
        <v>61</v>
      </c>
      <c r="E369" s="2">
        <v>10</v>
      </c>
      <c r="G369" s="2">
        <v>19995</v>
      </c>
      <c r="H369" s="2">
        <v>7271</v>
      </c>
      <c r="I369" s="2">
        <f>SUM(G369:H369)</f>
        <v>27266</v>
      </c>
      <c r="J369" s="2">
        <v>7271</v>
      </c>
      <c r="K369" s="2">
        <f>I369+J369</f>
        <v>34537</v>
      </c>
      <c r="L369" s="2">
        <f>J369</f>
        <v>7271</v>
      </c>
      <c r="M369" s="2">
        <f>K369+L369</f>
        <v>41808</v>
      </c>
      <c r="N369" s="2">
        <f>L369</f>
        <v>7271</v>
      </c>
      <c r="O369" s="2">
        <f t="shared" si="378"/>
        <v>49079</v>
      </c>
      <c r="P369" s="2">
        <f>C369/E369</f>
        <v>7271.3</v>
      </c>
      <c r="Q369" s="2">
        <f>O369+P369</f>
        <v>56350.3</v>
      </c>
      <c r="R369" s="2">
        <f>SUM(C369/E369)</f>
        <v>7271.3</v>
      </c>
      <c r="S369" s="2">
        <f>Q369+R369</f>
        <v>63621.600000000006</v>
      </c>
      <c r="T369" s="2">
        <f t="shared" si="379"/>
        <v>7271.3</v>
      </c>
      <c r="U369" s="2">
        <f>S369+T369</f>
        <v>70892.900000000009</v>
      </c>
      <c r="V369" s="2">
        <v>1820</v>
      </c>
      <c r="W369" s="2">
        <f>U369+V369</f>
        <v>72712.900000000009</v>
      </c>
      <c r="X369" s="2">
        <v>0</v>
      </c>
      <c r="Y369" s="2">
        <f t="shared" si="380"/>
        <v>72712.900000000009</v>
      </c>
      <c r="Z369" s="2">
        <f t="shared" si="381"/>
        <v>0</v>
      </c>
      <c r="AA369" s="2">
        <f t="shared" si="382"/>
        <v>72712.900000000009</v>
      </c>
      <c r="AB369" s="2">
        <v>0</v>
      </c>
      <c r="AC369" s="2">
        <f t="shared" si="383"/>
        <v>72712.900000000009</v>
      </c>
      <c r="AD369" s="2">
        <f>AB369</f>
        <v>0</v>
      </c>
      <c r="AE369" s="2">
        <f t="shared" si="384"/>
        <v>72712.900000000009</v>
      </c>
      <c r="AF369" s="2">
        <f>AD369</f>
        <v>0</v>
      </c>
      <c r="AG369" s="2">
        <f t="shared" si="385"/>
        <v>72712.900000000009</v>
      </c>
      <c r="AH369" s="2">
        <f>AF369</f>
        <v>0</v>
      </c>
      <c r="AI369" s="2">
        <f t="shared" si="386"/>
        <v>72712.900000000009</v>
      </c>
      <c r="AJ369" s="2">
        <f>AH369</f>
        <v>0</v>
      </c>
      <c r="AK369" s="2">
        <f t="shared" si="387"/>
        <v>72712.900000000009</v>
      </c>
      <c r="AL369" s="2">
        <f>AJ369</f>
        <v>0</v>
      </c>
      <c r="AM369" s="3">
        <f t="shared" si="388"/>
        <v>72712.900000000009</v>
      </c>
      <c r="AN369" s="2">
        <f t="shared" si="389"/>
        <v>9.9999999991268851E-2</v>
      </c>
      <c r="AO369" s="4">
        <f t="shared" si="377"/>
        <v>0</v>
      </c>
      <c r="AP369" s="2">
        <f t="shared" si="372"/>
        <v>72712.900000000009</v>
      </c>
      <c r="AQ369" s="2">
        <f t="shared" si="373"/>
        <v>9.9999999991268851E-2</v>
      </c>
      <c r="AR369" s="4">
        <f t="shared" si="374"/>
        <v>0</v>
      </c>
      <c r="AS369" s="5">
        <f t="shared" si="375"/>
        <v>72712.900000000009</v>
      </c>
      <c r="AT369" s="2">
        <f t="shared" si="376"/>
        <v>9.9999999991268851E-2</v>
      </c>
    </row>
    <row r="370" spans="1:46" x14ac:dyDescent="0.2">
      <c r="A370" s="1" t="s">
        <v>356</v>
      </c>
      <c r="B370" s="1" t="s">
        <v>357</v>
      </c>
      <c r="C370" s="2">
        <v>1012</v>
      </c>
      <c r="D370" s="1" t="s">
        <v>61</v>
      </c>
      <c r="E370" s="2">
        <v>10</v>
      </c>
      <c r="H370" s="2">
        <v>51</v>
      </c>
      <c r="I370" s="2">
        <f>SUM(G370:H370)</f>
        <v>51</v>
      </c>
      <c r="J370" s="2">
        <v>101</v>
      </c>
      <c r="K370" s="2">
        <f>I370+J370</f>
        <v>152</v>
      </c>
      <c r="L370" s="2">
        <f>J370</f>
        <v>101</v>
      </c>
      <c r="M370" s="2">
        <f>K370+L370</f>
        <v>253</v>
      </c>
      <c r="N370" s="2">
        <f>L370</f>
        <v>101</v>
      </c>
      <c r="O370" s="2">
        <f t="shared" si="378"/>
        <v>354</v>
      </c>
      <c r="P370" s="2">
        <f>C370/E370</f>
        <v>101.2</v>
      </c>
      <c r="Q370" s="2">
        <f>O370+P370</f>
        <v>455.2</v>
      </c>
      <c r="R370" s="2">
        <f>SUM(C370/E370)</f>
        <v>101.2</v>
      </c>
      <c r="S370" s="2">
        <f>Q370+R370</f>
        <v>556.4</v>
      </c>
      <c r="T370" s="2">
        <f t="shared" si="379"/>
        <v>101.2</v>
      </c>
      <c r="U370" s="2">
        <f>S370+T370</f>
        <v>657.6</v>
      </c>
      <c r="V370" s="2">
        <f t="shared" ref="V370:V376" si="390">T370</f>
        <v>101.2</v>
      </c>
      <c r="W370" s="2">
        <f>U370+V370</f>
        <v>758.80000000000007</v>
      </c>
      <c r="X370" s="2">
        <f t="shared" ref="X370:X377" si="391">V370</f>
        <v>101.2</v>
      </c>
      <c r="Y370" s="2">
        <f t="shared" si="380"/>
        <v>860.00000000000011</v>
      </c>
      <c r="Z370" s="2">
        <f t="shared" si="381"/>
        <v>101.2</v>
      </c>
      <c r="AA370" s="2">
        <f t="shared" si="382"/>
        <v>961.20000000000016</v>
      </c>
      <c r="AB370" s="2">
        <f>1012-961</f>
        <v>51</v>
      </c>
      <c r="AC370" s="2">
        <f t="shared" si="383"/>
        <v>1012.2000000000002</v>
      </c>
      <c r="AE370" s="2">
        <f t="shared" si="384"/>
        <v>1012.2000000000002</v>
      </c>
      <c r="AF370" s="2">
        <f>AD370</f>
        <v>0</v>
      </c>
      <c r="AG370" s="2">
        <f t="shared" si="385"/>
        <v>1012.2000000000002</v>
      </c>
      <c r="AH370" s="2">
        <f>AF370</f>
        <v>0</v>
      </c>
      <c r="AI370" s="2">
        <f t="shared" si="386"/>
        <v>1012.2000000000002</v>
      </c>
      <c r="AJ370" s="2">
        <f>AH370</f>
        <v>0</v>
      </c>
      <c r="AK370" s="2">
        <f t="shared" si="387"/>
        <v>1012.2000000000002</v>
      </c>
      <c r="AL370" s="2">
        <f>AJ370</f>
        <v>0</v>
      </c>
      <c r="AM370" s="3">
        <f t="shared" si="388"/>
        <v>1012.2000000000002</v>
      </c>
      <c r="AN370" s="2">
        <f t="shared" si="389"/>
        <v>-0.20000000000015916</v>
      </c>
      <c r="AO370" s="4">
        <f t="shared" si="377"/>
        <v>0</v>
      </c>
      <c r="AP370" s="2">
        <f t="shared" si="372"/>
        <v>1012.2000000000002</v>
      </c>
      <c r="AQ370" s="2">
        <f t="shared" si="373"/>
        <v>-0.20000000000015916</v>
      </c>
      <c r="AR370" s="4">
        <f t="shared" si="374"/>
        <v>0</v>
      </c>
      <c r="AS370" s="5">
        <f t="shared" si="375"/>
        <v>1012.2000000000002</v>
      </c>
      <c r="AT370" s="2">
        <f t="shared" si="376"/>
        <v>-0.20000000000015916</v>
      </c>
    </row>
    <row r="371" spans="1:46" x14ac:dyDescent="0.2">
      <c r="A371" s="1" t="s">
        <v>358</v>
      </c>
      <c r="B371" s="1" t="s">
        <v>291</v>
      </c>
      <c r="C371" s="2">
        <v>300</v>
      </c>
      <c r="D371" s="1" t="s">
        <v>61</v>
      </c>
      <c r="E371" s="2">
        <v>10</v>
      </c>
      <c r="J371" s="2">
        <f>300/10/12*6</f>
        <v>15</v>
      </c>
      <c r="K371" s="2">
        <v>15</v>
      </c>
      <c r="L371" s="2">
        <f>300/10</f>
        <v>30</v>
      </c>
      <c r="M371" s="2">
        <f>K371+L371</f>
        <v>45</v>
      </c>
      <c r="N371" s="2">
        <f>L371</f>
        <v>30</v>
      </c>
      <c r="O371" s="2">
        <f t="shared" si="378"/>
        <v>75</v>
      </c>
      <c r="P371" s="2">
        <f>C371/E371</f>
        <v>30</v>
      </c>
      <c r="Q371" s="2">
        <f>O371+P371</f>
        <v>105</v>
      </c>
      <c r="R371" s="2">
        <f>SUM(C371/E371)</f>
        <v>30</v>
      </c>
      <c r="S371" s="2">
        <f>Q371+R371</f>
        <v>135</v>
      </c>
      <c r="T371" s="2">
        <f t="shared" si="379"/>
        <v>30</v>
      </c>
      <c r="U371" s="2">
        <f>S371+T371</f>
        <v>165</v>
      </c>
      <c r="V371" s="2">
        <f t="shared" si="390"/>
        <v>30</v>
      </c>
      <c r="W371" s="2">
        <f>U371+V371</f>
        <v>195</v>
      </c>
      <c r="X371" s="2">
        <f t="shared" si="391"/>
        <v>30</v>
      </c>
      <c r="Y371" s="2">
        <f t="shared" si="380"/>
        <v>225</v>
      </c>
      <c r="Z371" s="2">
        <f t="shared" si="381"/>
        <v>30</v>
      </c>
      <c r="AA371" s="2">
        <f t="shared" si="382"/>
        <v>255</v>
      </c>
      <c r="AB371" s="2">
        <v>30</v>
      </c>
      <c r="AC371" s="2">
        <f t="shared" si="383"/>
        <v>285</v>
      </c>
      <c r="AD371" s="2">
        <v>15</v>
      </c>
      <c r="AE371" s="2">
        <f t="shared" si="384"/>
        <v>300</v>
      </c>
      <c r="AF371" s="2">
        <v>0</v>
      </c>
      <c r="AG371" s="2">
        <f t="shared" si="385"/>
        <v>300</v>
      </c>
      <c r="AH371" s="2">
        <f>AF371</f>
        <v>0</v>
      </c>
      <c r="AI371" s="2">
        <f t="shared" si="386"/>
        <v>300</v>
      </c>
      <c r="AJ371" s="2">
        <f>AH371</f>
        <v>0</v>
      </c>
      <c r="AK371" s="2">
        <f t="shared" si="387"/>
        <v>300</v>
      </c>
      <c r="AL371" s="2">
        <f>AJ371</f>
        <v>0</v>
      </c>
      <c r="AM371" s="3">
        <f t="shared" si="388"/>
        <v>300</v>
      </c>
      <c r="AN371" s="2">
        <f t="shared" si="389"/>
        <v>0</v>
      </c>
      <c r="AO371" s="4">
        <f t="shared" si="377"/>
        <v>0</v>
      </c>
      <c r="AP371" s="2">
        <f t="shared" si="372"/>
        <v>300</v>
      </c>
      <c r="AQ371" s="2">
        <f t="shared" si="373"/>
        <v>0</v>
      </c>
      <c r="AR371" s="4">
        <f t="shared" si="374"/>
        <v>0</v>
      </c>
      <c r="AS371" s="5">
        <f t="shared" si="375"/>
        <v>300</v>
      </c>
      <c r="AT371" s="2">
        <f t="shared" si="376"/>
        <v>0</v>
      </c>
    </row>
    <row r="372" spans="1:46" x14ac:dyDescent="0.2">
      <c r="A372" s="1" t="s">
        <v>359</v>
      </c>
      <c r="B372" s="1" t="s">
        <v>360</v>
      </c>
      <c r="C372" s="2">
        <v>19747</v>
      </c>
      <c r="D372" s="1" t="s">
        <v>61</v>
      </c>
      <c r="E372" s="2">
        <v>10</v>
      </c>
      <c r="L372" s="2">
        <f>19747/10*0.5</f>
        <v>987.35</v>
      </c>
      <c r="M372" s="2">
        <v>1506</v>
      </c>
      <c r="N372" s="2">
        <f>19747/10</f>
        <v>1974.7</v>
      </c>
      <c r="O372" s="2">
        <f t="shared" si="378"/>
        <v>3480.7</v>
      </c>
      <c r="P372" s="2">
        <f>C372/E372</f>
        <v>1974.7</v>
      </c>
      <c r="Q372" s="2">
        <v>4937</v>
      </c>
      <c r="R372" s="2">
        <f>SUM(C372/E372)</f>
        <v>1974.7</v>
      </c>
      <c r="S372" s="2">
        <v>6911</v>
      </c>
      <c r="T372" s="2">
        <f t="shared" si="379"/>
        <v>1974.7</v>
      </c>
      <c r="U372" s="2">
        <v>8886</v>
      </c>
      <c r="V372" s="2">
        <f t="shared" si="390"/>
        <v>1974.7</v>
      </c>
      <c r="W372" s="2">
        <v>10861</v>
      </c>
      <c r="X372" s="2">
        <f t="shared" si="391"/>
        <v>1974.7</v>
      </c>
      <c r="Y372" s="2">
        <f t="shared" si="380"/>
        <v>12835.7</v>
      </c>
      <c r="Z372" s="2">
        <f t="shared" si="381"/>
        <v>1974.7</v>
      </c>
      <c r="AA372" s="2">
        <f t="shared" si="382"/>
        <v>14810.400000000001</v>
      </c>
      <c r="AB372" s="2">
        <f t="shared" ref="AB372:AB380" si="392">Z372</f>
        <v>1974.7</v>
      </c>
      <c r="AC372" s="2">
        <f t="shared" si="383"/>
        <v>16785.100000000002</v>
      </c>
      <c r="AD372" s="2">
        <f t="shared" ref="AD372:AD381" si="393">AB372</f>
        <v>1974.7</v>
      </c>
      <c r="AE372" s="2">
        <f t="shared" si="384"/>
        <v>18759.800000000003</v>
      </c>
      <c r="AF372" s="2">
        <f>19747-18760</f>
        <v>987</v>
      </c>
      <c r="AG372" s="2">
        <f t="shared" si="385"/>
        <v>19746.800000000003</v>
      </c>
      <c r="AH372" s="2">
        <v>0.2</v>
      </c>
      <c r="AI372" s="2">
        <f t="shared" si="386"/>
        <v>19747.000000000004</v>
      </c>
      <c r="AJ372" s="2">
        <v>0</v>
      </c>
      <c r="AK372" s="2">
        <f t="shared" si="387"/>
        <v>19747.000000000004</v>
      </c>
      <c r="AL372" s="2">
        <v>0</v>
      </c>
      <c r="AM372" s="3">
        <f t="shared" si="388"/>
        <v>19747.000000000004</v>
      </c>
      <c r="AN372" s="2">
        <f t="shared" si="389"/>
        <v>0</v>
      </c>
      <c r="AO372" s="4">
        <f t="shared" si="377"/>
        <v>0</v>
      </c>
      <c r="AP372" s="2">
        <f t="shared" si="372"/>
        <v>19747.000000000004</v>
      </c>
      <c r="AQ372" s="2">
        <f t="shared" si="373"/>
        <v>0</v>
      </c>
      <c r="AR372" s="4">
        <f t="shared" si="374"/>
        <v>0</v>
      </c>
      <c r="AS372" s="5">
        <f t="shared" si="375"/>
        <v>19747.000000000004</v>
      </c>
      <c r="AT372" s="2">
        <f t="shared" si="376"/>
        <v>0</v>
      </c>
    </row>
    <row r="373" spans="1:46" x14ac:dyDescent="0.2">
      <c r="A373" s="1" t="s">
        <v>361</v>
      </c>
      <c r="B373" s="1" t="s">
        <v>362</v>
      </c>
      <c r="C373" s="2">
        <v>19500</v>
      </c>
      <c r="D373" s="1" t="s">
        <v>61</v>
      </c>
      <c r="E373" s="2">
        <v>10</v>
      </c>
      <c r="M373" s="2">
        <v>1950</v>
      </c>
      <c r="N373" s="2">
        <v>1950</v>
      </c>
      <c r="O373" s="2">
        <v>0</v>
      </c>
      <c r="P373" s="2">
        <v>1950</v>
      </c>
      <c r="Q373" s="2">
        <v>0</v>
      </c>
      <c r="R373" s="2">
        <v>1051</v>
      </c>
      <c r="S373" s="2">
        <v>1051</v>
      </c>
      <c r="T373" s="2">
        <v>1950</v>
      </c>
      <c r="U373" s="2">
        <v>3001</v>
      </c>
      <c r="V373" s="2">
        <f t="shared" si="390"/>
        <v>1950</v>
      </c>
      <c r="W373" s="2">
        <v>4951</v>
      </c>
      <c r="X373" s="2">
        <f t="shared" si="391"/>
        <v>1950</v>
      </c>
      <c r="Y373" s="2">
        <f t="shared" si="380"/>
        <v>6901</v>
      </c>
      <c r="Z373" s="2">
        <f t="shared" si="381"/>
        <v>1950</v>
      </c>
      <c r="AA373" s="2">
        <f t="shared" si="382"/>
        <v>8851</v>
      </c>
      <c r="AB373" s="2">
        <f t="shared" si="392"/>
        <v>1950</v>
      </c>
      <c r="AC373" s="2">
        <f t="shared" si="383"/>
        <v>10801</v>
      </c>
      <c r="AD373" s="2">
        <f t="shared" si="393"/>
        <v>1950</v>
      </c>
      <c r="AE373" s="2">
        <f t="shared" si="384"/>
        <v>12751</v>
      </c>
      <c r="AF373" s="2">
        <f t="shared" ref="AF373:AF381" si="394">AD373</f>
        <v>1950</v>
      </c>
      <c r="AG373" s="2">
        <f>AE373+AF373-30</f>
        <v>14671</v>
      </c>
      <c r="AH373" s="2">
        <f>AF373</f>
        <v>1950</v>
      </c>
      <c r="AI373" s="2">
        <f t="shared" si="386"/>
        <v>16621</v>
      </c>
      <c r="AJ373" s="2">
        <f>AH373</f>
        <v>1950</v>
      </c>
      <c r="AK373" s="2">
        <f t="shared" si="387"/>
        <v>18571</v>
      </c>
      <c r="AL373" s="2">
        <f>19500-18571</f>
        <v>929</v>
      </c>
      <c r="AM373" s="3">
        <f t="shared" si="388"/>
        <v>19500</v>
      </c>
      <c r="AN373" s="2">
        <f t="shared" si="389"/>
        <v>0</v>
      </c>
      <c r="AO373" s="4">
        <v>0</v>
      </c>
      <c r="AP373" s="2">
        <f t="shared" si="372"/>
        <v>19500</v>
      </c>
      <c r="AQ373" s="2">
        <f t="shared" si="373"/>
        <v>0</v>
      </c>
      <c r="AR373" s="4">
        <f t="shared" si="374"/>
        <v>0</v>
      </c>
      <c r="AS373" s="5">
        <f t="shared" si="375"/>
        <v>19500</v>
      </c>
      <c r="AT373" s="2">
        <f t="shared" si="376"/>
        <v>0</v>
      </c>
    </row>
    <row r="374" spans="1:46" x14ac:dyDescent="0.2">
      <c r="A374" s="1" t="s">
        <v>363</v>
      </c>
      <c r="B374" s="1" t="s">
        <v>364</v>
      </c>
      <c r="C374" s="2">
        <v>54115</v>
      </c>
      <c r="D374" s="1" t="s">
        <v>61</v>
      </c>
      <c r="E374" s="2">
        <v>10</v>
      </c>
      <c r="N374" s="2">
        <v>0</v>
      </c>
      <c r="O374" s="2">
        <v>1804</v>
      </c>
      <c r="P374" s="2">
        <f>C374/E374</f>
        <v>5411.5</v>
      </c>
      <c r="Q374" s="2">
        <v>7215</v>
      </c>
      <c r="R374" s="2">
        <f>SUM(C374/E374)</f>
        <v>5411.5</v>
      </c>
      <c r="S374" s="2">
        <v>12627</v>
      </c>
      <c r="T374" s="2">
        <f>R374</f>
        <v>5411.5</v>
      </c>
      <c r="U374" s="2">
        <v>18038</v>
      </c>
      <c r="V374" s="2">
        <f t="shared" si="390"/>
        <v>5411.5</v>
      </c>
      <c r="W374" s="2">
        <v>23450</v>
      </c>
      <c r="X374" s="2">
        <f t="shared" si="391"/>
        <v>5411.5</v>
      </c>
      <c r="Y374" s="2">
        <f t="shared" si="380"/>
        <v>28861.5</v>
      </c>
      <c r="Z374" s="2">
        <f t="shared" si="381"/>
        <v>5411.5</v>
      </c>
      <c r="AA374" s="2">
        <f t="shared" si="382"/>
        <v>34273</v>
      </c>
      <c r="AB374" s="2">
        <f t="shared" si="392"/>
        <v>5411.5</v>
      </c>
      <c r="AC374" s="2">
        <f t="shared" si="383"/>
        <v>39684.5</v>
      </c>
      <c r="AD374" s="2">
        <f t="shared" si="393"/>
        <v>5411.5</v>
      </c>
      <c r="AE374" s="2">
        <f t="shared" si="384"/>
        <v>45096</v>
      </c>
      <c r="AF374" s="2">
        <f t="shared" si="394"/>
        <v>5411.5</v>
      </c>
      <c r="AG374" s="2">
        <f>AE374+AF374-347.3</f>
        <v>50160.2</v>
      </c>
      <c r="AH374" s="2">
        <f>54115-50507.5</f>
        <v>3607.5</v>
      </c>
      <c r="AI374" s="2">
        <f t="shared" si="386"/>
        <v>53767.7</v>
      </c>
      <c r="AJ374" s="2">
        <f>54115-53767.7</f>
        <v>347.30000000000291</v>
      </c>
      <c r="AK374" s="2">
        <f t="shared" si="387"/>
        <v>54115</v>
      </c>
      <c r="AL374" s="2">
        <v>0</v>
      </c>
      <c r="AM374" s="3">
        <f t="shared" si="388"/>
        <v>54115</v>
      </c>
      <c r="AN374" s="2">
        <f t="shared" si="389"/>
        <v>0</v>
      </c>
      <c r="AO374" s="4">
        <f>AL374</f>
        <v>0</v>
      </c>
      <c r="AP374" s="2">
        <f t="shared" si="372"/>
        <v>54115</v>
      </c>
      <c r="AQ374" s="2">
        <f t="shared" si="373"/>
        <v>0</v>
      </c>
      <c r="AR374" s="4">
        <f t="shared" si="374"/>
        <v>0</v>
      </c>
      <c r="AS374" s="5">
        <f t="shared" si="375"/>
        <v>54115</v>
      </c>
      <c r="AT374" s="2">
        <f t="shared" si="376"/>
        <v>0</v>
      </c>
    </row>
    <row r="375" spans="1:46" x14ac:dyDescent="0.2">
      <c r="A375" s="1" t="s">
        <v>365</v>
      </c>
      <c r="B375" s="1" t="s">
        <v>366</v>
      </c>
      <c r="C375" s="2">
        <v>6900</v>
      </c>
      <c r="D375" s="1" t="s">
        <v>61</v>
      </c>
      <c r="E375" s="2">
        <v>10</v>
      </c>
      <c r="P375" s="2">
        <f>SUM(C375/10*0.5)</f>
        <v>345</v>
      </c>
      <c r="Q375" s="2">
        <f>O375+P375</f>
        <v>345</v>
      </c>
      <c r="R375" s="2">
        <f>SUM(C375/E375)</f>
        <v>690</v>
      </c>
      <c r="S375" s="2">
        <f>Q375+R375</f>
        <v>1035</v>
      </c>
      <c r="T375" s="2">
        <f>R375</f>
        <v>690</v>
      </c>
      <c r="U375" s="2">
        <f>S375+T375</f>
        <v>1725</v>
      </c>
      <c r="V375" s="2">
        <f t="shared" si="390"/>
        <v>690</v>
      </c>
      <c r="W375" s="2">
        <f>U375+V375</f>
        <v>2415</v>
      </c>
      <c r="X375" s="2">
        <f t="shared" si="391"/>
        <v>690</v>
      </c>
      <c r="Y375" s="2">
        <f t="shared" si="380"/>
        <v>3105</v>
      </c>
      <c r="Z375" s="2">
        <f t="shared" si="381"/>
        <v>690</v>
      </c>
      <c r="AA375" s="2">
        <f t="shared" si="382"/>
        <v>3795</v>
      </c>
      <c r="AB375" s="2">
        <f t="shared" si="392"/>
        <v>690</v>
      </c>
      <c r="AC375" s="2">
        <f t="shared" si="383"/>
        <v>4485</v>
      </c>
      <c r="AD375" s="2">
        <f t="shared" si="393"/>
        <v>690</v>
      </c>
      <c r="AE375" s="2">
        <f t="shared" si="384"/>
        <v>5175</v>
      </c>
      <c r="AF375" s="2">
        <f t="shared" si="394"/>
        <v>690</v>
      </c>
      <c r="AG375" s="2">
        <f t="shared" ref="AG375:AG381" si="395">AE375+AF375</f>
        <v>5865</v>
      </c>
      <c r="AH375" s="2">
        <f t="shared" ref="AH375:AH381" si="396">AF375</f>
        <v>690</v>
      </c>
      <c r="AI375" s="2">
        <f t="shared" si="386"/>
        <v>6555</v>
      </c>
      <c r="AJ375" s="2">
        <f>6900-6555</f>
        <v>345</v>
      </c>
      <c r="AK375" s="2">
        <f t="shared" si="387"/>
        <v>6900</v>
      </c>
      <c r="AL375" s="2">
        <v>0</v>
      </c>
      <c r="AM375" s="3">
        <f t="shared" si="388"/>
        <v>6900</v>
      </c>
      <c r="AN375" s="2">
        <f t="shared" si="389"/>
        <v>0</v>
      </c>
      <c r="AO375" s="4">
        <f>AL375</f>
        <v>0</v>
      </c>
      <c r="AP375" s="2">
        <f t="shared" si="372"/>
        <v>6900</v>
      </c>
      <c r="AQ375" s="2">
        <f t="shared" si="373"/>
        <v>0</v>
      </c>
      <c r="AR375" s="4">
        <f t="shared" si="374"/>
        <v>0</v>
      </c>
      <c r="AS375" s="5">
        <f t="shared" si="375"/>
        <v>6900</v>
      </c>
      <c r="AT375" s="2">
        <f t="shared" si="376"/>
        <v>0</v>
      </c>
    </row>
    <row r="376" spans="1:46" x14ac:dyDescent="0.2">
      <c r="A376" s="1" t="s">
        <v>367</v>
      </c>
      <c r="B376" s="1" t="s">
        <v>368</v>
      </c>
      <c r="C376" s="2">
        <v>4250</v>
      </c>
      <c r="D376" s="1" t="s">
        <v>61</v>
      </c>
      <c r="E376" s="2">
        <v>10</v>
      </c>
      <c r="R376" s="2">
        <f>4250/10/12</f>
        <v>35.416666666666664</v>
      </c>
      <c r="S376" s="2">
        <f>Q376+R376</f>
        <v>35.416666666666664</v>
      </c>
      <c r="T376" s="2">
        <v>425</v>
      </c>
      <c r="U376" s="2">
        <f>S376+T376</f>
        <v>460.41666666666669</v>
      </c>
      <c r="V376" s="2">
        <f t="shared" si="390"/>
        <v>425</v>
      </c>
      <c r="W376" s="2">
        <f>U376+V376</f>
        <v>885.41666666666674</v>
      </c>
      <c r="X376" s="2">
        <f t="shared" si="391"/>
        <v>425</v>
      </c>
      <c r="Y376" s="2">
        <f t="shared" si="380"/>
        <v>1310.4166666666667</v>
      </c>
      <c r="Z376" s="2">
        <f t="shared" si="381"/>
        <v>425</v>
      </c>
      <c r="AA376" s="2">
        <f t="shared" si="382"/>
        <v>1735.4166666666667</v>
      </c>
      <c r="AB376" s="2">
        <f t="shared" si="392"/>
        <v>425</v>
      </c>
      <c r="AC376" s="2">
        <f t="shared" si="383"/>
        <v>2160.416666666667</v>
      </c>
      <c r="AD376" s="2">
        <f t="shared" si="393"/>
        <v>425</v>
      </c>
      <c r="AE376" s="2">
        <f t="shared" si="384"/>
        <v>2585.416666666667</v>
      </c>
      <c r="AF376" s="2">
        <f t="shared" si="394"/>
        <v>425</v>
      </c>
      <c r="AG376" s="2">
        <f t="shared" si="395"/>
        <v>3010.416666666667</v>
      </c>
      <c r="AH376" s="2">
        <f t="shared" si="396"/>
        <v>425</v>
      </c>
      <c r="AI376" s="2">
        <f t="shared" si="386"/>
        <v>3435.416666666667</v>
      </c>
      <c r="AJ376" s="2">
        <f>AH376</f>
        <v>425</v>
      </c>
      <c r="AK376" s="2">
        <f>3435.42+425</f>
        <v>3860.42</v>
      </c>
      <c r="AL376" s="2">
        <f>4250-3860.42</f>
        <v>389.57999999999993</v>
      </c>
      <c r="AM376" s="3">
        <f t="shared" si="388"/>
        <v>4250</v>
      </c>
      <c r="AN376" s="2">
        <f t="shared" si="389"/>
        <v>0</v>
      </c>
      <c r="AO376" s="4">
        <v>0</v>
      </c>
      <c r="AP376" s="2">
        <f t="shared" si="372"/>
        <v>4250</v>
      </c>
      <c r="AQ376" s="2">
        <f t="shared" si="373"/>
        <v>0</v>
      </c>
      <c r="AR376" s="4">
        <f t="shared" si="374"/>
        <v>0</v>
      </c>
      <c r="AS376" s="5">
        <f t="shared" si="375"/>
        <v>4250</v>
      </c>
      <c r="AT376" s="2">
        <f t="shared" si="376"/>
        <v>0</v>
      </c>
    </row>
    <row r="377" spans="1:46" x14ac:dyDescent="0.2">
      <c r="A377" s="1" t="s">
        <v>369</v>
      </c>
      <c r="B377" s="1" t="s">
        <v>370</v>
      </c>
      <c r="C377" s="2">
        <v>128075</v>
      </c>
      <c r="D377" s="1" t="s">
        <v>61</v>
      </c>
      <c r="E377" s="2">
        <v>10</v>
      </c>
      <c r="T377" s="2">
        <v>1067</v>
      </c>
      <c r="U377" s="2">
        <f>S377+T377</f>
        <v>1067</v>
      </c>
      <c r="V377" s="2">
        <f>128075/10</f>
        <v>12807.5</v>
      </c>
      <c r="W377" s="2">
        <f>U377+V377</f>
        <v>13874.5</v>
      </c>
      <c r="X377" s="2">
        <f t="shared" si="391"/>
        <v>12807.5</v>
      </c>
      <c r="Y377" s="2">
        <f t="shared" si="380"/>
        <v>26682</v>
      </c>
      <c r="Z377" s="2">
        <f t="shared" si="381"/>
        <v>12807.5</v>
      </c>
      <c r="AA377" s="2">
        <f>SUM(Y377:Z377)+5196+3900+18381</f>
        <v>66966.5</v>
      </c>
      <c r="AB377" s="2">
        <f t="shared" si="392"/>
        <v>12807.5</v>
      </c>
      <c r="AC377" s="2">
        <f t="shared" si="383"/>
        <v>79774</v>
      </c>
      <c r="AD377" s="2">
        <f t="shared" si="393"/>
        <v>12807.5</v>
      </c>
      <c r="AE377" s="2">
        <f t="shared" si="384"/>
        <v>92581.5</v>
      </c>
      <c r="AF377" s="2">
        <f t="shared" si="394"/>
        <v>12807.5</v>
      </c>
      <c r="AG377" s="2">
        <f t="shared" si="395"/>
        <v>105389</v>
      </c>
      <c r="AH377" s="2">
        <f t="shared" si="396"/>
        <v>12807.5</v>
      </c>
      <c r="AI377" s="2">
        <f t="shared" si="386"/>
        <v>118196.5</v>
      </c>
      <c r="AJ377" s="2">
        <f>128075-118196.5</f>
        <v>9878.5</v>
      </c>
      <c r="AK377" s="2">
        <f t="shared" ref="AK377:AK382" si="397">SUM(AI377:AJ377)</f>
        <v>128075</v>
      </c>
      <c r="AL377" s="2">
        <v>0</v>
      </c>
      <c r="AM377" s="3">
        <f t="shared" si="388"/>
        <v>128075</v>
      </c>
      <c r="AN377" s="2">
        <f t="shared" si="389"/>
        <v>0</v>
      </c>
      <c r="AO377" s="4">
        <f>AL377</f>
        <v>0</v>
      </c>
      <c r="AP377" s="2">
        <f t="shared" si="372"/>
        <v>128075</v>
      </c>
      <c r="AQ377" s="2">
        <f t="shared" si="373"/>
        <v>0</v>
      </c>
      <c r="AR377" s="4">
        <f t="shared" si="374"/>
        <v>0</v>
      </c>
      <c r="AS377" s="5">
        <f t="shared" si="375"/>
        <v>128075</v>
      </c>
      <c r="AT377" s="2">
        <f t="shared" si="376"/>
        <v>0</v>
      </c>
    </row>
    <row r="378" spans="1:46" x14ac:dyDescent="0.2">
      <c r="A378" s="1" t="s">
        <v>371</v>
      </c>
      <c r="B378" s="1" t="s">
        <v>372</v>
      </c>
      <c r="C378" s="2">
        <v>5000</v>
      </c>
      <c r="D378" s="1" t="s">
        <v>61</v>
      </c>
      <c r="E378" s="2">
        <v>10</v>
      </c>
      <c r="V378" s="2">
        <f>10000/10/12*7</f>
        <v>583.33333333333326</v>
      </c>
      <c r="W378" s="2">
        <f>U378+V378</f>
        <v>583.33333333333326</v>
      </c>
      <c r="X378" s="2">
        <v>500</v>
      </c>
      <c r="Y378" s="2">
        <f t="shared" si="380"/>
        <v>1083.3333333333333</v>
      </c>
      <c r="Z378" s="2">
        <v>500</v>
      </c>
      <c r="AA378" s="2">
        <f>SUM(Y378:Z378)</f>
        <v>1583.3333333333333</v>
      </c>
      <c r="AB378" s="2">
        <f t="shared" si="392"/>
        <v>500</v>
      </c>
      <c r="AC378" s="2">
        <f t="shared" si="383"/>
        <v>2083.333333333333</v>
      </c>
      <c r="AD378" s="2">
        <f t="shared" si="393"/>
        <v>500</v>
      </c>
      <c r="AE378" s="2">
        <f t="shared" si="384"/>
        <v>2583.333333333333</v>
      </c>
      <c r="AF378" s="2">
        <f t="shared" si="394"/>
        <v>500</v>
      </c>
      <c r="AG378" s="2">
        <f t="shared" si="395"/>
        <v>3083.333333333333</v>
      </c>
      <c r="AH378" s="2">
        <f t="shared" si="396"/>
        <v>500</v>
      </c>
      <c r="AI378" s="2">
        <f t="shared" si="386"/>
        <v>3583.333333333333</v>
      </c>
      <c r="AJ378" s="2">
        <f>AH378</f>
        <v>500</v>
      </c>
      <c r="AK378" s="2">
        <f t="shared" si="397"/>
        <v>4083.333333333333</v>
      </c>
      <c r="AL378" s="2">
        <f>AJ378</f>
        <v>500</v>
      </c>
      <c r="AM378" s="3">
        <f t="shared" si="388"/>
        <v>4583.333333333333</v>
      </c>
      <c r="AN378" s="2">
        <f t="shared" si="389"/>
        <v>416.66666666666697</v>
      </c>
      <c r="AO378" s="4">
        <v>417</v>
      </c>
      <c r="AP378" s="2">
        <f t="shared" si="372"/>
        <v>5000.333333333333</v>
      </c>
      <c r="AQ378" s="2">
        <f t="shared" si="373"/>
        <v>-0.33333333333303017</v>
      </c>
      <c r="AR378" s="4">
        <v>0</v>
      </c>
      <c r="AS378" s="5">
        <f t="shared" si="375"/>
        <v>5000.333333333333</v>
      </c>
      <c r="AT378" s="2">
        <f t="shared" si="376"/>
        <v>-0.33333333333303017</v>
      </c>
    </row>
    <row r="379" spans="1:46" x14ac:dyDescent="0.2">
      <c r="A379" s="1" t="s">
        <v>373</v>
      </c>
      <c r="B379" s="1" t="s">
        <v>374</v>
      </c>
      <c r="C379" s="2">
        <v>18750</v>
      </c>
      <c r="D379" s="1" t="s">
        <v>61</v>
      </c>
      <c r="E379" s="2">
        <v>10</v>
      </c>
      <c r="V379" s="2">
        <f>18750/10/2</f>
        <v>937.5</v>
      </c>
      <c r="W379" s="2">
        <f>U379+V379</f>
        <v>937.5</v>
      </c>
      <c r="X379" s="2">
        <f>18750/10</f>
        <v>1875</v>
      </c>
      <c r="Y379" s="2">
        <f t="shared" si="380"/>
        <v>2812.5</v>
      </c>
      <c r="Z379" s="2">
        <f>X379</f>
        <v>1875</v>
      </c>
      <c r="AA379" s="2">
        <f>SUM(Y379:Z379)</f>
        <v>4687.5</v>
      </c>
      <c r="AB379" s="2">
        <f t="shared" si="392"/>
        <v>1875</v>
      </c>
      <c r="AC379" s="2">
        <f t="shared" si="383"/>
        <v>6562.5</v>
      </c>
      <c r="AD379" s="2">
        <f t="shared" si="393"/>
        <v>1875</v>
      </c>
      <c r="AE379" s="2">
        <f t="shared" si="384"/>
        <v>8437.5</v>
      </c>
      <c r="AF379" s="2">
        <f t="shared" si="394"/>
        <v>1875</v>
      </c>
      <c r="AG379" s="2">
        <f t="shared" si="395"/>
        <v>10312.5</v>
      </c>
      <c r="AH379" s="2">
        <f t="shared" si="396"/>
        <v>1875</v>
      </c>
      <c r="AI379" s="2">
        <f t="shared" si="386"/>
        <v>12187.5</v>
      </c>
      <c r="AJ379" s="2">
        <f>AH379</f>
        <v>1875</v>
      </c>
      <c r="AK379" s="2">
        <f t="shared" si="397"/>
        <v>14062.5</v>
      </c>
      <c r="AL379" s="2">
        <f>AJ379</f>
        <v>1875</v>
      </c>
      <c r="AM379" s="3">
        <f t="shared" si="388"/>
        <v>15937.5</v>
      </c>
      <c r="AN379" s="2">
        <f t="shared" si="389"/>
        <v>2812.5</v>
      </c>
      <c r="AO379" s="4">
        <f t="shared" ref="AO379:AO384" si="398">AL379</f>
        <v>1875</v>
      </c>
      <c r="AP379" s="2">
        <f t="shared" si="372"/>
        <v>17812.5</v>
      </c>
      <c r="AQ379" s="2">
        <f t="shared" si="373"/>
        <v>937.5</v>
      </c>
      <c r="AR379" s="4">
        <v>938</v>
      </c>
      <c r="AS379" s="5">
        <f t="shared" si="375"/>
        <v>18750.5</v>
      </c>
      <c r="AT379" s="2">
        <v>0</v>
      </c>
    </row>
    <row r="380" spans="1:46" x14ac:dyDescent="0.2">
      <c r="A380" s="1" t="s">
        <v>375</v>
      </c>
      <c r="B380" s="1" t="s">
        <v>376</v>
      </c>
      <c r="C380" s="2">
        <v>38463</v>
      </c>
      <c r="D380" s="1" t="s">
        <v>61</v>
      </c>
      <c r="E380" s="2">
        <v>10</v>
      </c>
      <c r="X380" s="2">
        <v>284</v>
      </c>
      <c r="Y380" s="2">
        <v>284</v>
      </c>
      <c r="Z380" s="2">
        <v>3846</v>
      </c>
      <c r="AA380" s="2">
        <f>SUM(Y380:Z380)</f>
        <v>4130</v>
      </c>
      <c r="AB380" s="2">
        <f t="shared" si="392"/>
        <v>3846</v>
      </c>
      <c r="AC380" s="2">
        <f t="shared" si="383"/>
        <v>7976</v>
      </c>
      <c r="AD380" s="2">
        <f t="shared" si="393"/>
        <v>3846</v>
      </c>
      <c r="AE380" s="2">
        <f t="shared" si="384"/>
        <v>11822</v>
      </c>
      <c r="AF380" s="2">
        <f t="shared" si="394"/>
        <v>3846</v>
      </c>
      <c r="AG380" s="2">
        <f t="shared" si="395"/>
        <v>15668</v>
      </c>
      <c r="AH380" s="2">
        <f t="shared" si="396"/>
        <v>3846</v>
      </c>
      <c r="AI380" s="2">
        <f t="shared" si="386"/>
        <v>19514</v>
      </c>
      <c r="AJ380" s="2">
        <f>AH380</f>
        <v>3846</v>
      </c>
      <c r="AK380" s="2">
        <f t="shared" si="397"/>
        <v>23360</v>
      </c>
      <c r="AL380" s="2">
        <f>AJ380</f>
        <v>3846</v>
      </c>
      <c r="AM380" s="3">
        <f t="shared" si="388"/>
        <v>27206</v>
      </c>
      <c r="AN380" s="2">
        <f t="shared" si="389"/>
        <v>11257</v>
      </c>
      <c r="AO380" s="4">
        <f t="shared" si="398"/>
        <v>3846</v>
      </c>
      <c r="AP380" s="2">
        <f t="shared" si="372"/>
        <v>31052</v>
      </c>
      <c r="AQ380" s="2">
        <f t="shared" si="373"/>
        <v>7411</v>
      </c>
      <c r="AR380" s="4">
        <f>AO380</f>
        <v>3846</v>
      </c>
      <c r="AS380" s="5">
        <f t="shared" si="375"/>
        <v>34898</v>
      </c>
      <c r="AT380" s="2">
        <f t="shared" ref="AT380:AT385" si="399">AQ380-AR380</f>
        <v>3565</v>
      </c>
    </row>
    <row r="381" spans="1:46" x14ac:dyDescent="0.2">
      <c r="A381" s="1" t="s">
        <v>377</v>
      </c>
      <c r="B381" s="1" t="s">
        <v>378</v>
      </c>
      <c r="C381" s="2">
        <v>13500</v>
      </c>
      <c r="D381" s="1" t="s">
        <v>61</v>
      </c>
      <c r="E381" s="2">
        <v>10</v>
      </c>
      <c r="Z381" s="2">
        <v>56</v>
      </c>
      <c r="AA381" s="2">
        <v>56</v>
      </c>
      <c r="AB381" s="2">
        <f>13500/10</f>
        <v>1350</v>
      </c>
      <c r="AC381" s="2">
        <f t="shared" si="383"/>
        <v>1406</v>
      </c>
      <c r="AD381" s="2">
        <f t="shared" si="393"/>
        <v>1350</v>
      </c>
      <c r="AE381" s="2">
        <f t="shared" si="384"/>
        <v>2756</v>
      </c>
      <c r="AF381" s="2">
        <f t="shared" si="394"/>
        <v>1350</v>
      </c>
      <c r="AG381" s="2">
        <f t="shared" si="395"/>
        <v>4106</v>
      </c>
      <c r="AH381" s="2">
        <f t="shared" si="396"/>
        <v>1350</v>
      </c>
      <c r="AI381" s="2">
        <f t="shared" si="386"/>
        <v>5456</v>
      </c>
      <c r="AJ381" s="2">
        <f>AH381</f>
        <v>1350</v>
      </c>
      <c r="AK381" s="2">
        <f t="shared" si="397"/>
        <v>6806</v>
      </c>
      <c r="AL381" s="2">
        <f>AJ381</f>
        <v>1350</v>
      </c>
      <c r="AM381" s="3">
        <f t="shared" si="388"/>
        <v>8156</v>
      </c>
      <c r="AN381" s="2">
        <f t="shared" si="389"/>
        <v>5344</v>
      </c>
      <c r="AO381" s="4">
        <f t="shared" si="398"/>
        <v>1350</v>
      </c>
      <c r="AP381" s="2">
        <f t="shared" si="372"/>
        <v>9506</v>
      </c>
      <c r="AQ381" s="2">
        <f t="shared" si="373"/>
        <v>3994</v>
      </c>
      <c r="AR381" s="4">
        <f>AO381</f>
        <v>1350</v>
      </c>
      <c r="AS381" s="5">
        <f t="shared" si="375"/>
        <v>10856</v>
      </c>
      <c r="AT381" s="2">
        <f t="shared" si="399"/>
        <v>2644</v>
      </c>
    </row>
    <row r="382" spans="1:46" x14ac:dyDescent="0.2">
      <c r="A382" s="1" t="s">
        <v>379</v>
      </c>
      <c r="B382" s="1" t="s">
        <v>380</v>
      </c>
      <c r="C382" s="2">
        <v>3000</v>
      </c>
      <c r="D382" s="1" t="s">
        <v>61</v>
      </c>
      <c r="E382" s="2">
        <v>10</v>
      </c>
      <c r="AH382" s="2">
        <v>221.1</v>
      </c>
      <c r="AI382" s="2">
        <v>221.1</v>
      </c>
      <c r="AJ382" s="2">
        <f>3000/10</f>
        <v>300</v>
      </c>
      <c r="AK382" s="2">
        <f t="shared" si="397"/>
        <v>521.1</v>
      </c>
      <c r="AL382" s="2">
        <f>3000/10</f>
        <v>300</v>
      </c>
      <c r="AM382" s="3">
        <f t="shared" si="388"/>
        <v>821.1</v>
      </c>
      <c r="AN382" s="2">
        <f t="shared" si="389"/>
        <v>2178.9</v>
      </c>
      <c r="AO382" s="4">
        <f t="shared" si="398"/>
        <v>300</v>
      </c>
      <c r="AP382" s="2">
        <f t="shared" si="372"/>
        <v>1121.0999999999999</v>
      </c>
      <c r="AQ382" s="2">
        <f t="shared" si="373"/>
        <v>1878.9</v>
      </c>
      <c r="AR382" s="4">
        <f>AO382</f>
        <v>300</v>
      </c>
      <c r="AS382" s="5">
        <f t="shared" si="375"/>
        <v>1421.1</v>
      </c>
      <c r="AT382" s="2">
        <f t="shared" si="399"/>
        <v>1578.9</v>
      </c>
    </row>
    <row r="383" spans="1:46" x14ac:dyDescent="0.2">
      <c r="A383" s="1" t="s">
        <v>381</v>
      </c>
      <c r="B383" s="1" t="s">
        <v>382</v>
      </c>
      <c r="C383" s="2">
        <v>24000</v>
      </c>
      <c r="D383" s="1" t="s">
        <v>61</v>
      </c>
      <c r="E383" s="2">
        <v>10</v>
      </c>
      <c r="AL383" s="2">
        <f>SUM((-AL362)-AL363-AL365-AL368)</f>
        <v>0</v>
      </c>
      <c r="AM383" s="3"/>
      <c r="AN383" s="2">
        <f>SUM((-AN362)-AN363-AN365-AN368)</f>
        <v>0</v>
      </c>
      <c r="AO383" s="4">
        <f t="shared" si="398"/>
        <v>0</v>
      </c>
      <c r="AP383" s="2">
        <f t="shared" si="372"/>
        <v>0</v>
      </c>
      <c r="AQ383" s="2">
        <v>24000</v>
      </c>
      <c r="AR383" s="4">
        <f>24000/10/12*4</f>
        <v>800</v>
      </c>
      <c r="AS383" s="5">
        <f t="shared" si="375"/>
        <v>800</v>
      </c>
      <c r="AT383" s="2">
        <f t="shared" si="399"/>
        <v>23200</v>
      </c>
    </row>
    <row r="384" spans="1:46" x14ac:dyDescent="0.2">
      <c r="A384" s="1" t="s">
        <v>383</v>
      </c>
      <c r="B384" s="1" t="s">
        <v>384</v>
      </c>
      <c r="C384" s="2">
        <v>59960</v>
      </c>
      <c r="D384" s="1" t="s">
        <v>61</v>
      </c>
      <c r="E384" s="2">
        <v>10</v>
      </c>
      <c r="AL384" s="2">
        <f>SUM((-AL363)-AL364-AL366-AL369)</f>
        <v>0</v>
      </c>
      <c r="AM384" s="3"/>
      <c r="AN384" s="2">
        <f>SUM((-AN363)-AN364-AN366-AN369)</f>
        <v>-9.9999999991268851E-2</v>
      </c>
      <c r="AO384" s="4">
        <f t="shared" si="398"/>
        <v>0</v>
      </c>
      <c r="AP384" s="2">
        <f t="shared" si="372"/>
        <v>0</v>
      </c>
      <c r="AQ384" s="2">
        <v>59960</v>
      </c>
      <c r="AR384" s="4">
        <f>59960/10/12*2.5</f>
        <v>1249.1666666666667</v>
      </c>
      <c r="AS384" s="5">
        <f t="shared" si="375"/>
        <v>1249.1666666666667</v>
      </c>
      <c r="AT384" s="2">
        <f t="shared" si="399"/>
        <v>58710.833333333336</v>
      </c>
    </row>
    <row r="385" spans="1:46" x14ac:dyDescent="0.2">
      <c r="AM385" s="3"/>
      <c r="AO385" s="4"/>
      <c r="AR385" s="4">
        <f>AO385</f>
        <v>0</v>
      </c>
      <c r="AS385" s="5">
        <f t="shared" si="375"/>
        <v>0</v>
      </c>
      <c r="AT385" s="2">
        <f t="shared" si="399"/>
        <v>0</v>
      </c>
    </row>
    <row r="386" spans="1:46" x14ac:dyDescent="0.2">
      <c r="C386" s="5">
        <f>SUM(C362:C385)</f>
        <v>549957</v>
      </c>
      <c r="G386" s="5">
        <f t="shared" ref="G386:Q386" si="400">SUM(G362:G376)</f>
        <v>47901</v>
      </c>
      <c r="H386" s="5">
        <f t="shared" si="400"/>
        <v>15201</v>
      </c>
      <c r="I386" s="5">
        <f t="shared" si="400"/>
        <v>63102</v>
      </c>
      <c r="J386" s="5">
        <f t="shared" si="400"/>
        <v>13950</v>
      </c>
      <c r="K386" s="5">
        <f t="shared" si="400"/>
        <v>77052</v>
      </c>
      <c r="L386" s="5">
        <f t="shared" si="400"/>
        <v>13556.35</v>
      </c>
      <c r="M386" s="5">
        <f t="shared" si="400"/>
        <v>93077</v>
      </c>
      <c r="N386" s="5">
        <f t="shared" si="400"/>
        <v>16493.7</v>
      </c>
      <c r="O386" s="5">
        <f t="shared" si="400"/>
        <v>107474.7</v>
      </c>
      <c r="P386" s="5">
        <f t="shared" si="400"/>
        <v>22250.9</v>
      </c>
      <c r="Q386" s="5">
        <f t="shared" si="400"/>
        <v>127256.7</v>
      </c>
      <c r="R386" s="5">
        <f>SUM(R362:R377)</f>
        <v>21732.316666666669</v>
      </c>
      <c r="S386" s="5">
        <f>Q386+R386</f>
        <v>148989.01666666666</v>
      </c>
      <c r="T386" s="5">
        <f>SUM(T362:T378)</f>
        <v>24087.9</v>
      </c>
      <c r="U386" s="5">
        <f>SUM(U362:U378)</f>
        <v>173076.51666666666</v>
      </c>
      <c r="V386" s="5">
        <f>SUM(V362:V381)</f>
        <v>31897.933333333331</v>
      </c>
      <c r="W386" s="5">
        <f>SUM(W362:W381)</f>
        <v>204975.25</v>
      </c>
      <c r="X386" s="5">
        <f>SUM(X362:X380)</f>
        <v>31216.1</v>
      </c>
      <c r="Y386" s="5">
        <f>SUM(Y362:Y380)</f>
        <v>236191.35000000003</v>
      </c>
      <c r="Z386" s="5">
        <v>32104</v>
      </c>
      <c r="AA386" s="5">
        <f>SUM(AA362:AA382)</f>
        <v>295489.25</v>
      </c>
      <c r="AB386" s="5">
        <f>SUM(AB362:AB381)</f>
        <v>30910.7</v>
      </c>
      <c r="AC386" s="5">
        <f>SUM(AA386:AB386)</f>
        <v>326399.95</v>
      </c>
      <c r="AD386" s="2">
        <f>SUM(AD362:AD382)</f>
        <v>30844.7</v>
      </c>
      <c r="AE386" s="2">
        <f>AC386+AD386</f>
        <v>357244.65</v>
      </c>
      <c r="AF386" s="2">
        <f>AD386</f>
        <v>30844.7</v>
      </c>
      <c r="AG386" s="2">
        <f>SUM(AG362:AG382)</f>
        <v>386709.35000000003</v>
      </c>
      <c r="AH386" s="2">
        <f>SUM(AH362:AH383)</f>
        <v>27272.3</v>
      </c>
      <c r="AI386" s="2">
        <f>SUM(AI362:AI383)</f>
        <v>413981.64999999997</v>
      </c>
      <c r="AJ386" s="5">
        <f t="shared" ref="AJ386:AQ386" si="401">SUM(AJ362:AJ384)</f>
        <v>20816.800000000003</v>
      </c>
      <c r="AK386" s="5">
        <f t="shared" si="401"/>
        <v>434798.45333333331</v>
      </c>
      <c r="AL386" s="5">
        <f t="shared" si="401"/>
        <v>9189.58</v>
      </c>
      <c r="AM386" s="5">
        <f t="shared" si="401"/>
        <v>443988.03333333333</v>
      </c>
      <c r="AN386" s="5">
        <f t="shared" si="401"/>
        <v>22008.866666666669</v>
      </c>
      <c r="AO386" s="4">
        <f t="shared" si="401"/>
        <v>7788</v>
      </c>
      <c r="AP386" s="2">
        <f t="shared" si="401"/>
        <v>451776.03333333333</v>
      </c>
      <c r="AQ386" s="2">
        <f t="shared" si="401"/>
        <v>98180.96666666666</v>
      </c>
      <c r="AR386" s="4">
        <f>SUM(AR362:AR385)</f>
        <v>8483.1666666666661</v>
      </c>
      <c r="AS386" s="5">
        <f>SUM(AS362:AS384)</f>
        <v>460259.2</v>
      </c>
      <c r="AT386" s="2">
        <f>SUM(AT379:AT385)</f>
        <v>89698.733333333337</v>
      </c>
    </row>
    <row r="387" spans="1:46" x14ac:dyDescent="0.2">
      <c r="G387" s="5"/>
      <c r="H387" s="5"/>
      <c r="I387" s="5"/>
      <c r="M387" s="2">
        <f>K387+L387</f>
        <v>0</v>
      </c>
      <c r="AM387" s="3"/>
      <c r="AO387" s="4"/>
      <c r="AR387" s="4"/>
      <c r="AS387" s="5"/>
    </row>
    <row r="388" spans="1:46" x14ac:dyDescent="0.2">
      <c r="A388" s="1" t="s">
        <v>385</v>
      </c>
      <c r="B388" s="1" t="s">
        <v>386</v>
      </c>
      <c r="C388" s="5">
        <v>84888</v>
      </c>
      <c r="D388" s="5" t="s">
        <v>61</v>
      </c>
      <c r="E388" s="5">
        <v>20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4067</v>
      </c>
      <c r="S388" s="5">
        <f>Q388+R388</f>
        <v>4067</v>
      </c>
      <c r="T388" s="5">
        <v>4244</v>
      </c>
      <c r="U388" s="5">
        <f>S388+T388</f>
        <v>8311</v>
      </c>
      <c r="V388" s="5">
        <f>T388</f>
        <v>4244</v>
      </c>
      <c r="W388" s="5">
        <f>U388+V388</f>
        <v>12555</v>
      </c>
      <c r="X388" s="5">
        <f>V388</f>
        <v>4244</v>
      </c>
      <c r="Y388" s="5">
        <f>W388+V388</f>
        <v>16799</v>
      </c>
      <c r="Z388" s="5">
        <f>X388</f>
        <v>4244</v>
      </c>
      <c r="AA388" s="5">
        <f>Y388+X388</f>
        <v>21043</v>
      </c>
      <c r="AB388" s="5">
        <v>4244</v>
      </c>
      <c r="AC388" s="5">
        <f>SUM(AA388:AB388)</f>
        <v>25287</v>
      </c>
      <c r="AD388" s="5">
        <f>AB388</f>
        <v>4244</v>
      </c>
      <c r="AE388" s="5">
        <f>AC388+AD388</f>
        <v>29531</v>
      </c>
      <c r="AF388" s="5">
        <f>AD388</f>
        <v>4244</v>
      </c>
      <c r="AG388" s="5">
        <f>AE388+AF388</f>
        <v>33775</v>
      </c>
      <c r="AH388" s="5">
        <v>4244</v>
      </c>
      <c r="AI388" s="5">
        <f>SUM(AG388:AH388)</f>
        <v>38019</v>
      </c>
      <c r="AJ388" s="5">
        <f>SUM(AH388)</f>
        <v>4244</v>
      </c>
      <c r="AK388" s="5">
        <f>SUM(AI388:AJ388)</f>
        <v>42263</v>
      </c>
      <c r="AL388" s="5">
        <f>SUM(AJ388)</f>
        <v>4244</v>
      </c>
      <c r="AM388" s="5">
        <f>SUM(AK388:AL388)</f>
        <v>46507</v>
      </c>
      <c r="AN388" s="5">
        <f>C388-AM388</f>
        <v>38381</v>
      </c>
      <c r="AO388" s="6">
        <f>AL388</f>
        <v>4244</v>
      </c>
      <c r="AP388" s="5">
        <f>AM388+AO388</f>
        <v>50751</v>
      </c>
      <c r="AQ388" s="5">
        <f>AN388-AO388</f>
        <v>34137</v>
      </c>
      <c r="AR388" s="6">
        <f>AO388</f>
        <v>4244</v>
      </c>
      <c r="AS388" s="5">
        <f>AP388+AR388</f>
        <v>54995</v>
      </c>
      <c r="AT388" s="5">
        <f>AQ388-AR388</f>
        <v>29893</v>
      </c>
    </row>
    <row r="389" spans="1:46" x14ac:dyDescent="0.2">
      <c r="G389" s="5"/>
      <c r="H389" s="5"/>
      <c r="I389" s="5"/>
      <c r="AM389" s="3"/>
      <c r="AO389" s="4"/>
      <c r="AR389" s="4"/>
      <c r="AS389" s="5"/>
    </row>
    <row r="390" spans="1:46" x14ac:dyDescent="0.2">
      <c r="G390" s="5"/>
      <c r="H390" s="5"/>
      <c r="I390" s="5"/>
      <c r="AM390" s="3"/>
      <c r="AO390" s="4"/>
      <c r="AR390" s="4"/>
      <c r="AS390" s="5"/>
    </row>
    <row r="391" spans="1:46" x14ac:dyDescent="0.2">
      <c r="A391" s="1" t="s">
        <v>387</v>
      </c>
      <c r="G391" s="5"/>
      <c r="H391" s="5"/>
      <c r="I391" s="5"/>
      <c r="M391" s="2">
        <f>K391+L391</f>
        <v>0</v>
      </c>
      <c r="AM391" s="3"/>
      <c r="AN391" s="2">
        <f>C391-AM391</f>
        <v>0</v>
      </c>
      <c r="AO391" s="4"/>
      <c r="AR391" s="4"/>
      <c r="AS391" s="5"/>
    </row>
    <row r="392" spans="1:46" x14ac:dyDescent="0.2">
      <c r="M392" s="2">
        <f>K392+L392</f>
        <v>0</v>
      </c>
      <c r="AM392" s="3"/>
      <c r="AN392" s="2">
        <f>C392-AM392</f>
        <v>0</v>
      </c>
      <c r="AO392" s="4"/>
      <c r="AR392" s="4"/>
      <c r="AS392" s="5"/>
    </row>
    <row r="393" spans="1:46" x14ac:dyDescent="0.2">
      <c r="AM393" s="3"/>
      <c r="AO393" s="4"/>
      <c r="AR393" s="4"/>
      <c r="AS393" s="5"/>
    </row>
    <row r="394" spans="1:46" x14ac:dyDescent="0.2">
      <c r="AM394" s="3"/>
      <c r="AO394" s="4"/>
      <c r="AR394" s="4"/>
      <c r="AS394" s="5"/>
    </row>
    <row r="395" spans="1:46" x14ac:dyDescent="0.2">
      <c r="AM395" s="3"/>
      <c r="AO395" s="4"/>
      <c r="AR395" s="4"/>
      <c r="AS395" s="5"/>
    </row>
    <row r="396" spans="1:46" x14ac:dyDescent="0.2">
      <c r="AM396" s="3"/>
      <c r="AO396" s="4"/>
      <c r="AR396" s="4"/>
      <c r="AS396" s="5"/>
    </row>
    <row r="397" spans="1:46" x14ac:dyDescent="0.2">
      <c r="AM397" s="3"/>
      <c r="AO397" s="4"/>
      <c r="AR397" s="4"/>
      <c r="AS397" s="5"/>
    </row>
    <row r="398" spans="1:46" x14ac:dyDescent="0.2">
      <c r="AM398" s="3"/>
      <c r="AO398" s="4"/>
      <c r="AR398" s="4"/>
      <c r="AS398" s="5"/>
    </row>
    <row r="399" spans="1:46" x14ac:dyDescent="0.2">
      <c r="AM399" s="3"/>
      <c r="AO399" s="4"/>
      <c r="AR399" s="4"/>
      <c r="AS399" s="5"/>
    </row>
    <row r="400" spans="1:46" x14ac:dyDescent="0.2">
      <c r="AM400" s="3"/>
      <c r="AO400" s="4"/>
      <c r="AR400" s="4"/>
      <c r="AS400" s="5"/>
    </row>
    <row r="401" spans="1:46" x14ac:dyDescent="0.2">
      <c r="AM401" s="3"/>
      <c r="AO401" s="4"/>
      <c r="AR401" s="4"/>
      <c r="AS401" s="5"/>
    </row>
    <row r="402" spans="1:46" x14ac:dyDescent="0.2">
      <c r="AM402" s="3"/>
      <c r="AO402" s="4"/>
      <c r="AR402" s="4"/>
      <c r="AS402" s="5"/>
    </row>
    <row r="403" spans="1:46" x14ac:dyDescent="0.2">
      <c r="C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M403" s="3"/>
      <c r="AO403" s="4"/>
      <c r="AR403" s="4"/>
      <c r="AS403" s="5"/>
    </row>
    <row r="404" spans="1:46" x14ac:dyDescent="0.2">
      <c r="M404" s="2">
        <f>K404+L404</f>
        <v>0</v>
      </c>
      <c r="Q404" s="2">
        <f>O404+P404</f>
        <v>0</v>
      </c>
      <c r="X404" s="2">
        <f>V404</f>
        <v>0</v>
      </c>
      <c r="Y404" s="2">
        <f>W404+V404</f>
        <v>0</v>
      </c>
      <c r="AE404" s="2">
        <f>AC404+AD404</f>
        <v>0</v>
      </c>
      <c r="AM404" s="3"/>
      <c r="AN404" s="2">
        <f>C404-AM404</f>
        <v>0</v>
      </c>
      <c r="AO404" s="4">
        <f>AL404</f>
        <v>0</v>
      </c>
      <c r="AQ404" s="2">
        <f>AN404-AO404</f>
        <v>0</v>
      </c>
      <c r="AR404" s="4"/>
      <c r="AS404" s="5"/>
    </row>
    <row r="405" spans="1:46" x14ac:dyDescent="0.2">
      <c r="A405" s="9" t="s">
        <v>388</v>
      </c>
      <c r="B405" s="9"/>
      <c r="C405" s="9">
        <f>C388+C386+C359+C355+C350+C315+C285+C273+C237+C208+C170+C121+C91+C89+C72+C70+C66+C64+C59+C22+C105</f>
        <v>44131949.480000004</v>
      </c>
      <c r="D405" s="9"/>
      <c r="E405" s="9"/>
      <c r="F405" s="9"/>
      <c r="G405" s="9">
        <f t="shared" ref="G405:L405" si="402">G22+G59+G64+G66+G70+G89+G105+G121+G170+G208+G232+G273+G285+G315+G350+G355+G359+G386+G403</f>
        <v>4105662</v>
      </c>
      <c r="H405" s="9">
        <f t="shared" si="402"/>
        <v>284746</v>
      </c>
      <c r="I405" s="9">
        <f t="shared" si="402"/>
        <v>4390408</v>
      </c>
      <c r="J405" s="9">
        <f t="shared" si="402"/>
        <v>433257.43958333333</v>
      </c>
      <c r="K405" s="9">
        <f t="shared" si="402"/>
        <v>4823664.9395833332</v>
      </c>
      <c r="L405" s="9">
        <f t="shared" si="402"/>
        <v>572228.90833333333</v>
      </c>
      <c r="M405" s="9">
        <f t="shared" ref="M405:U405" si="403">M22+M59+M64+M66+M70+M89+M105+M121+M170+M208+M232+M273+M285+M315+M350+M355+M359+M386+M403+M388</f>
        <v>5404074.4979166668</v>
      </c>
      <c r="N405" s="9">
        <f t="shared" si="403"/>
        <v>605562.80625000002</v>
      </c>
      <c r="O405" s="9">
        <f t="shared" si="403"/>
        <v>5999116.0354166673</v>
      </c>
      <c r="P405" s="9">
        <f t="shared" si="403"/>
        <v>705361.14166666684</v>
      </c>
      <c r="Q405" s="9">
        <f t="shared" si="403"/>
        <v>6702008.2770833327</v>
      </c>
      <c r="R405" s="9">
        <f t="shared" si="403"/>
        <v>727715.00802469137</v>
      </c>
      <c r="S405" s="9">
        <f t="shared" si="403"/>
        <v>7581205.6851080246</v>
      </c>
      <c r="T405" s="9">
        <f t="shared" si="403"/>
        <v>734981.8666666667</v>
      </c>
      <c r="U405" s="9">
        <f t="shared" si="403"/>
        <v>8182955.9517746903</v>
      </c>
      <c r="V405" s="9">
        <f t="shared" ref="V405:AD405" si="404">V22+V59+V64+V72+V70+V89+V91+V105+V121+V170+V208+V232+V273+V285+V315+V350+V355+V359+V386+V403+V388</f>
        <v>867359.79166666686</v>
      </c>
      <c r="W405" s="9">
        <f t="shared" si="404"/>
        <v>9029592.1809413582</v>
      </c>
      <c r="X405" s="9">
        <f t="shared" si="404"/>
        <v>950766.07000000007</v>
      </c>
      <c r="Y405" s="9">
        <f t="shared" si="404"/>
        <v>9980296.7259413581</v>
      </c>
      <c r="Z405" s="9">
        <f t="shared" si="404"/>
        <v>951909.01500000013</v>
      </c>
      <c r="AA405" s="9">
        <f t="shared" si="404"/>
        <v>10933107.399274692</v>
      </c>
      <c r="AB405" s="9">
        <f t="shared" si="404"/>
        <v>945224.6333333333</v>
      </c>
      <c r="AC405" s="9">
        <f t="shared" si="404"/>
        <v>11880831.932608023</v>
      </c>
      <c r="AD405" s="9">
        <f t="shared" si="404"/>
        <v>991973.81083333329</v>
      </c>
      <c r="AE405" s="2">
        <f>AC405+AD405</f>
        <v>12872805.743441356</v>
      </c>
      <c r="AF405" s="9">
        <f>AF22+AF59+AF64+AF72+AF70+AF89+AF91+AF105+AF121+AF170+AF208+AF232+AF273+AF285+AF315+AF350+AF355+AF359+AF386+AF403+AF388</f>
        <v>1022935.3183333331</v>
      </c>
      <c r="AG405" s="9">
        <f>AG22+AG59+AG64+AG72+AG70+AG89+AG91+AG105+AG121+AG170+AG208+AG232+AG273+AG285+AG315+AG350+AG355+AG359+AG386+AG403+AG388+AG357</f>
        <v>13893641.061774692</v>
      </c>
      <c r="AH405" s="9">
        <f>AH22+AH59+AH64+AH72+AH70+AH89+AH91+AH105+AH121+AH170+AH208+AH232+AH273+AH285+AH315+AH350+AH355+AH359+AH386+AH403+AH388+AH357</f>
        <v>1002517.2483333333</v>
      </c>
      <c r="AI405" s="2">
        <f>AG405+AH405</f>
        <v>14896158.310108025</v>
      </c>
      <c r="AJ405" s="9">
        <f>AJ22+AJ59+AJ64+AJ72+AJ70+AJ89+AJ91+AJ105+AJ121+AJ170+AJ208+AJ235+AJ273+AJ285+AJ315+AJ350+AJ355+AJ359+AJ386+AJ403+AJ388+AJ357</f>
        <v>999022.1083333334</v>
      </c>
      <c r="AK405" s="9">
        <f>AK22+AK59+AK64+AK72+AK70+AK89+AK91+AK105+AK121+AK170+AK208+AK235+AK273+AK285+AK315+AK350+AK355+AK359+AK386+AK403+AK388+AK357</f>
        <v>15836495.938749997</v>
      </c>
      <c r="AL405" s="9">
        <f>AL22+AL59+AL64+AL72+AL70+AL89+AL91+AL105+AL121+AL170+AL208+AL237+AL273+AL285+AL315+AL350+AL355+AL359+AL386+AL403+AL388+AL357</f>
        <v>1018272.5270833332</v>
      </c>
      <c r="AM405" s="9">
        <f>AM388+AM386+AM359+AM355+AM350+AM315+AM285+AM273+AM237+AM208+AM170+AM121+AM91+AM89+AM72+AM70+AM66+AM64+AM59+AM22+AM105</f>
        <v>16791526.207499996</v>
      </c>
      <c r="AN405" s="9">
        <f>AN22+AN59+AN64+AN72+AN70+AN89+AN91+AN105+AN121+AN170+AN208+AN237+AN273+AN285+AN315+AN350+AN355+AN359+AN386+AN403+AN388+AN357</f>
        <v>26324567.172499999</v>
      </c>
      <c r="AO405" s="10">
        <f>AO388+AO386+AO359+AO355+AO350+AO315+AO285+AO273+AO237+AO208+AO170+AO121+AO91+AO89+AO72+AO70+AO66+AO64+AO59+AO22+AO105</f>
        <v>1088790.2738369962</v>
      </c>
      <c r="AP405" s="9">
        <f>AP388+AP386+AP359+AP355+AP350+AP315+AP285+AP273+AP237+AP208+AP170+AP121+AP91+AP89+AP72+AP70+AP66+AP64+AP59+AP22+AP105</f>
        <v>17959736.989166666</v>
      </c>
      <c r="AQ405" s="9">
        <f>AQ22+AQ59+AQ64+AQ72+AQ70+AQ89+AQ91+AQ105+AQ121+AQ170+AQ208+AQ237+AQ273+AQ285+AQ315+AQ350+AQ355+AQ359+AQ386+AQ403+AQ388+AQ357</f>
        <v>25732003.998663004</v>
      </c>
      <c r="AR405" s="10">
        <f>AR22+AR59+AR64+AR72+AR70+AR89+AR91+AR105+AR121+AR170+AR208+AR237+AR273+AR285+AR315+AR350+AR355+AR359+AR386+AR403+AR388+AR357</f>
        <v>1092600.8750000002</v>
      </c>
      <c r="AS405" s="10">
        <f>AS22+AS59+AS64+AS72+AS70+AS89+AS91+AS105+AS121+AS170+AS208+AS237+AS273+AS285+AS315+AS350+AS355+AS359+AS386+AS403+AS388</f>
        <v>19052337.864166666</v>
      </c>
      <c r="AT405" s="9">
        <f>AT22+AT59+AT64+AT72+AT70+AT89+AT91+AT105+AT121+AT170+AT208+AT237+AT273+AT285+AT315+AT350+AT355+AT359+AT386+AT403+AT388+AT357</f>
        <v>24591749.242829669</v>
      </c>
    </row>
    <row r="406" spans="1:46" x14ac:dyDescent="0.2">
      <c r="AM406" s="3"/>
      <c r="AO406" s="4"/>
      <c r="AR406" s="4"/>
      <c r="AS406" s="5"/>
    </row>
    <row r="407" spans="1:46" x14ac:dyDescent="0.2">
      <c r="AM407" s="3"/>
      <c r="AO407" s="4"/>
      <c r="AR407" s="4"/>
      <c r="AS407" s="5"/>
    </row>
    <row r="408" spans="1:46" x14ac:dyDescent="0.2">
      <c r="M408" s="1" t="s">
        <v>389</v>
      </c>
      <c r="AM408" s="3"/>
      <c r="AO408" s="4"/>
      <c r="AR408" s="4"/>
      <c r="AS408" s="5"/>
    </row>
    <row r="409" spans="1:46" x14ac:dyDescent="0.2">
      <c r="A409" s="3" t="s">
        <v>390</v>
      </c>
      <c r="B409" s="1" t="s">
        <v>108</v>
      </c>
      <c r="C409" s="2">
        <v>215344</v>
      </c>
      <c r="D409" s="1" t="s">
        <v>61</v>
      </c>
      <c r="E409" s="2">
        <v>5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L409" s="2">
        <v>0</v>
      </c>
      <c r="AM409" s="3">
        <f>SUM(AK409:AL409)</f>
        <v>0</v>
      </c>
      <c r="AN409" s="2">
        <f>C409-AM409</f>
        <v>215344</v>
      </c>
      <c r="AO409" s="4">
        <f>215344/5</f>
        <v>43068.800000000003</v>
      </c>
      <c r="AQ409" s="2">
        <f>AN409-AO409</f>
        <v>172275.20000000001</v>
      </c>
      <c r="AR409" s="4">
        <f>AO409</f>
        <v>43068.800000000003</v>
      </c>
      <c r="AS409" s="5"/>
      <c r="AT409" s="2">
        <f>AQ409-AR409</f>
        <v>129206.40000000001</v>
      </c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scale="11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2021-09-20T17:29:38Z</dcterms:created>
  <dcterms:modified xsi:type="dcterms:W3CDTF">2021-09-22T21:10:17Z</dcterms:modified>
</cp:coreProperties>
</file>